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2 EDR Application\4. Enersource Rate Zone\OEB Models\"/>
    </mc:Choice>
  </mc:AlternateContent>
  <xr:revisionPtr revIDLastSave="0" documentId="13_ncr:1_{F1E86ADA-337B-441A-9658-62624FDD2488}" xr6:coauthVersionLast="46" xr6:coauthVersionMax="46" xr10:uidLastSave="{00000000-0000-0000-0000-000000000000}"/>
  <bookViews>
    <workbookView xWindow="-28920" yWindow="-120" windowWidth="29040" windowHeight="15840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</sheets>
  <externalReferences>
    <externalReference r:id="rId6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31" i="12" l="1"/>
  <c r="AT31" i="12"/>
  <c r="AU30" i="12"/>
  <c r="AT30" i="12"/>
  <c r="AU29" i="12"/>
  <c r="AT29" i="12"/>
  <c r="AU26" i="12"/>
  <c r="AT26" i="12"/>
  <c r="AU25" i="12"/>
  <c r="AT25" i="12"/>
  <c r="AU24" i="12"/>
  <c r="AT24" i="12"/>
  <c r="AT21" i="12"/>
  <c r="AU21" i="12"/>
  <c r="AT22" i="12"/>
  <c r="AU22" i="12"/>
  <c r="AU20" i="12"/>
  <c r="AT20" i="12"/>
  <c r="AS14" i="12"/>
  <c r="AS15" i="12"/>
  <c r="AT14" i="12"/>
  <c r="AU14" i="12"/>
  <c r="AT15" i="12"/>
  <c r="AU15" i="12"/>
  <c r="AT16" i="12"/>
  <c r="AU16" i="12"/>
  <c r="AU13" i="12"/>
  <c r="AT13" i="12"/>
  <c r="AS13" i="12"/>
  <c r="B23" i="17" l="1"/>
  <c r="F7" i="17"/>
  <c r="C7" i="17" l="1"/>
  <c r="J8" i="17" l="1"/>
  <c r="I8" i="17"/>
  <c r="AO29" i="12"/>
  <c r="AO14" i="12"/>
  <c r="Y14" i="12"/>
  <c r="Z15" i="12"/>
  <c r="N8" i="17"/>
  <c r="O8" i="17" s="1"/>
  <c r="AN15" i="12" s="1"/>
  <c r="M6" i="17"/>
  <c r="E23" i="17"/>
  <c r="M8" i="17"/>
  <c r="L8" i="17"/>
  <c r="J9" i="17"/>
  <c r="G8" i="17"/>
  <c r="F8" i="17"/>
  <c r="D8" i="17"/>
  <c r="C8" i="17"/>
  <c r="L7" i="17"/>
  <c r="I7" i="17"/>
  <c r="AM15" i="12" l="1"/>
  <c r="N7" i="17"/>
  <c r="I9" i="17"/>
  <c r="F9" i="17"/>
  <c r="O22" i="17"/>
  <c r="AN29" i="12" s="1"/>
  <c r="P8" i="17"/>
  <c r="L9" i="17"/>
  <c r="G9" i="17"/>
  <c r="L6" i="17"/>
  <c r="C9" i="17"/>
  <c r="M9" i="17"/>
  <c r="M10" i="17" s="1"/>
  <c r="D9" i="17"/>
  <c r="AI30" i="12"/>
  <c r="D23" i="17" s="1"/>
  <c r="P9" i="17" l="1"/>
  <c r="AO16" i="12" s="1"/>
  <c r="AO15" i="12"/>
  <c r="O7" i="17"/>
  <c r="AM14" i="12"/>
  <c r="AI49" i="12"/>
  <c r="L10" i="17"/>
  <c r="O9" i="17" l="1"/>
  <c r="AN16" i="12" s="1"/>
  <c r="AN14" i="12"/>
  <c r="G175" i="2" l="1"/>
  <c r="S7" i="5" s="1"/>
  <c r="C175" i="2"/>
  <c r="R179" i="2" s="1"/>
  <c r="T65" i="12" s="1"/>
  <c r="T67" i="12" s="1"/>
  <c r="K174" i="2"/>
  <c r="K173" i="2"/>
  <c r="K172" i="2"/>
  <c r="K171" i="2"/>
  <c r="K170" i="2"/>
  <c r="G164" i="2"/>
  <c r="Q180" i="2" s="1"/>
  <c r="C164" i="2"/>
  <c r="Q179" i="2" s="1"/>
  <c r="S65" i="12" s="1"/>
  <c r="S67" i="12" s="1"/>
  <c r="K163" i="2"/>
  <c r="K162" i="2"/>
  <c r="K161" i="2"/>
  <c r="K160" i="2"/>
  <c r="K159" i="2"/>
  <c r="G153" i="2"/>
  <c r="P180" i="2" s="1"/>
  <c r="AY30" i="12" s="1"/>
  <c r="C153" i="2"/>
  <c r="R7" i="3" s="1"/>
  <c r="K152" i="2"/>
  <c r="K151" i="2"/>
  <c r="K150" i="2"/>
  <c r="K149" i="2"/>
  <c r="K148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179" i="2" s="1"/>
  <c r="P65" i="12" s="1"/>
  <c r="P67" i="12" s="1"/>
  <c r="K130" i="2"/>
  <c r="K129" i="2"/>
  <c r="K128" i="2"/>
  <c r="K127" i="2"/>
  <c r="K126" i="2"/>
  <c r="BB30" i="12" l="1"/>
  <c r="BD30" i="12" s="1"/>
  <c r="BD49" i="12" s="1"/>
  <c r="O179" i="2"/>
  <c r="Q65" i="12" s="1"/>
  <c r="Q67" i="12" s="1"/>
  <c r="N180" i="2"/>
  <c r="AP30" i="12" s="1"/>
  <c r="AR30" i="12" s="1"/>
  <c r="AR49" i="12" s="1"/>
  <c r="R180" i="2"/>
  <c r="BE30" i="12" s="1"/>
  <c r="BG30" i="12" s="1"/>
  <c r="BG49" i="12" s="1"/>
  <c r="S7" i="3"/>
  <c r="Q7" i="5"/>
  <c r="P179" i="2"/>
  <c r="R65" i="12" s="1"/>
  <c r="R67" i="12" s="1"/>
  <c r="O180" i="2"/>
  <c r="AV30" i="12" s="1"/>
  <c r="AW30" i="12" s="1"/>
  <c r="AW49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X15" i="12"/>
  <c r="AX16" i="12" s="1"/>
  <c r="AW15" i="12"/>
  <c r="AW14" i="12"/>
  <c r="AR15" i="12"/>
  <c r="AR29" i="12" s="1"/>
  <c r="AQ15" i="12"/>
  <c r="AQ14" i="12"/>
  <c r="AQ30" i="12" l="1"/>
  <c r="AQ49" i="12" s="1"/>
  <c r="AZ29" i="12"/>
  <c r="BC30" i="12"/>
  <c r="BC49" i="12" s="1"/>
  <c r="BF30" i="12"/>
  <c r="BF49" i="12" s="1"/>
  <c r="AX30" i="12"/>
  <c r="AX49" i="12" s="1"/>
  <c r="AQ29" i="12"/>
  <c r="BC29" i="12"/>
  <c r="AR16" i="12"/>
  <c r="AW29" i="12"/>
  <c r="BF29" i="12"/>
  <c r="BF16" i="12"/>
  <c r="BG29" i="12"/>
  <c r="BC16" i="12"/>
  <c r="BD16" i="12"/>
  <c r="BA29" i="12"/>
  <c r="AZ16" i="12"/>
  <c r="AX29" i="12"/>
  <c r="AW16" i="12"/>
  <c r="AQ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K45" i="12" s="1"/>
  <c r="AQ45" i="12" s="1"/>
  <c r="AW45" i="12" s="1"/>
  <c r="AZ45" i="12" s="1"/>
  <c r="BC45" i="12" s="1"/>
  <c r="BF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D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AB29" i="12" l="1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L29" i="12"/>
  <c r="AL16" i="12"/>
  <c r="V29" i="12"/>
  <c r="AH29" i="12"/>
  <c r="C22" i="17" s="1"/>
  <c r="W30" i="12"/>
  <c r="W49" i="12" s="1"/>
  <c r="V30" i="12"/>
  <c r="V49" i="12" s="1"/>
  <c r="M15" i="12"/>
  <c r="M16" i="12" s="1"/>
  <c r="Y15" i="12"/>
  <c r="Y29" i="12" s="1"/>
  <c r="AK15" i="12"/>
  <c r="G16" i="12"/>
  <c r="H16" i="12"/>
  <c r="P16" i="12"/>
  <c r="V16" i="12"/>
  <c r="AB16" i="12"/>
  <c r="AH16" i="12"/>
  <c r="G22" i="17" l="1"/>
  <c r="D16" i="12"/>
  <c r="AF16" i="12"/>
  <c r="T16" i="12"/>
  <c r="M29" i="12"/>
  <c r="Y16" i="12"/>
  <c r="AE14" i="12"/>
  <c r="AE29" i="12" l="1"/>
  <c r="AE16" i="12"/>
  <c r="N25" i="5"/>
  <c r="G120" i="2"/>
  <c r="S9" i="3" s="1"/>
  <c r="K119" i="2"/>
  <c r="K117" i="2"/>
  <c r="K116" i="2"/>
  <c r="K115" i="2"/>
  <c r="N7" i="5" l="1"/>
  <c r="M180" i="2"/>
  <c r="AJ30" i="12" s="1"/>
  <c r="C120" i="2"/>
  <c r="K118" i="2"/>
  <c r="K120" i="2" s="1"/>
  <c r="AK14" i="12" l="1"/>
  <c r="O7" i="3"/>
  <c r="M179" i="2"/>
  <c r="O65" i="12" s="1"/>
  <c r="M25" i="5"/>
  <c r="O67" i="12" l="1"/>
  <c r="AK30" i="12"/>
  <c r="F23" i="17" s="1"/>
  <c r="AL30" i="12"/>
  <c r="G23" i="17" s="1"/>
  <c r="AK16" i="12"/>
  <c r="AK29" i="12"/>
  <c r="F22" i="17" l="1"/>
  <c r="AL49" i="12"/>
  <c r="AK49" i="12"/>
  <c r="K108" i="2"/>
  <c r="K106" i="2"/>
  <c r="K105" i="2"/>
  <c r="C109" i="2" l="1"/>
  <c r="G109" i="2"/>
  <c r="K107" i="2"/>
  <c r="N7" i="3" l="1"/>
  <c r="L179" i="2"/>
  <c r="N65" i="12" s="1"/>
  <c r="L180" i="2"/>
  <c r="M7" i="5"/>
  <c r="K104" i="2"/>
  <c r="K109" i="2" s="1"/>
  <c r="N67" i="12" l="1"/>
  <c r="AH30" i="12"/>
  <c r="C23" i="17" s="1"/>
  <c r="L25" i="5"/>
  <c r="K25" i="5"/>
  <c r="J25" i="5"/>
  <c r="I25" i="5"/>
  <c r="H25" i="5"/>
  <c r="G25" i="5"/>
  <c r="F25" i="5"/>
  <c r="E25" i="5"/>
  <c r="D25" i="5"/>
  <c r="C25" i="5"/>
  <c r="D184" i="2"/>
  <c r="K97" i="2"/>
  <c r="K96" i="2"/>
  <c r="K95" i="2"/>
  <c r="K94" i="2"/>
  <c r="K86" i="2"/>
  <c r="K85" i="2"/>
  <c r="K84" i="2"/>
  <c r="K83" i="2"/>
  <c r="C87" i="2"/>
  <c r="K76" i="2"/>
  <c r="K73" i="2"/>
  <c r="G47" i="2"/>
  <c r="F180" i="2" s="1"/>
  <c r="C47" i="2"/>
  <c r="K46" i="2"/>
  <c r="K45" i="2"/>
  <c r="K44" i="2"/>
  <c r="K43" i="2"/>
  <c r="K42" i="2"/>
  <c r="G37" i="2"/>
  <c r="E180" i="2" s="1"/>
  <c r="C37" i="2"/>
  <c r="K36" i="2"/>
  <c r="K35" i="2"/>
  <c r="K34" i="2"/>
  <c r="K33" i="2"/>
  <c r="K32" i="2"/>
  <c r="G27" i="2"/>
  <c r="D180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E184" i="2" s="1"/>
  <c r="K22" i="2"/>
  <c r="J22" i="2"/>
  <c r="H22" i="2"/>
  <c r="D22" i="2"/>
  <c r="G17" i="2"/>
  <c r="C180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180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C184" i="2" l="1"/>
  <c r="AH49" i="12"/>
  <c r="E189" i="2"/>
  <c r="J14" i="2"/>
  <c r="L26" i="2"/>
  <c r="L24" i="2"/>
  <c r="B179" i="2"/>
  <c r="B183" i="2" s="1"/>
  <c r="D7" i="3"/>
  <c r="D8" i="3" s="1"/>
  <c r="C179" i="2"/>
  <c r="E65" i="12" s="1"/>
  <c r="E67" i="12" s="1"/>
  <c r="E7" i="3"/>
  <c r="E9" i="3" s="1"/>
  <c r="D179" i="2"/>
  <c r="F65" i="12" s="1"/>
  <c r="F67" i="12" s="1"/>
  <c r="F7" i="3"/>
  <c r="F9" i="3" s="1"/>
  <c r="L23" i="2"/>
  <c r="E179" i="2"/>
  <c r="G65" i="12" s="1"/>
  <c r="G67" i="12" s="1"/>
  <c r="G7" i="3"/>
  <c r="G9" i="3" s="1"/>
  <c r="F179" i="2"/>
  <c r="H65" i="12" s="1"/>
  <c r="H67" i="12" s="1"/>
  <c r="H7" i="3"/>
  <c r="H9" i="3" s="1"/>
  <c r="J179" i="2"/>
  <c r="L65" i="12" s="1"/>
  <c r="L67" i="12" s="1"/>
  <c r="L7" i="3"/>
  <c r="L9" i="3" s="1"/>
  <c r="J35" i="2"/>
  <c r="L16" i="2"/>
  <c r="H13" i="2"/>
  <c r="H17" i="2" s="1"/>
  <c r="F17" i="2"/>
  <c r="D14" i="2"/>
  <c r="D183" i="2" s="1"/>
  <c r="D185" i="2" s="1"/>
  <c r="G87" i="2"/>
  <c r="J180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179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160" i="2" s="1"/>
  <c r="F171" i="2" s="1"/>
  <c r="H171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C98" i="2"/>
  <c r="J27" i="2"/>
  <c r="D35" i="2"/>
  <c r="B184" i="2"/>
  <c r="C189" i="2" s="1"/>
  <c r="L6" i="2"/>
  <c r="D8" i="2"/>
  <c r="D27" i="2"/>
  <c r="L22" i="2"/>
  <c r="L25" i="2"/>
  <c r="B32" i="2"/>
  <c r="B34" i="2"/>
  <c r="G57" i="2"/>
  <c r="G180" i="2" s="1"/>
  <c r="F32" i="2"/>
  <c r="B185" i="2"/>
  <c r="L5" i="2"/>
  <c r="D13" i="2"/>
  <c r="G98" i="2"/>
  <c r="K47" i="2"/>
  <c r="K56" i="2"/>
  <c r="G77" i="2"/>
  <c r="I180" i="2" s="1"/>
  <c r="L15" i="2"/>
  <c r="G67" i="2"/>
  <c r="H180" i="2" s="1"/>
  <c r="K64" i="2"/>
  <c r="K72" i="2"/>
  <c r="K74" i="2"/>
  <c r="D65" i="12" l="1"/>
  <c r="B190" i="2"/>
  <c r="F172" i="2"/>
  <c r="H172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F140" i="2" s="1"/>
  <c r="H140" i="2" s="1"/>
  <c r="F151" i="2" s="1"/>
  <c r="H151" i="2" s="1"/>
  <c r="F162" i="2" s="1"/>
  <c r="H162" i="2" s="1"/>
  <c r="F173" i="2" s="1"/>
  <c r="H173" i="2" s="1"/>
  <c r="K180" i="2"/>
  <c r="S180" i="2" s="1"/>
  <c r="I179" i="2"/>
  <c r="K65" i="12" s="1"/>
  <c r="K67" i="12" s="1"/>
  <c r="K7" i="3"/>
  <c r="K9" i="3" s="1"/>
  <c r="J7" i="3"/>
  <c r="J9" i="3" s="1"/>
  <c r="G179" i="2"/>
  <c r="I65" i="12" s="1"/>
  <c r="I67" i="12" s="1"/>
  <c r="I7" i="3"/>
  <c r="I9" i="3" s="1"/>
  <c r="J33" i="2"/>
  <c r="J36" i="2"/>
  <c r="K179" i="2"/>
  <c r="M65" i="12" s="1"/>
  <c r="K77" i="2"/>
  <c r="K82" i="2"/>
  <c r="K87" i="2" s="1"/>
  <c r="L14" i="2"/>
  <c r="K67" i="2"/>
  <c r="K57" i="2"/>
  <c r="D17" i="2"/>
  <c r="L13" i="2"/>
  <c r="C185" i="2"/>
  <c r="C190" i="2" s="1"/>
  <c r="B37" i="2"/>
  <c r="D37" i="2" s="1"/>
  <c r="J32" i="2"/>
  <c r="D32" i="2"/>
  <c r="H32" i="2"/>
  <c r="F42" i="2" s="1"/>
  <c r="F37" i="2"/>
  <c r="H37" i="2" s="1"/>
  <c r="B188" i="2"/>
  <c r="C183" i="2"/>
  <c r="L27" i="2"/>
  <c r="B189" i="2"/>
  <c r="K93" i="2"/>
  <c r="K98" i="2" s="1"/>
  <c r="L36" i="2"/>
  <c r="L8" i="2"/>
  <c r="D34" i="2"/>
  <c r="F184" i="2" s="1"/>
  <c r="J34" i="2"/>
  <c r="B45" i="2"/>
  <c r="L35" i="2"/>
  <c r="L33" i="2"/>
  <c r="B43" i="2"/>
  <c r="D46" i="2"/>
  <c r="J46" i="2"/>
  <c r="C8" i="5" l="1"/>
  <c r="S179" i="2"/>
  <c r="D66" i="12"/>
  <c r="D67" i="12"/>
  <c r="C188" i="2"/>
  <c r="M67" i="12"/>
  <c r="E14" i="3"/>
  <c r="F6" i="3" s="1"/>
  <c r="F8" i="3" s="1"/>
  <c r="F10" i="3" s="1"/>
  <c r="F13" i="3" s="1"/>
  <c r="D8" i="5"/>
  <c r="J37" i="2"/>
  <c r="N9" i="3"/>
  <c r="L17" i="2"/>
  <c r="M24" i="2" s="1"/>
  <c r="F189" i="2"/>
  <c r="L34" i="2"/>
  <c r="B44" i="2"/>
  <c r="B191" i="2"/>
  <c r="C13" i="12" s="1"/>
  <c r="L46" i="2"/>
  <c r="B56" i="2"/>
  <c r="C191" i="2"/>
  <c r="F13" i="12" s="1"/>
  <c r="L32" i="2"/>
  <c r="B42" i="2"/>
  <c r="J43" i="2"/>
  <c r="D43" i="2"/>
  <c r="J45" i="2"/>
  <c r="D45" i="2"/>
  <c r="E185" i="2"/>
  <c r="E183" i="2"/>
  <c r="E188" i="2" s="1"/>
  <c r="F47" i="2"/>
  <c r="H42" i="2"/>
  <c r="D68" i="12" l="1"/>
  <c r="D71" i="12" s="1"/>
  <c r="D50" i="12" s="1"/>
  <c r="E13" i="12"/>
  <c r="E17" i="12" s="1"/>
  <c r="D13" i="12"/>
  <c r="D17" i="12" s="1"/>
  <c r="G13" i="12"/>
  <c r="G17" i="12" s="1"/>
  <c r="H13" i="12"/>
  <c r="H17" i="12" s="1"/>
  <c r="AF30" i="12"/>
  <c r="AE30" i="12"/>
  <c r="F14" i="3"/>
  <c r="G6" i="3" s="1"/>
  <c r="G8" i="3" s="1"/>
  <c r="G10" i="3" s="1"/>
  <c r="G13" i="3" s="1"/>
  <c r="E8" i="5"/>
  <c r="L37" i="2"/>
  <c r="F183" i="2"/>
  <c r="F188" i="2" s="1"/>
  <c r="B55" i="2"/>
  <c r="L45" i="2"/>
  <c r="B47" i="2"/>
  <c r="D42" i="2"/>
  <c r="J42" i="2"/>
  <c r="H47" i="2"/>
  <c r="F52" i="2"/>
  <c r="F185" i="2"/>
  <c r="B53" i="2"/>
  <c r="L43" i="2"/>
  <c r="D44" i="2"/>
  <c r="G184" i="2" s="1"/>
  <c r="J44" i="2"/>
  <c r="E190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AF49" i="12"/>
  <c r="D72" i="12"/>
  <c r="G14" i="3"/>
  <c r="H6" i="3" s="1"/>
  <c r="H8" i="3" s="1"/>
  <c r="H10" i="3" s="1"/>
  <c r="H13" i="3" s="1"/>
  <c r="F8" i="5"/>
  <c r="E191" i="2"/>
  <c r="I13" i="12" s="1"/>
  <c r="G189" i="2"/>
  <c r="L42" i="2"/>
  <c r="B52" i="2"/>
  <c r="D47" i="2"/>
  <c r="G183" i="2"/>
  <c r="G188" i="2" s="1"/>
  <c r="L44" i="2"/>
  <c r="B54" i="2"/>
  <c r="G185" i="2"/>
  <c r="L56" i="2"/>
  <c r="B66" i="2"/>
  <c r="F190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191" i="2"/>
  <c r="L13" i="12" s="1"/>
  <c r="L55" i="2"/>
  <c r="B65" i="2"/>
  <c r="B63" i="2"/>
  <c r="L53" i="2"/>
  <c r="D66" i="2"/>
  <c r="J66" i="2"/>
  <c r="H185" i="2"/>
  <c r="H190" i="2" s="1"/>
  <c r="J54" i="2"/>
  <c r="D54" i="2"/>
  <c r="D52" i="2"/>
  <c r="J52" i="2"/>
  <c r="B57" i="2"/>
  <c r="F62" i="2"/>
  <c r="H57" i="2"/>
  <c r="G190" i="2"/>
  <c r="G191" i="2" s="1"/>
  <c r="O13" i="12" s="1"/>
  <c r="H183" i="2"/>
  <c r="H188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183" i="2"/>
  <c r="L54" i="2"/>
  <c r="B64" i="2"/>
  <c r="I185" i="2"/>
  <c r="H184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189" i="2"/>
  <c r="H191" i="2" s="1"/>
  <c r="R13" i="12" s="1"/>
  <c r="B67" i="2"/>
  <c r="D62" i="2"/>
  <c r="J62" i="2"/>
  <c r="J185" i="2"/>
  <c r="J183" i="2"/>
  <c r="L65" i="2"/>
  <c r="B75" i="2"/>
  <c r="I190" i="2"/>
  <c r="I188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183" i="2"/>
  <c r="F77" i="2"/>
  <c r="H72" i="2"/>
  <c r="J188" i="2"/>
  <c r="L62" i="2"/>
  <c r="B72" i="2"/>
  <c r="D67" i="2"/>
  <c r="L64" i="2"/>
  <c r="B74" i="2"/>
  <c r="D73" i="2"/>
  <c r="J73" i="2"/>
  <c r="J75" i="2"/>
  <c r="D75" i="2"/>
  <c r="K185" i="2"/>
  <c r="K190" i="2" s="1"/>
  <c r="B86" i="2"/>
  <c r="L76" i="2"/>
  <c r="J190" i="2"/>
  <c r="I184" i="2"/>
  <c r="S22" i="12" l="1"/>
  <c r="S26" i="12" s="1"/>
  <c r="S21" i="12"/>
  <c r="S25" i="12" s="1"/>
  <c r="S20" i="12"/>
  <c r="S24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188" i="2"/>
  <c r="J86" i="2"/>
  <c r="D86" i="2"/>
  <c r="I189" i="2"/>
  <c r="I191" i="2" s="1"/>
  <c r="U13" i="12" s="1"/>
  <c r="F82" i="2"/>
  <c r="H77" i="2"/>
  <c r="L185" i="2"/>
  <c r="M185" i="2" s="1"/>
  <c r="N185" i="2" s="1"/>
  <c r="B83" i="2"/>
  <c r="L73" i="2"/>
  <c r="B77" i="2"/>
  <c r="J72" i="2"/>
  <c r="D72" i="2"/>
  <c r="B85" i="2"/>
  <c r="L75" i="2"/>
  <c r="J74" i="2"/>
  <c r="D74" i="2"/>
  <c r="L67" i="2"/>
  <c r="L183" i="2"/>
  <c r="M183" i="2" s="1"/>
  <c r="N183" i="2" s="1"/>
  <c r="S27" i="12" l="1"/>
  <c r="O183" i="2"/>
  <c r="W13" i="12"/>
  <c r="W17" i="12" s="1"/>
  <c r="V13" i="12"/>
  <c r="V17" i="12" s="1"/>
  <c r="T27" i="12"/>
  <c r="H6" i="5"/>
  <c r="H9" i="5" s="1"/>
  <c r="H11" i="5" s="1"/>
  <c r="H16" i="5" s="1"/>
  <c r="S48" i="12"/>
  <c r="O185" i="2"/>
  <c r="G68" i="12"/>
  <c r="G71" i="12" s="1"/>
  <c r="N190" i="2"/>
  <c r="N188" i="2"/>
  <c r="M14" i="3"/>
  <c r="N6" i="3" s="1"/>
  <c r="N8" i="3" s="1"/>
  <c r="N10" i="3" s="1"/>
  <c r="N13" i="3" s="1"/>
  <c r="M8" i="5" s="1"/>
  <c r="M188" i="2"/>
  <c r="L188" i="2"/>
  <c r="L190" i="2"/>
  <c r="M190" i="2"/>
  <c r="L86" i="2"/>
  <c r="B97" i="2"/>
  <c r="D85" i="2"/>
  <c r="J85" i="2"/>
  <c r="B84" i="2"/>
  <c r="L74" i="2"/>
  <c r="D77" i="2"/>
  <c r="B82" i="2"/>
  <c r="L72" i="2"/>
  <c r="D83" i="2"/>
  <c r="J83" i="2"/>
  <c r="J77" i="2"/>
  <c r="J184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P183" i="2"/>
  <c r="P188" i="2"/>
  <c r="O188" i="2"/>
  <c r="P185" i="2"/>
  <c r="P190" i="2" s="1"/>
  <c r="O190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189" i="2"/>
  <c r="J191" i="2" s="1"/>
  <c r="X13" i="12" s="1"/>
  <c r="D84" i="2"/>
  <c r="K184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W27" i="12" l="1"/>
  <c r="V27" i="12"/>
  <c r="Y13" i="12"/>
  <c r="Y17" i="12" s="1"/>
  <c r="Z13" i="12"/>
  <c r="Z17" i="12" s="1"/>
  <c r="Q183" i="2"/>
  <c r="Q188" i="2" s="1"/>
  <c r="I6" i="5"/>
  <c r="I9" i="5" s="1"/>
  <c r="I11" i="5" s="1"/>
  <c r="I16" i="5" s="1"/>
  <c r="V48" i="12"/>
  <c r="Q185" i="2"/>
  <c r="Q190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189" i="2"/>
  <c r="K191" i="2" s="1"/>
  <c r="AA13" i="12" s="1"/>
  <c r="Y22" i="12" l="1"/>
  <c r="Y26" i="12" s="1"/>
  <c r="Y21" i="12"/>
  <c r="Y25" i="12" s="1"/>
  <c r="Y20" i="12"/>
  <c r="Y24" i="12" s="1"/>
  <c r="R183" i="2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185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Y27" i="12" l="1"/>
  <c r="S183" i="2"/>
  <c r="S188" i="2" s="1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Z27" i="12"/>
  <c r="R188" i="2"/>
  <c r="J6" i="5"/>
  <c r="J9" i="5" s="1"/>
  <c r="J11" i="5" s="1"/>
  <c r="J16" i="5" s="1"/>
  <c r="Y48" i="12"/>
  <c r="S185" i="2"/>
  <c r="S190" i="2" s="1"/>
  <c r="R190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D119" i="2"/>
  <c r="J119" i="2"/>
  <c r="L107" i="2"/>
  <c r="B118" i="2"/>
  <c r="H109" i="2"/>
  <c r="F115" i="2"/>
  <c r="L184" i="2"/>
  <c r="L189" i="2" s="1"/>
  <c r="L105" i="2"/>
  <c r="D106" i="2"/>
  <c r="M184" i="2" s="1"/>
  <c r="J106" i="2"/>
  <c r="B109" i="2"/>
  <c r="J104" i="2"/>
  <c r="D104" i="2"/>
  <c r="B115" i="2" s="1"/>
  <c r="L95" i="2"/>
  <c r="D98" i="2"/>
  <c r="L93" i="2"/>
  <c r="J98" i="2"/>
  <c r="AC27" i="12" l="1"/>
  <c r="J116" i="2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J127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189" i="2"/>
  <c r="M191" i="2" s="1"/>
  <c r="AG13" i="12" s="1"/>
  <c r="B6" i="17" s="1"/>
  <c r="J109" i="2"/>
  <c r="L191" i="2"/>
  <c r="AD13" i="12" s="1"/>
  <c r="D109" i="2"/>
  <c r="L104" i="2"/>
  <c r="L98" i="2"/>
  <c r="C6" i="17" l="1"/>
  <c r="C10" i="17" s="1"/>
  <c r="D6" i="17"/>
  <c r="D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L118" i="2"/>
  <c r="B129" i="2"/>
  <c r="AF13" i="12"/>
  <c r="AF17" i="12" s="1"/>
  <c r="AE13" i="12"/>
  <c r="AE17" i="12" s="1"/>
  <c r="L109" i="2"/>
  <c r="D117" i="2"/>
  <c r="B128" i="2" s="1"/>
  <c r="B131" i="2" s="1"/>
  <c r="J117" i="2"/>
  <c r="J120" i="2" s="1"/>
  <c r="B120" i="2"/>
  <c r="L115" i="2"/>
  <c r="O9" i="3"/>
  <c r="O8" i="3"/>
  <c r="M68" i="12" l="1"/>
  <c r="M71" i="12" s="1"/>
  <c r="M72" i="12" s="1"/>
  <c r="N64" i="12" s="1"/>
  <c r="N66" i="12" s="1"/>
  <c r="D129" i="2"/>
  <c r="J129" i="2"/>
  <c r="B137" i="2"/>
  <c r="L130" i="2"/>
  <c r="B141" i="2"/>
  <c r="J138" i="2"/>
  <c r="D138" i="2"/>
  <c r="D128" i="2"/>
  <c r="O184" i="2" s="1"/>
  <c r="J128" i="2"/>
  <c r="H126" i="2"/>
  <c r="F131" i="2"/>
  <c r="J126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184" i="2"/>
  <c r="D120" i="2"/>
  <c r="P9" i="3" s="1"/>
  <c r="O14" i="3"/>
  <c r="P6" i="3" s="1"/>
  <c r="N189" i="2" l="1"/>
  <c r="N191" i="2" s="1"/>
  <c r="AJ13" i="12" s="1"/>
  <c r="E6" i="17" s="1"/>
  <c r="O189" i="2"/>
  <c r="O191" i="2" s="1"/>
  <c r="AP13" i="12" s="1"/>
  <c r="D131" i="2"/>
  <c r="AE24" i="12"/>
  <c r="AF24" i="12"/>
  <c r="AF26" i="12"/>
  <c r="AI21" i="12"/>
  <c r="D14" i="17" s="1"/>
  <c r="AI20" i="12"/>
  <c r="D13" i="17" s="1"/>
  <c r="AE25" i="12"/>
  <c r="AF25" i="12"/>
  <c r="AE26" i="12"/>
  <c r="AE48" i="12" s="1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L128" i="2"/>
  <c r="H131" i="2"/>
  <c r="F137" i="2"/>
  <c r="L126" i="2"/>
  <c r="L129" i="2"/>
  <c r="B140" i="2"/>
  <c r="P8" i="3"/>
  <c r="AH20" i="12"/>
  <c r="C13" i="17" s="1"/>
  <c r="AH22" i="12"/>
  <c r="C15" i="17" s="1"/>
  <c r="AH21" i="12"/>
  <c r="C14" i="17" s="1"/>
  <c r="AI22" i="12"/>
  <c r="D15" i="17" s="1"/>
  <c r="G6" i="17" l="1"/>
  <c r="G10" i="17" s="1"/>
  <c r="F6" i="17"/>
  <c r="F10" i="17" s="1"/>
  <c r="AQ13" i="12"/>
  <c r="AQ17" i="12" s="1"/>
  <c r="AR13" i="12"/>
  <c r="AR17" i="12" s="1"/>
  <c r="AE27" i="12"/>
  <c r="AF27" i="12"/>
  <c r="AE51" i="12"/>
  <c r="AE55" i="12" s="1"/>
  <c r="AE57" i="12" s="1"/>
  <c r="AE58" i="12" s="1"/>
  <c r="AE31" i="12" s="1"/>
  <c r="AH26" i="12"/>
  <c r="AI25" i="12"/>
  <c r="D18" i="17" s="1"/>
  <c r="AI24" i="12"/>
  <c r="D17" i="17" s="1"/>
  <c r="AI26" i="12"/>
  <c r="D19" i="17" s="1"/>
  <c r="AH24" i="12"/>
  <c r="C17" i="17" s="1"/>
  <c r="AH25" i="12"/>
  <c r="C18" i="17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R50" i="12" s="1"/>
  <c r="L6" i="5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B142" i="2"/>
  <c r="L131" i="2"/>
  <c r="D139" i="2"/>
  <c r="J139" i="2"/>
  <c r="J140" i="2"/>
  <c r="D140" i="2"/>
  <c r="H137" i="2"/>
  <c r="F142" i="2"/>
  <c r="J137" i="2"/>
  <c r="P10" i="3"/>
  <c r="P13" i="3" s="1"/>
  <c r="O8" i="5" s="1"/>
  <c r="AL13" i="12"/>
  <c r="AK13" i="12"/>
  <c r="AH48" i="12" l="1"/>
  <c r="C19" i="17"/>
  <c r="AL17" i="12"/>
  <c r="AL20" i="12" s="1"/>
  <c r="D142" i="2"/>
  <c r="P184" i="2"/>
  <c r="AR21" i="12"/>
  <c r="AR25" i="12" s="1"/>
  <c r="AR20" i="12"/>
  <c r="AR24" i="12" s="1"/>
  <c r="AR22" i="12"/>
  <c r="AR26" i="12" s="1"/>
  <c r="AR48" i="12" s="1"/>
  <c r="AR51" i="12" s="1"/>
  <c r="AR55" i="12" s="1"/>
  <c r="AR57" i="12" s="1"/>
  <c r="AR58" i="12" s="1"/>
  <c r="AR31" i="12" s="1"/>
  <c r="AK17" i="12"/>
  <c r="AQ22" i="12"/>
  <c r="AQ26" i="12" s="1"/>
  <c r="AQ20" i="12"/>
  <c r="AQ24" i="12" s="1"/>
  <c r="AQ21" i="12"/>
  <c r="AQ25" i="12" s="1"/>
  <c r="P72" i="12"/>
  <c r="Q64" i="12" s="1"/>
  <c r="Q66" i="12" s="1"/>
  <c r="Q68" i="12" s="1"/>
  <c r="Q71" i="12" s="1"/>
  <c r="AX50" i="12" s="1"/>
  <c r="AE33" i="12"/>
  <c r="AH27" i="12"/>
  <c r="AI27" i="12"/>
  <c r="AL50" i="12"/>
  <c r="AK50" i="12"/>
  <c r="AF33" i="12"/>
  <c r="AF36" i="12" s="1"/>
  <c r="AQ50" i="12"/>
  <c r="AH51" i="12"/>
  <c r="AH55" i="12" s="1"/>
  <c r="AH57" i="12" s="1"/>
  <c r="AH58" i="12" s="1"/>
  <c r="AH31" i="12" s="1"/>
  <c r="C24" i="17" s="1"/>
  <c r="AI48" i="12"/>
  <c r="AI51" i="12" s="1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F148" i="2"/>
  <c r="L149" i="2"/>
  <c r="B160" i="2"/>
  <c r="L140" i="2"/>
  <c r="B151" i="2"/>
  <c r="J142" i="2"/>
  <c r="L137" i="2"/>
  <c r="AL22" i="12"/>
  <c r="AL21" i="12"/>
  <c r="AK22" i="12"/>
  <c r="AK21" i="12"/>
  <c r="AK20" i="12"/>
  <c r="L9" i="5"/>
  <c r="L11" i="5" s="1"/>
  <c r="L16" i="5" s="1"/>
  <c r="AL25" i="12" l="1"/>
  <c r="G18" i="17" s="1"/>
  <c r="G14" i="17"/>
  <c r="AL24" i="12"/>
  <c r="G17" i="17" s="1"/>
  <c r="G13" i="17"/>
  <c r="AK26" i="12"/>
  <c r="F19" i="17" s="1"/>
  <c r="F15" i="17"/>
  <c r="AK24" i="12"/>
  <c r="F17" i="17" s="1"/>
  <c r="F13" i="17"/>
  <c r="AL26" i="12"/>
  <c r="G19" i="17" s="1"/>
  <c r="G15" i="17"/>
  <c r="AK25" i="12"/>
  <c r="F18" i="17" s="1"/>
  <c r="F14" i="17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AQ48" i="12"/>
  <c r="AQ51" i="12" s="1"/>
  <c r="AQ55" i="12" s="1"/>
  <c r="AQ57" i="12" s="1"/>
  <c r="AQ58" i="12" s="1"/>
  <c r="AQ31" i="12" s="1"/>
  <c r="O6" i="5"/>
  <c r="O9" i="5" s="1"/>
  <c r="O11" i="5" s="1"/>
  <c r="O16" i="5" s="1"/>
  <c r="O24" i="5" s="1"/>
  <c r="O26" i="5" s="1"/>
  <c r="AR27" i="12"/>
  <c r="AR33" i="12" s="1"/>
  <c r="AR36" i="12" s="1"/>
  <c r="AR38" i="12" s="1"/>
  <c r="P189" i="2"/>
  <c r="P191" i="2" s="1"/>
  <c r="AV13" i="12" s="1"/>
  <c r="AW50" i="12"/>
  <c r="AQ27" i="12"/>
  <c r="AH33" i="12"/>
  <c r="N6" i="5"/>
  <c r="N9" i="5" s="1"/>
  <c r="N11" i="5" s="1"/>
  <c r="N16" i="5" s="1"/>
  <c r="M24" i="5"/>
  <c r="M26" i="5" s="1"/>
  <c r="AI55" i="12"/>
  <c r="AI57" i="12" s="1"/>
  <c r="AI58" i="12" s="1"/>
  <c r="AI31" i="12" s="1"/>
  <c r="D24" i="17" s="1"/>
  <c r="AF38" i="12"/>
  <c r="AL48" i="12"/>
  <c r="AL51" i="12" s="1"/>
  <c r="AL55" i="12" s="1"/>
  <c r="AL57" i="12" s="1"/>
  <c r="AL58" i="12" s="1"/>
  <c r="AL31" i="12" s="1"/>
  <c r="G24" i="17" s="1"/>
  <c r="AK48" i="12"/>
  <c r="AK51" i="12" s="1"/>
  <c r="AK55" i="12" s="1"/>
  <c r="AK57" i="12" s="1"/>
  <c r="AK58" i="12" s="1"/>
  <c r="AK31" i="12" s="1"/>
  <c r="F24" i="17" s="1"/>
  <c r="S72" i="12"/>
  <c r="T64" i="12" s="1"/>
  <c r="T66" i="12" s="1"/>
  <c r="T68" i="12" s="1"/>
  <c r="T71" i="12" s="1"/>
  <c r="BC50" i="12"/>
  <c r="BD50" i="12"/>
  <c r="BA50" i="12"/>
  <c r="AZ50" i="12"/>
  <c r="L142" i="2"/>
  <c r="J160" i="2"/>
  <c r="D160" i="2"/>
  <c r="B163" i="2"/>
  <c r="L152" i="2"/>
  <c r="D150" i="2"/>
  <c r="Q184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AL27" i="12"/>
  <c r="AK27" i="12"/>
  <c r="L18" i="5"/>
  <c r="L24" i="5"/>
  <c r="L26" i="5" s="1"/>
  <c r="O18" i="5" l="1"/>
  <c r="AQ33" i="12"/>
  <c r="AX13" i="12"/>
  <c r="AX17" i="12" s="1"/>
  <c r="AW13" i="12"/>
  <c r="AW17" i="12" s="1"/>
  <c r="Q189" i="2"/>
  <c r="Q191" i="2" s="1"/>
  <c r="AY13" i="12" s="1"/>
  <c r="N24" i="5"/>
  <c r="N26" i="5" s="1"/>
  <c r="N18" i="5"/>
  <c r="AI33" i="12"/>
  <c r="AI36" i="12" s="1"/>
  <c r="AL33" i="12"/>
  <c r="AL36" i="12" s="1"/>
  <c r="AL38" i="12" s="1"/>
  <c r="AK33" i="12"/>
  <c r="T72" i="12"/>
  <c r="BG50" i="12"/>
  <c r="BF50" i="12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AX21" i="12" l="1"/>
  <c r="AX25" i="12" s="1"/>
  <c r="AX20" i="12"/>
  <c r="AX24" i="12" s="1"/>
  <c r="AX22" i="12"/>
  <c r="AX26" i="12" s="1"/>
  <c r="AX48" i="12" s="1"/>
  <c r="AX51" i="12" s="1"/>
  <c r="AX55" i="12" s="1"/>
  <c r="AX57" i="12" s="1"/>
  <c r="AX58" i="12" s="1"/>
  <c r="AX31" i="12" s="1"/>
  <c r="AZ13" i="12"/>
  <c r="AZ17" i="12" s="1"/>
  <c r="BA13" i="12"/>
  <c r="BA17" i="12" s="1"/>
  <c r="AW21" i="12"/>
  <c r="AW25" i="12" s="1"/>
  <c r="AW22" i="12"/>
  <c r="AW26" i="12" s="1"/>
  <c r="AW20" i="12"/>
  <c r="AW24" i="12" s="1"/>
  <c r="AI38" i="12"/>
  <c r="L153" i="2"/>
  <c r="L163" i="2"/>
  <c r="B174" i="2"/>
  <c r="D162" i="2"/>
  <c r="J162" i="2"/>
  <c r="J171" i="2"/>
  <c r="D171" i="2"/>
  <c r="J161" i="2"/>
  <c r="D161" i="2"/>
  <c r="R184" i="2" s="1"/>
  <c r="B164" i="2"/>
  <c r="H159" i="2"/>
  <c r="F164" i="2"/>
  <c r="J159" i="2"/>
  <c r="D170" i="2"/>
  <c r="S14" i="3"/>
  <c r="T6" i="3" s="1"/>
  <c r="T8" i="3" s="1"/>
  <c r="AW27" i="12" l="1"/>
  <c r="R189" i="2"/>
  <c r="R191" i="2" s="1"/>
  <c r="BB13" i="12" s="1"/>
  <c r="BA22" i="12"/>
  <c r="BA26" i="12" s="1"/>
  <c r="BA48" i="12" s="1"/>
  <c r="BA51" i="12" s="1"/>
  <c r="BA55" i="12" s="1"/>
  <c r="BA57" i="12" s="1"/>
  <c r="BA58" i="12" s="1"/>
  <c r="BA31" i="12" s="1"/>
  <c r="BA21" i="12"/>
  <c r="BA25" i="12" s="1"/>
  <c r="BA20" i="12"/>
  <c r="BA24" i="12" s="1"/>
  <c r="AZ22" i="12"/>
  <c r="AZ26" i="12" s="1"/>
  <c r="AZ20" i="12"/>
  <c r="AZ24" i="12" s="1"/>
  <c r="AZ21" i="12"/>
  <c r="AZ25" i="12" s="1"/>
  <c r="L171" i="2"/>
  <c r="P6" i="5"/>
  <c r="P9" i="5" s="1"/>
  <c r="P11" i="5" s="1"/>
  <c r="P16" i="5" s="1"/>
  <c r="AW48" i="12"/>
  <c r="AW51" i="12" s="1"/>
  <c r="AW55" i="12" s="1"/>
  <c r="AW57" i="12" s="1"/>
  <c r="AW58" i="12" s="1"/>
  <c r="AW31" i="12" s="1"/>
  <c r="AX27" i="12"/>
  <c r="AX33" i="12" s="1"/>
  <c r="AX36" i="12" s="1"/>
  <c r="AX38" i="12" s="1"/>
  <c r="J164" i="2"/>
  <c r="H164" i="2"/>
  <c r="F170" i="2"/>
  <c r="L159" i="2"/>
  <c r="D174" i="2"/>
  <c r="L174" i="2" s="1"/>
  <c r="J174" i="2"/>
  <c r="B172" i="2"/>
  <c r="L161" i="2"/>
  <c r="D164" i="2"/>
  <c r="L162" i="2"/>
  <c r="B173" i="2"/>
  <c r="T10" i="3"/>
  <c r="T13" i="3" s="1"/>
  <c r="S8" i="5" s="1"/>
  <c r="AW33" i="12" l="1"/>
  <c r="P18" i="5"/>
  <c r="P24" i="5"/>
  <c r="P26" i="5" s="1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BC13" i="12"/>
  <c r="BC17" i="12" s="1"/>
  <c r="BD13" i="12"/>
  <c r="BD17" i="12" s="1"/>
  <c r="AZ27" i="12"/>
  <c r="BA27" i="12"/>
  <c r="BA33" i="12" s="1"/>
  <c r="BA36" i="12" s="1"/>
  <c r="BA38" i="12" s="1"/>
  <c r="T14" i="3"/>
  <c r="H170" i="2"/>
  <c r="F175" i="2"/>
  <c r="J170" i="2"/>
  <c r="L164" i="2"/>
  <c r="D173" i="2"/>
  <c r="L173" i="2" s="1"/>
  <c r="J173" i="2"/>
  <c r="D172" i="2"/>
  <c r="S184" i="2" s="1"/>
  <c r="S189" i="2" s="1"/>
  <c r="S191" i="2" s="1"/>
  <c r="BE13" i="12" s="1"/>
  <c r="J172" i="2"/>
  <c r="B175" i="2"/>
  <c r="Q24" i="5" l="1"/>
  <c r="Q26" i="5" s="1"/>
  <c r="Q18" i="5"/>
  <c r="BD22" i="12"/>
  <c r="BD26" i="12" s="1"/>
  <c r="BD48" i="12" s="1"/>
  <c r="BD51" i="12" s="1"/>
  <c r="BD55" i="12" s="1"/>
  <c r="BD57" i="12" s="1"/>
  <c r="BD58" i="12" s="1"/>
  <c r="BD31" i="12" s="1"/>
  <c r="BD20" i="12"/>
  <c r="BD24" i="12" s="1"/>
  <c r="BD21" i="12"/>
  <c r="BD25" i="12" s="1"/>
  <c r="BF13" i="12"/>
  <c r="BF17" i="12" s="1"/>
  <c r="BG13" i="12"/>
  <c r="BG17" i="12" s="1"/>
  <c r="BC21" i="12"/>
  <c r="BC25" i="12" s="1"/>
  <c r="BC22" i="12"/>
  <c r="BC26" i="12" s="1"/>
  <c r="BC20" i="12"/>
  <c r="BC24" i="12" s="1"/>
  <c r="AZ33" i="12"/>
  <c r="J175" i="2"/>
  <c r="L172" i="2"/>
  <c r="D175" i="2"/>
  <c r="H175" i="2"/>
  <c r="L170" i="2"/>
  <c r="BD27" i="12" l="1"/>
  <c r="BD33" i="12" s="1"/>
  <c r="BD36" i="12" s="1"/>
  <c r="BD38" i="12" s="1"/>
  <c r="BF20" i="12"/>
  <c r="BF24" i="12" s="1"/>
  <c r="BF21" i="12"/>
  <c r="BF25" i="12" s="1"/>
  <c r="BF22" i="12"/>
  <c r="BF26" i="12" s="1"/>
  <c r="BG21" i="12"/>
  <c r="BG25" i="12" s="1"/>
  <c r="BG20" i="12"/>
  <c r="BG24" i="12" s="1"/>
  <c r="BG22" i="12"/>
  <c r="BG26" i="12" s="1"/>
  <c r="BG48" i="12" s="1"/>
  <c r="BG51" i="12" s="1"/>
  <c r="BG55" i="12" s="1"/>
  <c r="BG57" i="12" s="1"/>
  <c r="BG58" i="12" s="1"/>
  <c r="BG31" i="12" s="1"/>
  <c r="BC27" i="12"/>
  <c r="BC48" i="12"/>
  <c r="BC51" i="12" s="1"/>
  <c r="BC55" i="12" s="1"/>
  <c r="BC57" i="12" s="1"/>
  <c r="BC58" i="12" s="1"/>
  <c r="BC31" i="12" s="1"/>
  <c r="R6" i="5"/>
  <c r="R9" i="5" s="1"/>
  <c r="R11" i="5" s="1"/>
  <c r="R16" i="5" s="1"/>
  <c r="L175" i="2"/>
  <c r="BC33" i="12" l="1"/>
  <c r="R24" i="5"/>
  <c r="R26" i="5" s="1"/>
  <c r="R18" i="5"/>
  <c r="BF27" i="12"/>
  <c r="BG27" i="12"/>
  <c r="BG33" i="12" s="1"/>
  <c r="BG36" i="12" s="1"/>
  <c r="BG38" i="12" s="1"/>
  <c r="S6" i="5"/>
  <c r="S9" i="5" s="1"/>
  <c r="S11" i="5" s="1"/>
  <c r="S16" i="5" s="1"/>
  <c r="BF48" i="12"/>
  <c r="BF51" i="12" s="1"/>
  <c r="BF55" i="12" s="1"/>
  <c r="BF57" i="12" s="1"/>
  <c r="BF58" i="12" s="1"/>
  <c r="BF31" i="12" s="1"/>
  <c r="D20" i="17"/>
  <c r="D26" i="17" s="1"/>
  <c r="D29" i="17" s="1"/>
  <c r="D31" i="17" s="1"/>
  <c r="C20" i="17"/>
  <c r="J20" i="17" s="1"/>
  <c r="BF33" i="12" l="1"/>
  <c r="S18" i="5"/>
  <c r="S24" i="5"/>
  <c r="S26" i="5" s="1"/>
  <c r="M20" i="17"/>
  <c r="M26" i="17" s="1"/>
  <c r="M29" i="17" s="1"/>
  <c r="M31" i="17" s="1"/>
  <c r="C26" i="17"/>
  <c r="F20" i="17"/>
  <c r="F26" i="17" s="1"/>
  <c r="I20" i="17"/>
  <c r="L20" i="17"/>
  <c r="L26" i="17" s="1"/>
  <c r="G20" i="17"/>
  <c r="G26" i="17" s="1"/>
  <c r="G29" i="17" s="1"/>
  <c r="G31" i="17" s="1"/>
  <c r="J26" i="17"/>
  <c r="J29" i="17" s="1"/>
  <c r="J31" i="17" s="1"/>
  <c r="P24" i="17"/>
  <c r="AO31" i="12" s="1"/>
  <c r="I26" i="17" l="1"/>
  <c r="O24" i="17"/>
  <c r="AN31" i="12"/>
  <c r="I6" i="17" l="1"/>
  <c r="I10" i="17" s="1"/>
  <c r="J6" i="17"/>
  <c r="J10" i="17" s="1"/>
  <c r="N6" i="17"/>
  <c r="P6" i="17" s="1"/>
  <c r="AO13" i="12" l="1"/>
  <c r="P10" i="17"/>
  <c r="O6" i="17"/>
  <c r="AM13" i="12"/>
  <c r="O10" i="17" l="1"/>
  <c r="AN13" i="12"/>
  <c r="P13" i="17"/>
  <c r="P15" i="17"/>
  <c r="P14" i="17"/>
  <c r="AO17" i="12"/>
  <c r="AU17" i="12"/>
  <c r="P17" i="17" l="1"/>
  <c r="AO20" i="12"/>
  <c r="AN17" i="12"/>
  <c r="AT17" i="12"/>
  <c r="AO22" i="12"/>
  <c r="P19" i="17"/>
  <c r="AO26" i="12" s="1"/>
  <c r="AO21" i="12"/>
  <c r="P18" i="17"/>
  <c r="AO25" i="12" s="1"/>
  <c r="O14" i="17"/>
  <c r="O15" i="17"/>
  <c r="O13" i="17"/>
  <c r="AN20" i="12" l="1"/>
  <c r="O17" i="17"/>
  <c r="O19" i="17"/>
  <c r="AN26" i="12" s="1"/>
  <c r="AN22" i="12"/>
  <c r="O18" i="17"/>
  <c r="AN25" i="12" s="1"/>
  <c r="AN21" i="12"/>
  <c r="AO24" i="12"/>
  <c r="P20" i="17"/>
  <c r="AO27" i="12" l="1"/>
  <c r="AU27" i="12"/>
  <c r="AN24" i="12"/>
  <c r="O20" i="17"/>
  <c r="AN27" i="12" l="1"/>
  <c r="AT27" i="12"/>
  <c r="N23" i="17"/>
  <c r="O23" i="17" s="1"/>
  <c r="O26" i="17" l="1"/>
  <c r="AN30" i="12"/>
  <c r="AM30" i="12"/>
  <c r="AS30" i="12" s="1"/>
  <c r="P23" i="17"/>
  <c r="AO30" i="12" l="1"/>
  <c r="P26" i="17"/>
  <c r="P29" i="17" s="1"/>
  <c r="P31" i="17" s="1"/>
  <c r="AN33" i="12"/>
  <c r="AT33" i="12"/>
  <c r="AU33" i="12" l="1"/>
  <c r="AU36" i="12" s="1"/>
  <c r="AU38" i="12" s="1"/>
  <c r="AO33" i="12"/>
  <c r="AO36" i="12" s="1"/>
  <c r="AO38" i="12" s="1"/>
</calcChain>
</file>

<file path=xl/sharedStrings.xml><?xml version="1.0" encoding="utf-8"?>
<sst xmlns="http://schemas.openxmlformats.org/spreadsheetml/2006/main" count="583" uniqueCount="126">
  <si>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</si>
  <si>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</si>
  <si>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</si>
  <si>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</si>
  <si>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</si>
  <si>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</si>
  <si>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</si>
  <si>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</si>
  <si>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</si>
  <si>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</si>
  <si>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</si>
  <si>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</si>
  <si>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</si>
  <si>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</si>
  <si>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</si>
  <si>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</si>
  <si>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</si>
  <si>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</si>
  <si>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</si>
  <si>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</si>
  <si>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</si>
  <si>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</si>
  <si>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</si>
  <si>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</si>
  <si>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</si>
  <si>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</si>
  <si>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</si>
  <si>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</si>
  <si>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</si>
  <si>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</si>
  <si>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</si>
  <si>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</si>
  <si>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</si>
  <si>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</si>
  <si>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</si>
  <si>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</si>
  <si>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</si>
  <si>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</si>
  <si>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</si>
  <si>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</si>
  <si>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</si>
  <si>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</si>
  <si>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</si>
  <si>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</si>
  <si>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</si>
  <si>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</si>
  <si>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</si>
  <si>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</si>
  <si>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</si>
  <si>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</si>
  <si>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</si>
  <si>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</si>
  <si>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</si>
  <si>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</si>
  <si>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</si>
  <si>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</si>
  <si>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</si>
  <si>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</si>
  <si>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</si>
  <si>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</si>
  <si>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</si>
  <si>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</si>
  <si>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</si>
  <si>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</si>
  <si>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</si>
  <si>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</si>
  <si>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</si>
  <si>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</si>
  <si>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</si>
  <si>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</si>
  <si>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</si>
  <si>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</si>
  <si>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</si>
  <si>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</si>
  <si>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</si>
  <si>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</si>
  <si>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</si>
  <si>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Average 
2020</t>
  </si>
  <si>
    <t>2018 Actual</t>
  </si>
  <si>
    <t>2021 Forecast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</si>
  <si>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</si>
  <si>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</si>
  <si>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</si>
  <si>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</si>
  <si>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</si>
  <si>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</si>
  <si>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</si>
  <si>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</si>
  <si>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</si>
  <si>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</si>
  <si>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</si>
  <si>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</si>
  <si>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</si>
  <si>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</si>
  <si>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</si>
  <si>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</si>
  <si>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</si>
  <si>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</si>
  <si>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</si>
  <si>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</si>
  <si>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</si>
  <si>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</si>
  <si>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</si>
  <si>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</si>
  <si>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</si>
  <si>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</si>
  <si>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</si>
  <si>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</si>
  <si>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</si>
  <si>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</si>
  <si>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</si>
  <si>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</si>
  <si>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</si>
  <si>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</si>
  <si>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</si>
  <si>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</si>
  <si>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</si>
  <si>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</si>
  <si>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</si>
  <si>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</si>
  <si>
    <t>2021 IRM</t>
  </si>
  <si>
    <t>True up</t>
  </si>
  <si>
    <t>True Up</t>
  </si>
  <si>
    <t>2020 Actual</t>
  </si>
  <si>
    <t>2022 IRM</t>
  </si>
  <si>
    <t>2022 with 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</si>
</sst>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  <numFmt numFmtId="172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" fillId="0" borderId="0"/>
  </cellStyleXfs>
  <cellXfs count="209">
    <xf numFmtId="0" fontId="0" fillId="0" borderId="0" xfId="0"/>
    <xf numFmtId="0" fontId="0" fillId="0" borderId="0" xfId="0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37" fontId="8" fillId="0" borderId="0" xfId="0" applyNumberFormat="1" applyFont="1" applyBorder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1" fillId="0" borderId="0" xfId="5" applyFont="1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1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37" fontId="8" fillId="0" borderId="0" xfId="0" applyNumberFormat="1" applyFont="1"/>
    <xf numFmtId="165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1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0" fontId="4" fillId="0" borderId="0" xfId="0" applyFont="1" applyProtection="1">
      <protection locked="0"/>
    </xf>
    <xf numFmtId="172" fontId="4" fillId="0" borderId="0" xfId="4" applyNumberFormat="1" applyProtection="1">
      <protection locked="0"/>
    </xf>
    <xf numFmtId="172" fontId="4" fillId="0" borderId="0" xfId="0" applyNumberFormat="1" applyFont="1" applyProtection="1">
      <protection locked="0"/>
    </xf>
    <xf numFmtId="172" fontId="4" fillId="0" borderId="0" xfId="2" applyNumberFormat="1" applyFont="1" applyProtection="1">
      <protection locked="0"/>
    </xf>
    <xf numFmtId="172" fontId="1" fillId="0" borderId="0" xfId="12" applyNumberFormat="1" applyProtection="1">
      <protection locked="0"/>
    </xf>
    <xf numFmtId="166" fontId="4" fillId="0" borderId="0" xfId="4" applyNumberFormat="1" applyProtection="1">
      <protection locked="0"/>
    </xf>
    <xf numFmtId="166" fontId="0" fillId="0" borderId="0" xfId="0" applyNumberFormat="1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4" fillId="0" borderId="0" xfId="2" applyNumberFormat="1" applyFont="1" applyBorder="1" applyProtection="1">
      <protection locked="0"/>
    </xf>
    <xf numFmtId="166" fontId="5" fillId="0" borderId="0" xfId="2" applyNumberFormat="1" applyFont="1" applyBorder="1" applyProtection="1">
      <protection locked="0"/>
    </xf>
    <xf numFmtId="166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0" fontId="1" fillId="0" borderId="0" xfId="12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6" fontId="4" fillId="0" borderId="0" xfId="2" applyNumberFormat="1" applyFont="1" applyFill="1" applyBorder="1" applyAlignment="1" applyProtection="1">
      <alignment horizontal="center"/>
      <protection locked="0"/>
    </xf>
    <xf numFmtId="166" fontId="4" fillId="0" borderId="0" xfId="4" applyNumberForma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4" applyFill="1" applyBorder="1" applyProtection="1">
      <protection locked="0"/>
    </xf>
    <xf numFmtId="172" fontId="4" fillId="0" borderId="0" xfId="2" applyNumberFormat="1" applyFont="1" applyFill="1" applyBorder="1" applyProtection="1">
      <protection locked="0"/>
    </xf>
    <xf numFmtId="166" fontId="5" fillId="0" borderId="0" xfId="2" applyNumberFormat="1" applyFont="1" applyFill="1" applyBorder="1" applyProtection="1">
      <protection locked="0"/>
    </xf>
    <xf numFmtId="166" fontId="1" fillId="0" borderId="0" xfId="12" applyNumberFormat="1" applyFill="1" applyBorder="1" applyProtection="1">
      <protection locked="0"/>
    </xf>
    <xf numFmtId="166" fontId="4" fillId="0" borderId="4" xfId="2" applyNumberFormat="1" applyFont="1" applyFill="1" applyBorder="1" applyProtection="1">
      <protection locked="0"/>
    </xf>
    <xf numFmtId="172" fontId="1" fillId="0" borderId="0" xfId="12" applyNumberFormat="1" applyFill="1" applyBorder="1" applyProtection="1">
      <protection locked="0"/>
    </xf>
    <xf numFmtId="0" fontId="8" fillId="0" borderId="0" xfId="12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0" xfId="0" applyNumberFormat="1" applyFont="1" applyFill="1" applyAlignment="1" applyProtection="1">
      <alignment horizontal="center"/>
      <protection locked="0"/>
    </xf>
    <xf numFmtId="166" fontId="4" fillId="0" borderId="4" xfId="0" applyNumberFormat="1" applyFont="1" applyFill="1" applyBorder="1" applyProtection="1">
      <protection locked="0"/>
    </xf>
    <xf numFmtId="166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0" applyNumberFormat="1" applyFont="1" applyFill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164" fontId="4" fillId="0" borderId="0" xfId="2" applyFont="1" applyFill="1" applyProtection="1">
      <protection locked="0"/>
    </xf>
    <xf numFmtId="166" fontId="4" fillId="0" borderId="5" xfId="0" applyNumberFormat="1" applyFont="1" applyFill="1" applyBorder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166" fontId="4" fillId="0" borderId="6" xfId="0" applyNumberFormat="1" applyFont="1" applyFill="1" applyBorder="1" applyProtection="1">
      <protection locked="0"/>
    </xf>
    <xf numFmtId="169" fontId="4" fillId="0" borderId="0" xfId="0" applyNumberFormat="1" applyFont="1" applyFill="1" applyProtection="1">
      <protection locked="0"/>
    </xf>
    <xf numFmtId="168" fontId="4" fillId="0" borderId="0" xfId="10" applyNumberForma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EDR%20Rate%20Applications\2021%20EDR%20Application\4.%20Enersource%20Rate%20Zone\GEA%20Reconciliation\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G73"/>
  <sheetViews>
    <sheetView tabSelected="1" workbookViewId="0">
      <selection activeCell="A6" sqref="A6:R6"/>
    </sheetView>
  </sheetViews>
  <sheetFormatPr defaultColWidth="8.85546875" defaultRowHeight="15" x14ac:dyDescent="0.25"/>
  <cols>
    <col min="1" max="1" width="34.7109375" style="73" customWidth="1"/>
    <col min="2" max="2" width="18" style="73" customWidth="1"/>
    <col min="3" max="13" width="14.7109375" style="73" customWidth="1"/>
    <col min="14" max="14" width="12.7109375" style="73" customWidth="1"/>
    <col min="15" max="23" width="14.7109375" style="73" customWidth="1"/>
    <col min="24" max="24" width="9.7109375" style="73" bestFit="1" customWidth="1"/>
    <col min="25" max="25" width="13.42578125" style="73" bestFit="1" customWidth="1"/>
    <col min="26" max="26" width="11.28515625" style="73" bestFit="1" customWidth="1"/>
    <col min="27" max="27" width="9.7109375" style="73" bestFit="1" customWidth="1"/>
    <col min="28" max="28" width="13.42578125" style="73" bestFit="1" customWidth="1"/>
    <col min="29" max="29" width="11.28515625" style="73" bestFit="1" customWidth="1"/>
    <col min="30" max="30" width="9.7109375" style="73" bestFit="1" customWidth="1"/>
    <col min="31" max="31" width="13.42578125" style="73" bestFit="1" customWidth="1"/>
    <col min="32" max="33" width="11.28515625" style="73" bestFit="1" customWidth="1"/>
    <col min="34" max="34" width="13.42578125" style="73" bestFit="1" customWidth="1"/>
    <col min="35" max="35" width="11.28515625" style="73" bestFit="1" customWidth="1"/>
    <col min="36" max="36" width="15.140625" style="73" customWidth="1"/>
    <col min="37" max="37" width="13.42578125" style="73" bestFit="1" customWidth="1"/>
    <col min="38" max="38" width="11.28515625" style="73" bestFit="1" customWidth="1"/>
    <col min="39" max="44" width="11.28515625" style="73" customWidth="1"/>
    <col min="45" max="45" width="9.7109375" style="73" bestFit="1" customWidth="1"/>
    <col min="46" max="46" width="13.42578125" style="73" bestFit="1" customWidth="1"/>
    <col min="47" max="47" width="11.28515625" style="73" bestFit="1" customWidth="1"/>
    <col min="48" max="48" width="9.7109375" style="73" bestFit="1" customWidth="1"/>
    <col min="49" max="49" width="13.42578125" style="73" bestFit="1" customWidth="1"/>
    <col min="50" max="50" width="11.28515625" style="73" bestFit="1" customWidth="1"/>
    <col min="51" max="51" width="9.7109375" style="73" bestFit="1" customWidth="1"/>
    <col min="52" max="52" width="13.42578125" style="73" bestFit="1" customWidth="1"/>
    <col min="53" max="53" width="11.28515625" style="73" bestFit="1" customWidth="1"/>
    <col min="54" max="54" width="9.7109375" style="73" bestFit="1" customWidth="1"/>
    <col min="55" max="55" width="13.42578125" style="73" bestFit="1" customWidth="1"/>
    <col min="56" max="56" width="11.28515625" style="73" bestFit="1" customWidth="1"/>
    <col min="57" max="57" width="9.7109375" style="73" bestFit="1" customWidth="1"/>
    <col min="58" max="58" width="13.42578125" style="73" bestFit="1" customWidth="1"/>
    <col min="59" max="59" width="11.28515625" style="73" bestFit="1" customWidth="1"/>
    <col min="60" max="16384" width="8.85546875" style="73"/>
  </cols>
  <sheetData>
    <row r="1" spans="1:59" s="70" customForma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71"/>
      <c r="V1" s="71"/>
      <c r="W1" s="71"/>
    </row>
    <row r="2" spans="1:59" s="70" customFormat="1" ht="18" x14ac:dyDescent="0.25">
      <c r="A2" s="193" t="s">
        <v>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72"/>
      <c r="T2" s="72"/>
      <c r="U2" s="72"/>
      <c r="V2" s="71"/>
      <c r="W2" s="71"/>
    </row>
    <row r="3" spans="1:59" s="70" customFormat="1" ht="39.75" customHeight="1" x14ac:dyDescent="0.25">
      <c r="A3" s="194" t="s">
        <v>83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72"/>
      <c r="T3" s="72"/>
      <c r="U3" s="72"/>
      <c r="V3" s="71"/>
      <c r="W3" s="71"/>
    </row>
    <row r="4" spans="1:59" s="70" customFormat="1" ht="18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</row>
    <row r="5" spans="1:59" x14ac:dyDescent="0.25">
      <c r="A5" s="195" t="s">
        <v>84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59" x14ac:dyDescent="0.25">
      <c r="A6" s="195" t="s">
        <v>85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spans="1:59" x14ac:dyDescent="0.25">
      <c r="A7" s="74" t="s">
        <v>86</v>
      </c>
    </row>
    <row r="8" spans="1:59" x14ac:dyDescent="0.25">
      <c r="A8" s="195" t="s">
        <v>87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</row>
    <row r="9" spans="1:59" ht="15.75" thickBot="1" x14ac:dyDescent="0.3">
      <c r="AG9" s="75"/>
      <c r="AH9" s="75"/>
      <c r="AI9" s="75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128"/>
    </row>
    <row r="10" spans="1:59" ht="15.75" thickBot="1" x14ac:dyDescent="0.3">
      <c r="A10" s="69"/>
      <c r="B10" s="69"/>
      <c r="C10" s="196">
        <v>2010</v>
      </c>
      <c r="D10" s="197"/>
      <c r="E10" s="198"/>
      <c r="F10" s="196">
        <v>2011</v>
      </c>
      <c r="G10" s="197"/>
      <c r="H10" s="198"/>
      <c r="I10" s="196">
        <v>2012</v>
      </c>
      <c r="J10" s="197"/>
      <c r="K10" s="198"/>
      <c r="L10" s="196">
        <v>2013</v>
      </c>
      <c r="M10" s="197"/>
      <c r="N10" s="198"/>
      <c r="O10" s="196">
        <v>2014</v>
      </c>
      <c r="P10" s="197"/>
      <c r="Q10" s="198"/>
      <c r="R10" s="188">
        <v>2015</v>
      </c>
      <c r="S10" s="189"/>
      <c r="T10" s="190"/>
      <c r="U10" s="188">
        <v>2016</v>
      </c>
      <c r="V10" s="189">
        <v>2016</v>
      </c>
      <c r="W10" s="190"/>
      <c r="X10" s="188">
        <v>2017</v>
      </c>
      <c r="Y10" s="189">
        <v>2016</v>
      </c>
      <c r="Z10" s="190"/>
      <c r="AA10" s="188">
        <v>2018</v>
      </c>
      <c r="AB10" s="189">
        <v>2016</v>
      </c>
      <c r="AC10" s="190"/>
      <c r="AD10" s="188">
        <v>2019</v>
      </c>
      <c r="AE10" s="189">
        <v>2016</v>
      </c>
      <c r="AF10" s="190"/>
      <c r="AG10" s="188">
        <v>2020</v>
      </c>
      <c r="AH10" s="189">
        <v>2016</v>
      </c>
      <c r="AI10" s="190"/>
      <c r="AJ10" s="188">
        <v>2021</v>
      </c>
      <c r="AK10" s="189">
        <v>2016</v>
      </c>
      <c r="AL10" s="190"/>
      <c r="AM10" s="188" t="s">
        <v>122</v>
      </c>
      <c r="AN10" s="189"/>
      <c r="AO10" s="190"/>
      <c r="AP10" s="188">
        <v>2022</v>
      </c>
      <c r="AQ10" s="189">
        <v>2016</v>
      </c>
      <c r="AR10" s="190"/>
      <c r="AS10" s="188" t="s">
        <v>125</v>
      </c>
      <c r="AT10" s="189">
        <v>2016</v>
      </c>
      <c r="AU10" s="190"/>
      <c r="AV10" s="188">
        <v>2023</v>
      </c>
      <c r="AW10" s="189">
        <v>2016</v>
      </c>
      <c r="AX10" s="190"/>
      <c r="AY10" s="188">
        <v>2024</v>
      </c>
      <c r="AZ10" s="189">
        <v>2016</v>
      </c>
      <c r="BA10" s="190"/>
      <c r="BB10" s="188">
        <v>2025</v>
      </c>
      <c r="BC10" s="189">
        <v>2016</v>
      </c>
      <c r="BD10" s="190"/>
      <c r="BE10" s="188">
        <v>2026</v>
      </c>
      <c r="BF10" s="189">
        <v>2016</v>
      </c>
      <c r="BG10" s="190"/>
    </row>
    <row r="11" spans="1:59" x14ac:dyDescent="0.25">
      <c r="A11" s="76"/>
      <c r="B11" s="76"/>
      <c r="C11" s="76"/>
      <c r="D11" s="69" t="s">
        <v>88</v>
      </c>
      <c r="E11" s="77" t="s">
        <v>89</v>
      </c>
      <c r="F11" s="76"/>
      <c r="G11" s="69" t="s">
        <v>88</v>
      </c>
      <c r="H11" s="77" t="s">
        <v>89</v>
      </c>
      <c r="I11" s="76"/>
      <c r="J11" s="69" t="s">
        <v>88</v>
      </c>
      <c r="K11" s="77" t="s">
        <v>89</v>
      </c>
      <c r="L11" s="76"/>
      <c r="M11" s="69" t="s">
        <v>88</v>
      </c>
      <c r="N11" s="77" t="s">
        <v>89</v>
      </c>
      <c r="O11" s="76"/>
      <c r="P11" s="69" t="s">
        <v>88</v>
      </c>
      <c r="Q11" s="77" t="s">
        <v>89</v>
      </c>
      <c r="R11" s="130"/>
      <c r="S11" s="131" t="s">
        <v>88</v>
      </c>
      <c r="T11" s="132" t="s">
        <v>89</v>
      </c>
      <c r="U11" s="130"/>
      <c r="V11" s="131" t="s">
        <v>88</v>
      </c>
      <c r="W11" s="132" t="s">
        <v>89</v>
      </c>
      <c r="X11" s="130"/>
      <c r="Y11" s="131" t="s">
        <v>88</v>
      </c>
      <c r="Z11" s="132" t="s">
        <v>89</v>
      </c>
      <c r="AA11" s="130"/>
      <c r="AB11" s="131" t="s">
        <v>88</v>
      </c>
      <c r="AC11" s="132" t="s">
        <v>89</v>
      </c>
      <c r="AD11" s="130"/>
      <c r="AE11" s="131" t="s">
        <v>88</v>
      </c>
      <c r="AF11" s="132" t="s">
        <v>89</v>
      </c>
      <c r="AG11" s="130"/>
      <c r="AH11" s="131" t="s">
        <v>88</v>
      </c>
      <c r="AI11" s="132" t="s">
        <v>89</v>
      </c>
      <c r="AJ11" s="130"/>
      <c r="AK11" s="131" t="s">
        <v>88</v>
      </c>
      <c r="AL11" s="132" t="s">
        <v>89</v>
      </c>
      <c r="AM11" s="130"/>
      <c r="AN11" s="131" t="s">
        <v>88</v>
      </c>
      <c r="AO11" s="132" t="s">
        <v>89</v>
      </c>
      <c r="AP11" s="130"/>
      <c r="AQ11" s="131" t="s">
        <v>88</v>
      </c>
      <c r="AR11" s="132" t="s">
        <v>89</v>
      </c>
      <c r="AS11" s="130"/>
      <c r="AT11" s="131" t="s">
        <v>88</v>
      </c>
      <c r="AU11" s="132" t="s">
        <v>89</v>
      </c>
      <c r="AV11" s="130"/>
      <c r="AW11" s="131" t="s">
        <v>88</v>
      </c>
      <c r="AX11" s="132" t="s">
        <v>89</v>
      </c>
      <c r="AY11" s="130"/>
      <c r="AZ11" s="131" t="s">
        <v>88</v>
      </c>
      <c r="BA11" s="132" t="s">
        <v>89</v>
      </c>
      <c r="BB11" s="130"/>
      <c r="BC11" s="131" t="s">
        <v>88</v>
      </c>
      <c r="BD11" s="132" t="s">
        <v>89</v>
      </c>
      <c r="BE11" s="130"/>
      <c r="BF11" s="131" t="s">
        <v>88</v>
      </c>
      <c r="BG11" s="132" t="s">
        <v>89</v>
      </c>
    </row>
    <row r="12" spans="1:59" x14ac:dyDescent="0.25">
      <c r="A12" s="78"/>
      <c r="B12" s="79"/>
      <c r="C12" s="79" t="s">
        <v>37</v>
      </c>
      <c r="D12" s="80">
        <v>0.06</v>
      </c>
      <c r="E12" s="80">
        <v>0.94</v>
      </c>
      <c r="F12" s="79" t="s">
        <v>37</v>
      </c>
      <c r="G12" s="80">
        <v>0.06</v>
      </c>
      <c r="H12" s="80">
        <v>0.94</v>
      </c>
      <c r="I12" s="79" t="s">
        <v>37</v>
      </c>
      <c r="J12" s="80">
        <v>0.06</v>
      </c>
      <c r="K12" s="80">
        <v>0.94</v>
      </c>
      <c r="L12" s="79" t="s">
        <v>37</v>
      </c>
      <c r="M12" s="80">
        <v>0.06</v>
      </c>
      <c r="N12" s="80">
        <v>0.94</v>
      </c>
      <c r="O12" s="79" t="s">
        <v>37</v>
      </c>
      <c r="P12" s="80">
        <v>0.06</v>
      </c>
      <c r="Q12" s="80">
        <v>0.94</v>
      </c>
      <c r="R12" s="133" t="s">
        <v>37</v>
      </c>
      <c r="S12" s="134">
        <v>0.06</v>
      </c>
      <c r="T12" s="134">
        <v>0.94</v>
      </c>
      <c r="U12" s="133" t="s">
        <v>37</v>
      </c>
      <c r="V12" s="134">
        <v>0.06</v>
      </c>
      <c r="W12" s="134">
        <v>0.94</v>
      </c>
      <c r="X12" s="133" t="s">
        <v>37</v>
      </c>
      <c r="Y12" s="134">
        <v>0.06</v>
      </c>
      <c r="Z12" s="134">
        <v>0.94</v>
      </c>
      <c r="AA12" s="133" t="s">
        <v>37</v>
      </c>
      <c r="AB12" s="134">
        <v>0.06</v>
      </c>
      <c r="AC12" s="134">
        <v>0.94</v>
      </c>
      <c r="AD12" s="133" t="s">
        <v>37</v>
      </c>
      <c r="AE12" s="134">
        <v>0.06</v>
      </c>
      <c r="AF12" s="134">
        <v>0.94</v>
      </c>
      <c r="AG12" s="133" t="s">
        <v>37</v>
      </c>
      <c r="AH12" s="134">
        <v>0.06</v>
      </c>
      <c r="AI12" s="134">
        <v>0.94</v>
      </c>
      <c r="AJ12" s="133" t="s">
        <v>37</v>
      </c>
      <c r="AK12" s="134">
        <v>0.06</v>
      </c>
      <c r="AL12" s="134">
        <v>0.94</v>
      </c>
      <c r="AM12" s="133" t="s">
        <v>37</v>
      </c>
      <c r="AN12" s="134">
        <v>0.06</v>
      </c>
      <c r="AO12" s="134">
        <v>0.94</v>
      </c>
      <c r="AP12" s="133" t="s">
        <v>37</v>
      </c>
      <c r="AQ12" s="134">
        <v>0.06</v>
      </c>
      <c r="AR12" s="134">
        <v>0.94</v>
      </c>
      <c r="AS12" s="133" t="s">
        <v>37</v>
      </c>
      <c r="AT12" s="134">
        <v>0.06</v>
      </c>
      <c r="AU12" s="134">
        <v>0.94</v>
      </c>
      <c r="AV12" s="133" t="s">
        <v>37</v>
      </c>
      <c r="AW12" s="134">
        <v>0.06</v>
      </c>
      <c r="AX12" s="134">
        <v>0.94</v>
      </c>
      <c r="AY12" s="133" t="s">
        <v>37</v>
      </c>
      <c r="AZ12" s="134">
        <v>0.06</v>
      </c>
      <c r="BA12" s="134">
        <v>0.94</v>
      </c>
      <c r="BB12" s="133" t="s">
        <v>37</v>
      </c>
      <c r="BC12" s="134">
        <v>0.06</v>
      </c>
      <c r="BD12" s="134">
        <v>0.94</v>
      </c>
      <c r="BE12" s="133" t="s">
        <v>37</v>
      </c>
      <c r="BF12" s="134">
        <v>0.06</v>
      </c>
      <c r="BG12" s="134">
        <v>0.94</v>
      </c>
    </row>
    <row r="13" spans="1:59" x14ac:dyDescent="0.25">
      <c r="A13" s="69" t="s">
        <v>90</v>
      </c>
      <c r="B13" s="81"/>
      <c r="C13" s="82">
        <f>'Avg NFA'!B191</f>
        <v>11110.355000000092</v>
      </c>
      <c r="D13" s="83">
        <f>C13*D12</f>
        <v>666.62130000000548</v>
      </c>
      <c r="E13" s="84">
        <f>C13*E12</f>
        <v>10443.733700000086</v>
      </c>
      <c r="F13" s="82">
        <f>'Avg NFA'!C191</f>
        <v>64139.815000000199</v>
      </c>
      <c r="G13" s="83">
        <f>F13*G12</f>
        <v>3848.3889000000117</v>
      </c>
      <c r="H13" s="84">
        <f>F13*H12</f>
        <v>60291.426100000186</v>
      </c>
      <c r="I13" s="82">
        <f>'Avg NFA'!E191</f>
        <v>183723.34000000017</v>
      </c>
      <c r="J13" s="83">
        <f>I13*J12</f>
        <v>11023.40040000001</v>
      </c>
      <c r="K13" s="84">
        <f>I13*K12</f>
        <v>172699.93960000016</v>
      </c>
      <c r="L13" s="82">
        <f>'Avg NFA'!F191</f>
        <v>332417.11000000022</v>
      </c>
      <c r="M13" s="83">
        <f>L13*M12</f>
        <v>19945.026600000012</v>
      </c>
      <c r="N13" s="84">
        <f>L13*N12</f>
        <v>312472.08340000018</v>
      </c>
      <c r="O13" s="82">
        <f>'Avg NFA'!G191</f>
        <v>456550.4600000002</v>
      </c>
      <c r="P13" s="83">
        <f>O13*P12</f>
        <v>27393.027600000012</v>
      </c>
      <c r="Q13" s="84">
        <f>O13*Q12</f>
        <v>429157.43240000017</v>
      </c>
      <c r="R13" s="135">
        <f>'Avg NFA'!H191</f>
        <v>575885.30500000028</v>
      </c>
      <c r="S13" s="135">
        <f>R13*S12</f>
        <v>34553.118300000016</v>
      </c>
      <c r="T13" s="136">
        <f>R13*T12</f>
        <v>541332.18670000019</v>
      </c>
      <c r="U13" s="135">
        <f>'Avg NFA'!I191</f>
        <v>701277.33500000031</v>
      </c>
      <c r="V13" s="135">
        <f>U13*V12</f>
        <v>42076.640100000019</v>
      </c>
      <c r="W13" s="136">
        <f>U13*W12</f>
        <v>659200.69490000024</v>
      </c>
      <c r="X13" s="135">
        <f>'Avg NFA'!J191</f>
        <v>819275.8450000002</v>
      </c>
      <c r="Y13" s="135">
        <f>X13*Y12</f>
        <v>49156.550700000007</v>
      </c>
      <c r="Z13" s="136">
        <f>X13*Z12</f>
        <v>770119.29430000018</v>
      </c>
      <c r="AA13" s="135">
        <f>'Avg NFA'!K191</f>
        <v>948074.77500000014</v>
      </c>
      <c r="AB13" s="135">
        <f>AA13*AB12</f>
        <v>56884.486500000006</v>
      </c>
      <c r="AC13" s="136">
        <f>AA13*AC12</f>
        <v>891190.28850000002</v>
      </c>
      <c r="AD13" s="135">
        <f>'Avg NFA'!L191</f>
        <v>975818.15500000026</v>
      </c>
      <c r="AE13" s="135">
        <f>AD13*AE12</f>
        <v>58549.089300000014</v>
      </c>
      <c r="AF13" s="136">
        <f>AD13*AF12</f>
        <v>917269.06570000015</v>
      </c>
      <c r="AG13" s="135">
        <f>'Avg NFA'!M191</f>
        <v>888240.05750000023</v>
      </c>
      <c r="AH13" s="135">
        <f>AG13*AH12</f>
        <v>53294.403450000013</v>
      </c>
      <c r="AI13" s="136">
        <f>AG13*AI12</f>
        <v>834945.65405000013</v>
      </c>
      <c r="AJ13" s="135">
        <f>'Avg NFA'!N191</f>
        <v>797520.31250000023</v>
      </c>
      <c r="AK13" s="135">
        <f>AJ13*AK12</f>
        <v>47851.218750000015</v>
      </c>
      <c r="AL13" s="136">
        <f>AJ13*AL12</f>
        <v>749669.09375000023</v>
      </c>
      <c r="AM13" s="135">
        <f>'Trueup Calculation'!N6</f>
        <v>-4.9999999930150807E-2</v>
      </c>
      <c r="AN13" s="135">
        <f>'Trueup Calculation'!O6</f>
        <v>-2.9999999958090482E-3</v>
      </c>
      <c r="AO13" s="135">
        <f>'Trueup Calculation'!P6</f>
        <v>-4.6999999934341757E-2</v>
      </c>
      <c r="AP13" s="135">
        <f>'Avg NFA'!O191</f>
        <v>706800.58000000019</v>
      </c>
      <c r="AQ13" s="135">
        <f>AP13*AQ12</f>
        <v>42408.034800000009</v>
      </c>
      <c r="AR13" s="136">
        <f>AP13*AR12</f>
        <v>664392.54520000017</v>
      </c>
      <c r="AS13" s="135">
        <f>AP13+AM13</f>
        <v>706800.53000000026</v>
      </c>
      <c r="AT13" s="135">
        <f>AQ13+AN13</f>
        <v>42408.031800000012</v>
      </c>
      <c r="AU13" s="135">
        <f>AR13+AO13</f>
        <v>664392.49820000026</v>
      </c>
      <c r="AV13" s="135">
        <f>'Avg NFA'!P191</f>
        <v>616080.86000000022</v>
      </c>
      <c r="AW13" s="135">
        <f>AV13*AW12</f>
        <v>36964.851600000009</v>
      </c>
      <c r="AX13" s="136">
        <f>AV13*AX12</f>
        <v>579116.00840000017</v>
      </c>
      <c r="AY13" s="135">
        <f>'Avg NFA'!Q191</f>
        <v>525361.14000000025</v>
      </c>
      <c r="AZ13" s="135">
        <f>AY13*AZ12</f>
        <v>31521.668400000013</v>
      </c>
      <c r="BA13" s="136">
        <f>AY13*BA12</f>
        <v>493839.47160000022</v>
      </c>
      <c r="BB13" s="135">
        <f>'Avg NFA'!R191</f>
        <v>434641.42000000027</v>
      </c>
      <c r="BC13" s="135">
        <f>BB13*BC12</f>
        <v>26078.485200000014</v>
      </c>
      <c r="BD13" s="136">
        <f>BB13*BD12</f>
        <v>408562.93480000022</v>
      </c>
      <c r="BE13" s="135">
        <f>'Avg NFA'!S191</f>
        <v>343921.7000000003</v>
      </c>
      <c r="BF13" s="135">
        <f>BE13*BF12</f>
        <v>20635.302000000018</v>
      </c>
      <c r="BG13" s="136">
        <f>BE13*BG12</f>
        <v>323286.39800000028</v>
      </c>
    </row>
    <row r="14" spans="1:59" x14ac:dyDescent="0.25">
      <c r="A14" s="76" t="s">
        <v>91</v>
      </c>
      <c r="B14" s="85"/>
      <c r="C14" s="86">
        <v>0</v>
      </c>
      <c r="D14" s="87">
        <f>C14</f>
        <v>0</v>
      </c>
      <c r="E14" s="85"/>
      <c r="F14" s="86">
        <v>0</v>
      </c>
      <c r="G14" s="87">
        <f>F14</f>
        <v>0</v>
      </c>
      <c r="H14" s="85"/>
      <c r="I14" s="86">
        <v>0</v>
      </c>
      <c r="J14" s="87">
        <f>I14</f>
        <v>0</v>
      </c>
      <c r="K14" s="85"/>
      <c r="L14" s="86">
        <v>23800</v>
      </c>
      <c r="M14" s="87">
        <f>L14</f>
        <v>23800</v>
      </c>
      <c r="N14" s="85"/>
      <c r="O14" s="86">
        <v>23439</v>
      </c>
      <c r="P14" s="87">
        <f>O14</f>
        <v>23439</v>
      </c>
      <c r="Q14" s="85"/>
      <c r="R14" s="137">
        <v>43614.930000000008</v>
      </c>
      <c r="S14" s="138">
        <f>R14</f>
        <v>43614.930000000008</v>
      </c>
      <c r="T14" s="139"/>
      <c r="U14" s="137">
        <v>58049.83</v>
      </c>
      <c r="V14" s="138">
        <f>U14</f>
        <v>58049.83</v>
      </c>
      <c r="W14" s="139"/>
      <c r="X14" s="137">
        <v>51195.53</v>
      </c>
      <c r="Y14" s="138">
        <f>X14</f>
        <v>51195.53</v>
      </c>
      <c r="Z14" s="139"/>
      <c r="AA14" s="137">
        <v>63046.889999999992</v>
      </c>
      <c r="AB14" s="138">
        <f>AA14</f>
        <v>63046.889999999992</v>
      </c>
      <c r="AC14" s="139"/>
      <c r="AD14" s="137">
        <v>-3.9999999999054126E-2</v>
      </c>
      <c r="AE14" s="138">
        <f>AD14</f>
        <v>-3.9999999999054126E-2</v>
      </c>
      <c r="AF14" s="139"/>
      <c r="AG14" s="135">
        <v>0</v>
      </c>
      <c r="AH14" s="138">
        <f>AG14</f>
        <v>0</v>
      </c>
      <c r="AI14" s="139"/>
      <c r="AJ14" s="137">
        <v>0</v>
      </c>
      <c r="AK14" s="138">
        <f>AJ14</f>
        <v>0</v>
      </c>
      <c r="AL14" s="139"/>
      <c r="AM14" s="135">
        <f>'Trueup Calculation'!N7</f>
        <v>0</v>
      </c>
      <c r="AN14" s="135">
        <f>'Trueup Calculation'!O7</f>
        <v>0</v>
      </c>
      <c r="AO14" s="135">
        <f>'Trueup Calculation'!P7</f>
        <v>0</v>
      </c>
      <c r="AP14" s="137">
        <v>0</v>
      </c>
      <c r="AQ14" s="138">
        <f>AP14</f>
        <v>0</v>
      </c>
      <c r="AR14" s="139"/>
      <c r="AS14" s="135">
        <f t="shared" ref="AS14:AS15" si="0">AP14+AM14</f>
        <v>0</v>
      </c>
      <c r="AT14" s="135">
        <f t="shared" ref="AT14:AT16" si="1">AQ14+AN14</f>
        <v>0</v>
      </c>
      <c r="AU14" s="135">
        <f t="shared" ref="AU14:AU16" si="2">AR14+AO14</f>
        <v>0</v>
      </c>
      <c r="AV14" s="137">
        <v>0</v>
      </c>
      <c r="AW14" s="138">
        <f>AV14</f>
        <v>0</v>
      </c>
      <c r="AX14" s="139"/>
      <c r="AY14" s="137">
        <v>0</v>
      </c>
      <c r="AZ14" s="138">
        <f>AY14</f>
        <v>0</v>
      </c>
      <c r="BA14" s="139"/>
      <c r="BB14" s="137">
        <v>0</v>
      </c>
      <c r="BC14" s="138">
        <f>BB14</f>
        <v>0</v>
      </c>
      <c r="BD14" s="139"/>
      <c r="BE14" s="137">
        <v>0</v>
      </c>
      <c r="BF14" s="138">
        <f>BE14</f>
        <v>0</v>
      </c>
      <c r="BG14" s="139"/>
    </row>
    <row r="15" spans="1:59" x14ac:dyDescent="0.25">
      <c r="A15" s="76" t="s">
        <v>92</v>
      </c>
      <c r="B15" s="85"/>
      <c r="C15" s="86">
        <v>0</v>
      </c>
      <c r="D15" s="87">
        <f>C15*D12</f>
        <v>0</v>
      </c>
      <c r="E15" s="87">
        <f>C15*E12</f>
        <v>0</v>
      </c>
      <c r="F15" s="86">
        <v>0</v>
      </c>
      <c r="G15" s="87">
        <f>F15*G12</f>
        <v>0</v>
      </c>
      <c r="H15" s="87">
        <f>F15*H12</f>
        <v>0</v>
      </c>
      <c r="I15" s="86">
        <v>0</v>
      </c>
      <c r="J15" s="87">
        <f>I15*J12</f>
        <v>0</v>
      </c>
      <c r="K15" s="87">
        <f>I15*K12</f>
        <v>0</v>
      </c>
      <c r="L15" s="86">
        <v>0</v>
      </c>
      <c r="M15" s="87">
        <f>L15*M12</f>
        <v>0</v>
      </c>
      <c r="N15" s="87">
        <f>L15*N12</f>
        <v>0</v>
      </c>
      <c r="O15" s="86">
        <v>0</v>
      </c>
      <c r="P15" s="87">
        <f>O15*P12</f>
        <v>0</v>
      </c>
      <c r="Q15" s="87">
        <f>O15*Q12</f>
        <v>0</v>
      </c>
      <c r="R15" s="137">
        <v>0</v>
      </c>
      <c r="S15" s="138">
        <f>R15*S12</f>
        <v>0</v>
      </c>
      <c r="T15" s="138">
        <f>R15*T12</f>
        <v>0</v>
      </c>
      <c r="U15" s="137">
        <v>0</v>
      </c>
      <c r="V15" s="138">
        <f>U15*V12</f>
        <v>0</v>
      </c>
      <c r="W15" s="138">
        <f>U15*W12</f>
        <v>0</v>
      </c>
      <c r="X15" s="137">
        <v>0</v>
      </c>
      <c r="Y15" s="138">
        <f>X15*Y12</f>
        <v>0</v>
      </c>
      <c r="Z15" s="138">
        <f>X15*Z12</f>
        <v>0</v>
      </c>
      <c r="AA15" s="137">
        <v>0</v>
      </c>
      <c r="AB15" s="138">
        <f>AA15*AB12</f>
        <v>0</v>
      </c>
      <c r="AC15" s="138">
        <f>AA15*AC12</f>
        <v>0</v>
      </c>
      <c r="AD15" s="137">
        <v>0</v>
      </c>
      <c r="AE15" s="138">
        <f>AD15*AE12</f>
        <v>0</v>
      </c>
      <c r="AF15" s="138">
        <f>AD15*AF12</f>
        <v>0</v>
      </c>
      <c r="AG15" s="137">
        <v>0</v>
      </c>
      <c r="AH15" s="138">
        <f>AG15*AH12</f>
        <v>0</v>
      </c>
      <c r="AI15" s="138">
        <f>AG15*AI12</f>
        <v>0</v>
      </c>
      <c r="AJ15" s="137">
        <v>0</v>
      </c>
      <c r="AK15" s="138">
        <f>AJ15*AK12</f>
        <v>0</v>
      </c>
      <c r="AL15" s="138">
        <f>AJ15*AL12</f>
        <v>0</v>
      </c>
      <c r="AM15" s="135">
        <f>'Trueup Calculation'!N8</f>
        <v>0</v>
      </c>
      <c r="AN15" s="135">
        <f>'Trueup Calculation'!O8</f>
        <v>0</v>
      </c>
      <c r="AO15" s="135">
        <f>'Trueup Calculation'!P8</f>
        <v>0</v>
      </c>
      <c r="AP15" s="137">
        <v>0</v>
      </c>
      <c r="AQ15" s="138">
        <f>AP15*AQ12</f>
        <v>0</v>
      </c>
      <c r="AR15" s="138">
        <f>AP15*AR12</f>
        <v>0</v>
      </c>
      <c r="AS15" s="135">
        <f t="shared" si="0"/>
        <v>0</v>
      </c>
      <c r="AT15" s="135">
        <f t="shared" si="1"/>
        <v>0</v>
      </c>
      <c r="AU15" s="135">
        <f t="shared" si="2"/>
        <v>0</v>
      </c>
      <c r="AV15" s="137">
        <v>0</v>
      </c>
      <c r="AW15" s="138">
        <f>AV15*AW12</f>
        <v>0</v>
      </c>
      <c r="AX15" s="138">
        <f>AV15*AX12</f>
        <v>0</v>
      </c>
      <c r="AY15" s="137">
        <v>0</v>
      </c>
      <c r="AZ15" s="138">
        <f>AY15*AZ12</f>
        <v>0</v>
      </c>
      <c r="BA15" s="138">
        <f>AY15*BA12</f>
        <v>0</v>
      </c>
      <c r="BB15" s="137">
        <v>0</v>
      </c>
      <c r="BC15" s="138">
        <f>BB15*BC12</f>
        <v>0</v>
      </c>
      <c r="BD15" s="138">
        <f>BB15*BD12</f>
        <v>0</v>
      </c>
      <c r="BE15" s="137">
        <v>0</v>
      </c>
      <c r="BF15" s="138">
        <f>BE15*BF12</f>
        <v>0</v>
      </c>
      <c r="BG15" s="138">
        <f>BE15*BG12</f>
        <v>0</v>
      </c>
    </row>
    <row r="16" spans="1:59" x14ac:dyDescent="0.25">
      <c r="A16" s="76" t="s">
        <v>1</v>
      </c>
      <c r="B16" s="88">
        <v>0.13500000000000001</v>
      </c>
      <c r="C16" s="89"/>
      <c r="D16" s="90">
        <f>(D14+D15)*$B$16</f>
        <v>0</v>
      </c>
      <c r="E16" s="91">
        <f>E15*$B$16</f>
        <v>0</v>
      </c>
      <c r="F16" s="89"/>
      <c r="G16" s="90">
        <f>(G14+G15)*$B$16</f>
        <v>0</v>
      </c>
      <c r="H16" s="91">
        <f>H15*$B$16</f>
        <v>0</v>
      </c>
      <c r="I16" s="89"/>
      <c r="J16" s="90">
        <f>(J14+J15)*$B$16</f>
        <v>0</v>
      </c>
      <c r="K16" s="91">
        <f>K15*$B$16</f>
        <v>0</v>
      </c>
      <c r="L16" s="89"/>
      <c r="M16" s="90">
        <f>(M14+M15)*$B$16</f>
        <v>3213</v>
      </c>
      <c r="N16" s="91">
        <f>N15*$B$16</f>
        <v>0</v>
      </c>
      <c r="O16" s="89"/>
      <c r="P16" s="90">
        <f>(P14+P15)*$B$16</f>
        <v>3164.2650000000003</v>
      </c>
      <c r="Q16" s="91">
        <f>Q15*$B$16</f>
        <v>0</v>
      </c>
      <c r="R16" s="89"/>
      <c r="S16" s="90">
        <f>(S14+S15)*$B$16</f>
        <v>5888.015550000001</v>
      </c>
      <c r="T16" s="91">
        <f>T15*$B$16</f>
        <v>0</v>
      </c>
      <c r="U16" s="89"/>
      <c r="V16" s="90">
        <f>(V14+V15)*$B$16</f>
        <v>7836.7270500000004</v>
      </c>
      <c r="W16" s="91">
        <f>W15*$B$16</f>
        <v>0</v>
      </c>
      <c r="X16" s="89"/>
      <c r="Y16" s="90">
        <f>(Y14+Y15)*$B$16</f>
        <v>6911.3965500000004</v>
      </c>
      <c r="Z16" s="91">
        <f>Z15*$B$16</f>
        <v>0</v>
      </c>
      <c r="AA16" s="89"/>
      <c r="AB16" s="90">
        <f>(AB14+AB15)*$B$16</f>
        <v>8511.3301499999998</v>
      </c>
      <c r="AC16" s="91">
        <f>AC15*$B$16</f>
        <v>0</v>
      </c>
      <c r="AD16" s="89"/>
      <c r="AE16" s="90">
        <f>(AE14+AE15)*$B$16</f>
        <v>-5.3999999998723073E-3</v>
      </c>
      <c r="AF16" s="91">
        <f>AF15*$B$16</f>
        <v>0</v>
      </c>
      <c r="AG16" s="89"/>
      <c r="AH16" s="90">
        <f>(AH14+AH15)*$B$16</f>
        <v>0</v>
      </c>
      <c r="AI16" s="91">
        <f>AI15*$B$16</f>
        <v>0</v>
      </c>
      <c r="AJ16" s="89"/>
      <c r="AK16" s="90">
        <f>(AK14+AK15)*$B$16</f>
        <v>0</v>
      </c>
      <c r="AL16" s="91">
        <f>AL15*$B$16</f>
        <v>0</v>
      </c>
      <c r="AM16" s="89"/>
      <c r="AN16" s="171">
        <f>'Trueup Calculation'!O9</f>
        <v>0</v>
      </c>
      <c r="AO16" s="171">
        <f>'Trueup Calculation'!P9</f>
        <v>0</v>
      </c>
      <c r="AP16" s="89"/>
      <c r="AQ16" s="90">
        <f>(AQ14+AQ15)*$B$16</f>
        <v>0</v>
      </c>
      <c r="AR16" s="91">
        <f>AR15*$B$16</f>
        <v>0</v>
      </c>
      <c r="AS16" s="135"/>
      <c r="AT16" s="171">
        <f t="shared" si="1"/>
        <v>0</v>
      </c>
      <c r="AU16" s="171">
        <f t="shared" si="2"/>
        <v>0</v>
      </c>
      <c r="AV16" s="89"/>
      <c r="AW16" s="90">
        <f>(AW14+AW15)*$B$16</f>
        <v>0</v>
      </c>
      <c r="AX16" s="91">
        <f>AX15*$B$16</f>
        <v>0</v>
      </c>
      <c r="AY16" s="89"/>
      <c r="AZ16" s="90">
        <f>(AZ14+AZ15)*$B$16</f>
        <v>0</v>
      </c>
      <c r="BA16" s="91">
        <f>BA15*$B$16</f>
        <v>0</v>
      </c>
      <c r="BB16" s="89"/>
      <c r="BC16" s="90">
        <f>(BC14+BC15)*$B$16</f>
        <v>0</v>
      </c>
      <c r="BD16" s="91">
        <f>BD15*$B$16</f>
        <v>0</v>
      </c>
      <c r="BE16" s="89"/>
      <c r="BF16" s="90">
        <f>(BF14+BF15)*$B$16</f>
        <v>0</v>
      </c>
      <c r="BG16" s="91">
        <f>BG15*$B$16</f>
        <v>0</v>
      </c>
    </row>
    <row r="17" spans="1:59" x14ac:dyDescent="0.25">
      <c r="A17" s="69" t="s">
        <v>2</v>
      </c>
      <c r="B17" s="76"/>
      <c r="C17" s="76"/>
      <c r="D17" s="87">
        <f>SUM(D13+D16)</f>
        <v>666.62130000000548</v>
      </c>
      <c r="E17" s="87">
        <f>SUM(E13+E16)</f>
        <v>10443.733700000086</v>
      </c>
      <c r="F17" s="76"/>
      <c r="G17" s="87">
        <f>SUM(G13+G16)</f>
        <v>3848.3889000000117</v>
      </c>
      <c r="H17" s="87">
        <f>SUM(H13+H16)</f>
        <v>60291.426100000186</v>
      </c>
      <c r="I17" s="76"/>
      <c r="J17" s="87">
        <f>SUM(J13+J16)</f>
        <v>11023.40040000001</v>
      </c>
      <c r="K17" s="87">
        <f>SUM(K13+K16)</f>
        <v>172699.93960000016</v>
      </c>
      <c r="L17" s="76"/>
      <c r="M17" s="87">
        <f>SUM(M13+M16)</f>
        <v>23158.026600000012</v>
      </c>
      <c r="N17" s="87">
        <f>SUM(N13+N16)</f>
        <v>312472.08340000018</v>
      </c>
      <c r="O17" s="76"/>
      <c r="P17" s="87">
        <f>SUM(P13+P16)</f>
        <v>30557.292600000012</v>
      </c>
      <c r="Q17" s="87">
        <f>SUM(Q13+Q16)</f>
        <v>429157.43240000017</v>
      </c>
      <c r="R17" s="76"/>
      <c r="S17" s="87">
        <f>SUM(S13+S16)</f>
        <v>40441.13385000002</v>
      </c>
      <c r="T17" s="87">
        <f>SUM(T13+T16)</f>
        <v>541332.18670000019</v>
      </c>
      <c r="U17" s="76"/>
      <c r="V17" s="87">
        <f>SUM(V13+V16)</f>
        <v>49913.36715000002</v>
      </c>
      <c r="W17" s="87">
        <f>SUM(W13+W16)</f>
        <v>659200.69490000024</v>
      </c>
      <c r="X17" s="76"/>
      <c r="Y17" s="87">
        <f>SUM(Y13+Y16)</f>
        <v>56067.947250000005</v>
      </c>
      <c r="Z17" s="87">
        <f>SUM(Z13+Z16)</f>
        <v>770119.29430000018</v>
      </c>
      <c r="AA17" s="76"/>
      <c r="AB17" s="87">
        <f>SUM(AB13+AB16)</f>
        <v>65395.816650000008</v>
      </c>
      <c r="AC17" s="87">
        <f>SUM(AC13+AC16)</f>
        <v>891190.28850000002</v>
      </c>
      <c r="AD17" s="76"/>
      <c r="AE17" s="87">
        <f>SUM(AE13+AE16)</f>
        <v>58549.083900000012</v>
      </c>
      <c r="AF17" s="87">
        <f>SUM(AF13+AF16)</f>
        <v>917269.06570000015</v>
      </c>
      <c r="AG17" s="76"/>
      <c r="AH17" s="87">
        <f>SUM(AH13+AH16)</f>
        <v>53294.403450000013</v>
      </c>
      <c r="AI17" s="87">
        <f>SUM(AI13+AI16)</f>
        <v>834945.65405000013</v>
      </c>
      <c r="AJ17" s="76"/>
      <c r="AK17" s="87">
        <f>SUM(AK13+AK16)</f>
        <v>47851.218750000015</v>
      </c>
      <c r="AL17" s="87">
        <f>SUM(AL13+AL16)</f>
        <v>749669.09375000023</v>
      </c>
      <c r="AM17" s="154"/>
      <c r="AN17" s="87">
        <f>SUM(AN13+AN16)</f>
        <v>-2.9999999958090482E-3</v>
      </c>
      <c r="AO17" s="87">
        <f>SUM(AO13+AO16)</f>
        <v>-4.6999999934341757E-2</v>
      </c>
      <c r="AP17" s="142"/>
      <c r="AQ17" s="87">
        <f>SUM(AQ13+AQ16)</f>
        <v>42408.034800000009</v>
      </c>
      <c r="AR17" s="87">
        <f>SUM(AR13+AR16)</f>
        <v>664392.54520000017</v>
      </c>
      <c r="AS17" s="154"/>
      <c r="AT17" s="87">
        <f>SUM(AT13+AT16)</f>
        <v>42408.031800000012</v>
      </c>
      <c r="AU17" s="87">
        <f>SUM(AU13+AU16)</f>
        <v>664392.49820000026</v>
      </c>
      <c r="AV17" s="142"/>
      <c r="AW17" s="87">
        <f>SUM(AW13+AW16)</f>
        <v>36964.851600000009</v>
      </c>
      <c r="AX17" s="87">
        <f>SUM(AX13+AX16)</f>
        <v>579116.00840000017</v>
      </c>
      <c r="AY17" s="142"/>
      <c r="AZ17" s="87">
        <f>SUM(AZ13+AZ16)</f>
        <v>31521.668400000013</v>
      </c>
      <c r="BA17" s="87">
        <f>SUM(BA13+BA16)</f>
        <v>493839.47160000022</v>
      </c>
      <c r="BB17" s="142"/>
      <c r="BC17" s="87">
        <f>SUM(BC13+BC16)</f>
        <v>26078.485200000014</v>
      </c>
      <c r="BD17" s="87">
        <f>SUM(BD13+BD16)</f>
        <v>408562.93480000022</v>
      </c>
      <c r="BE17" s="142"/>
      <c r="BF17" s="87">
        <f>SUM(BF13+BF16)</f>
        <v>20635.302000000018</v>
      </c>
      <c r="BG17" s="87">
        <f>SUM(BG13+BG16)</f>
        <v>323286.39800000028</v>
      </c>
    </row>
    <row r="18" spans="1:59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154"/>
      <c r="AN18" s="154"/>
      <c r="AO18" s="154"/>
      <c r="AP18" s="142"/>
      <c r="AQ18" s="142"/>
      <c r="AR18" s="142"/>
      <c r="AS18" s="154"/>
      <c r="AT18" s="154"/>
      <c r="AU18" s="154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</row>
    <row r="19" spans="1:59" x14ac:dyDescent="0.25">
      <c r="A19" s="76"/>
      <c r="B19" s="92" t="s">
        <v>93</v>
      </c>
      <c r="C19" s="92" t="s">
        <v>94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154"/>
      <c r="AN19" s="154"/>
      <c r="AO19" s="154"/>
      <c r="AP19" s="142"/>
      <c r="AQ19" s="142"/>
      <c r="AR19" s="142"/>
      <c r="AS19" s="154"/>
      <c r="AT19" s="154"/>
      <c r="AU19" s="154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</row>
    <row r="20" spans="1:59" x14ac:dyDescent="0.25">
      <c r="A20" s="76" t="s">
        <v>3</v>
      </c>
      <c r="B20" s="88">
        <v>0.04</v>
      </c>
      <c r="C20" s="88">
        <v>0.04</v>
      </c>
      <c r="D20" s="87">
        <f>D17*$B$20</f>
        <v>26.66485200000022</v>
      </c>
      <c r="E20" s="87">
        <f>E17*$B$20</f>
        <v>417.74934800000347</v>
      </c>
      <c r="F20" s="81"/>
      <c r="G20" s="87">
        <f>G17*$B$20</f>
        <v>153.93555600000047</v>
      </c>
      <c r="H20" s="87">
        <f>H17*$B$20</f>
        <v>2411.6570440000073</v>
      </c>
      <c r="I20" s="81"/>
      <c r="J20" s="87">
        <f>J17*$B$20</f>
        <v>440.93601600000039</v>
      </c>
      <c r="K20" s="87">
        <f>K17*$B$20</f>
        <v>6907.9975840000061</v>
      </c>
      <c r="L20" s="81"/>
      <c r="M20" s="87">
        <f>M17*$B$20</f>
        <v>926.32106400000055</v>
      </c>
      <c r="N20" s="87">
        <f>N17*$B$20</f>
        <v>12498.883336000008</v>
      </c>
      <c r="O20" s="81"/>
      <c r="P20" s="87">
        <f>P17*$B$20</f>
        <v>1222.2917040000004</v>
      </c>
      <c r="Q20" s="87">
        <f>Q17*$B$20</f>
        <v>17166.297296000008</v>
      </c>
      <c r="R20" s="81"/>
      <c r="S20" s="87">
        <f>S17*$B$20</f>
        <v>1617.6453540000009</v>
      </c>
      <c r="T20" s="87">
        <f>T17*$B$20</f>
        <v>21653.28746800001</v>
      </c>
      <c r="U20" s="81"/>
      <c r="V20" s="87">
        <f>V17*$B$20</f>
        <v>1996.5346860000009</v>
      </c>
      <c r="W20" s="87">
        <f>W17*$B$20</f>
        <v>26368.027796000009</v>
      </c>
      <c r="X20" s="81"/>
      <c r="Y20" s="87">
        <f>Y17*$B$20</f>
        <v>2242.7178900000004</v>
      </c>
      <c r="Z20" s="87">
        <f>Z17*$B$20</f>
        <v>30804.771772000007</v>
      </c>
      <c r="AA20" s="81"/>
      <c r="AB20" s="87">
        <f>AB17*$B$20</f>
        <v>2615.8326660000002</v>
      </c>
      <c r="AC20" s="87">
        <f>AC17*$B$20</f>
        <v>35647.611540000005</v>
      </c>
      <c r="AD20" s="81"/>
      <c r="AE20" s="87">
        <f>AE17*$B$20</f>
        <v>2341.9633560000007</v>
      </c>
      <c r="AF20" s="87">
        <f>AF17*$B$20</f>
        <v>36690.762628000004</v>
      </c>
      <c r="AG20" s="81"/>
      <c r="AH20" s="87">
        <f>AH17*$B$20</f>
        <v>2131.7761380000006</v>
      </c>
      <c r="AI20" s="87">
        <f>AI17*$B$20</f>
        <v>33397.826162000005</v>
      </c>
      <c r="AJ20" s="81"/>
      <c r="AK20" s="87">
        <f>AK17*$B$20</f>
        <v>1914.0487500000006</v>
      </c>
      <c r="AL20" s="87">
        <f>AL17*$B$20</f>
        <v>29986.763750000009</v>
      </c>
      <c r="AM20" s="81"/>
      <c r="AN20" s="87">
        <f>'Trueup Calculation'!O13</f>
        <v>-1.1999999983236194E-4</v>
      </c>
      <c r="AO20" s="87">
        <f>'Trueup Calculation'!P13</f>
        <v>-1.8799999973736702E-3</v>
      </c>
      <c r="AP20" s="81"/>
      <c r="AQ20" s="87">
        <f>AQ17*$B$20</f>
        <v>1696.3213920000003</v>
      </c>
      <c r="AR20" s="87">
        <f>AR17*$B$20</f>
        <v>26575.701808000009</v>
      </c>
      <c r="AS20" s="81"/>
      <c r="AT20" s="87">
        <f>+AQ20+AN20</f>
        <v>1696.3212720000004</v>
      </c>
      <c r="AU20" s="87">
        <f>+AR20+AO20</f>
        <v>26575.699928000013</v>
      </c>
      <c r="AV20" s="81"/>
      <c r="AW20" s="87">
        <f>AW17*$B$20</f>
        <v>1478.5940640000003</v>
      </c>
      <c r="AX20" s="87">
        <f>AX17*$B$20</f>
        <v>23164.640336000008</v>
      </c>
      <c r="AY20" s="81"/>
      <c r="AZ20" s="87">
        <f>AZ17*$B$20</f>
        <v>1260.8667360000006</v>
      </c>
      <c r="BA20" s="87">
        <f>BA17*$B$20</f>
        <v>19753.57886400001</v>
      </c>
      <c r="BB20" s="81"/>
      <c r="BC20" s="87">
        <f>BC17*$B$20</f>
        <v>1043.1394080000005</v>
      </c>
      <c r="BD20" s="87">
        <f>BD17*$B$20</f>
        <v>16342.517392000009</v>
      </c>
      <c r="BE20" s="81"/>
      <c r="BF20" s="87">
        <f>BF17*$B$20</f>
        <v>825.41208000000074</v>
      </c>
      <c r="BG20" s="87">
        <f>BG17*$B$20</f>
        <v>12931.455920000011</v>
      </c>
    </row>
    <row r="21" spans="1:59" x14ac:dyDescent="0.25">
      <c r="A21" s="76" t="s">
        <v>4</v>
      </c>
      <c r="B21" s="88">
        <v>0.56000000000000005</v>
      </c>
      <c r="C21" s="88">
        <v>0.56000000000000005</v>
      </c>
      <c r="D21" s="87">
        <f>D17*$B$21</f>
        <v>373.30792800000313</v>
      </c>
      <c r="E21" s="87">
        <f>E17*$B$21</f>
        <v>5848.4908720000485</v>
      </c>
      <c r="F21" s="93"/>
      <c r="G21" s="87">
        <f>G17*$B$21</f>
        <v>2155.0977840000069</v>
      </c>
      <c r="H21" s="87">
        <f>H17*$B$21</f>
        <v>33763.198616000111</v>
      </c>
      <c r="I21" s="93"/>
      <c r="J21" s="87">
        <f>J17*$B$21</f>
        <v>6173.1042240000061</v>
      </c>
      <c r="K21" s="87">
        <f>K17*$B$21</f>
        <v>96711.966176000104</v>
      </c>
      <c r="L21" s="93"/>
      <c r="M21" s="87">
        <f>M17*$B$21</f>
        <v>12968.494896000007</v>
      </c>
      <c r="N21" s="87">
        <f>N17*$B$21</f>
        <v>174984.3667040001</v>
      </c>
      <c r="O21" s="93"/>
      <c r="P21" s="87">
        <f>P17*$B$21</f>
        <v>17112.083856000008</v>
      </c>
      <c r="Q21" s="87">
        <f>Q17*$B$21</f>
        <v>240328.16214400012</v>
      </c>
      <c r="R21" s="93"/>
      <c r="S21" s="87">
        <f>S17*$B$21</f>
        <v>22647.034956000014</v>
      </c>
      <c r="T21" s="87">
        <f>T17*$B$21</f>
        <v>303146.02455200016</v>
      </c>
      <c r="U21" s="93"/>
      <c r="V21" s="87">
        <f>V17*$B$21</f>
        <v>27951.485604000012</v>
      </c>
      <c r="W21" s="87">
        <f>W17*$B$21</f>
        <v>369152.38914400019</v>
      </c>
      <c r="X21" s="93"/>
      <c r="Y21" s="87">
        <f>Y17*$B$21</f>
        <v>31398.050460000006</v>
      </c>
      <c r="Z21" s="87">
        <f>Z17*$B$21</f>
        <v>431266.80480800016</v>
      </c>
      <c r="AA21" s="93"/>
      <c r="AB21" s="87">
        <f>AB17*$B$21</f>
        <v>36621.657324000007</v>
      </c>
      <c r="AC21" s="87">
        <f>AC17*$B$21</f>
        <v>499066.56156000006</v>
      </c>
      <c r="AD21" s="93"/>
      <c r="AE21" s="87">
        <f>AE17*$B$21</f>
        <v>32787.48698400001</v>
      </c>
      <c r="AF21" s="87">
        <f>AF17*$B$21</f>
        <v>513670.67679200013</v>
      </c>
      <c r="AG21" s="93"/>
      <c r="AH21" s="87">
        <f>AH17*$B$21</f>
        <v>29844.865932000012</v>
      </c>
      <c r="AI21" s="87">
        <f>AI17*$B$21</f>
        <v>467569.56626800011</v>
      </c>
      <c r="AJ21" s="93"/>
      <c r="AK21" s="87">
        <f>AK17*$B$21</f>
        <v>26796.68250000001</v>
      </c>
      <c r="AL21" s="87">
        <f>AL17*$B$21</f>
        <v>419814.69250000018</v>
      </c>
      <c r="AM21" s="93"/>
      <c r="AN21" s="87">
        <f>'Trueup Calculation'!O14</f>
        <v>-1.6799999976530671E-3</v>
      </c>
      <c r="AO21" s="87">
        <f>'Trueup Calculation'!P14</f>
        <v>-2.6319999963231387E-2</v>
      </c>
      <c r="AP21" s="93"/>
      <c r="AQ21" s="87">
        <f>AQ17*$B$21</f>
        <v>23748.499488000009</v>
      </c>
      <c r="AR21" s="87">
        <f>AR17*$B$21</f>
        <v>372059.82531200012</v>
      </c>
      <c r="AS21" s="93"/>
      <c r="AT21" s="87">
        <f t="shared" ref="AT21:AT22" si="3">+AQ21+AN21</f>
        <v>23748.497808000011</v>
      </c>
      <c r="AU21" s="87">
        <f t="shared" ref="AU21:AU22" si="4">+AR21+AO21</f>
        <v>372059.79899200017</v>
      </c>
      <c r="AV21" s="93"/>
      <c r="AW21" s="87">
        <f>AW17*$B$21</f>
        <v>20700.316896000008</v>
      </c>
      <c r="AX21" s="87">
        <f>AX17*$B$21</f>
        <v>324304.9647040001</v>
      </c>
      <c r="AY21" s="93"/>
      <c r="AZ21" s="87">
        <f>AZ17*$B$21</f>
        <v>17652.13430400001</v>
      </c>
      <c r="BA21" s="87">
        <f>BA17*$B$21</f>
        <v>276550.10409600014</v>
      </c>
      <c r="BB21" s="93"/>
      <c r="BC21" s="87">
        <f>BC17*$B$21</f>
        <v>14603.951712000009</v>
      </c>
      <c r="BD21" s="87">
        <f>BD17*$B$21</f>
        <v>228795.24348800015</v>
      </c>
      <c r="BE21" s="93"/>
      <c r="BF21" s="87">
        <f>BF17*$B$21</f>
        <v>11555.769120000012</v>
      </c>
      <c r="BG21" s="87">
        <f>BG17*$B$21</f>
        <v>181040.38288000016</v>
      </c>
    </row>
    <row r="22" spans="1:59" x14ac:dyDescent="0.25">
      <c r="A22" s="76" t="s">
        <v>5</v>
      </c>
      <c r="B22" s="88">
        <v>0.4</v>
      </c>
      <c r="C22" s="88">
        <v>0.4</v>
      </c>
      <c r="D22" s="87">
        <f>D17*$B$22</f>
        <v>266.64852000000218</v>
      </c>
      <c r="E22" s="87">
        <f>E17*$B$22</f>
        <v>4177.4934800000347</v>
      </c>
      <c r="F22" s="93"/>
      <c r="G22" s="87">
        <f>G17*$B$22</f>
        <v>1539.3555600000047</v>
      </c>
      <c r="H22" s="87">
        <f>H17*$B$22</f>
        <v>24116.570440000076</v>
      </c>
      <c r="I22" s="93"/>
      <c r="J22" s="87">
        <f>J17*$B$22</f>
        <v>4409.3601600000038</v>
      </c>
      <c r="K22" s="87">
        <f>K17*$B$22</f>
        <v>69079.975840000072</v>
      </c>
      <c r="L22" s="93"/>
      <c r="M22" s="87">
        <f>M17*$B$22</f>
        <v>9263.2106400000048</v>
      </c>
      <c r="N22" s="87">
        <f>N17*$B$22</f>
        <v>124988.83336000008</v>
      </c>
      <c r="O22" s="93"/>
      <c r="P22" s="87">
        <f>P17*$B$22</f>
        <v>12222.917040000006</v>
      </c>
      <c r="Q22" s="87">
        <f>Q17*$B$22</f>
        <v>171662.97296000007</v>
      </c>
      <c r="R22" s="93"/>
      <c r="S22" s="87">
        <f>S17*$B$22</f>
        <v>16176.45354000001</v>
      </c>
      <c r="T22" s="87">
        <f>T17*$B$22</f>
        <v>216532.8746800001</v>
      </c>
      <c r="U22" s="93"/>
      <c r="V22" s="87">
        <f>V17*$B$22</f>
        <v>19965.346860000009</v>
      </c>
      <c r="W22" s="87">
        <f>W17*$B$22</f>
        <v>263680.27796000009</v>
      </c>
      <c r="X22" s="93"/>
      <c r="Y22" s="87">
        <f>Y17*$B$22</f>
        <v>22427.178900000003</v>
      </c>
      <c r="Z22" s="87">
        <f>Z17*$B$22</f>
        <v>308047.71772000007</v>
      </c>
      <c r="AA22" s="93"/>
      <c r="AB22" s="87">
        <f>AB17*$B$22</f>
        <v>26158.326660000006</v>
      </c>
      <c r="AC22" s="87">
        <f>AC17*$B$22</f>
        <v>356476.11540000001</v>
      </c>
      <c r="AD22" s="93"/>
      <c r="AE22" s="87">
        <f>AE17*$B$22</f>
        <v>23419.633560000006</v>
      </c>
      <c r="AF22" s="87">
        <f>AF17*$B$22</f>
        <v>366907.62628000008</v>
      </c>
      <c r="AG22" s="93"/>
      <c r="AH22" s="87">
        <f>AH17*$B$22</f>
        <v>21317.761380000007</v>
      </c>
      <c r="AI22" s="87">
        <f>AI17*$B$22</f>
        <v>333978.26162000006</v>
      </c>
      <c r="AJ22" s="93"/>
      <c r="AK22" s="87">
        <f>AK17*$B$22</f>
        <v>19140.487500000007</v>
      </c>
      <c r="AL22" s="87">
        <f>AL17*$B$22</f>
        <v>299867.63750000013</v>
      </c>
      <c r="AM22" s="93"/>
      <c r="AN22" s="87">
        <f>'Trueup Calculation'!O15</f>
        <v>-1.1999999983236193E-3</v>
      </c>
      <c r="AO22" s="87">
        <f>'Trueup Calculation'!P15</f>
        <v>-1.8799999973736704E-2</v>
      </c>
      <c r="AP22" s="93"/>
      <c r="AQ22" s="87">
        <f>AQ17*$B$22</f>
        <v>16963.213920000006</v>
      </c>
      <c r="AR22" s="87">
        <f>AR17*$B$22</f>
        <v>265757.01808000007</v>
      </c>
      <c r="AS22" s="93"/>
      <c r="AT22" s="87">
        <f t="shared" si="3"/>
        <v>16963.212720000007</v>
      </c>
      <c r="AU22" s="87">
        <f t="shared" si="4"/>
        <v>265756.99928000011</v>
      </c>
      <c r="AV22" s="93"/>
      <c r="AW22" s="87">
        <f>AW17*$B$22</f>
        <v>14785.940640000004</v>
      </c>
      <c r="AX22" s="87">
        <f>AX17*$B$22</f>
        <v>231646.40336000008</v>
      </c>
      <c r="AY22" s="93"/>
      <c r="AZ22" s="87">
        <f>AZ17*$B$22</f>
        <v>12608.667360000007</v>
      </c>
      <c r="BA22" s="87">
        <f>BA17*$B$22</f>
        <v>197535.7886400001</v>
      </c>
      <c r="BB22" s="93"/>
      <c r="BC22" s="87">
        <f>BC17*$B$22</f>
        <v>10431.394080000005</v>
      </c>
      <c r="BD22" s="87">
        <f>BD17*$B$22</f>
        <v>163425.17392000009</v>
      </c>
      <c r="BE22" s="93"/>
      <c r="BF22" s="87">
        <f>BF17*$B$22</f>
        <v>8254.1208000000079</v>
      </c>
      <c r="BG22" s="87">
        <f>BG17*$B$22</f>
        <v>129314.55920000012</v>
      </c>
    </row>
    <row r="23" spans="1:59" x14ac:dyDescent="0.25">
      <c r="A23" s="76"/>
      <c r="B23" s="76"/>
      <c r="C23" s="76"/>
      <c r="D23" s="94"/>
      <c r="E23" s="76"/>
      <c r="F23" s="76"/>
      <c r="G23" s="94"/>
      <c r="H23" s="76"/>
      <c r="I23" s="76"/>
      <c r="J23" s="94"/>
      <c r="K23" s="76"/>
      <c r="L23" s="76"/>
      <c r="M23" s="94"/>
      <c r="N23" s="76"/>
      <c r="O23" s="76"/>
      <c r="P23" s="94"/>
      <c r="Q23" s="76"/>
      <c r="R23" s="76"/>
      <c r="S23" s="94"/>
      <c r="T23" s="76"/>
      <c r="U23" s="76"/>
      <c r="V23" s="94"/>
      <c r="W23" s="76"/>
      <c r="X23" s="76"/>
      <c r="Y23" s="94"/>
      <c r="Z23" s="76"/>
      <c r="AA23" s="76"/>
      <c r="AB23" s="94"/>
      <c r="AC23" s="76"/>
      <c r="AD23" s="76"/>
      <c r="AE23" s="94"/>
      <c r="AF23" s="76"/>
      <c r="AG23" s="76"/>
      <c r="AH23" s="94"/>
      <c r="AI23" s="76"/>
      <c r="AJ23" s="76"/>
      <c r="AK23" s="94"/>
      <c r="AL23" s="76"/>
      <c r="AM23" s="154"/>
      <c r="AN23" s="94"/>
      <c r="AO23" s="154"/>
      <c r="AP23" s="142"/>
      <c r="AQ23" s="94"/>
      <c r="AR23" s="142"/>
      <c r="AS23" s="154"/>
      <c r="AT23" s="94"/>
      <c r="AU23" s="154"/>
      <c r="AV23" s="142"/>
      <c r="AW23" s="94"/>
      <c r="AX23" s="142"/>
      <c r="AY23" s="142"/>
      <c r="AZ23" s="94"/>
      <c r="BA23" s="142"/>
      <c r="BB23" s="142"/>
      <c r="BC23" s="94"/>
      <c r="BD23" s="142"/>
      <c r="BE23" s="142"/>
      <c r="BF23" s="94"/>
      <c r="BG23" s="142"/>
    </row>
    <row r="24" spans="1:59" x14ac:dyDescent="0.25">
      <c r="A24" s="76" t="s">
        <v>6</v>
      </c>
      <c r="B24" s="95">
        <v>4.4699999999999997E-2</v>
      </c>
      <c r="C24" s="95">
        <v>2.0799999999999999E-2</v>
      </c>
      <c r="D24" s="87">
        <f>D20*$B24</f>
        <v>1.1919188844000097</v>
      </c>
      <c r="E24" s="87">
        <f>E20*$B24</f>
        <v>18.673395855600152</v>
      </c>
      <c r="F24" s="96"/>
      <c r="G24" s="87">
        <f>G20*$B24</f>
        <v>6.8809193532000208</v>
      </c>
      <c r="H24" s="87">
        <f>H20*$B24</f>
        <v>107.80106986680032</v>
      </c>
      <c r="I24" s="96"/>
      <c r="J24" s="87">
        <f>J20*$B24</f>
        <v>19.709839915200018</v>
      </c>
      <c r="K24" s="87">
        <f>K20*$B24</f>
        <v>308.78749200480024</v>
      </c>
      <c r="L24" s="96"/>
      <c r="M24" s="87">
        <f t="shared" ref="M24:N26" si="5">M20*$C24</f>
        <v>19.267478131200011</v>
      </c>
      <c r="N24" s="87">
        <f t="shared" si="5"/>
        <v>259.97677338880015</v>
      </c>
      <c r="O24" s="96"/>
      <c r="P24" s="87">
        <f t="shared" ref="P24:Q26" si="6">P20*$C24</f>
        <v>25.423667443200006</v>
      </c>
      <c r="Q24" s="87">
        <f t="shared" si="6"/>
        <v>357.05898375680016</v>
      </c>
      <c r="R24" s="96"/>
      <c r="S24" s="87">
        <f t="shared" ref="S24:T26" si="7">S20*$C24</f>
        <v>33.64702336320002</v>
      </c>
      <c r="T24" s="87">
        <f t="shared" si="7"/>
        <v>450.38837933440016</v>
      </c>
      <c r="U24" s="96"/>
      <c r="V24" s="87">
        <f t="shared" ref="V24:W26" si="8">V20*$C24</f>
        <v>41.527921468800017</v>
      </c>
      <c r="W24" s="87">
        <f t="shared" si="8"/>
        <v>548.45497815680017</v>
      </c>
      <c r="X24" s="96"/>
      <c r="Y24" s="87">
        <f t="shared" ref="Y24:Z26" si="9">Y20*$C24</f>
        <v>46.648532112000005</v>
      </c>
      <c r="Z24" s="87">
        <f t="shared" si="9"/>
        <v>640.73925285760015</v>
      </c>
      <c r="AA24" s="96"/>
      <c r="AB24" s="87">
        <f t="shared" ref="AB24:AC26" si="10">AB20*$C24</f>
        <v>54.409319452800005</v>
      </c>
      <c r="AC24" s="87">
        <f t="shared" si="10"/>
        <v>741.47032003200013</v>
      </c>
      <c r="AD24" s="96"/>
      <c r="AE24" s="87">
        <f t="shared" ref="AE24:AF26" si="11">AE20*$C24</f>
        <v>48.71283780480001</v>
      </c>
      <c r="AF24" s="87">
        <f t="shared" si="11"/>
        <v>763.16786266240001</v>
      </c>
      <c r="AG24" s="96"/>
      <c r="AH24" s="87">
        <f t="shared" ref="AH24:AI26" si="12">AH20*$C24</f>
        <v>44.340943670400009</v>
      </c>
      <c r="AI24" s="87">
        <f>AI20*$C24</f>
        <v>694.67478416960012</v>
      </c>
      <c r="AJ24" s="96"/>
      <c r="AK24" s="87">
        <f>AK20*$C24</f>
        <v>39.812214000000012</v>
      </c>
      <c r="AL24" s="87">
        <f t="shared" ref="AL24" si="13">AL20*$C24</f>
        <v>623.72468600000013</v>
      </c>
      <c r="AM24" s="96"/>
      <c r="AN24" s="87">
        <f>'Trueup Calculation'!O17</f>
        <v>-2.4959999965131282E-6</v>
      </c>
      <c r="AO24" s="87">
        <f>'Trueup Calculation'!P17</f>
        <v>-3.9103999945372342E-5</v>
      </c>
      <c r="AP24" s="96"/>
      <c r="AQ24" s="87">
        <f>AQ20*$C24</f>
        <v>35.283484953600002</v>
      </c>
      <c r="AR24" s="87">
        <f t="shared" ref="AR24" si="14">AR20*$C24</f>
        <v>552.77459760640011</v>
      </c>
      <c r="AS24" s="96"/>
      <c r="AT24" s="87">
        <f t="shared" ref="AT24:AT26" si="15">+AQ24+AN24</f>
        <v>35.283482457600009</v>
      </c>
      <c r="AU24" s="87">
        <f t="shared" ref="AU24:AU26" si="16">+AR24+AO24</f>
        <v>552.77455850240017</v>
      </c>
      <c r="AV24" s="96"/>
      <c r="AW24" s="87">
        <f>AW20*$C24</f>
        <v>30.754756531200005</v>
      </c>
      <c r="AX24" s="87">
        <f t="shared" ref="AX24" si="17">AX20*$C24</f>
        <v>481.82451898880015</v>
      </c>
      <c r="AY24" s="96"/>
      <c r="AZ24" s="87">
        <f>AZ20*$C24</f>
        <v>26.226028108800012</v>
      </c>
      <c r="BA24" s="87">
        <f t="shared" ref="BA24" si="18">BA20*$C24</f>
        <v>410.87444037120019</v>
      </c>
      <c r="BB24" s="96"/>
      <c r="BC24" s="87">
        <f>BC20*$C24</f>
        <v>21.697299686400008</v>
      </c>
      <c r="BD24" s="87">
        <f t="shared" ref="BD24" si="19">BD20*$C24</f>
        <v>339.92436175360018</v>
      </c>
      <c r="BE24" s="96"/>
      <c r="BF24" s="87">
        <f>BF20*$C24</f>
        <v>17.168571264000015</v>
      </c>
      <c r="BG24" s="87">
        <f t="shared" ref="BG24" si="20">BG20*$C24</f>
        <v>268.97428313600022</v>
      </c>
    </row>
    <row r="25" spans="1:59" x14ac:dyDescent="0.25">
      <c r="A25" s="76" t="s">
        <v>7</v>
      </c>
      <c r="B25" s="95">
        <v>6.4399999999999999E-2</v>
      </c>
      <c r="C25" s="95">
        <v>5.0900000000000001E-2</v>
      </c>
      <c r="D25" s="87">
        <f t="shared" ref="D25:E26" si="21">D21*$B25</f>
        <v>24.041030563200202</v>
      </c>
      <c r="E25" s="87">
        <f t="shared" si="21"/>
        <v>376.64281215680313</v>
      </c>
      <c r="F25" s="96"/>
      <c r="G25" s="87">
        <f t="shared" ref="G25:H26" si="22">G21*$B25</f>
        <v>138.78829728960045</v>
      </c>
      <c r="H25" s="87">
        <f t="shared" si="22"/>
        <v>2174.3499908704071</v>
      </c>
      <c r="I25" s="96"/>
      <c r="J25" s="87">
        <f t="shared" ref="J25:K26" si="23">J21*$B25</f>
        <v>397.5479120256004</v>
      </c>
      <c r="K25" s="87">
        <f t="shared" si="23"/>
        <v>6228.2506217344062</v>
      </c>
      <c r="L25" s="96"/>
      <c r="M25" s="87">
        <f t="shared" si="5"/>
        <v>660.09639020640043</v>
      </c>
      <c r="N25" s="87">
        <f t="shared" si="5"/>
        <v>8906.7042652336058</v>
      </c>
      <c r="O25" s="96"/>
      <c r="P25" s="87">
        <f t="shared" si="6"/>
        <v>871.00506827040044</v>
      </c>
      <c r="Q25" s="87">
        <f t="shared" si="6"/>
        <v>12232.703453129607</v>
      </c>
      <c r="R25" s="96"/>
      <c r="S25" s="87">
        <f t="shared" si="7"/>
        <v>1152.7340792604007</v>
      </c>
      <c r="T25" s="87">
        <f t="shared" si="7"/>
        <v>15430.132649696809</v>
      </c>
      <c r="U25" s="96"/>
      <c r="V25" s="87">
        <f t="shared" si="8"/>
        <v>1422.7306172436006</v>
      </c>
      <c r="W25" s="87">
        <f t="shared" si="8"/>
        <v>18789.85660742961</v>
      </c>
      <c r="X25" s="96"/>
      <c r="Y25" s="87">
        <f t="shared" si="9"/>
        <v>1598.1607684140004</v>
      </c>
      <c r="Z25" s="87">
        <f t="shared" si="9"/>
        <v>21951.480364727209</v>
      </c>
      <c r="AA25" s="96"/>
      <c r="AB25" s="87">
        <f t="shared" si="10"/>
        <v>1864.0423577916004</v>
      </c>
      <c r="AC25" s="87">
        <f t="shared" si="10"/>
        <v>25402.487983404004</v>
      </c>
      <c r="AD25" s="96"/>
      <c r="AE25" s="87">
        <f t="shared" si="11"/>
        <v>1668.8830874856005</v>
      </c>
      <c r="AF25" s="87">
        <f t="shared" si="11"/>
        <v>26145.837448712806</v>
      </c>
      <c r="AG25" s="96"/>
      <c r="AH25" s="87">
        <f t="shared" si="12"/>
        <v>1519.1036759388005</v>
      </c>
      <c r="AI25" s="87">
        <f>AI21*$C25</f>
        <v>23799.290923041208</v>
      </c>
      <c r="AJ25" s="96"/>
      <c r="AK25" s="87">
        <f t="shared" ref="AK25:AL26" si="24">AK21*$C25</f>
        <v>1363.9511392500006</v>
      </c>
      <c r="AL25" s="87">
        <f t="shared" si="24"/>
        <v>21368.567848250008</v>
      </c>
      <c r="AM25" s="96"/>
      <c r="AN25" s="87">
        <f>'Trueup Calculation'!O18</f>
        <v>-8.5511999880541118E-5</v>
      </c>
      <c r="AO25" s="87">
        <f>'Trueup Calculation'!P18</f>
        <v>-1.3396879981284777E-3</v>
      </c>
      <c r="AP25" s="96"/>
      <c r="AQ25" s="87">
        <f t="shared" ref="AQ25:AR25" si="25">AQ21*$C25</f>
        <v>1208.7986239392005</v>
      </c>
      <c r="AR25" s="87">
        <f t="shared" si="25"/>
        <v>18937.845108380807</v>
      </c>
      <c r="AS25" s="96"/>
      <c r="AT25" s="87">
        <f t="shared" si="15"/>
        <v>1208.7985384272006</v>
      </c>
      <c r="AU25" s="87">
        <f t="shared" si="16"/>
        <v>18937.843768692808</v>
      </c>
      <c r="AV25" s="96"/>
      <c r="AW25" s="87">
        <f t="shared" ref="AW25:AX25" si="26">AW21*$C25</f>
        <v>1053.6461300064004</v>
      </c>
      <c r="AX25" s="87">
        <f t="shared" si="26"/>
        <v>16507.122703433604</v>
      </c>
      <c r="AY25" s="96"/>
      <c r="AZ25" s="87">
        <f t="shared" ref="AZ25:BA25" si="27">AZ21*$C25</f>
        <v>898.49363607360056</v>
      </c>
      <c r="BA25" s="87">
        <f t="shared" si="27"/>
        <v>14076.400298486407</v>
      </c>
      <c r="BB25" s="96"/>
      <c r="BC25" s="87">
        <f t="shared" ref="BC25:BD25" si="28">BC21*$C25</f>
        <v>743.34114214080046</v>
      </c>
      <c r="BD25" s="87">
        <f t="shared" si="28"/>
        <v>11645.677893539209</v>
      </c>
      <c r="BE25" s="96"/>
      <c r="BF25" s="87">
        <f t="shared" ref="BF25:BG25" si="29">BF21*$C25</f>
        <v>588.18864820800059</v>
      </c>
      <c r="BG25" s="87">
        <f t="shared" si="29"/>
        <v>9214.9554885920079</v>
      </c>
    </row>
    <row r="26" spans="1:59" x14ac:dyDescent="0.25">
      <c r="A26" s="76" t="s">
        <v>8</v>
      </c>
      <c r="B26" s="95">
        <v>8.5699999999999998E-2</v>
      </c>
      <c r="C26" s="95">
        <v>8.9300000000000004E-2</v>
      </c>
      <c r="D26" s="87">
        <f t="shared" si="21"/>
        <v>22.851778164000187</v>
      </c>
      <c r="E26" s="87">
        <f t="shared" si="21"/>
        <v>358.01119123600296</v>
      </c>
      <c r="F26" s="96"/>
      <c r="G26" s="87">
        <f t="shared" si="22"/>
        <v>131.92277149200041</v>
      </c>
      <c r="H26" s="87">
        <f t="shared" si="22"/>
        <v>2066.7900867080066</v>
      </c>
      <c r="I26" s="96"/>
      <c r="J26" s="87">
        <f t="shared" si="23"/>
        <v>377.8821657120003</v>
      </c>
      <c r="K26" s="87">
        <f t="shared" si="23"/>
        <v>5920.1539294880058</v>
      </c>
      <c r="L26" s="96"/>
      <c r="M26" s="87">
        <f t="shared" si="5"/>
        <v>827.20471015200042</v>
      </c>
      <c r="N26" s="87">
        <f t="shared" si="5"/>
        <v>11161.502819048008</v>
      </c>
      <c r="O26" s="96"/>
      <c r="P26" s="87">
        <f t="shared" si="6"/>
        <v>1091.5064916720005</v>
      </c>
      <c r="Q26" s="87">
        <f t="shared" si="6"/>
        <v>15329.503485328007</v>
      </c>
      <c r="R26" s="96"/>
      <c r="S26" s="87">
        <f t="shared" si="7"/>
        <v>1444.5573011220008</v>
      </c>
      <c r="T26" s="87">
        <f t="shared" si="7"/>
        <v>19336.385708924008</v>
      </c>
      <c r="U26" s="96"/>
      <c r="V26" s="87">
        <f t="shared" si="8"/>
        <v>1782.9054745980009</v>
      </c>
      <c r="W26" s="87">
        <f t="shared" si="8"/>
        <v>23546.64882182801</v>
      </c>
      <c r="X26" s="96"/>
      <c r="Y26" s="87">
        <f t="shared" si="9"/>
        <v>2002.7470757700003</v>
      </c>
      <c r="Z26" s="87">
        <f t="shared" si="9"/>
        <v>27508.661192396008</v>
      </c>
      <c r="AA26" s="96"/>
      <c r="AB26" s="87">
        <f t="shared" si="10"/>
        <v>2335.9385707380006</v>
      </c>
      <c r="AC26" s="87">
        <f t="shared" si="10"/>
        <v>31833.317105220001</v>
      </c>
      <c r="AD26" s="96"/>
      <c r="AE26" s="87">
        <f t="shared" si="11"/>
        <v>2091.3732769080007</v>
      </c>
      <c r="AF26" s="87">
        <f t="shared" si="11"/>
        <v>32764.851026804008</v>
      </c>
      <c r="AG26" s="96"/>
      <c r="AH26" s="87">
        <f t="shared" si="12"/>
        <v>1903.6760912340008</v>
      </c>
      <c r="AI26" s="87">
        <f t="shared" si="12"/>
        <v>29824.258762666006</v>
      </c>
      <c r="AJ26" s="96"/>
      <c r="AK26" s="87">
        <f t="shared" si="24"/>
        <v>1709.2455337500007</v>
      </c>
      <c r="AL26" s="87">
        <f t="shared" si="24"/>
        <v>26778.180028750012</v>
      </c>
      <c r="AM26" s="96"/>
      <c r="AN26" s="87">
        <f>'Trueup Calculation'!O19</f>
        <v>-1.071599998502992E-4</v>
      </c>
      <c r="AO26" s="87">
        <f>'Trueup Calculation'!P19</f>
        <v>-1.6788399976546877E-3</v>
      </c>
      <c r="AP26" s="96"/>
      <c r="AQ26" s="87">
        <f t="shared" ref="AQ26:AR26" si="30">AQ22*$C26</f>
        <v>1514.8150030560005</v>
      </c>
      <c r="AR26" s="87">
        <f t="shared" si="30"/>
        <v>23732.101714544006</v>
      </c>
      <c r="AS26" s="96"/>
      <c r="AT26" s="87">
        <f t="shared" si="15"/>
        <v>1514.8148958960007</v>
      </c>
      <c r="AU26" s="87">
        <f t="shared" si="16"/>
        <v>23732.100035704007</v>
      </c>
      <c r="AV26" s="96"/>
      <c r="AW26" s="87">
        <f t="shared" ref="AW26:AX26" si="31">AW22*$C26</f>
        <v>1320.3844991520004</v>
      </c>
      <c r="AX26" s="87">
        <f t="shared" si="31"/>
        <v>20686.023820048009</v>
      </c>
      <c r="AY26" s="96"/>
      <c r="AZ26" s="87">
        <f t="shared" ref="AZ26:BA26" si="32">AZ22*$C26</f>
        <v>1125.9539952480006</v>
      </c>
      <c r="BA26" s="87">
        <f t="shared" si="32"/>
        <v>17639.945925552009</v>
      </c>
      <c r="BB26" s="96"/>
      <c r="BC26" s="87">
        <f t="shared" ref="BC26:BD26" si="33">BC22*$C26</f>
        <v>931.52349134400049</v>
      </c>
      <c r="BD26" s="87">
        <f t="shared" si="33"/>
        <v>14593.868031056008</v>
      </c>
      <c r="BE26" s="96"/>
      <c r="BF26" s="87">
        <f t="shared" ref="BF26:BG26" si="34">BF22*$C26</f>
        <v>737.09298744000068</v>
      </c>
      <c r="BG26" s="87">
        <f t="shared" si="34"/>
        <v>11547.790136560012</v>
      </c>
    </row>
    <row r="27" spans="1:59" x14ac:dyDescent="0.25">
      <c r="A27" s="97" t="s">
        <v>95</v>
      </c>
      <c r="B27" s="76"/>
      <c r="C27" s="76"/>
      <c r="D27" s="98">
        <f>SUM(D24:D26)</f>
        <v>48.0847276116004</v>
      </c>
      <c r="E27" s="98">
        <f>SUM(E24:E26)</f>
        <v>753.32739924840621</v>
      </c>
      <c r="F27" s="76"/>
      <c r="G27" s="98">
        <f>SUM(G24:G26)</f>
        <v>277.59198813480089</v>
      </c>
      <c r="H27" s="98">
        <f>SUM(H24:H26)</f>
        <v>4348.9411474452136</v>
      </c>
      <c r="I27" s="76"/>
      <c r="J27" s="98">
        <f>SUM(J24:J26)</f>
        <v>795.1399176528007</v>
      </c>
      <c r="K27" s="98">
        <f>SUM(K24:K26)</f>
        <v>12457.192043227213</v>
      </c>
      <c r="L27" s="76"/>
      <c r="M27" s="98">
        <f>SUM(M24:M26)</f>
        <v>1506.5685784896009</v>
      </c>
      <c r="N27" s="98">
        <f>SUM(N24:N26)</f>
        <v>20328.183857670414</v>
      </c>
      <c r="O27" s="76"/>
      <c r="P27" s="98">
        <f>SUM(P24:P26)</f>
        <v>1987.9352273856009</v>
      </c>
      <c r="Q27" s="98">
        <f>SUM(Q24:Q26)</f>
        <v>27919.265922214414</v>
      </c>
      <c r="R27" s="76"/>
      <c r="S27" s="98">
        <f>SUM(S24:S26)</f>
        <v>2630.9384037456016</v>
      </c>
      <c r="T27" s="98">
        <f>SUM(T24:T26)</f>
        <v>35216.906737955214</v>
      </c>
      <c r="U27" s="76"/>
      <c r="V27" s="98">
        <f>SUM(V24:V26)</f>
        <v>3247.1640133104015</v>
      </c>
      <c r="W27" s="98">
        <f>SUM(W24:W26)</f>
        <v>42884.960407414415</v>
      </c>
      <c r="X27" s="76"/>
      <c r="Y27" s="98">
        <f>SUM(Y24:Y26)</f>
        <v>3647.556376296001</v>
      </c>
      <c r="Z27" s="98">
        <f>SUM(Z24:Z26)</f>
        <v>50100.880809980816</v>
      </c>
      <c r="AA27" s="76"/>
      <c r="AB27" s="98">
        <f>SUM(AB24:AB26)</f>
        <v>4254.390247982401</v>
      </c>
      <c r="AC27" s="98">
        <f>SUM(AC24:AC26)</f>
        <v>57977.275408656002</v>
      </c>
      <c r="AD27" s="76"/>
      <c r="AE27" s="98">
        <f>SUM(AE24:AE26)</f>
        <v>3808.969202198401</v>
      </c>
      <c r="AF27" s="98">
        <f>SUM(AF24:AF26)</f>
        <v>59673.856338179219</v>
      </c>
      <c r="AG27" s="76"/>
      <c r="AH27" s="98">
        <f>SUM(AH24:AH26)</f>
        <v>3467.1207108432013</v>
      </c>
      <c r="AI27" s="98">
        <f>SUM(AI24:AI26)</f>
        <v>54318.224469876819</v>
      </c>
      <c r="AJ27" s="76"/>
      <c r="AK27" s="98">
        <f>SUM(AK24:AK26)</f>
        <v>3113.0088870000013</v>
      </c>
      <c r="AL27" s="98">
        <f>SUM(AL24:AL26)</f>
        <v>48770.472563000018</v>
      </c>
      <c r="AM27" s="154"/>
      <c r="AN27" s="98">
        <f>SUM(AN24:AN26)</f>
        <v>-1.9516799972735344E-4</v>
      </c>
      <c r="AO27" s="98">
        <f>SUM(AO24:AO26)</f>
        <v>-3.0576319957285377E-3</v>
      </c>
      <c r="AP27" s="142"/>
      <c r="AQ27" s="98">
        <f>SUM(AQ24:AQ26)</f>
        <v>2758.897111948801</v>
      </c>
      <c r="AR27" s="98">
        <f>SUM(AR24:AR26)</f>
        <v>43222.721420531212</v>
      </c>
      <c r="AS27" s="154"/>
      <c r="AT27" s="98">
        <f>SUM(AT24:AT26)</f>
        <v>2758.8969167808013</v>
      </c>
      <c r="AU27" s="98">
        <f>SUM(AU24:AU26)</f>
        <v>43222.718362899213</v>
      </c>
      <c r="AV27" s="142"/>
      <c r="AW27" s="98">
        <f>SUM(AW24:AW26)</f>
        <v>2404.7853856896008</v>
      </c>
      <c r="AX27" s="98">
        <f>SUM(AX24:AX26)</f>
        <v>37674.97104247041</v>
      </c>
      <c r="AY27" s="142"/>
      <c r="AZ27" s="98">
        <f>SUM(AZ24:AZ26)</f>
        <v>2050.6736594304011</v>
      </c>
      <c r="BA27" s="98">
        <f>SUM(BA24:BA26)</f>
        <v>32127.220664409615</v>
      </c>
      <c r="BB27" s="142"/>
      <c r="BC27" s="98">
        <f>SUM(BC24:BC26)</f>
        <v>1696.561933171201</v>
      </c>
      <c r="BD27" s="98">
        <f>SUM(BD24:BD26)</f>
        <v>26579.470286348816</v>
      </c>
      <c r="BE27" s="142"/>
      <c r="BF27" s="98">
        <f>SUM(BF24:BF26)</f>
        <v>1342.4502069120012</v>
      </c>
      <c r="BG27" s="98">
        <f>SUM(BG24:BG26)</f>
        <v>21031.719908288018</v>
      </c>
    </row>
    <row r="28" spans="1:59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154"/>
      <c r="AN28" s="154"/>
      <c r="AO28" s="154"/>
      <c r="AP28" s="142"/>
      <c r="AQ28" s="142"/>
      <c r="AR28" s="142"/>
      <c r="AS28" s="154"/>
      <c r="AT28" s="154"/>
      <c r="AU28" s="154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</row>
    <row r="29" spans="1:59" x14ac:dyDescent="0.25">
      <c r="A29" s="76" t="s">
        <v>0</v>
      </c>
      <c r="B29" s="76"/>
      <c r="C29" s="76"/>
      <c r="D29" s="99">
        <f>D14+D15</f>
        <v>0</v>
      </c>
      <c r="E29" s="87">
        <f>E15</f>
        <v>0</v>
      </c>
      <c r="F29" s="76"/>
      <c r="G29" s="99">
        <f>G14+G15</f>
        <v>0</v>
      </c>
      <c r="H29" s="87">
        <f>H15</f>
        <v>0</v>
      </c>
      <c r="I29" s="76"/>
      <c r="J29" s="99">
        <f>J14+J15</f>
        <v>0</v>
      </c>
      <c r="K29" s="87">
        <f>K15</f>
        <v>0</v>
      </c>
      <c r="L29" s="76"/>
      <c r="M29" s="99">
        <f>M14+M15</f>
        <v>23800</v>
      </c>
      <c r="N29" s="87">
        <f>N15</f>
        <v>0</v>
      </c>
      <c r="O29" s="76"/>
      <c r="P29" s="99">
        <f>P14+P15</f>
        <v>23439</v>
      </c>
      <c r="Q29" s="87">
        <f>Q15</f>
        <v>0</v>
      </c>
      <c r="R29" s="76"/>
      <c r="S29" s="99">
        <f>S14+S15</f>
        <v>43614.930000000008</v>
      </c>
      <c r="T29" s="87">
        <f>T15</f>
        <v>0</v>
      </c>
      <c r="U29" s="76"/>
      <c r="V29" s="99">
        <f>V14+V15</f>
        <v>58049.83</v>
      </c>
      <c r="W29" s="87">
        <f>W15</f>
        <v>0</v>
      </c>
      <c r="X29" s="76"/>
      <c r="Y29" s="99">
        <f>Y14+Y15</f>
        <v>51195.53</v>
      </c>
      <c r="Z29" s="87">
        <f>Z15</f>
        <v>0</v>
      </c>
      <c r="AA29" s="76"/>
      <c r="AB29" s="99">
        <f>AB14+AB15</f>
        <v>63046.889999999992</v>
      </c>
      <c r="AC29" s="87">
        <f>AC15</f>
        <v>0</v>
      </c>
      <c r="AD29" s="76"/>
      <c r="AE29" s="99">
        <f>AE14+AE15</f>
        <v>-3.9999999999054126E-2</v>
      </c>
      <c r="AF29" s="87">
        <f>AF15</f>
        <v>0</v>
      </c>
      <c r="AG29" s="76"/>
      <c r="AH29" s="99">
        <f>AH14+AH15</f>
        <v>0</v>
      </c>
      <c r="AI29" s="87">
        <f>AI15</f>
        <v>0</v>
      </c>
      <c r="AJ29" s="76"/>
      <c r="AK29" s="99">
        <f>AK14+AK15</f>
        <v>0</v>
      </c>
      <c r="AL29" s="87">
        <f>AL15</f>
        <v>0</v>
      </c>
      <c r="AM29" s="154"/>
      <c r="AN29" s="87">
        <f>'Trueup Calculation'!O22</f>
        <v>0</v>
      </c>
      <c r="AO29" s="87">
        <f>'Trueup Calculation'!P22</f>
        <v>0</v>
      </c>
      <c r="AP29" s="142"/>
      <c r="AQ29" s="99">
        <f>AQ14+AQ15</f>
        <v>0</v>
      </c>
      <c r="AR29" s="87">
        <f>AR15</f>
        <v>0</v>
      </c>
      <c r="AS29" s="154"/>
      <c r="AT29" s="87">
        <f t="shared" ref="AT29:AT31" si="35">+AQ29+AN29</f>
        <v>0</v>
      </c>
      <c r="AU29" s="87">
        <f t="shared" ref="AU29:AU31" si="36">+AR29+AO29</f>
        <v>0</v>
      </c>
      <c r="AV29" s="142"/>
      <c r="AW29" s="99">
        <f>AW14+AW15</f>
        <v>0</v>
      </c>
      <c r="AX29" s="87">
        <f>AX15</f>
        <v>0</v>
      </c>
      <c r="AY29" s="142"/>
      <c r="AZ29" s="99">
        <f>AZ14+AZ15</f>
        <v>0</v>
      </c>
      <c r="BA29" s="87">
        <f>BA15</f>
        <v>0</v>
      </c>
      <c r="BB29" s="142"/>
      <c r="BC29" s="99">
        <f>BC14+BC15</f>
        <v>0</v>
      </c>
      <c r="BD29" s="87">
        <f>BD15</f>
        <v>0</v>
      </c>
      <c r="BE29" s="142"/>
      <c r="BF29" s="99">
        <f>BF14+BF15</f>
        <v>0</v>
      </c>
      <c r="BG29" s="87">
        <f>BG15</f>
        <v>0</v>
      </c>
    </row>
    <row r="30" spans="1:59" x14ac:dyDescent="0.25">
      <c r="A30" s="130" t="s">
        <v>9</v>
      </c>
      <c r="B30" s="184"/>
      <c r="C30" s="135">
        <v>766</v>
      </c>
      <c r="D30" s="87">
        <f>C30*D$12</f>
        <v>45.96</v>
      </c>
      <c r="E30" s="87">
        <f>C30*E$12</f>
        <v>720.04</v>
      </c>
      <c r="F30" s="83">
        <v>4476</v>
      </c>
      <c r="G30" s="87">
        <f>F30*G$12</f>
        <v>268.56</v>
      </c>
      <c r="H30" s="87">
        <f>F30*H$12</f>
        <v>4207.4399999999996</v>
      </c>
      <c r="I30" s="83">
        <v>13032</v>
      </c>
      <c r="J30" s="87">
        <f>I30*J$12</f>
        <v>781.92</v>
      </c>
      <c r="K30" s="87">
        <f>I30*K$12</f>
        <v>12250.08</v>
      </c>
      <c r="L30" s="83">
        <v>24186</v>
      </c>
      <c r="M30" s="87">
        <f>L30*M$12</f>
        <v>1451.1599999999999</v>
      </c>
      <c r="N30" s="87">
        <f>L30*N$12</f>
        <v>22734.84</v>
      </c>
      <c r="O30" s="83">
        <v>34414</v>
      </c>
      <c r="P30" s="87">
        <f>O30*P$12</f>
        <v>2064.84</v>
      </c>
      <c r="Q30" s="87">
        <f>O30*Q$12</f>
        <v>32349.16</v>
      </c>
      <c r="R30" s="140">
        <v>45017.909999999996</v>
      </c>
      <c r="S30" s="87">
        <f>R30*S$12</f>
        <v>2701.0745999999995</v>
      </c>
      <c r="T30" s="87">
        <f>R30*T$12</f>
        <v>42316.835399999996</v>
      </c>
      <c r="U30" s="140">
        <v>56770.31</v>
      </c>
      <c r="V30" s="87">
        <f>U30*V$12</f>
        <v>3406.2185999999997</v>
      </c>
      <c r="W30" s="87">
        <f>U30*W$12</f>
        <v>53364.091399999998</v>
      </c>
      <c r="X30" s="140">
        <v>68823.34</v>
      </c>
      <c r="Y30" s="87">
        <f>X30*Y$12</f>
        <v>4129.4003999999995</v>
      </c>
      <c r="Z30" s="87">
        <f>X30*Z$12</f>
        <v>64693.939599999991</v>
      </c>
      <c r="AA30" s="140">
        <v>82452.469999999972</v>
      </c>
      <c r="AB30" s="87">
        <f>AA30*AB$12</f>
        <v>4947.1481999999978</v>
      </c>
      <c r="AC30" s="87">
        <f>AA30*AC$12</f>
        <v>77505.321799999976</v>
      </c>
      <c r="AD30" s="140">
        <v>90616.989999999991</v>
      </c>
      <c r="AE30" s="87">
        <f>AD30*AE$12</f>
        <v>5437.0193999999992</v>
      </c>
      <c r="AF30" s="87">
        <f>AD30*AF$12</f>
        <v>85179.970599999986</v>
      </c>
      <c r="AG30" s="140">
        <v>90719.719999999987</v>
      </c>
      <c r="AH30" s="87">
        <f>AG30*AH$12</f>
        <v>5443.1831999999986</v>
      </c>
      <c r="AI30" s="87">
        <f>AG30*AI$12</f>
        <v>85276.536799999987</v>
      </c>
      <c r="AJ30" s="140">
        <f>-'Avg NFA'!M180</f>
        <v>90719.744999999995</v>
      </c>
      <c r="AK30" s="87">
        <f>AJ30*AK$12</f>
        <v>5443.1846999999998</v>
      </c>
      <c r="AL30" s="87">
        <f>AJ30*AL$12</f>
        <v>85276.560299999997</v>
      </c>
      <c r="AM30" s="140">
        <f>'Trueup Calculation'!N23</f>
        <v>0</v>
      </c>
      <c r="AN30" s="87">
        <f>'Trueup Calculation'!O23</f>
        <v>0</v>
      </c>
      <c r="AO30" s="87">
        <f>'Trueup Calculation'!P23</f>
        <v>0</v>
      </c>
      <c r="AP30" s="140">
        <f>-'Avg NFA'!N180</f>
        <v>90719.72</v>
      </c>
      <c r="AQ30" s="87">
        <f>AP30*AQ$12</f>
        <v>5443.1831999999995</v>
      </c>
      <c r="AR30" s="87">
        <f>AP30*AR$12</f>
        <v>85276.536800000002</v>
      </c>
      <c r="AS30" s="135">
        <f>AJ30+AM30</f>
        <v>90719.744999999995</v>
      </c>
      <c r="AT30" s="87">
        <f t="shared" si="35"/>
        <v>5443.1831999999995</v>
      </c>
      <c r="AU30" s="87">
        <f t="shared" si="36"/>
        <v>85276.536800000002</v>
      </c>
      <c r="AV30" s="140">
        <f>-'Avg NFA'!O180</f>
        <v>90719.719999999987</v>
      </c>
      <c r="AW30" s="87">
        <f>AV30*AW$12</f>
        <v>5443.1831999999986</v>
      </c>
      <c r="AX30" s="87">
        <f>AV30*AX$12</f>
        <v>85276.536799999987</v>
      </c>
      <c r="AY30" s="140">
        <f>-'Avg NFA'!P180</f>
        <v>90719.719999999987</v>
      </c>
      <c r="AZ30" s="87">
        <f>AY30*AZ$12</f>
        <v>5443.1831999999986</v>
      </c>
      <c r="BA30" s="87">
        <f>AY30*BA$12</f>
        <v>85276.536799999987</v>
      </c>
      <c r="BB30" s="140">
        <f>-'Avg NFA'!Q180</f>
        <v>90719.719999999987</v>
      </c>
      <c r="BC30" s="87">
        <f>BB30*BC$12</f>
        <v>5443.1831999999986</v>
      </c>
      <c r="BD30" s="87">
        <f>BB30*BD$12</f>
        <v>85276.536799999987</v>
      </c>
      <c r="BE30" s="140">
        <f>-'Avg NFA'!R180</f>
        <v>90719.719999999987</v>
      </c>
      <c r="BF30" s="87">
        <f>BE30*BF$12</f>
        <v>5443.1831999999986</v>
      </c>
      <c r="BG30" s="87">
        <f>BE30*BG$12</f>
        <v>85276.536799999987</v>
      </c>
    </row>
    <row r="31" spans="1:59" x14ac:dyDescent="0.25">
      <c r="A31" s="130" t="s">
        <v>10</v>
      </c>
      <c r="B31" s="184"/>
      <c r="C31" s="130"/>
      <c r="D31" s="83">
        <f>D58</f>
        <v>-35.178256303130347</v>
      </c>
      <c r="E31" s="83">
        <f>E58</f>
        <v>-551.12601541570871</v>
      </c>
      <c r="F31" s="76"/>
      <c r="G31" s="83">
        <f>G58</f>
        <v>-140.07397122886388</v>
      </c>
      <c r="H31" s="83">
        <f>H58</f>
        <v>-2194.4922159188673</v>
      </c>
      <c r="I31" s="76"/>
      <c r="J31" s="83">
        <f>J58</f>
        <v>-124.85095906618768</v>
      </c>
      <c r="K31" s="83">
        <f>K58</f>
        <v>-1955.9983587036054</v>
      </c>
      <c r="L31" s="76"/>
      <c r="M31" s="83">
        <f>M58</f>
        <v>105.98122033896368</v>
      </c>
      <c r="N31" s="83">
        <f>N58</f>
        <v>1012.1003776913844</v>
      </c>
      <c r="O31" s="76"/>
      <c r="P31" s="83">
        <f>P58</f>
        <v>309.90780940303364</v>
      </c>
      <c r="Q31" s="83">
        <f>Q58</f>
        <v>4216.7833074325608</v>
      </c>
      <c r="R31" s="100"/>
      <c r="S31" s="83">
        <f>S58</f>
        <v>451.96070210343908</v>
      </c>
      <c r="T31" s="83">
        <f>T58</f>
        <v>5892.7201393575369</v>
      </c>
      <c r="U31" s="100"/>
      <c r="V31" s="83">
        <f>V58</f>
        <v>565.8979644588735</v>
      </c>
      <c r="W31" s="83">
        <f>W58</f>
        <v>7284.5547888739011</v>
      </c>
      <c r="X31" s="100"/>
      <c r="Y31" s="83">
        <f>Y58</f>
        <v>653.28506642060938</v>
      </c>
      <c r="Z31" s="83">
        <f>Z58</f>
        <v>8840.3190198364737</v>
      </c>
      <c r="AA31" s="100"/>
      <c r="AB31" s="83">
        <f>AB58</f>
        <v>884.130224172054</v>
      </c>
      <c r="AC31" s="83">
        <f>AC58</f>
        <v>12134.081992803503</v>
      </c>
      <c r="AD31" s="100"/>
      <c r="AE31" s="83">
        <f>AE58</f>
        <v>971.66921379569953</v>
      </c>
      <c r="AF31" s="83">
        <f>AF58</f>
        <v>15222.818772332193</v>
      </c>
      <c r="AG31" s="100"/>
      <c r="AH31" s="83">
        <f>AH58</f>
        <v>997.23901234760842</v>
      </c>
      <c r="AI31" s="83">
        <f>AI58</f>
        <v>15623.411193445871</v>
      </c>
      <c r="AJ31" s="100"/>
      <c r="AK31" s="83">
        <f>AK58</f>
        <v>1059.2748359868758</v>
      </c>
      <c r="AL31" s="83">
        <f>AL58</f>
        <v>16595.305763794393</v>
      </c>
      <c r="AM31" s="100"/>
      <c r="AN31" s="87">
        <f>'Trueup Calculation'!O24</f>
        <v>94.232084861224962</v>
      </c>
      <c r="AO31" s="87">
        <f>'Trueup Calculation'!P24</f>
        <v>1476.3026628258576</v>
      </c>
      <c r="AP31" s="100"/>
      <c r="AQ31" s="83">
        <f>AQ58</f>
        <v>1110.7328937631505</v>
      </c>
      <c r="AR31" s="83">
        <f>AR58</f>
        <v>17401.482002289355</v>
      </c>
      <c r="AS31" s="100"/>
      <c r="AT31" s="87">
        <f t="shared" si="35"/>
        <v>1204.9649786243754</v>
      </c>
      <c r="AU31" s="87">
        <f t="shared" si="36"/>
        <v>18877.784665115214</v>
      </c>
      <c r="AV31" s="100"/>
      <c r="AW31" s="83">
        <f>AW58</f>
        <v>1152.4667498406384</v>
      </c>
      <c r="AX31" s="83">
        <f>AX58</f>
        <v>18055.312414170003</v>
      </c>
      <c r="AY31" s="100"/>
      <c r="AZ31" s="83">
        <f>AZ58</f>
        <v>1185.2538339179621</v>
      </c>
      <c r="BA31" s="83">
        <f>BA58</f>
        <v>18568.976731381408</v>
      </c>
      <c r="BB31" s="100"/>
      <c r="BC31" s="83">
        <f>BC58</f>
        <v>1209.809887755134</v>
      </c>
      <c r="BD31" s="83">
        <f>BD58</f>
        <v>18953.688241497101</v>
      </c>
      <c r="BE31" s="100"/>
      <c r="BF31" s="83">
        <f>BF58</f>
        <v>1226.7933937713667</v>
      </c>
      <c r="BG31" s="83">
        <f>BG58</f>
        <v>19219.763169084748</v>
      </c>
    </row>
    <row r="32" spans="1:59" x14ac:dyDescent="0.25">
      <c r="A32" s="130"/>
      <c r="B32" s="130"/>
      <c r="C32" s="130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154"/>
      <c r="AN32" s="154"/>
      <c r="AO32" s="154"/>
      <c r="AP32" s="142"/>
      <c r="AQ32" s="142"/>
      <c r="AR32" s="142"/>
      <c r="AS32" s="154"/>
      <c r="AT32" s="154"/>
      <c r="AU32" s="154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</row>
    <row r="33" spans="1:59" ht="15.75" thickBot="1" x14ac:dyDescent="0.3">
      <c r="A33" s="131" t="s">
        <v>11</v>
      </c>
      <c r="B33" s="130"/>
      <c r="C33" s="130"/>
      <c r="D33" s="101">
        <f>SUM(D27:D31)</f>
        <v>58.866471308470047</v>
      </c>
      <c r="E33" s="101">
        <f>SUM(E27:E31)</f>
        <v>922.24138383269747</v>
      </c>
      <c r="F33" s="76"/>
      <c r="G33" s="101">
        <f>SUM(G27:G31)</f>
        <v>406.07801690593692</v>
      </c>
      <c r="H33" s="101">
        <f>SUM(H27:H31)</f>
        <v>6361.888931526345</v>
      </c>
      <c r="I33" s="76"/>
      <c r="J33" s="101">
        <f>SUM(J27:J31)</f>
        <v>1452.2089585866131</v>
      </c>
      <c r="K33" s="101">
        <f>SUM(K27:K31)</f>
        <v>22751.273684523607</v>
      </c>
      <c r="L33" s="76"/>
      <c r="M33" s="101">
        <f>SUM(M27:M31)</f>
        <v>26863.709798828564</v>
      </c>
      <c r="N33" s="101">
        <f>SUM(N27:N31)</f>
        <v>44075.1242353618</v>
      </c>
      <c r="O33" s="76"/>
      <c r="P33" s="101">
        <f>SUM(P27:P31)</f>
        <v>27801.683036788636</v>
      </c>
      <c r="Q33" s="101">
        <f>SUM(Q27:Q31)</f>
        <v>64485.209229646978</v>
      </c>
      <c r="R33" s="76"/>
      <c r="S33" s="101">
        <f>SUM(S27:S31)</f>
        <v>49398.90370584905</v>
      </c>
      <c r="T33" s="101">
        <f>SUM(T27:T31)</f>
        <v>83426.462277312748</v>
      </c>
      <c r="U33" s="76"/>
      <c r="V33" s="101">
        <f>SUM(V27:V31)</f>
        <v>65269.110577769279</v>
      </c>
      <c r="W33" s="101">
        <f>SUM(W27:W31)</f>
        <v>103533.60659628831</v>
      </c>
      <c r="X33" s="76"/>
      <c r="Y33" s="101">
        <f>SUM(Y27:Y31)</f>
        <v>59625.771842716611</v>
      </c>
      <c r="Z33" s="101">
        <f>SUM(Z27:Z31)</f>
        <v>123635.13942981728</v>
      </c>
      <c r="AA33" s="76"/>
      <c r="AB33" s="101">
        <f>SUM(AB27:AB31)</f>
        <v>73132.558672154439</v>
      </c>
      <c r="AC33" s="101">
        <f>SUM(AC27:AC31)</f>
        <v>147616.67920145945</v>
      </c>
      <c r="AD33" s="76"/>
      <c r="AE33" s="101">
        <f>SUM(AE27:AE31)</f>
        <v>10217.617815994101</v>
      </c>
      <c r="AF33" s="101">
        <f>SUM(AF27:AF31)</f>
        <v>160076.6457105114</v>
      </c>
      <c r="AG33" s="76"/>
      <c r="AH33" s="101">
        <f>SUM(AH27:AH31)</f>
        <v>9907.5429231908092</v>
      </c>
      <c r="AI33" s="101">
        <f>SUM(AI27:AI31)</f>
        <v>155218.17246332267</v>
      </c>
      <c r="AJ33" s="76"/>
      <c r="AK33" s="101">
        <f>SUM(AK27:AK31)</f>
        <v>9615.4684229868781</v>
      </c>
      <c r="AL33" s="101">
        <f>SUM(AL27:AL31)</f>
        <v>150642.3386267944</v>
      </c>
      <c r="AM33" s="154"/>
      <c r="AN33" s="101">
        <f>SUM(AN27:AN31)</f>
        <v>94.231889693225241</v>
      </c>
      <c r="AO33" s="101">
        <f>SUM(AO27:AO31)</f>
        <v>1476.2996051938619</v>
      </c>
      <c r="AP33" s="142"/>
      <c r="AQ33" s="101">
        <f>SUM(AQ27:AQ31)</f>
        <v>9312.813205711951</v>
      </c>
      <c r="AR33" s="101">
        <f>SUM(AR27:AR31)</f>
        <v>145900.74022282058</v>
      </c>
      <c r="AS33" s="154"/>
      <c r="AT33" s="101">
        <f>SUM(AT27:AT31)</f>
        <v>9407.0450954051757</v>
      </c>
      <c r="AU33" s="101">
        <f>SUM(AU27:AU31)</f>
        <v>147377.03982801441</v>
      </c>
      <c r="AV33" s="142"/>
      <c r="AW33" s="101">
        <f>SUM(AW27:AW31)</f>
        <v>9000.4353355302374</v>
      </c>
      <c r="AX33" s="101">
        <f>SUM(AX27:AX31)</f>
        <v>141006.82025664041</v>
      </c>
      <c r="AY33" s="142"/>
      <c r="AZ33" s="101">
        <f>SUM(AZ27:AZ31)</f>
        <v>8679.1106933483625</v>
      </c>
      <c r="BA33" s="101">
        <f>SUM(BA27:BA31)</f>
        <v>135972.73419579101</v>
      </c>
      <c r="BB33" s="142"/>
      <c r="BC33" s="101">
        <f>SUM(BC27:BC31)</f>
        <v>8349.5550209263347</v>
      </c>
      <c r="BD33" s="101">
        <f>SUM(BD27:BD31)</f>
        <v>130809.69532784591</v>
      </c>
      <c r="BE33" s="142"/>
      <c r="BF33" s="101">
        <f>SUM(BF27:BF31)</f>
        <v>8012.4268006833672</v>
      </c>
      <c r="BG33" s="101">
        <f>SUM(BG27:BG31)</f>
        <v>125528.01987737276</v>
      </c>
    </row>
    <row r="34" spans="1:59" x14ac:dyDescent="0.25">
      <c r="A34" s="130"/>
      <c r="B34" s="130"/>
      <c r="C34" s="130"/>
      <c r="D34" s="87"/>
      <c r="E34" s="87"/>
      <c r="F34" s="76"/>
      <c r="G34" s="87"/>
      <c r="H34" s="87"/>
      <c r="I34" s="76"/>
      <c r="J34" s="87"/>
      <c r="K34" s="87"/>
      <c r="L34" s="76"/>
      <c r="M34" s="87"/>
      <c r="N34" s="87"/>
      <c r="O34" s="76"/>
      <c r="P34" s="87"/>
      <c r="Q34" s="87"/>
      <c r="R34" s="76"/>
      <c r="S34" s="87"/>
      <c r="T34" s="87"/>
      <c r="U34" s="76"/>
      <c r="V34" s="87"/>
      <c r="W34" s="87"/>
      <c r="X34" s="76"/>
      <c r="Y34" s="87"/>
      <c r="Z34" s="87"/>
      <c r="AA34" s="76"/>
      <c r="AB34" s="87"/>
      <c r="AC34" s="87"/>
      <c r="AD34" s="76"/>
      <c r="AE34" s="87"/>
      <c r="AF34" s="87"/>
      <c r="AG34" s="76"/>
      <c r="AH34" s="87"/>
      <c r="AI34" s="87"/>
      <c r="AJ34" s="76"/>
      <c r="AK34" s="87"/>
      <c r="AL34" s="87"/>
      <c r="AM34" s="154"/>
      <c r="AN34" s="87"/>
      <c r="AO34" s="87"/>
      <c r="AP34" s="142"/>
      <c r="AQ34" s="87"/>
      <c r="AR34" s="87"/>
      <c r="AS34" s="154"/>
      <c r="AT34" s="87"/>
      <c r="AU34" s="87"/>
      <c r="AV34" s="142"/>
      <c r="AW34" s="87"/>
      <c r="AX34" s="87"/>
      <c r="AY34" s="142"/>
      <c r="AZ34" s="87"/>
      <c r="BA34" s="87"/>
      <c r="BB34" s="142"/>
      <c r="BC34" s="87"/>
      <c r="BD34" s="87"/>
      <c r="BE34" s="142"/>
      <c r="BF34" s="87"/>
      <c r="BG34" s="87"/>
    </row>
    <row r="35" spans="1:59" x14ac:dyDescent="0.25">
      <c r="A35" s="130"/>
      <c r="B35" s="132"/>
      <c r="C35" s="130"/>
      <c r="D35" s="87"/>
      <c r="E35" s="76"/>
      <c r="F35" s="76"/>
      <c r="G35" s="87"/>
      <c r="H35" s="76"/>
      <c r="I35" s="76"/>
      <c r="J35" s="87"/>
      <c r="K35" s="76"/>
      <c r="L35" s="76"/>
      <c r="M35" s="87"/>
      <c r="N35" s="76"/>
      <c r="O35" s="76"/>
      <c r="P35" s="87"/>
      <c r="Q35" s="76"/>
      <c r="R35" s="87"/>
      <c r="S35" s="76"/>
      <c r="T35" s="87"/>
      <c r="U35" s="87"/>
      <c r="V35" s="76"/>
      <c r="W35" s="87"/>
      <c r="X35" s="87"/>
      <c r="Y35" s="76"/>
      <c r="Z35" s="87"/>
      <c r="AA35" s="87"/>
      <c r="AB35" s="76"/>
      <c r="AC35" s="87"/>
      <c r="AD35" s="87"/>
      <c r="AE35" s="76"/>
      <c r="AF35" s="87"/>
      <c r="AG35" s="87"/>
      <c r="AH35" s="76"/>
      <c r="AI35" s="87"/>
      <c r="AJ35" s="87"/>
      <c r="AK35" s="76"/>
      <c r="AL35" s="87"/>
      <c r="AM35" s="87"/>
      <c r="AN35" s="154"/>
      <c r="AO35" s="87"/>
      <c r="AP35" s="87"/>
      <c r="AQ35" s="142"/>
      <c r="AR35" s="87"/>
      <c r="AS35" s="87"/>
      <c r="AT35" s="154"/>
      <c r="AU35" s="87"/>
      <c r="AV35" s="87"/>
      <c r="AW35" s="142"/>
      <c r="AX35" s="87"/>
      <c r="AY35" s="87"/>
      <c r="AZ35" s="142"/>
      <c r="BA35" s="87"/>
      <c r="BB35" s="87"/>
      <c r="BC35" s="142"/>
      <c r="BD35" s="87"/>
      <c r="BE35" s="87"/>
      <c r="BF35" s="142"/>
      <c r="BG35" s="87"/>
    </row>
    <row r="36" spans="1:59" x14ac:dyDescent="0.25">
      <c r="A36" s="130" t="s">
        <v>12</v>
      </c>
      <c r="B36" s="132"/>
      <c r="C36" s="130"/>
      <c r="D36" s="87"/>
      <c r="E36" s="98">
        <f>E33</f>
        <v>922.24138383269747</v>
      </c>
      <c r="F36" s="76"/>
      <c r="G36" s="87"/>
      <c r="H36" s="98">
        <f>H33</f>
        <v>6361.888931526345</v>
      </c>
      <c r="I36" s="76"/>
      <c r="J36" s="87"/>
      <c r="K36" s="98">
        <f>K33</f>
        <v>22751.273684523607</v>
      </c>
      <c r="L36" s="76"/>
      <c r="M36" s="87"/>
      <c r="N36" s="98">
        <f>N33</f>
        <v>44075.1242353618</v>
      </c>
      <c r="O36" s="76"/>
      <c r="P36" s="87"/>
      <c r="Q36" s="98">
        <f>Q33</f>
        <v>64485.209229646978</v>
      </c>
      <c r="R36" s="87"/>
      <c r="S36" s="76"/>
      <c r="T36" s="98">
        <f>T33</f>
        <v>83426.462277312748</v>
      </c>
      <c r="U36" s="87"/>
      <c r="V36" s="76"/>
      <c r="W36" s="98">
        <f>W33</f>
        <v>103533.60659628831</v>
      </c>
      <c r="X36" s="87"/>
      <c r="Y36" s="76"/>
      <c r="Z36" s="98">
        <f>Z33</f>
        <v>123635.13942981728</v>
      </c>
      <c r="AA36" s="87"/>
      <c r="AB36" s="76"/>
      <c r="AC36" s="98">
        <f>AC33</f>
        <v>147616.67920145945</v>
      </c>
      <c r="AD36" s="87"/>
      <c r="AE36" s="76"/>
      <c r="AF36" s="98">
        <f>AF33</f>
        <v>160076.6457105114</v>
      </c>
      <c r="AG36" s="87"/>
      <c r="AH36" s="76"/>
      <c r="AI36" s="98">
        <f>AI33</f>
        <v>155218.17246332267</v>
      </c>
      <c r="AJ36" s="87"/>
      <c r="AK36" s="76"/>
      <c r="AL36" s="98">
        <f>AL33</f>
        <v>150642.3386267944</v>
      </c>
      <c r="AM36" s="87"/>
      <c r="AN36" s="154"/>
      <c r="AO36" s="98">
        <f>AO33</f>
        <v>1476.2996051938619</v>
      </c>
      <c r="AP36" s="87"/>
      <c r="AQ36" s="142"/>
      <c r="AR36" s="98">
        <f>AR33</f>
        <v>145900.74022282058</v>
      </c>
      <c r="AS36" s="87"/>
      <c r="AT36" s="154"/>
      <c r="AU36" s="98">
        <f>AU33</f>
        <v>147377.03982801441</v>
      </c>
      <c r="AV36" s="87"/>
      <c r="AW36" s="142"/>
      <c r="AX36" s="98">
        <f>AX33</f>
        <v>141006.82025664041</v>
      </c>
      <c r="AY36" s="87"/>
      <c r="AZ36" s="142"/>
      <c r="BA36" s="98">
        <f>BA33</f>
        <v>135972.73419579101</v>
      </c>
      <c r="BB36" s="87"/>
      <c r="BC36" s="142"/>
      <c r="BD36" s="98">
        <f>BD33</f>
        <v>130809.69532784591</v>
      </c>
      <c r="BE36" s="87"/>
      <c r="BF36" s="142"/>
      <c r="BG36" s="98">
        <f>BG33</f>
        <v>125528.01987737276</v>
      </c>
    </row>
    <row r="37" spans="1:59" x14ac:dyDescent="0.25">
      <c r="A37" s="130"/>
      <c r="B37" s="187"/>
      <c r="C37" s="130"/>
      <c r="D37" s="102"/>
      <c r="E37" s="76"/>
      <c r="F37" s="76"/>
      <c r="G37" s="102"/>
      <c r="H37" s="76"/>
      <c r="I37" s="76"/>
      <c r="J37" s="102"/>
      <c r="K37" s="76"/>
      <c r="L37" s="76"/>
      <c r="M37" s="102"/>
      <c r="N37" s="76"/>
      <c r="O37" s="76"/>
      <c r="P37" s="102"/>
      <c r="Q37" s="76"/>
      <c r="R37" s="76"/>
      <c r="S37" s="103"/>
      <c r="T37" s="76"/>
      <c r="U37" s="76"/>
      <c r="V37" s="103"/>
      <c r="W37" s="76"/>
      <c r="X37" s="76"/>
      <c r="Y37" s="103"/>
      <c r="Z37" s="76"/>
      <c r="AA37" s="76"/>
      <c r="AB37" s="103"/>
      <c r="AC37" s="76"/>
      <c r="AD37" s="76"/>
      <c r="AE37" s="103"/>
      <c r="AF37" s="76"/>
      <c r="AG37" s="76"/>
      <c r="AH37" s="103"/>
      <c r="AI37" s="76"/>
      <c r="AJ37" s="76"/>
      <c r="AK37" s="103"/>
      <c r="AL37" s="76"/>
      <c r="AM37" s="154"/>
      <c r="AN37" s="103"/>
      <c r="AO37" s="154"/>
      <c r="AP37" s="142"/>
      <c r="AQ37" s="103"/>
      <c r="AR37" s="142"/>
      <c r="AS37" s="154"/>
      <c r="AT37" s="103"/>
      <c r="AU37" s="154"/>
      <c r="AV37" s="142"/>
      <c r="AW37" s="103"/>
      <c r="AX37" s="142"/>
      <c r="AY37" s="142"/>
      <c r="AZ37" s="103"/>
      <c r="BA37" s="142"/>
      <c r="BB37" s="142"/>
      <c r="BC37" s="103"/>
      <c r="BD37" s="142"/>
      <c r="BE37" s="142"/>
      <c r="BF37" s="103"/>
      <c r="BG37" s="142"/>
    </row>
    <row r="38" spans="1:59" x14ac:dyDescent="0.25">
      <c r="A38" s="130" t="s">
        <v>96</v>
      </c>
      <c r="B38" s="130"/>
      <c r="C38" s="135"/>
      <c r="D38" s="83"/>
      <c r="E38" s="98">
        <f>E36/12</f>
        <v>76.853448652724794</v>
      </c>
      <c r="F38" s="83"/>
      <c r="G38" s="83"/>
      <c r="H38" s="98">
        <f>H36/12</f>
        <v>530.15741096052875</v>
      </c>
      <c r="I38" s="83"/>
      <c r="J38" s="83"/>
      <c r="K38" s="98">
        <f>K36/12</f>
        <v>1895.9394737103005</v>
      </c>
      <c r="L38" s="83"/>
      <c r="M38" s="83"/>
      <c r="N38" s="98">
        <f>N36/12</f>
        <v>3672.9270196134835</v>
      </c>
      <c r="O38" s="83"/>
      <c r="P38" s="83"/>
      <c r="Q38" s="98">
        <f>Q36/12</f>
        <v>5373.7674358039149</v>
      </c>
      <c r="R38" s="83"/>
      <c r="S38" s="76"/>
      <c r="T38" s="98">
        <f>T36/12</f>
        <v>6952.2051897760621</v>
      </c>
      <c r="U38" s="83"/>
      <c r="V38" s="76"/>
      <c r="W38" s="98">
        <f>W36/12</f>
        <v>8627.8005496906935</v>
      </c>
      <c r="X38" s="83"/>
      <c r="Y38" s="76"/>
      <c r="Z38" s="104">
        <f>Z36/12</f>
        <v>10302.928285818107</v>
      </c>
      <c r="AA38" s="83"/>
      <c r="AB38" s="76"/>
      <c r="AC38" s="98">
        <f>AC36/12</f>
        <v>12301.389933454955</v>
      </c>
      <c r="AD38" s="83"/>
      <c r="AE38" s="76"/>
      <c r="AF38" s="98">
        <f>AF36/12</f>
        <v>13339.720475875949</v>
      </c>
      <c r="AG38" s="83"/>
      <c r="AH38" s="76"/>
      <c r="AI38" s="98">
        <f>AI36/12</f>
        <v>12934.847705276889</v>
      </c>
      <c r="AJ38" s="83"/>
      <c r="AK38" s="76"/>
      <c r="AL38" s="98">
        <f>AL36/12</f>
        <v>12553.528218899533</v>
      </c>
      <c r="AM38" s="83"/>
      <c r="AN38" s="154"/>
      <c r="AO38" s="98">
        <f>AO36/12</f>
        <v>123.02496709948849</v>
      </c>
      <c r="AP38" s="83"/>
      <c r="AQ38" s="142"/>
      <c r="AR38" s="98">
        <f>AR36/12</f>
        <v>12158.395018568381</v>
      </c>
      <c r="AS38" s="83"/>
      <c r="AT38" s="154"/>
      <c r="AU38" s="98">
        <f>AU36/12</f>
        <v>12281.419985667868</v>
      </c>
      <c r="AV38" s="83"/>
      <c r="AW38" s="142"/>
      <c r="AX38" s="98">
        <f>AX36/12</f>
        <v>11750.568354720033</v>
      </c>
      <c r="AY38" s="83"/>
      <c r="AZ38" s="142"/>
      <c r="BA38" s="98">
        <f>BA36/12</f>
        <v>11331.061182982585</v>
      </c>
      <c r="BB38" s="83"/>
      <c r="BC38" s="142"/>
      <c r="BD38" s="98">
        <f>BD36/12</f>
        <v>10900.80794398716</v>
      </c>
      <c r="BE38" s="83"/>
      <c r="BF38" s="142"/>
      <c r="BG38" s="98">
        <f>BG36/12</f>
        <v>10460.668323114396</v>
      </c>
    </row>
    <row r="39" spans="1:59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3"/>
      <c r="O39" s="83"/>
      <c r="P39" s="83"/>
      <c r="Q39" s="105"/>
      <c r="R39" s="83"/>
      <c r="S39" s="76"/>
      <c r="T39" s="83"/>
      <c r="U39" s="83"/>
      <c r="V39" s="76"/>
      <c r="W39" s="76"/>
    </row>
    <row r="40" spans="1:59" ht="12.75" customHeight="1" x14ac:dyDescent="0.25">
      <c r="A40" s="199" t="s">
        <v>97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Z40" s="129"/>
      <c r="AC40" s="129"/>
      <c r="AF40" s="129"/>
      <c r="AI40" s="129"/>
      <c r="AO40" s="129"/>
      <c r="AU40" s="129"/>
    </row>
    <row r="41" spans="1:59" ht="12.75" customHeight="1" x14ac:dyDescent="0.25">
      <c r="A41" s="106" t="s">
        <v>98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AL41" s="129"/>
      <c r="AS41" s="129"/>
      <c r="AT41" s="129"/>
      <c r="AU41" s="129"/>
    </row>
    <row r="42" spans="1:59" x14ac:dyDescent="0.25">
      <c r="A42" s="199" t="s">
        <v>99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</row>
    <row r="43" spans="1:59" x14ac:dyDescent="0.25">
      <c r="A43" s="200"/>
      <c r="B43" s="200"/>
      <c r="C43" s="76"/>
      <c r="D43" s="76"/>
      <c r="E43" s="87"/>
      <c r="F43" s="76"/>
      <c r="G43" s="76"/>
      <c r="H43" s="76"/>
      <c r="I43" s="76"/>
      <c r="J43" s="76"/>
      <c r="K43" s="76"/>
      <c r="L43" s="76"/>
      <c r="M43" s="76"/>
      <c r="N43" s="78"/>
      <c r="O43" s="78"/>
      <c r="P43" s="78"/>
      <c r="Q43" s="78"/>
      <c r="R43" s="76"/>
      <c r="S43" s="76"/>
      <c r="T43" s="76"/>
      <c r="U43" s="76"/>
      <c r="V43" s="76"/>
      <c r="W43" s="76"/>
    </row>
    <row r="44" spans="1:59" ht="16.5" thickBot="1" x14ac:dyDescent="0.3">
      <c r="A44" s="108" t="s">
        <v>64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8"/>
      <c r="O44" s="78"/>
      <c r="P44" s="78"/>
      <c r="Q44" s="78"/>
      <c r="R44" s="76"/>
      <c r="S44" s="76"/>
      <c r="T44" s="76"/>
      <c r="U44" s="76"/>
      <c r="V44" s="76"/>
      <c r="W44" s="76"/>
      <c r="AJ44" s="160"/>
      <c r="AN44" s="160"/>
      <c r="AO44" s="160"/>
    </row>
    <row r="45" spans="1:59" ht="15.75" thickBot="1" x14ac:dyDescent="0.3">
      <c r="A45" s="109"/>
      <c r="B45" s="76"/>
      <c r="C45" s="76"/>
      <c r="D45" s="191">
        <v>2010</v>
      </c>
      <c r="E45" s="192"/>
      <c r="F45" s="76"/>
      <c r="G45" s="191">
        <v>2011</v>
      </c>
      <c r="H45" s="192"/>
      <c r="I45" s="76"/>
      <c r="J45" s="191">
        <v>2012</v>
      </c>
      <c r="K45" s="192"/>
      <c r="L45" s="76"/>
      <c r="M45" s="191">
        <v>2013</v>
      </c>
      <c r="N45" s="192"/>
      <c r="O45" s="76"/>
      <c r="P45" s="191">
        <v>2014</v>
      </c>
      <c r="Q45" s="192"/>
      <c r="R45" s="76"/>
      <c r="S45" s="191">
        <v>2015</v>
      </c>
      <c r="T45" s="192"/>
      <c r="U45" s="76"/>
      <c r="V45" s="191">
        <f>S45+1</f>
        <v>2016</v>
      </c>
      <c r="W45" s="192"/>
      <c r="Y45" s="191">
        <f>V45+1</f>
        <v>2017</v>
      </c>
      <c r="Z45" s="192"/>
      <c r="AB45" s="191">
        <f>Y45+1</f>
        <v>2018</v>
      </c>
      <c r="AC45" s="192"/>
      <c r="AE45" s="191">
        <f>AB45+1</f>
        <v>2019</v>
      </c>
      <c r="AF45" s="192"/>
      <c r="AH45" s="191">
        <f>AE45+1</f>
        <v>2020</v>
      </c>
      <c r="AI45" s="192"/>
      <c r="AJ45" s="160"/>
      <c r="AK45" s="191">
        <f>AH45+1</f>
        <v>2021</v>
      </c>
      <c r="AL45" s="192"/>
      <c r="AN45" s="174"/>
      <c r="AO45" s="174"/>
      <c r="AQ45" s="191">
        <f>AK45+1</f>
        <v>2022</v>
      </c>
      <c r="AR45" s="192"/>
      <c r="AS45" s="155"/>
      <c r="AT45" s="155"/>
      <c r="AU45" s="155"/>
      <c r="AW45" s="191">
        <f>AQ45+1</f>
        <v>2023</v>
      </c>
      <c r="AX45" s="192"/>
      <c r="AZ45" s="191">
        <f>AW45+1</f>
        <v>2024</v>
      </c>
      <c r="BA45" s="192"/>
      <c r="BC45" s="191">
        <f>AZ45+1</f>
        <v>2025</v>
      </c>
      <c r="BD45" s="192"/>
      <c r="BF45" s="191">
        <f>BC45+1</f>
        <v>2026</v>
      </c>
      <c r="BG45" s="192"/>
    </row>
    <row r="46" spans="1:59" x14ac:dyDescent="0.25">
      <c r="A46" s="110" t="s">
        <v>100</v>
      </c>
      <c r="B46" s="76"/>
      <c r="C46" s="76"/>
      <c r="D46" s="69" t="s">
        <v>88</v>
      </c>
      <c r="E46" s="77" t="s">
        <v>89</v>
      </c>
      <c r="F46" s="76"/>
      <c r="G46" s="69" t="s">
        <v>88</v>
      </c>
      <c r="H46" s="77" t="s">
        <v>89</v>
      </c>
      <c r="I46" s="76"/>
      <c r="J46" s="69" t="s">
        <v>88</v>
      </c>
      <c r="K46" s="77" t="s">
        <v>89</v>
      </c>
      <c r="L46" s="76"/>
      <c r="M46" s="69" t="s">
        <v>88</v>
      </c>
      <c r="N46" s="77" t="s">
        <v>89</v>
      </c>
      <c r="O46" s="76"/>
      <c r="P46" s="69" t="s">
        <v>88</v>
      </c>
      <c r="Q46" s="77" t="s">
        <v>89</v>
      </c>
      <c r="R46" s="76"/>
      <c r="S46" s="69" t="s">
        <v>88</v>
      </c>
      <c r="T46" s="77" t="s">
        <v>89</v>
      </c>
      <c r="U46" s="76"/>
      <c r="V46" s="69" t="s">
        <v>88</v>
      </c>
      <c r="W46" s="77" t="s">
        <v>89</v>
      </c>
      <c r="Y46" s="69" t="s">
        <v>88</v>
      </c>
      <c r="Z46" s="77" t="s">
        <v>89</v>
      </c>
      <c r="AB46" s="69" t="s">
        <v>88</v>
      </c>
      <c r="AC46" s="77" t="s">
        <v>89</v>
      </c>
      <c r="AE46" s="69" t="s">
        <v>88</v>
      </c>
      <c r="AF46" s="77" t="s">
        <v>89</v>
      </c>
      <c r="AH46" s="69" t="s">
        <v>88</v>
      </c>
      <c r="AI46" s="77" t="s">
        <v>89</v>
      </c>
      <c r="AJ46" s="160"/>
      <c r="AK46" s="69" t="s">
        <v>88</v>
      </c>
      <c r="AL46" s="77" t="s">
        <v>89</v>
      </c>
      <c r="AN46" s="161"/>
      <c r="AO46" s="162"/>
      <c r="AQ46" s="69" t="s">
        <v>88</v>
      </c>
      <c r="AR46" s="77" t="s">
        <v>89</v>
      </c>
      <c r="AS46" s="77"/>
      <c r="AT46" s="77"/>
      <c r="AU46" s="77"/>
      <c r="AW46" s="69" t="s">
        <v>88</v>
      </c>
      <c r="AX46" s="77" t="s">
        <v>89</v>
      </c>
      <c r="AZ46" s="69" t="s">
        <v>88</v>
      </c>
      <c r="BA46" s="77" t="s">
        <v>89</v>
      </c>
      <c r="BC46" s="69" t="s">
        <v>88</v>
      </c>
      <c r="BD46" s="77" t="s">
        <v>89</v>
      </c>
      <c r="BF46" s="69" t="s">
        <v>88</v>
      </c>
      <c r="BG46" s="77" t="s">
        <v>89</v>
      </c>
    </row>
    <row r="47" spans="1:59" x14ac:dyDescent="0.25">
      <c r="A47" s="111"/>
      <c r="B47" s="76"/>
      <c r="C47" s="76"/>
      <c r="D47" s="69"/>
      <c r="E47" s="77"/>
      <c r="F47" s="79"/>
      <c r="G47" s="69"/>
      <c r="H47" s="77"/>
      <c r="I47" s="79"/>
      <c r="J47" s="69"/>
      <c r="K47" s="77"/>
      <c r="L47" s="79"/>
      <c r="M47" s="69"/>
      <c r="N47" s="77"/>
      <c r="O47" s="79"/>
      <c r="P47" s="69"/>
      <c r="Q47" s="77"/>
      <c r="R47" s="79"/>
      <c r="S47" s="69"/>
      <c r="T47" s="77"/>
      <c r="U47" s="79"/>
      <c r="V47" s="69"/>
      <c r="W47" s="77"/>
      <c r="Y47" s="69"/>
      <c r="Z47" s="77"/>
      <c r="AB47" s="69"/>
      <c r="AC47" s="77"/>
      <c r="AE47" s="69"/>
      <c r="AF47" s="77"/>
      <c r="AH47" s="69"/>
      <c r="AI47" s="77"/>
      <c r="AJ47" s="160"/>
      <c r="AK47" s="69"/>
      <c r="AL47" s="77"/>
      <c r="AN47" s="161"/>
      <c r="AO47" s="162"/>
      <c r="AQ47" s="69"/>
      <c r="AR47" s="77"/>
      <c r="AS47" s="77"/>
      <c r="AT47" s="77"/>
      <c r="AU47" s="77"/>
      <c r="AW47" s="69"/>
      <c r="AX47" s="77"/>
      <c r="AZ47" s="69"/>
      <c r="BA47" s="77"/>
      <c r="BC47" s="69"/>
      <c r="BD47" s="77"/>
      <c r="BF47" s="69"/>
      <c r="BG47" s="77"/>
    </row>
    <row r="48" spans="1:59" x14ac:dyDescent="0.25">
      <c r="A48" s="109" t="s">
        <v>101</v>
      </c>
      <c r="B48" s="76"/>
      <c r="C48" s="76"/>
      <c r="D48" s="84">
        <f>D26</f>
        <v>22.851778164000187</v>
      </c>
      <c r="E48" s="112">
        <f>E26</f>
        <v>358.01119123600296</v>
      </c>
      <c r="F48" s="84"/>
      <c r="G48" s="84">
        <f>G26</f>
        <v>131.92277149200041</v>
      </c>
      <c r="H48" s="112">
        <f>H26</f>
        <v>2066.7900867080066</v>
      </c>
      <c r="I48" s="84"/>
      <c r="J48" s="84">
        <f>J26</f>
        <v>377.8821657120003</v>
      </c>
      <c r="K48" s="112">
        <f>K26</f>
        <v>5920.1539294880058</v>
      </c>
      <c r="L48" s="84"/>
      <c r="M48" s="84">
        <f>M26</f>
        <v>827.20471015200042</v>
      </c>
      <c r="N48" s="112">
        <f>N26</f>
        <v>11161.502819048008</v>
      </c>
      <c r="O48" s="84"/>
      <c r="P48" s="84">
        <f>P26</f>
        <v>1091.5064916720005</v>
      </c>
      <c r="Q48" s="112">
        <f>Q26</f>
        <v>15329.503485328007</v>
      </c>
      <c r="R48" s="84"/>
      <c r="S48" s="84">
        <f>S26</f>
        <v>1444.5573011220008</v>
      </c>
      <c r="T48" s="112">
        <f>T26</f>
        <v>19336.385708924008</v>
      </c>
      <c r="U48" s="84"/>
      <c r="V48" s="84">
        <f>V26</f>
        <v>1782.9054745980009</v>
      </c>
      <c r="W48" s="112">
        <f>W26</f>
        <v>23546.64882182801</v>
      </c>
      <c r="Y48" s="84">
        <f>Y26</f>
        <v>2002.7470757700003</v>
      </c>
      <c r="Z48" s="112">
        <f>Z26</f>
        <v>27508.661192396008</v>
      </c>
      <c r="AB48" s="84">
        <f>AB26</f>
        <v>2335.9385707380006</v>
      </c>
      <c r="AC48" s="112">
        <f>AC26</f>
        <v>31833.317105220001</v>
      </c>
      <c r="AE48" s="84">
        <f>AE26</f>
        <v>2091.3732769080007</v>
      </c>
      <c r="AF48" s="112">
        <f>AF26</f>
        <v>32764.851026804008</v>
      </c>
      <c r="AH48" s="84">
        <f>AH26</f>
        <v>1903.6760912340008</v>
      </c>
      <c r="AI48" s="112">
        <f>AI26</f>
        <v>29824.258762666006</v>
      </c>
      <c r="AJ48" s="160"/>
      <c r="AK48" s="84">
        <f>AK26</f>
        <v>1709.2455337500007</v>
      </c>
      <c r="AL48" s="112">
        <f>AL26</f>
        <v>26778.180028750012</v>
      </c>
      <c r="AN48" s="163"/>
      <c r="AO48" s="164"/>
      <c r="AQ48" s="84">
        <f>AQ26</f>
        <v>1514.8150030560005</v>
      </c>
      <c r="AR48" s="112">
        <f>AR26</f>
        <v>23732.101714544006</v>
      </c>
      <c r="AS48" s="112"/>
      <c r="AT48" s="112"/>
      <c r="AU48" s="112"/>
      <c r="AW48" s="84">
        <f>AW26</f>
        <v>1320.3844991520004</v>
      </c>
      <c r="AX48" s="112">
        <f>AX26</f>
        <v>20686.023820048009</v>
      </c>
      <c r="AZ48" s="84">
        <f>AZ26</f>
        <v>1125.9539952480006</v>
      </c>
      <c r="BA48" s="112">
        <f>BA26</f>
        <v>17639.945925552009</v>
      </c>
      <c r="BC48" s="84">
        <f>BC26</f>
        <v>931.52349134400049</v>
      </c>
      <c r="BD48" s="112">
        <f>BD26</f>
        <v>14593.868031056008</v>
      </c>
      <c r="BF48" s="84">
        <f>BF26</f>
        <v>737.09298744000068</v>
      </c>
      <c r="BG48" s="112">
        <f>BG26</f>
        <v>11547.790136560012</v>
      </c>
    </row>
    <row r="49" spans="1:59" x14ac:dyDescent="0.25">
      <c r="A49" s="109" t="s">
        <v>102</v>
      </c>
      <c r="B49" s="76"/>
      <c r="C49" s="76"/>
      <c r="D49" s="83">
        <f>D30</f>
        <v>45.96</v>
      </c>
      <c r="E49" s="83">
        <f>E30</f>
        <v>720.04</v>
      </c>
      <c r="F49" s="83"/>
      <c r="G49" s="83">
        <f>G30</f>
        <v>268.56</v>
      </c>
      <c r="H49" s="83">
        <f>H30</f>
        <v>4207.4399999999996</v>
      </c>
      <c r="I49" s="83"/>
      <c r="J49" s="83">
        <f>J30</f>
        <v>781.92</v>
      </c>
      <c r="K49" s="83">
        <f>K30</f>
        <v>12250.08</v>
      </c>
      <c r="L49" s="83"/>
      <c r="M49" s="83">
        <f>M30</f>
        <v>1451.1599999999999</v>
      </c>
      <c r="N49" s="83">
        <f>N30</f>
        <v>22734.84</v>
      </c>
      <c r="O49" s="83"/>
      <c r="P49" s="83">
        <f>P30</f>
        <v>2064.84</v>
      </c>
      <c r="Q49" s="83">
        <f>Q30</f>
        <v>32349.16</v>
      </c>
      <c r="R49" s="83"/>
      <c r="S49" s="83">
        <f>S30</f>
        <v>2701.0745999999995</v>
      </c>
      <c r="T49" s="83">
        <f>T30</f>
        <v>42316.835399999996</v>
      </c>
      <c r="U49" s="83"/>
      <c r="V49" s="83">
        <f>V30</f>
        <v>3406.2185999999997</v>
      </c>
      <c r="W49" s="83">
        <f>W30</f>
        <v>53364.091399999998</v>
      </c>
      <c r="Y49" s="83">
        <f>Y30</f>
        <v>4129.4003999999995</v>
      </c>
      <c r="Z49" s="83">
        <f>Z30</f>
        <v>64693.939599999991</v>
      </c>
      <c r="AB49" s="83">
        <f>AB30</f>
        <v>4947.1481999999978</v>
      </c>
      <c r="AC49" s="83">
        <f>AC30</f>
        <v>77505.321799999976</v>
      </c>
      <c r="AE49" s="83">
        <f>AE30</f>
        <v>5437.0193999999992</v>
      </c>
      <c r="AF49" s="83">
        <f>AF30</f>
        <v>85179.970599999986</v>
      </c>
      <c r="AH49" s="83">
        <f>AH30</f>
        <v>5443.1831999999986</v>
      </c>
      <c r="AI49" s="83">
        <f>AI30</f>
        <v>85276.536799999987</v>
      </c>
      <c r="AJ49" s="160"/>
      <c r="AK49" s="83">
        <f>AK30</f>
        <v>5443.1846999999998</v>
      </c>
      <c r="AL49" s="83">
        <f>AL30</f>
        <v>85276.560299999997</v>
      </c>
      <c r="AN49" s="158"/>
      <c r="AO49" s="158"/>
      <c r="AQ49" s="83">
        <f>AQ30</f>
        <v>5443.1831999999995</v>
      </c>
      <c r="AR49" s="83">
        <f>AR30</f>
        <v>85276.536800000002</v>
      </c>
      <c r="AS49" s="83"/>
      <c r="AT49" s="83"/>
      <c r="AU49" s="83"/>
      <c r="AW49" s="83">
        <f>AW30</f>
        <v>5443.1831999999986</v>
      </c>
      <c r="AX49" s="83">
        <f>AX30</f>
        <v>85276.536799999987</v>
      </c>
      <c r="AZ49" s="83">
        <f>AZ30</f>
        <v>5443.1831999999986</v>
      </c>
      <c r="BA49" s="83">
        <f>BA30</f>
        <v>85276.536799999987</v>
      </c>
      <c r="BC49" s="83">
        <f>BC30</f>
        <v>5443.1831999999986</v>
      </c>
      <c r="BD49" s="83">
        <f>BD30</f>
        <v>85276.536799999987</v>
      </c>
      <c r="BF49" s="83">
        <f>BF30</f>
        <v>5443.1831999999986</v>
      </c>
      <c r="BG49" s="83">
        <f>BG30</f>
        <v>85276.536799999987</v>
      </c>
    </row>
    <row r="50" spans="1:59" x14ac:dyDescent="0.25">
      <c r="A50" s="109" t="s">
        <v>103</v>
      </c>
      <c r="B50" s="76"/>
      <c r="C50" s="76"/>
      <c r="D50" s="83">
        <f>-D71*D$12</f>
        <v>-147.11176799999998</v>
      </c>
      <c r="E50" s="83">
        <f>-D71*E$12</f>
        <v>-2304.7510319999997</v>
      </c>
      <c r="F50" s="83"/>
      <c r="G50" s="83">
        <f>-E71*G12</f>
        <v>-756.24586655999985</v>
      </c>
      <c r="H50" s="83">
        <f>-E71*H$12</f>
        <v>-11847.851909439998</v>
      </c>
      <c r="I50" s="83"/>
      <c r="J50" s="83">
        <f>-F71*J$12</f>
        <v>-1506.0869012352</v>
      </c>
      <c r="K50" s="83">
        <f>-F71*K$12</f>
        <v>-23595.3614526848</v>
      </c>
      <c r="L50" s="83"/>
      <c r="M50" s="83">
        <f>-G71*M$12</f>
        <v>-1984.4167971363838</v>
      </c>
      <c r="N50" s="83">
        <f>-G71*N$12</f>
        <v>-31089.196488470014</v>
      </c>
      <c r="O50" s="83"/>
      <c r="P50" s="83">
        <f>-H71*P$12</f>
        <v>-2296.7908693654731</v>
      </c>
      <c r="Q50" s="83">
        <f>-H71*Q$12</f>
        <v>-35983.056953392414</v>
      </c>
      <c r="R50" s="83"/>
      <c r="S50" s="83">
        <f>-I71*S$12</f>
        <v>-2892.0805198162352</v>
      </c>
      <c r="T50" s="83">
        <f>-I71*T$12</f>
        <v>-45309.261477121021</v>
      </c>
      <c r="U50" s="83"/>
      <c r="V50" s="83">
        <f>-J71*V$12</f>
        <v>-3619.5580222309363</v>
      </c>
      <c r="W50" s="83">
        <f>-J71*W$12</f>
        <v>-56706.409014951336</v>
      </c>
      <c r="Y50" s="83">
        <f>-K71*Y$12</f>
        <v>-4320.2058764524609</v>
      </c>
      <c r="Z50" s="83">
        <f>-K71*Z$12</f>
        <v>-67683.225397755217</v>
      </c>
      <c r="AB50" s="83">
        <f>-L71*AB$12</f>
        <v>-4830.8765263362639</v>
      </c>
      <c r="AC50" s="83">
        <f>-L71*AC$12</f>
        <v>-75683.732245934792</v>
      </c>
      <c r="AE50" s="83">
        <f>-M71*AE$12</f>
        <v>-4833.3856122293619</v>
      </c>
      <c r="AF50" s="83">
        <f>-M71*AF$12</f>
        <v>-75723.041258259997</v>
      </c>
      <c r="AH50" s="83">
        <f>-N71*AH$12</f>
        <v>-4580.9322192510099</v>
      </c>
      <c r="AI50" s="83">
        <f>-N71*AI$12</f>
        <v>-71767.938101599153</v>
      </c>
      <c r="AJ50" s="160"/>
      <c r="AK50" s="83">
        <f>-O71*AK$12</f>
        <v>-4214.4415377109299</v>
      </c>
      <c r="AL50" s="83">
        <f>-O71*AL$12</f>
        <v>-66026.250757471222</v>
      </c>
      <c r="AN50" s="158"/>
      <c r="AO50" s="158"/>
      <c r="AQ50" s="83">
        <f>-P71*AQ$12</f>
        <v>-3877.2862146940552</v>
      </c>
      <c r="AR50" s="83">
        <f>-P71*AR$12</f>
        <v>-60744.150696873527</v>
      </c>
      <c r="AS50" s="83"/>
      <c r="AT50" s="83"/>
      <c r="AU50" s="83"/>
      <c r="AW50" s="83">
        <f>-Q71*AW$12</f>
        <v>-3567.1033175185312</v>
      </c>
      <c r="AX50" s="83">
        <f>-Q71*AX$12</f>
        <v>-55884.618641123649</v>
      </c>
      <c r="AZ50" s="83">
        <f>-R71*AZ$12</f>
        <v>-3281.7350521170483</v>
      </c>
      <c r="BA50" s="83">
        <f>-R71*BA$12</f>
        <v>-51413.849149833753</v>
      </c>
      <c r="BC50" s="83">
        <f>-S71*BC$12</f>
        <v>-3019.1962479476842</v>
      </c>
      <c r="BD50" s="83">
        <f>-S71*BD$12</f>
        <v>-47300.741217847055</v>
      </c>
      <c r="BF50" s="83">
        <f>-T71*BF$12</f>
        <v>-2777.6605481118695</v>
      </c>
      <c r="BG50" s="83">
        <f>-T71*BG$12</f>
        <v>-43516.681920419287</v>
      </c>
    </row>
    <row r="51" spans="1:59" x14ac:dyDescent="0.25">
      <c r="A51" s="111" t="s">
        <v>104</v>
      </c>
      <c r="B51" s="76"/>
      <c r="C51" s="76"/>
      <c r="D51" s="113">
        <f>SUM(D48:D50)</f>
        <v>-78.299989835999796</v>
      </c>
      <c r="E51" s="113">
        <f>SUM(E48:E50)</f>
        <v>-1226.6998407639967</v>
      </c>
      <c r="F51" s="83"/>
      <c r="G51" s="113">
        <f>SUM(G48:G50)</f>
        <v>-355.76309506799942</v>
      </c>
      <c r="H51" s="113">
        <f>SUM(H48:H50)</f>
        <v>-5573.6218227319914</v>
      </c>
      <c r="I51" s="83"/>
      <c r="J51" s="113">
        <f>SUM(J48:J50)</f>
        <v>-346.28473552319974</v>
      </c>
      <c r="K51" s="113">
        <f>SUM(K48:K50)</f>
        <v>-5425.127523196792</v>
      </c>
      <c r="L51" s="83"/>
      <c r="M51" s="113">
        <f>SUM(M48:M50)</f>
        <v>293.94791301561622</v>
      </c>
      <c r="N51" s="113">
        <f>SUM(N48:N50)</f>
        <v>2807.1463305779907</v>
      </c>
      <c r="O51" s="83"/>
      <c r="P51" s="113">
        <f>SUM(P48:P50)</f>
        <v>859.55562230652731</v>
      </c>
      <c r="Q51" s="113">
        <f>SUM(Q48:Q50)</f>
        <v>11695.606531935591</v>
      </c>
      <c r="R51" s="83"/>
      <c r="S51" s="113">
        <f>SUM(S48:S50)</f>
        <v>1253.5513813057651</v>
      </c>
      <c r="T51" s="113">
        <f>SUM(T48:T50)</f>
        <v>16343.95963180298</v>
      </c>
      <c r="U51" s="83"/>
      <c r="V51" s="113">
        <f>SUM(V48:V50)</f>
        <v>1569.566052367064</v>
      </c>
      <c r="W51" s="113">
        <f>SUM(W48:W50)</f>
        <v>20204.331206876668</v>
      </c>
      <c r="Y51" s="113">
        <f>SUM(Y48:Y50)</f>
        <v>1811.9415993175389</v>
      </c>
      <c r="Z51" s="113">
        <f>SUM(Z48:Z50)</f>
        <v>24519.375394640781</v>
      </c>
      <c r="AB51" s="113">
        <f>SUM(AB48:AB50)</f>
        <v>2452.2102444017346</v>
      </c>
      <c r="AC51" s="113">
        <f>SUM(AC48:AC50)</f>
        <v>33654.906659285189</v>
      </c>
      <c r="AE51" s="113">
        <f>SUM(AE48:AE50)</f>
        <v>2695.007064678638</v>
      </c>
      <c r="AF51" s="113">
        <f>SUM(AF48:AF50)</f>
        <v>42221.780368544001</v>
      </c>
      <c r="AH51" s="113">
        <f>SUM(AH48:AH50)</f>
        <v>2765.9270719829892</v>
      </c>
      <c r="AI51" s="113">
        <f>SUM(AI48:AI50)</f>
        <v>43332.857461066844</v>
      </c>
      <c r="AJ51" s="160"/>
      <c r="AK51" s="113">
        <f>SUM(AK48:AK50)</f>
        <v>2937.9886960390704</v>
      </c>
      <c r="AL51" s="113">
        <f>SUM(AL48:AL50)</f>
        <v>46028.489571278784</v>
      </c>
      <c r="AN51" s="158"/>
      <c r="AO51" s="158"/>
      <c r="AQ51" s="113">
        <f>SUM(AQ48:AQ50)</f>
        <v>3080.7119883619453</v>
      </c>
      <c r="AR51" s="113">
        <f>SUM(AR48:AR50)</f>
        <v>48264.487817670473</v>
      </c>
      <c r="AS51" s="156"/>
      <c r="AT51" s="156"/>
      <c r="AU51" s="156"/>
      <c r="AW51" s="113">
        <f>SUM(AW48:AW50)</f>
        <v>3196.4643816334683</v>
      </c>
      <c r="AX51" s="113">
        <f>SUM(AX48:AX50)</f>
        <v>50077.941978924347</v>
      </c>
      <c r="AZ51" s="113">
        <f>SUM(AZ48:AZ50)</f>
        <v>3287.4021431309511</v>
      </c>
      <c r="BA51" s="113">
        <f>SUM(BA48:BA50)</f>
        <v>51502.633575718239</v>
      </c>
      <c r="BC51" s="113">
        <f>SUM(BC48:BC50)</f>
        <v>3355.5104433963152</v>
      </c>
      <c r="BD51" s="113">
        <f>SUM(BD48:BD50)</f>
        <v>52569.663613208933</v>
      </c>
      <c r="BF51" s="113">
        <f>SUM(BF48:BF50)</f>
        <v>3402.6156393281299</v>
      </c>
      <c r="BG51" s="113">
        <f>SUM(BG48:BG50)</f>
        <v>53307.645016140712</v>
      </c>
    </row>
    <row r="52" spans="1:59" x14ac:dyDescent="0.25">
      <c r="A52" s="109"/>
      <c r="B52" s="76"/>
      <c r="C52" s="76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Y52" s="83"/>
      <c r="Z52" s="83"/>
      <c r="AB52" s="83"/>
      <c r="AC52" s="83"/>
      <c r="AE52" s="83"/>
      <c r="AF52" s="83"/>
      <c r="AH52" s="83"/>
      <c r="AI52" s="83"/>
      <c r="AJ52" s="160"/>
      <c r="AK52" s="83"/>
      <c r="AL52" s="83"/>
      <c r="AN52" s="158"/>
      <c r="AO52" s="158"/>
      <c r="AQ52" s="83"/>
      <c r="AR52" s="83"/>
      <c r="AS52" s="135"/>
      <c r="AT52" s="135"/>
      <c r="AU52" s="135"/>
      <c r="AW52" s="83"/>
      <c r="AX52" s="83"/>
      <c r="AZ52" s="83"/>
      <c r="BA52" s="83"/>
      <c r="BC52" s="83"/>
      <c r="BD52" s="83"/>
      <c r="BF52" s="83"/>
      <c r="BG52" s="83"/>
    </row>
    <row r="53" spans="1:59" x14ac:dyDescent="0.25">
      <c r="A53" s="109" t="s">
        <v>105</v>
      </c>
      <c r="B53" s="78"/>
      <c r="C53" s="78"/>
      <c r="D53" s="114">
        <v>0.31</v>
      </c>
      <c r="E53" s="114">
        <v>0.31</v>
      </c>
      <c r="F53" s="115"/>
      <c r="G53" s="114">
        <v>0.28249999999999997</v>
      </c>
      <c r="H53" s="114">
        <v>0.28249999999999997</v>
      </c>
      <c r="I53" s="115"/>
      <c r="J53" s="114">
        <v>0.26500000000000001</v>
      </c>
      <c r="K53" s="114">
        <v>0.26500000000000001</v>
      </c>
      <c r="L53" s="115"/>
      <c r="M53" s="114">
        <v>0.26500000000000001</v>
      </c>
      <c r="N53" s="114">
        <v>0.26500000000000001</v>
      </c>
      <c r="O53" s="115"/>
      <c r="P53" s="114">
        <v>0.26500000000000001</v>
      </c>
      <c r="Q53" s="114">
        <v>0.26500000000000001</v>
      </c>
      <c r="R53" s="115"/>
      <c r="S53" s="114">
        <v>0.26500000000000001</v>
      </c>
      <c r="T53" s="114">
        <v>0.26500000000000001</v>
      </c>
      <c r="U53" s="115"/>
      <c r="V53" s="114">
        <v>0.26500000000000001</v>
      </c>
      <c r="W53" s="114">
        <v>0.26500000000000001</v>
      </c>
      <c r="Y53" s="114">
        <v>0.26500000000000001</v>
      </c>
      <c r="Z53" s="114">
        <v>0.26500000000000001</v>
      </c>
      <c r="AB53" s="114">
        <v>0.26500000000000001</v>
      </c>
      <c r="AC53" s="114">
        <v>0.26500000000000001</v>
      </c>
      <c r="AE53" s="114">
        <v>0.26500000000000001</v>
      </c>
      <c r="AF53" s="114">
        <v>0.26500000000000001</v>
      </c>
      <c r="AH53" s="114">
        <v>0.26500000000000001</v>
      </c>
      <c r="AI53" s="114">
        <v>0.26500000000000001</v>
      </c>
      <c r="AJ53" s="160"/>
      <c r="AK53" s="114">
        <v>0.26500000000000001</v>
      </c>
      <c r="AL53" s="114">
        <v>0.26500000000000001</v>
      </c>
      <c r="AN53" s="165"/>
      <c r="AO53" s="165"/>
      <c r="AQ53" s="114">
        <v>0.26500000000000001</v>
      </c>
      <c r="AR53" s="114">
        <v>0.26500000000000001</v>
      </c>
      <c r="AS53" s="159"/>
      <c r="AT53" s="159"/>
      <c r="AU53" s="159"/>
      <c r="AW53" s="114">
        <v>0.26500000000000001</v>
      </c>
      <c r="AX53" s="114">
        <v>0.26500000000000001</v>
      </c>
      <c r="AZ53" s="114">
        <v>0.26500000000000001</v>
      </c>
      <c r="BA53" s="114">
        <v>0.26500000000000001</v>
      </c>
      <c r="BC53" s="114">
        <v>0.26500000000000001</v>
      </c>
      <c r="BD53" s="114">
        <v>0.26500000000000001</v>
      </c>
      <c r="BF53" s="114">
        <v>0.26500000000000001</v>
      </c>
      <c r="BG53" s="114">
        <v>0.26500000000000001</v>
      </c>
    </row>
    <row r="54" spans="1:59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Y54" s="76"/>
      <c r="Z54" s="76"/>
      <c r="AB54" s="76"/>
      <c r="AC54" s="76"/>
      <c r="AE54" s="76"/>
      <c r="AF54" s="76"/>
      <c r="AH54" s="76"/>
      <c r="AI54" s="76"/>
      <c r="AJ54" s="160"/>
      <c r="AK54" s="76"/>
      <c r="AL54" s="76"/>
      <c r="AN54" s="166"/>
      <c r="AO54" s="166"/>
      <c r="AQ54" s="142"/>
      <c r="AR54" s="142"/>
      <c r="AS54" s="130"/>
      <c r="AT54" s="130"/>
      <c r="AU54" s="130"/>
      <c r="AW54" s="142"/>
      <c r="AX54" s="142"/>
      <c r="AZ54" s="142"/>
      <c r="BA54" s="142"/>
      <c r="BC54" s="142"/>
      <c r="BD54" s="142"/>
      <c r="BF54" s="142"/>
      <c r="BG54" s="142"/>
    </row>
    <row r="55" spans="1:59" s="129" customFormat="1" x14ac:dyDescent="0.25">
      <c r="A55" s="152" t="s">
        <v>70</v>
      </c>
      <c r="B55" s="87"/>
      <c r="C55" s="87"/>
      <c r="D55" s="113">
        <f>D51*D53</f>
        <v>-24.272996849159938</v>
      </c>
      <c r="E55" s="113">
        <f>E51*E53</f>
        <v>-380.27695063683899</v>
      </c>
      <c r="F55" s="83"/>
      <c r="G55" s="113">
        <f>G51*G53</f>
        <v>-100.50307435670983</v>
      </c>
      <c r="H55" s="113">
        <f>H51*H53</f>
        <v>-1574.5481649217875</v>
      </c>
      <c r="I55" s="83"/>
      <c r="J55" s="113">
        <f>J51*J53</f>
        <v>-91.765454913647943</v>
      </c>
      <c r="K55" s="113">
        <f>K51*K53</f>
        <v>-1437.6587936471499</v>
      </c>
      <c r="L55" s="83"/>
      <c r="M55" s="113">
        <f>M51*M53</f>
        <v>77.8961969491383</v>
      </c>
      <c r="N55" s="113">
        <f>N51*N53</f>
        <v>743.89377760316756</v>
      </c>
      <c r="O55" s="83"/>
      <c r="P55" s="113">
        <f>P51*P53</f>
        <v>227.78223991122974</v>
      </c>
      <c r="Q55" s="113">
        <f>Q51*Q53</f>
        <v>3099.3357309629318</v>
      </c>
      <c r="R55" s="83"/>
      <c r="S55" s="113">
        <f>S51*S53</f>
        <v>332.19111604602773</v>
      </c>
      <c r="T55" s="113">
        <f>T51*T53</f>
        <v>4331.1493024277897</v>
      </c>
      <c r="U55" s="83"/>
      <c r="V55" s="113">
        <f>V51*V53</f>
        <v>415.93500387727198</v>
      </c>
      <c r="W55" s="113">
        <f>W51*W53</f>
        <v>5354.1477698223171</v>
      </c>
      <c r="Y55" s="113">
        <f>Y51*Y53</f>
        <v>480.16452381914786</v>
      </c>
      <c r="Z55" s="113">
        <f>Z51*Z53</f>
        <v>6497.6344795798077</v>
      </c>
      <c r="AB55" s="113">
        <f>AB51*AB53</f>
        <v>649.83571476645966</v>
      </c>
      <c r="AC55" s="113">
        <f>AC51*AC53</f>
        <v>8918.550264710575</v>
      </c>
      <c r="AE55" s="113">
        <f>AE51*AE53</f>
        <v>714.17687213983913</v>
      </c>
      <c r="AF55" s="113">
        <f>AF51*AF53</f>
        <v>11188.771797664162</v>
      </c>
      <c r="AH55" s="113">
        <f>AH51*AH53</f>
        <v>732.97067407549218</v>
      </c>
      <c r="AI55" s="113">
        <f>AI51*AI53</f>
        <v>11483.207227182715</v>
      </c>
      <c r="AJ55" s="170"/>
      <c r="AK55" s="113">
        <f>AK51*AK53</f>
        <v>778.56700445035369</v>
      </c>
      <c r="AL55" s="113">
        <f>AL51*AL53</f>
        <v>12197.549736388879</v>
      </c>
      <c r="AN55" s="158"/>
      <c r="AO55" s="158"/>
      <c r="AQ55" s="113">
        <f>AQ51*AQ53</f>
        <v>816.38867691591554</v>
      </c>
      <c r="AR55" s="113">
        <f>AR51*AR53</f>
        <v>12790.089271682677</v>
      </c>
      <c r="AS55" s="158"/>
      <c r="AT55" s="158"/>
      <c r="AU55" s="158"/>
      <c r="AW55" s="113">
        <f>AW51*AW53</f>
        <v>847.06306113286917</v>
      </c>
      <c r="AX55" s="113">
        <f>AX51*AX53</f>
        <v>13270.654624414952</v>
      </c>
      <c r="AZ55" s="113">
        <f>AZ51*AZ53</f>
        <v>871.16156792970207</v>
      </c>
      <c r="BA55" s="113">
        <f>BA51*BA53</f>
        <v>13648.197897565335</v>
      </c>
      <c r="BC55" s="113">
        <f>BC51*BC53</f>
        <v>889.21026750002352</v>
      </c>
      <c r="BD55" s="113">
        <f>BD51*BD53</f>
        <v>13930.960857500368</v>
      </c>
      <c r="BF55" s="113">
        <f>BF51*BF53</f>
        <v>901.69314442195446</v>
      </c>
      <c r="BG55" s="113">
        <f>BG51*BG53</f>
        <v>14126.52592927729</v>
      </c>
    </row>
    <row r="56" spans="1:59" x14ac:dyDescent="0.25">
      <c r="A56" s="116" t="s">
        <v>71</v>
      </c>
      <c r="B56" s="76"/>
      <c r="C56" s="76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Y56" s="109"/>
      <c r="Z56" s="109"/>
      <c r="AB56" s="109"/>
      <c r="AC56" s="109"/>
      <c r="AE56" s="109"/>
      <c r="AF56" s="109"/>
      <c r="AH56" s="109"/>
      <c r="AI56" s="109"/>
      <c r="AJ56" s="160"/>
      <c r="AK56" s="109"/>
      <c r="AL56" s="109"/>
      <c r="AN56" s="167"/>
      <c r="AO56" s="167"/>
      <c r="AQ56" s="109"/>
      <c r="AR56" s="109"/>
      <c r="AS56" s="109"/>
      <c r="AT56" s="109"/>
      <c r="AU56" s="109"/>
      <c r="AW56" s="109"/>
      <c r="AX56" s="109"/>
      <c r="AZ56" s="109"/>
      <c r="BA56" s="109"/>
      <c r="BC56" s="109"/>
      <c r="BD56" s="109"/>
      <c r="BF56" s="109"/>
      <c r="BG56" s="109"/>
    </row>
    <row r="57" spans="1:59" s="151" customFormat="1" x14ac:dyDescent="0.25">
      <c r="A57" s="148" t="s">
        <v>70</v>
      </c>
      <c r="B57" s="149"/>
      <c r="C57" s="149"/>
      <c r="D57" s="150">
        <f>D55/(1-D53)</f>
        <v>-35.178256303130347</v>
      </c>
      <c r="E57" s="150">
        <f>E55/(1-E53)</f>
        <v>-551.12601541570871</v>
      </c>
      <c r="F57" s="150"/>
      <c r="G57" s="150">
        <f>G55/(1-G53)</f>
        <v>-140.07397122886388</v>
      </c>
      <c r="H57" s="150">
        <f>H55/(1-H53)</f>
        <v>-2194.4922159188673</v>
      </c>
      <c r="I57" s="150"/>
      <c r="J57" s="150">
        <f>J55/(1-J53)</f>
        <v>-124.85095906618768</v>
      </c>
      <c r="K57" s="150">
        <f>K55/(1-K53)</f>
        <v>-1955.9983587036054</v>
      </c>
      <c r="L57" s="150"/>
      <c r="M57" s="150">
        <f>M55/(1-M53)</f>
        <v>105.98122033896368</v>
      </c>
      <c r="N57" s="150">
        <f>N55/(1-N53)</f>
        <v>1012.1003776913844</v>
      </c>
      <c r="O57" s="150"/>
      <c r="P57" s="150">
        <f>P55/(1-P53)</f>
        <v>309.90780940303364</v>
      </c>
      <c r="Q57" s="150">
        <f>Q55/(1-Q53)</f>
        <v>4216.7833074325608</v>
      </c>
      <c r="R57" s="150"/>
      <c r="S57" s="150">
        <f>S55/(1-S53)</f>
        <v>451.96070210343908</v>
      </c>
      <c r="T57" s="150">
        <f>T55/(1-T53)</f>
        <v>5892.7201393575369</v>
      </c>
      <c r="U57" s="150"/>
      <c r="V57" s="150">
        <f>V55/(1-V53)</f>
        <v>565.8979644588735</v>
      </c>
      <c r="W57" s="150">
        <f>W55/(1-W53)</f>
        <v>7284.5547888739011</v>
      </c>
      <c r="Y57" s="150">
        <f>Y55/(1-Y53)</f>
        <v>653.28506642060938</v>
      </c>
      <c r="Z57" s="150">
        <f>Z55/(1-Z53)</f>
        <v>8840.3190198364737</v>
      </c>
      <c r="AB57" s="150">
        <f>AB55/(1-AB53)</f>
        <v>884.130224172054</v>
      </c>
      <c r="AC57" s="150">
        <f>AC55/(1-AC53)</f>
        <v>12134.081992803503</v>
      </c>
      <c r="AE57" s="150">
        <f>AE55/(1-AE53)</f>
        <v>971.66921379569953</v>
      </c>
      <c r="AF57" s="150">
        <f>AF55/(1-AF53)</f>
        <v>15222.818772332193</v>
      </c>
      <c r="AH57" s="150">
        <f>AH55/(1-AH53)</f>
        <v>997.23901234760842</v>
      </c>
      <c r="AI57" s="150">
        <f>AI55/(1-AI53)</f>
        <v>15623.411193445871</v>
      </c>
      <c r="AJ57" s="172"/>
      <c r="AK57" s="150">
        <f>AK55/(1-AK53)</f>
        <v>1059.2748359868758</v>
      </c>
      <c r="AL57" s="150">
        <f>AL55/(1-AL53)</f>
        <v>16595.305763794393</v>
      </c>
      <c r="AN57" s="168"/>
      <c r="AO57" s="168"/>
      <c r="AQ57" s="150">
        <f>AQ55/(1-AQ53)</f>
        <v>1110.7328937631505</v>
      </c>
      <c r="AR57" s="150">
        <f>AR55/(1-AR53)</f>
        <v>17401.482002289355</v>
      </c>
      <c r="AS57" s="150"/>
      <c r="AT57" s="150"/>
      <c r="AU57" s="150"/>
      <c r="AW57" s="150">
        <f>AW55/(1-AW53)</f>
        <v>1152.4667498406384</v>
      </c>
      <c r="AX57" s="150">
        <f>AX55/(1-AX53)</f>
        <v>18055.312414170003</v>
      </c>
      <c r="AZ57" s="150">
        <f>AZ55/(1-AZ53)</f>
        <v>1185.2538339179621</v>
      </c>
      <c r="BA57" s="150">
        <f>BA55/(1-BA53)</f>
        <v>18568.976731381408</v>
      </c>
      <c r="BC57" s="150">
        <f>BC55/(1-BC53)</f>
        <v>1209.809887755134</v>
      </c>
      <c r="BD57" s="150">
        <f>BD55/(1-BD53)</f>
        <v>18953.688241497101</v>
      </c>
      <c r="BF57" s="150">
        <f>BF55/(1-BF53)</f>
        <v>1226.7933937713667</v>
      </c>
      <c r="BG57" s="150">
        <f>BG55/(1-BG53)</f>
        <v>19219.763169084748</v>
      </c>
    </row>
    <row r="58" spans="1:59" s="146" customFormat="1" x14ac:dyDescent="0.25">
      <c r="A58" s="111" t="s">
        <v>76</v>
      </c>
      <c r="B58" s="141"/>
      <c r="C58" s="141"/>
      <c r="D58" s="144">
        <f>SUM(D57:D57)</f>
        <v>-35.178256303130347</v>
      </c>
      <c r="E58" s="144">
        <f>SUM(E57:E57)</f>
        <v>-551.12601541570871</v>
      </c>
      <c r="F58" s="145"/>
      <c r="G58" s="144">
        <f>SUM(G57:G57)</f>
        <v>-140.07397122886388</v>
      </c>
      <c r="H58" s="144">
        <f>SUM(H57:H57)</f>
        <v>-2194.4922159188673</v>
      </c>
      <c r="I58" s="145"/>
      <c r="J58" s="144">
        <f>SUM(J57:J57)</f>
        <v>-124.85095906618768</v>
      </c>
      <c r="K58" s="144">
        <f>SUM(K57:K57)</f>
        <v>-1955.9983587036054</v>
      </c>
      <c r="L58" s="145"/>
      <c r="M58" s="144">
        <f>SUM(M57:M57)</f>
        <v>105.98122033896368</v>
      </c>
      <c r="N58" s="144">
        <f>SUM(N57:N57)</f>
        <v>1012.1003776913844</v>
      </c>
      <c r="O58" s="145"/>
      <c r="P58" s="144">
        <f>SUM(P57:P57)</f>
        <v>309.90780940303364</v>
      </c>
      <c r="Q58" s="144">
        <f>SUM(Q57:Q57)</f>
        <v>4216.7833074325608</v>
      </c>
      <c r="R58" s="145"/>
      <c r="S58" s="144">
        <f>SUM(S57:S57)</f>
        <v>451.96070210343908</v>
      </c>
      <c r="T58" s="144">
        <f>SUM(T57:T57)</f>
        <v>5892.7201393575369</v>
      </c>
      <c r="U58" s="145"/>
      <c r="V58" s="144">
        <f>SUM(V57:V57)</f>
        <v>565.8979644588735</v>
      </c>
      <c r="W58" s="144">
        <f>SUM(W57:W57)</f>
        <v>7284.5547888739011</v>
      </c>
      <c r="Y58" s="144">
        <f>SUM(Y57:Y57)</f>
        <v>653.28506642060938</v>
      </c>
      <c r="Z58" s="144">
        <f>SUM(Z57:Z57)</f>
        <v>8840.3190198364737</v>
      </c>
      <c r="AB58" s="144">
        <f>SUM(AB57:AB57)</f>
        <v>884.130224172054</v>
      </c>
      <c r="AC58" s="144">
        <f>SUM(AC57:AC57)</f>
        <v>12134.081992803503</v>
      </c>
      <c r="AE58" s="144">
        <f>SUM(AE57:AE57)</f>
        <v>971.66921379569953</v>
      </c>
      <c r="AF58" s="144">
        <f>SUM(AF57:AF57)</f>
        <v>15222.818772332193</v>
      </c>
      <c r="AH58" s="144">
        <f>SUM(AH57:AH57)</f>
        <v>997.23901234760842</v>
      </c>
      <c r="AI58" s="144">
        <f>SUM(AI57:AI57)</f>
        <v>15623.411193445871</v>
      </c>
      <c r="AJ58" s="173"/>
      <c r="AK58" s="144">
        <f>SUM(AK57:AK57)</f>
        <v>1059.2748359868758</v>
      </c>
      <c r="AL58" s="144">
        <f>SUM(AL57:AL57)</f>
        <v>16595.305763794393</v>
      </c>
      <c r="AN58" s="169"/>
      <c r="AO58" s="169"/>
      <c r="AQ58" s="144">
        <f>SUM(AQ57:AQ57)</f>
        <v>1110.7328937631505</v>
      </c>
      <c r="AR58" s="144">
        <f>SUM(AR57:AR57)</f>
        <v>17401.482002289355</v>
      </c>
      <c r="AS58" s="157"/>
      <c r="AT58" s="157"/>
      <c r="AU58" s="157"/>
      <c r="AW58" s="144">
        <f>SUM(AW57:AW57)</f>
        <v>1152.4667498406384</v>
      </c>
      <c r="AX58" s="144">
        <f>SUM(AX57:AX57)</f>
        <v>18055.312414170003</v>
      </c>
      <c r="AZ58" s="144">
        <f>SUM(AZ57:AZ57)</f>
        <v>1185.2538339179621</v>
      </c>
      <c r="BA58" s="144">
        <f>SUM(BA57:BA57)</f>
        <v>18568.976731381408</v>
      </c>
      <c r="BC58" s="144">
        <f>SUM(BC57:BC57)</f>
        <v>1209.809887755134</v>
      </c>
      <c r="BD58" s="144">
        <f>SUM(BD57:BD57)</f>
        <v>18953.688241497101</v>
      </c>
      <c r="BF58" s="144">
        <f>SUM(BF57:BF57)</f>
        <v>1226.7933937713667</v>
      </c>
      <c r="BG58" s="144">
        <f>SUM(BG57:BG57)</f>
        <v>19219.763169084748</v>
      </c>
    </row>
    <row r="59" spans="1:59" x14ac:dyDescent="0.25">
      <c r="A59" s="7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17"/>
      <c r="O59" s="117"/>
      <c r="P59" s="117"/>
      <c r="Q59" s="117"/>
      <c r="R59" s="76"/>
      <c r="S59" s="76"/>
      <c r="T59" s="76"/>
      <c r="U59" s="76"/>
      <c r="V59" s="76"/>
      <c r="W59" s="76"/>
      <c r="AJ59" s="160"/>
    </row>
    <row r="60" spans="1:59" x14ac:dyDescent="0.25">
      <c r="A60" s="76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17"/>
      <c r="O60" s="117"/>
      <c r="P60" s="117"/>
      <c r="Q60" s="117"/>
      <c r="R60" s="76"/>
      <c r="S60" s="76"/>
      <c r="T60" s="76"/>
      <c r="U60" s="118"/>
      <c r="V60" s="118"/>
      <c r="W60" s="118"/>
    </row>
    <row r="61" spans="1:59" ht="15.75" thickBot="1" x14ac:dyDescent="0.3">
      <c r="A61" s="122" t="s">
        <v>106</v>
      </c>
      <c r="B61" s="123"/>
      <c r="C61" s="123"/>
      <c r="D61" s="83"/>
      <c r="E61" s="83"/>
      <c r="F61" s="83"/>
      <c r="G61" s="83"/>
      <c r="H61" s="83"/>
      <c r="I61" s="83"/>
      <c r="J61" s="76"/>
      <c r="K61" s="76"/>
      <c r="L61" s="76"/>
      <c r="M61" s="76"/>
      <c r="N61" s="76"/>
      <c r="O61" s="76"/>
      <c r="P61" s="147"/>
      <c r="Q61" s="147"/>
      <c r="R61" s="147"/>
      <c r="S61" s="147"/>
      <c r="T61" s="147"/>
      <c r="U61" s="118"/>
      <c r="V61" s="118"/>
      <c r="W61" s="118"/>
    </row>
    <row r="62" spans="1:59" ht="15.75" thickBot="1" x14ac:dyDescent="0.3">
      <c r="A62" s="123"/>
      <c r="B62" s="76"/>
      <c r="C62" s="76"/>
      <c r="D62" s="120">
        <v>2010</v>
      </c>
      <c r="E62" s="120">
        <v>2011</v>
      </c>
      <c r="F62" s="120">
        <v>2012</v>
      </c>
      <c r="G62" s="120">
        <v>2013</v>
      </c>
      <c r="H62" s="120">
        <v>2014</v>
      </c>
      <c r="I62" s="121">
        <v>2015</v>
      </c>
      <c r="J62" s="121">
        <v>2016</v>
      </c>
      <c r="K62" s="121">
        <v>2017</v>
      </c>
      <c r="L62" s="121">
        <v>2018</v>
      </c>
      <c r="M62" s="121">
        <v>2019</v>
      </c>
      <c r="N62" s="121">
        <v>2020</v>
      </c>
      <c r="O62" s="121">
        <v>2021</v>
      </c>
      <c r="P62" s="121">
        <v>2022</v>
      </c>
      <c r="Q62" s="121">
        <v>2023</v>
      </c>
      <c r="R62" s="121">
        <v>2024</v>
      </c>
      <c r="S62" s="121">
        <v>2025</v>
      </c>
      <c r="T62" s="121">
        <v>2026</v>
      </c>
      <c r="U62" s="118"/>
      <c r="V62" s="118"/>
      <c r="W62" s="118"/>
    </row>
    <row r="63" spans="1:59" x14ac:dyDescent="0.25">
      <c r="A63" s="119"/>
      <c r="B63" s="76"/>
      <c r="C63" s="76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118"/>
      <c r="V63" s="118"/>
      <c r="W63" s="118"/>
    </row>
    <row r="64" spans="1:59" x14ac:dyDescent="0.25">
      <c r="A64" s="119" t="s">
        <v>55</v>
      </c>
      <c r="B64" s="76"/>
      <c r="C64" s="76"/>
      <c r="D64" s="113"/>
      <c r="E64" s="113">
        <f>D72</f>
        <v>58844.70719999999</v>
      </c>
      <c r="F64" s="113">
        <f>E72</f>
        <v>243653.63942399996</v>
      </c>
      <c r="G64" s="113">
        <f>F72</f>
        <v>358781.12107007997</v>
      </c>
      <c r="H64" s="113">
        <f t="shared" ref="H64:O64" si="37">G72</f>
        <v>434985.59778447356</v>
      </c>
      <c r="I64" s="113">
        <f t="shared" si="37"/>
        <v>483730.74996171566</v>
      </c>
      <c r="J64" s="113">
        <f t="shared" si="37"/>
        <v>673101.45796477841</v>
      </c>
      <c r="K64" s="113">
        <f t="shared" si="37"/>
        <v>774721.75092759612</v>
      </c>
      <c r="L64" s="113">
        <f t="shared" si="37"/>
        <v>953360.59965338849</v>
      </c>
      <c r="M64" s="113">
        <f t="shared" si="37"/>
        <v>978990.01088111731</v>
      </c>
      <c r="N64" s="113">
        <f t="shared" si="37"/>
        <v>954364.23401062714</v>
      </c>
      <c r="O64" s="113">
        <f t="shared" si="37"/>
        <v>878008.65368977701</v>
      </c>
      <c r="P64" s="113">
        <f t="shared" ref="P64" si="38">O72</f>
        <v>807767.96139459487</v>
      </c>
      <c r="Q64" s="113">
        <f t="shared" ref="Q64" si="39">P72</f>
        <v>743146.52448302729</v>
      </c>
      <c r="R64" s="113">
        <f t="shared" ref="R64" si="40">Q72</f>
        <v>683694.80252438504</v>
      </c>
      <c r="S64" s="113">
        <f t="shared" ref="S64" si="41">R72</f>
        <v>628999.21832243423</v>
      </c>
      <c r="T64" s="113">
        <f t="shared" ref="T64" si="42">S72</f>
        <v>578679.2808566395</v>
      </c>
      <c r="U64" s="118"/>
      <c r="V64" s="118"/>
      <c r="W64" s="118"/>
    </row>
    <row r="65" spans="1:23" x14ac:dyDescent="0.25">
      <c r="A65" s="119" t="s">
        <v>107</v>
      </c>
      <c r="B65" s="76"/>
      <c r="C65" s="76"/>
      <c r="D65" s="83">
        <f>'Avg NFA'!B179</f>
        <v>61296.569999999992</v>
      </c>
      <c r="E65" s="83">
        <f>'Avg NFA'!C179</f>
        <v>197413.02999999997</v>
      </c>
      <c r="F65" s="83">
        <f>'Avg NFA'!D179</f>
        <v>140228.93</v>
      </c>
      <c r="G65" s="83">
        <f>'Avg NFA'!E179</f>
        <v>109278.09</v>
      </c>
      <c r="H65" s="83">
        <f>'Avg NFA'!F179</f>
        <v>87025</v>
      </c>
      <c r="I65" s="83">
        <f>'Avg NFA'!G179</f>
        <v>237572.05000000005</v>
      </c>
      <c r="J65" s="83">
        <f>'Avg NFA'!H179</f>
        <v>161946.25999999998</v>
      </c>
      <c r="K65" s="83">
        <f>'Avg NFA'!I179</f>
        <v>250642.28</v>
      </c>
      <c r="L65" s="83">
        <f>'Avg NFA'!J179</f>
        <v>106144.02000000002</v>
      </c>
      <c r="M65" s="83">
        <f>'Avg NFA'!K179</f>
        <v>55930.649999999259</v>
      </c>
      <c r="N65" s="83">
        <f>'Avg NFA'!L179</f>
        <v>-6.7099999999999937</v>
      </c>
      <c r="O65" s="83">
        <f>'Avg NFA'!M179</f>
        <v>0</v>
      </c>
      <c r="P65" s="83">
        <f>'Avg NFA'!N179</f>
        <v>0</v>
      </c>
      <c r="Q65" s="83">
        <f>'Avg NFA'!O179</f>
        <v>0</v>
      </c>
      <c r="R65" s="83">
        <f>'Avg NFA'!P179</f>
        <v>0</v>
      </c>
      <c r="S65" s="83">
        <f>'Avg NFA'!Q179</f>
        <v>0</v>
      </c>
      <c r="T65" s="83">
        <f>'Avg NFA'!R179</f>
        <v>0</v>
      </c>
      <c r="U65" s="118"/>
      <c r="V65" s="118"/>
      <c r="W65" s="118"/>
    </row>
    <row r="66" spans="1:23" x14ac:dyDescent="0.25">
      <c r="A66" s="119" t="s">
        <v>57</v>
      </c>
      <c r="B66" s="76"/>
      <c r="C66" s="76"/>
      <c r="D66" s="113">
        <f>SUM(D64:D65)</f>
        <v>61296.569999999992</v>
      </c>
      <c r="E66" s="113">
        <f t="shared" ref="E66:G66" si="43">SUM(E64:E65)</f>
        <v>256257.73719999997</v>
      </c>
      <c r="F66" s="113">
        <f t="shared" si="43"/>
        <v>383882.56942399999</v>
      </c>
      <c r="G66" s="113">
        <f t="shared" si="43"/>
        <v>468059.21107007994</v>
      </c>
      <c r="H66" s="113">
        <f>SUM(H64:H65)</f>
        <v>522010.59778447356</v>
      </c>
      <c r="I66" s="113">
        <f>SUM(I64:I65)</f>
        <v>721302.7999617157</v>
      </c>
      <c r="J66" s="113">
        <f>SUM(J64:J65)</f>
        <v>835047.71796477842</v>
      </c>
      <c r="K66" s="113">
        <f t="shared" ref="K66:O66" si="44">SUM(K64:K65)</f>
        <v>1025364.0309275961</v>
      </c>
      <c r="L66" s="113">
        <f t="shared" si="44"/>
        <v>1059504.6196533884</v>
      </c>
      <c r="M66" s="113">
        <f t="shared" si="44"/>
        <v>1034920.6608811165</v>
      </c>
      <c r="N66" s="113">
        <f t="shared" si="44"/>
        <v>954357.52401062718</v>
      </c>
      <c r="O66" s="113">
        <f t="shared" si="44"/>
        <v>878008.65368977701</v>
      </c>
      <c r="P66" s="113">
        <f t="shared" ref="P66:T66" si="45">SUM(P64:P65)</f>
        <v>807767.96139459487</v>
      </c>
      <c r="Q66" s="113">
        <f t="shared" si="45"/>
        <v>743146.52448302729</v>
      </c>
      <c r="R66" s="113">
        <f t="shared" si="45"/>
        <v>683694.80252438504</v>
      </c>
      <c r="S66" s="113">
        <f t="shared" si="45"/>
        <v>628999.21832243423</v>
      </c>
      <c r="T66" s="113">
        <f t="shared" si="45"/>
        <v>578679.2808566395</v>
      </c>
      <c r="U66" s="118"/>
      <c r="V66" s="118"/>
      <c r="W66" s="118"/>
    </row>
    <row r="67" spans="1:23" x14ac:dyDescent="0.25">
      <c r="A67" s="119" t="s">
        <v>58</v>
      </c>
      <c r="B67" s="76"/>
      <c r="C67" s="76"/>
      <c r="D67" s="83">
        <f>D65/2</f>
        <v>30648.284999999996</v>
      </c>
      <c r="E67" s="83">
        <f>E65/2</f>
        <v>98706.514999999985</v>
      </c>
      <c r="F67" s="83">
        <f t="shared" ref="F67:G67" si="46">F65/2</f>
        <v>70114.464999999997</v>
      </c>
      <c r="G67" s="83">
        <f t="shared" si="46"/>
        <v>54639.044999999998</v>
      </c>
      <c r="H67" s="83">
        <f>H65/2</f>
        <v>43512.5</v>
      </c>
      <c r="I67" s="83">
        <f>I65/2</f>
        <v>118786.02500000002</v>
      </c>
      <c r="J67" s="83">
        <f>J65/2</f>
        <v>80973.12999999999</v>
      </c>
      <c r="K67" s="83">
        <f t="shared" ref="K67:O67" si="47">K65/2</f>
        <v>125321.14</v>
      </c>
      <c r="L67" s="83">
        <f t="shared" si="47"/>
        <v>53072.010000000009</v>
      </c>
      <c r="M67" s="83">
        <f t="shared" si="47"/>
        <v>27965.32499999963</v>
      </c>
      <c r="N67" s="83">
        <f t="shared" si="47"/>
        <v>-3.3549999999999969</v>
      </c>
      <c r="O67" s="83">
        <f t="shared" si="47"/>
        <v>0</v>
      </c>
      <c r="P67" s="83">
        <f t="shared" ref="P67:T67" si="48">P65/2</f>
        <v>0</v>
      </c>
      <c r="Q67" s="83">
        <f t="shared" si="48"/>
        <v>0</v>
      </c>
      <c r="R67" s="83">
        <f t="shared" si="48"/>
        <v>0</v>
      </c>
      <c r="S67" s="83">
        <f t="shared" si="48"/>
        <v>0</v>
      </c>
      <c r="T67" s="83">
        <f t="shared" si="48"/>
        <v>0</v>
      </c>
      <c r="U67" s="118"/>
      <c r="V67" s="118"/>
      <c r="W67" s="118"/>
    </row>
    <row r="68" spans="1:23" x14ac:dyDescent="0.25">
      <c r="A68" s="119" t="s">
        <v>59</v>
      </c>
      <c r="B68" s="76"/>
      <c r="C68" s="76"/>
      <c r="D68" s="113">
        <f t="shared" ref="D68:G68" si="49">D66-D67</f>
        <v>30648.284999999996</v>
      </c>
      <c r="E68" s="113">
        <f t="shared" si="49"/>
        <v>157551.22219999999</v>
      </c>
      <c r="F68" s="113">
        <f t="shared" si="49"/>
        <v>313768.10442400002</v>
      </c>
      <c r="G68" s="113">
        <f t="shared" si="49"/>
        <v>413420.16607007995</v>
      </c>
      <c r="H68" s="113">
        <f>H66-H67</f>
        <v>478498.09778447356</v>
      </c>
      <c r="I68" s="113">
        <f>I66-I67</f>
        <v>602516.77496171568</v>
      </c>
      <c r="J68" s="113">
        <f>J66-J67</f>
        <v>754074.58796477842</v>
      </c>
      <c r="K68" s="113">
        <f t="shared" ref="K68:O68" si="50">K66-K67</f>
        <v>900042.89092759613</v>
      </c>
      <c r="L68" s="113">
        <f t="shared" si="50"/>
        <v>1006432.6096533884</v>
      </c>
      <c r="M68" s="113">
        <f t="shared" si="50"/>
        <v>1006955.3358811169</v>
      </c>
      <c r="N68" s="113">
        <f t="shared" si="50"/>
        <v>954360.87901062716</v>
      </c>
      <c r="O68" s="113">
        <f t="shared" si="50"/>
        <v>878008.65368977701</v>
      </c>
      <c r="P68" s="113">
        <f t="shared" ref="P68:T68" si="51">P66-P67</f>
        <v>807767.96139459487</v>
      </c>
      <c r="Q68" s="113">
        <f t="shared" si="51"/>
        <v>743146.52448302729</v>
      </c>
      <c r="R68" s="113">
        <f t="shared" si="51"/>
        <v>683694.80252438504</v>
      </c>
      <c r="S68" s="113">
        <f t="shared" si="51"/>
        <v>628999.21832243423</v>
      </c>
      <c r="T68" s="113">
        <f t="shared" si="51"/>
        <v>578679.2808566395</v>
      </c>
      <c r="U68" s="118"/>
      <c r="V68" s="118"/>
      <c r="W68" s="118"/>
    </row>
    <row r="69" spans="1:23" x14ac:dyDescent="0.25">
      <c r="A69" s="119" t="s">
        <v>108</v>
      </c>
      <c r="B69" s="76"/>
      <c r="C69" s="125">
        <v>47</v>
      </c>
      <c r="D69" s="125">
        <f>C69</f>
        <v>47</v>
      </c>
      <c r="E69" s="125">
        <f t="shared" ref="E69:O70" si="52">D69</f>
        <v>47</v>
      </c>
      <c r="F69" s="125">
        <f t="shared" si="52"/>
        <v>47</v>
      </c>
      <c r="G69" s="125">
        <f t="shared" si="52"/>
        <v>47</v>
      </c>
      <c r="H69" s="125">
        <f t="shared" si="52"/>
        <v>47</v>
      </c>
      <c r="I69" s="125">
        <f t="shared" si="52"/>
        <v>47</v>
      </c>
      <c r="J69" s="125">
        <f t="shared" si="52"/>
        <v>47</v>
      </c>
      <c r="K69" s="125">
        <f t="shared" si="52"/>
        <v>47</v>
      </c>
      <c r="L69" s="125">
        <f t="shared" si="52"/>
        <v>47</v>
      </c>
      <c r="M69" s="125">
        <f t="shared" si="52"/>
        <v>47</v>
      </c>
      <c r="N69" s="125">
        <f t="shared" si="52"/>
        <v>47</v>
      </c>
      <c r="O69" s="125">
        <f t="shared" si="52"/>
        <v>47</v>
      </c>
      <c r="P69" s="125">
        <f t="shared" ref="P69:P70" si="53">O69</f>
        <v>47</v>
      </c>
      <c r="Q69" s="125">
        <f t="shared" ref="Q69:Q70" si="54">P69</f>
        <v>47</v>
      </c>
      <c r="R69" s="125">
        <f t="shared" ref="R69:R70" si="55">Q69</f>
        <v>47</v>
      </c>
      <c r="S69" s="125">
        <f t="shared" ref="S69:S70" si="56">R69</f>
        <v>47</v>
      </c>
      <c r="T69" s="125">
        <f t="shared" ref="T69:T70" si="57">S69</f>
        <v>47</v>
      </c>
      <c r="U69" s="118"/>
      <c r="V69" s="118"/>
      <c r="W69" s="118"/>
    </row>
    <row r="70" spans="1:23" x14ac:dyDescent="0.25">
      <c r="A70" s="119" t="s">
        <v>109</v>
      </c>
      <c r="B70" s="76"/>
      <c r="C70" s="126">
        <v>0.08</v>
      </c>
      <c r="D70" s="126">
        <f>C70</f>
        <v>0.08</v>
      </c>
      <c r="E70" s="126">
        <f t="shared" si="52"/>
        <v>0.08</v>
      </c>
      <c r="F70" s="126">
        <f t="shared" si="52"/>
        <v>0.08</v>
      </c>
      <c r="G70" s="126">
        <f t="shared" si="52"/>
        <v>0.08</v>
      </c>
      <c r="H70" s="126">
        <f t="shared" si="52"/>
        <v>0.08</v>
      </c>
      <c r="I70" s="126">
        <f t="shared" si="52"/>
        <v>0.08</v>
      </c>
      <c r="J70" s="126">
        <f t="shared" si="52"/>
        <v>0.08</v>
      </c>
      <c r="K70" s="126">
        <f t="shared" si="52"/>
        <v>0.08</v>
      </c>
      <c r="L70" s="126">
        <f t="shared" si="52"/>
        <v>0.08</v>
      </c>
      <c r="M70" s="126">
        <f t="shared" si="52"/>
        <v>0.08</v>
      </c>
      <c r="N70" s="126">
        <f t="shared" si="52"/>
        <v>0.08</v>
      </c>
      <c r="O70" s="126">
        <f t="shared" si="52"/>
        <v>0.08</v>
      </c>
      <c r="P70" s="126">
        <f t="shared" si="53"/>
        <v>0.08</v>
      </c>
      <c r="Q70" s="126">
        <f t="shared" si="54"/>
        <v>0.08</v>
      </c>
      <c r="R70" s="126">
        <f t="shared" si="55"/>
        <v>0.08</v>
      </c>
      <c r="S70" s="126">
        <f t="shared" si="56"/>
        <v>0.08</v>
      </c>
      <c r="T70" s="126">
        <f t="shared" si="57"/>
        <v>0.08</v>
      </c>
      <c r="U70" s="118"/>
      <c r="V70" s="118"/>
      <c r="W70" s="118"/>
    </row>
    <row r="71" spans="1:23" x14ac:dyDescent="0.25">
      <c r="A71" s="119" t="s">
        <v>62</v>
      </c>
      <c r="B71" s="76"/>
      <c r="C71" s="76"/>
      <c r="D71" s="113">
        <f>D68*D70</f>
        <v>2451.8627999999999</v>
      </c>
      <c r="E71" s="113">
        <f t="shared" ref="E71:G71" si="58">E68*E70</f>
        <v>12604.097775999999</v>
      </c>
      <c r="F71" s="113">
        <f t="shared" si="58"/>
        <v>25101.448353920001</v>
      </c>
      <c r="G71" s="113">
        <f t="shared" si="58"/>
        <v>33073.6132856064</v>
      </c>
      <c r="H71" s="113">
        <f>H68*H70</f>
        <v>38279.847822757889</v>
      </c>
      <c r="I71" s="113">
        <f t="shared" ref="I71:O71" si="59">I68*I70</f>
        <v>48201.341996937255</v>
      </c>
      <c r="J71" s="113">
        <f t="shared" si="59"/>
        <v>60325.967037182272</v>
      </c>
      <c r="K71" s="113">
        <f t="shared" si="59"/>
        <v>72003.431274207687</v>
      </c>
      <c r="L71" s="113">
        <f t="shared" si="59"/>
        <v>80514.608772271065</v>
      </c>
      <c r="M71" s="113">
        <f t="shared" si="59"/>
        <v>80556.426870489362</v>
      </c>
      <c r="N71" s="113">
        <f t="shared" si="59"/>
        <v>76348.870320850168</v>
      </c>
      <c r="O71" s="113">
        <f t="shared" si="59"/>
        <v>70240.692295182162</v>
      </c>
      <c r="P71" s="113">
        <f t="shared" ref="P71:T71" si="60">P68*P70</f>
        <v>64621.436911567587</v>
      </c>
      <c r="Q71" s="113">
        <f t="shared" si="60"/>
        <v>59451.721958642185</v>
      </c>
      <c r="R71" s="113">
        <f t="shared" si="60"/>
        <v>54695.584201950805</v>
      </c>
      <c r="S71" s="113">
        <f t="shared" si="60"/>
        <v>50319.937465794741</v>
      </c>
      <c r="T71" s="113">
        <f t="shared" si="60"/>
        <v>46294.342468531162</v>
      </c>
      <c r="U71" s="118"/>
      <c r="V71" s="118"/>
      <c r="W71" s="118"/>
    </row>
    <row r="72" spans="1:23" ht="15.75" thickBot="1" x14ac:dyDescent="0.3">
      <c r="A72" s="123" t="s">
        <v>63</v>
      </c>
      <c r="B72" s="76"/>
      <c r="C72" s="76"/>
      <c r="D72" s="124">
        <f t="shared" ref="D72:G72" si="61">D66-D71</f>
        <v>58844.70719999999</v>
      </c>
      <c r="E72" s="124">
        <f t="shared" si="61"/>
        <v>243653.63942399996</v>
      </c>
      <c r="F72" s="124">
        <f t="shared" si="61"/>
        <v>358781.12107007997</v>
      </c>
      <c r="G72" s="124">
        <f t="shared" si="61"/>
        <v>434985.59778447356</v>
      </c>
      <c r="H72" s="124">
        <f>H66-H71</f>
        <v>483730.74996171566</v>
      </c>
      <c r="I72" s="124">
        <f>I66-I71</f>
        <v>673101.45796477841</v>
      </c>
      <c r="J72" s="124">
        <f>J66-J71</f>
        <v>774721.75092759612</v>
      </c>
      <c r="K72" s="124">
        <f t="shared" ref="K72:O72" si="62">K66-K71</f>
        <v>953360.59965338849</v>
      </c>
      <c r="L72" s="124">
        <f t="shared" si="62"/>
        <v>978990.01088111731</v>
      </c>
      <c r="M72" s="124">
        <f t="shared" si="62"/>
        <v>954364.23401062714</v>
      </c>
      <c r="N72" s="124">
        <f t="shared" si="62"/>
        <v>878008.65368977701</v>
      </c>
      <c r="O72" s="124">
        <f t="shared" si="62"/>
        <v>807767.96139459487</v>
      </c>
      <c r="P72" s="124">
        <f t="shared" ref="P72:T72" si="63">P66-P71</f>
        <v>743146.52448302729</v>
      </c>
      <c r="Q72" s="124">
        <f t="shared" si="63"/>
        <v>683694.80252438504</v>
      </c>
      <c r="R72" s="124">
        <f t="shared" si="63"/>
        <v>628999.21832243423</v>
      </c>
      <c r="S72" s="124">
        <f t="shared" si="63"/>
        <v>578679.2808566395</v>
      </c>
      <c r="T72" s="124">
        <f t="shared" si="63"/>
        <v>532384.93838810828</v>
      </c>
      <c r="U72" s="118"/>
      <c r="V72" s="118"/>
      <c r="W72" s="118"/>
    </row>
    <row r="73" spans="1:23" x14ac:dyDescent="0.25"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</row>
  </sheetData>
  <mergeCells count="44">
    <mergeCell ref="AH45:AI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  <mergeCell ref="AA10:AC10"/>
    <mergeCell ref="AD10:AF10"/>
    <mergeCell ref="Y45:Z45"/>
    <mergeCell ref="AB45:AC45"/>
    <mergeCell ref="AE45:AF45"/>
    <mergeCell ref="AK45:AL45"/>
    <mergeCell ref="AJ10:AL10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  <mergeCell ref="R10:T10"/>
    <mergeCell ref="U10:W10"/>
    <mergeCell ref="X10:Z10"/>
    <mergeCell ref="AM10:AO10"/>
    <mergeCell ref="AS10:AU10"/>
    <mergeCell ref="BB10:BD10"/>
    <mergeCell ref="BC45:BD45"/>
    <mergeCell ref="BE10:BG10"/>
    <mergeCell ref="BF45:BG45"/>
    <mergeCell ref="AP10:AR10"/>
    <mergeCell ref="AQ45:AR45"/>
    <mergeCell ref="AV10:AX10"/>
    <mergeCell ref="AW45:AX45"/>
    <mergeCell ref="AY10:BA10"/>
    <mergeCell ref="AZ45:BA45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J6:AL12 C64:D64 H64:O64 C72:O72 C71 E71:O71 C68:O70 F67:O67 C65:C67 C62:O63 C61:E61 H61:O61 E66:O66 A6:AF12 AG6:AI12 A48:AI58 AG42:AI42 AG44:AI47 A42:AF42 A31:AI39 A13:AI29 A44:AF47 A41:AI41 A43:D43 AK44:AL47 AJ24 AJ25:AL29 A40:AE40 AK48:AL58 AJ13:AL23 E43:AI43 AF40:AI40 AV48:BG58 AV44:BG47 AV13:BG43 AL24 AJ31:AL43 A30:AL30 AJ44:AJ58 AP44:AR47 AP48:AR58 AP13:AR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93"/>
  <sheetViews>
    <sheetView topLeftCell="A89" zoomScaleNormal="100" workbookViewId="0">
      <selection activeCell="E110" sqref="E110"/>
    </sheetView>
  </sheetViews>
  <sheetFormatPr defaultRowHeight="15" outlineLevelRow="1" x14ac:dyDescent="0.25"/>
  <cols>
    <col min="1" max="1" width="43" style="4" bestFit="1" customWidth="1"/>
    <col min="2" max="2" width="14.5703125" style="4" bestFit="1" customWidth="1"/>
    <col min="3" max="3" width="17.42578125" style="4" bestFit="1" customWidth="1"/>
    <col min="4" max="4" width="16" style="4" bestFit="1" customWidth="1"/>
    <col min="5" max="5" width="15.7109375" style="4" customWidth="1"/>
    <col min="6" max="6" width="14.7109375" style="4" customWidth="1"/>
    <col min="7" max="7" width="15.5703125" style="4" bestFit="1" customWidth="1"/>
    <col min="8" max="8" width="17.42578125" style="4" bestFit="1" customWidth="1"/>
    <col min="9" max="9" width="14.85546875" style="4" customWidth="1"/>
    <col min="10" max="10" width="14.85546875" style="4" bestFit="1" customWidth="1"/>
    <col min="11" max="11" width="15.28515625" style="4" bestFit="1" customWidth="1"/>
    <col min="12" max="12" width="16" style="4" bestFit="1" customWidth="1"/>
    <col min="13" max="13" width="17.42578125" style="4" bestFit="1" customWidth="1"/>
    <col min="14" max="14" width="16.85546875" style="4" customWidth="1"/>
    <col min="15" max="15" width="14.85546875" style="4" customWidth="1"/>
    <col min="16" max="16" width="14.140625" style="4" customWidth="1"/>
    <col min="17" max="18" width="9.85546875" style="4" bestFit="1" customWidth="1"/>
    <col min="19" max="19" width="12.42578125" style="4" bestFit="1" customWidth="1"/>
    <col min="20" max="255" width="9.140625" style="4"/>
    <col min="256" max="256" width="31.5703125" style="4" customWidth="1"/>
    <col min="257" max="257" width="0" style="4" hidden="1" customWidth="1"/>
    <col min="258" max="258" width="14.5703125" style="4" bestFit="1" customWidth="1"/>
    <col min="259" max="259" width="17.42578125" style="4" bestFit="1" customWidth="1"/>
    <col min="260" max="260" width="16" style="4" bestFit="1" customWidth="1"/>
    <col min="261" max="261" width="15.7109375" style="4" customWidth="1"/>
    <col min="262" max="262" width="14.7109375" style="4" customWidth="1"/>
    <col min="263" max="263" width="15.5703125" style="4" bestFit="1" customWidth="1"/>
    <col min="264" max="264" width="17.42578125" style="4" bestFit="1" customWidth="1"/>
    <col min="265" max="265" width="14.85546875" style="4" customWidth="1"/>
    <col min="266" max="266" width="14.85546875" style="4" bestFit="1" customWidth="1"/>
    <col min="267" max="267" width="15.28515625" style="4" bestFit="1" customWidth="1"/>
    <col min="268" max="268" width="16" style="4" bestFit="1" customWidth="1"/>
    <col min="269" max="269" width="17.42578125" style="4" bestFit="1" customWidth="1"/>
    <col min="270" max="270" width="16.85546875" style="4" customWidth="1"/>
    <col min="271" max="271" width="14.85546875" style="4" customWidth="1"/>
    <col min="272" max="272" width="14.140625" style="4" customWidth="1"/>
    <col min="273" max="511" width="9.140625" style="4"/>
    <col min="512" max="512" width="31.5703125" style="4" customWidth="1"/>
    <col min="513" max="513" width="0" style="4" hidden="1" customWidth="1"/>
    <col min="514" max="514" width="14.5703125" style="4" bestFit="1" customWidth="1"/>
    <col min="515" max="515" width="17.42578125" style="4" bestFit="1" customWidth="1"/>
    <col min="516" max="516" width="16" style="4" bestFit="1" customWidth="1"/>
    <col min="517" max="517" width="15.7109375" style="4" customWidth="1"/>
    <col min="518" max="518" width="14.7109375" style="4" customWidth="1"/>
    <col min="519" max="519" width="15.5703125" style="4" bestFit="1" customWidth="1"/>
    <col min="520" max="520" width="17.42578125" style="4" bestFit="1" customWidth="1"/>
    <col min="521" max="521" width="14.85546875" style="4" customWidth="1"/>
    <col min="522" max="522" width="14.85546875" style="4" bestFit="1" customWidth="1"/>
    <col min="523" max="523" width="15.28515625" style="4" bestFit="1" customWidth="1"/>
    <col min="524" max="524" width="16" style="4" bestFit="1" customWidth="1"/>
    <col min="525" max="525" width="17.42578125" style="4" bestFit="1" customWidth="1"/>
    <col min="526" max="526" width="16.85546875" style="4" customWidth="1"/>
    <col min="527" max="527" width="14.85546875" style="4" customWidth="1"/>
    <col min="528" max="528" width="14.140625" style="4" customWidth="1"/>
    <col min="529" max="767" width="9.140625" style="4"/>
    <col min="768" max="768" width="31.5703125" style="4" customWidth="1"/>
    <col min="769" max="769" width="0" style="4" hidden="1" customWidth="1"/>
    <col min="770" max="770" width="14.5703125" style="4" bestFit="1" customWidth="1"/>
    <col min="771" max="771" width="17.42578125" style="4" bestFit="1" customWidth="1"/>
    <col min="772" max="772" width="16" style="4" bestFit="1" customWidth="1"/>
    <col min="773" max="773" width="15.7109375" style="4" customWidth="1"/>
    <col min="774" max="774" width="14.7109375" style="4" customWidth="1"/>
    <col min="775" max="775" width="15.5703125" style="4" bestFit="1" customWidth="1"/>
    <col min="776" max="776" width="17.42578125" style="4" bestFit="1" customWidth="1"/>
    <col min="777" max="777" width="14.85546875" style="4" customWidth="1"/>
    <col min="778" max="778" width="14.85546875" style="4" bestFit="1" customWidth="1"/>
    <col min="779" max="779" width="15.28515625" style="4" bestFit="1" customWidth="1"/>
    <col min="780" max="780" width="16" style="4" bestFit="1" customWidth="1"/>
    <col min="781" max="781" width="17.42578125" style="4" bestFit="1" customWidth="1"/>
    <col min="782" max="782" width="16.85546875" style="4" customWidth="1"/>
    <col min="783" max="783" width="14.85546875" style="4" customWidth="1"/>
    <col min="784" max="784" width="14.140625" style="4" customWidth="1"/>
    <col min="785" max="1023" width="9.140625" style="4"/>
    <col min="1024" max="1024" width="31.5703125" style="4" customWidth="1"/>
    <col min="1025" max="1025" width="0" style="4" hidden="1" customWidth="1"/>
    <col min="1026" max="1026" width="14.5703125" style="4" bestFit="1" customWidth="1"/>
    <col min="1027" max="1027" width="17.42578125" style="4" bestFit="1" customWidth="1"/>
    <col min="1028" max="1028" width="16" style="4" bestFit="1" customWidth="1"/>
    <col min="1029" max="1029" width="15.7109375" style="4" customWidth="1"/>
    <col min="1030" max="1030" width="14.7109375" style="4" customWidth="1"/>
    <col min="1031" max="1031" width="15.5703125" style="4" bestFit="1" customWidth="1"/>
    <col min="1032" max="1032" width="17.42578125" style="4" bestFit="1" customWidth="1"/>
    <col min="1033" max="1033" width="14.85546875" style="4" customWidth="1"/>
    <col min="1034" max="1034" width="14.85546875" style="4" bestFit="1" customWidth="1"/>
    <col min="1035" max="1035" width="15.28515625" style="4" bestFit="1" customWidth="1"/>
    <col min="1036" max="1036" width="16" style="4" bestFit="1" customWidth="1"/>
    <col min="1037" max="1037" width="17.42578125" style="4" bestFit="1" customWidth="1"/>
    <col min="1038" max="1038" width="16.85546875" style="4" customWidth="1"/>
    <col min="1039" max="1039" width="14.85546875" style="4" customWidth="1"/>
    <col min="1040" max="1040" width="14.140625" style="4" customWidth="1"/>
    <col min="1041" max="1279" width="9.140625" style="4"/>
    <col min="1280" max="1280" width="31.5703125" style="4" customWidth="1"/>
    <col min="1281" max="1281" width="0" style="4" hidden="1" customWidth="1"/>
    <col min="1282" max="1282" width="14.5703125" style="4" bestFit="1" customWidth="1"/>
    <col min="1283" max="1283" width="17.42578125" style="4" bestFit="1" customWidth="1"/>
    <col min="1284" max="1284" width="16" style="4" bestFit="1" customWidth="1"/>
    <col min="1285" max="1285" width="15.7109375" style="4" customWidth="1"/>
    <col min="1286" max="1286" width="14.7109375" style="4" customWidth="1"/>
    <col min="1287" max="1287" width="15.5703125" style="4" bestFit="1" customWidth="1"/>
    <col min="1288" max="1288" width="17.42578125" style="4" bestFit="1" customWidth="1"/>
    <col min="1289" max="1289" width="14.85546875" style="4" customWidth="1"/>
    <col min="1290" max="1290" width="14.85546875" style="4" bestFit="1" customWidth="1"/>
    <col min="1291" max="1291" width="15.28515625" style="4" bestFit="1" customWidth="1"/>
    <col min="1292" max="1292" width="16" style="4" bestFit="1" customWidth="1"/>
    <col min="1293" max="1293" width="17.42578125" style="4" bestFit="1" customWidth="1"/>
    <col min="1294" max="1294" width="16.85546875" style="4" customWidth="1"/>
    <col min="1295" max="1295" width="14.85546875" style="4" customWidth="1"/>
    <col min="1296" max="1296" width="14.140625" style="4" customWidth="1"/>
    <col min="1297" max="1535" width="9.140625" style="4"/>
    <col min="1536" max="1536" width="31.5703125" style="4" customWidth="1"/>
    <col min="1537" max="1537" width="0" style="4" hidden="1" customWidth="1"/>
    <col min="1538" max="1538" width="14.5703125" style="4" bestFit="1" customWidth="1"/>
    <col min="1539" max="1539" width="17.42578125" style="4" bestFit="1" customWidth="1"/>
    <col min="1540" max="1540" width="16" style="4" bestFit="1" customWidth="1"/>
    <col min="1541" max="1541" width="15.7109375" style="4" customWidth="1"/>
    <col min="1542" max="1542" width="14.7109375" style="4" customWidth="1"/>
    <col min="1543" max="1543" width="15.5703125" style="4" bestFit="1" customWidth="1"/>
    <col min="1544" max="1544" width="17.42578125" style="4" bestFit="1" customWidth="1"/>
    <col min="1545" max="1545" width="14.85546875" style="4" customWidth="1"/>
    <col min="1546" max="1546" width="14.85546875" style="4" bestFit="1" customWidth="1"/>
    <col min="1547" max="1547" width="15.28515625" style="4" bestFit="1" customWidth="1"/>
    <col min="1548" max="1548" width="16" style="4" bestFit="1" customWidth="1"/>
    <col min="1549" max="1549" width="17.42578125" style="4" bestFit="1" customWidth="1"/>
    <col min="1550" max="1550" width="16.85546875" style="4" customWidth="1"/>
    <col min="1551" max="1551" width="14.85546875" style="4" customWidth="1"/>
    <col min="1552" max="1552" width="14.140625" style="4" customWidth="1"/>
    <col min="1553" max="1791" width="9.140625" style="4"/>
    <col min="1792" max="1792" width="31.5703125" style="4" customWidth="1"/>
    <col min="1793" max="1793" width="0" style="4" hidden="1" customWidth="1"/>
    <col min="1794" max="1794" width="14.5703125" style="4" bestFit="1" customWidth="1"/>
    <col min="1795" max="1795" width="17.42578125" style="4" bestFit="1" customWidth="1"/>
    <col min="1796" max="1796" width="16" style="4" bestFit="1" customWidth="1"/>
    <col min="1797" max="1797" width="15.7109375" style="4" customWidth="1"/>
    <col min="1798" max="1798" width="14.7109375" style="4" customWidth="1"/>
    <col min="1799" max="1799" width="15.5703125" style="4" bestFit="1" customWidth="1"/>
    <col min="1800" max="1800" width="17.42578125" style="4" bestFit="1" customWidth="1"/>
    <col min="1801" max="1801" width="14.85546875" style="4" customWidth="1"/>
    <col min="1802" max="1802" width="14.85546875" style="4" bestFit="1" customWidth="1"/>
    <col min="1803" max="1803" width="15.28515625" style="4" bestFit="1" customWidth="1"/>
    <col min="1804" max="1804" width="16" style="4" bestFit="1" customWidth="1"/>
    <col min="1805" max="1805" width="17.42578125" style="4" bestFit="1" customWidth="1"/>
    <col min="1806" max="1806" width="16.85546875" style="4" customWidth="1"/>
    <col min="1807" max="1807" width="14.85546875" style="4" customWidth="1"/>
    <col min="1808" max="1808" width="14.140625" style="4" customWidth="1"/>
    <col min="1809" max="2047" width="9.140625" style="4"/>
    <col min="2048" max="2048" width="31.5703125" style="4" customWidth="1"/>
    <col min="2049" max="2049" width="0" style="4" hidden="1" customWidth="1"/>
    <col min="2050" max="2050" width="14.5703125" style="4" bestFit="1" customWidth="1"/>
    <col min="2051" max="2051" width="17.42578125" style="4" bestFit="1" customWidth="1"/>
    <col min="2052" max="2052" width="16" style="4" bestFit="1" customWidth="1"/>
    <col min="2053" max="2053" width="15.7109375" style="4" customWidth="1"/>
    <col min="2054" max="2054" width="14.7109375" style="4" customWidth="1"/>
    <col min="2055" max="2055" width="15.5703125" style="4" bestFit="1" customWidth="1"/>
    <col min="2056" max="2056" width="17.42578125" style="4" bestFit="1" customWidth="1"/>
    <col min="2057" max="2057" width="14.85546875" style="4" customWidth="1"/>
    <col min="2058" max="2058" width="14.85546875" style="4" bestFit="1" customWidth="1"/>
    <col min="2059" max="2059" width="15.28515625" style="4" bestFit="1" customWidth="1"/>
    <col min="2060" max="2060" width="16" style="4" bestFit="1" customWidth="1"/>
    <col min="2061" max="2061" width="17.42578125" style="4" bestFit="1" customWidth="1"/>
    <col min="2062" max="2062" width="16.85546875" style="4" customWidth="1"/>
    <col min="2063" max="2063" width="14.85546875" style="4" customWidth="1"/>
    <col min="2064" max="2064" width="14.140625" style="4" customWidth="1"/>
    <col min="2065" max="2303" width="9.140625" style="4"/>
    <col min="2304" max="2304" width="31.5703125" style="4" customWidth="1"/>
    <col min="2305" max="2305" width="0" style="4" hidden="1" customWidth="1"/>
    <col min="2306" max="2306" width="14.5703125" style="4" bestFit="1" customWidth="1"/>
    <col min="2307" max="2307" width="17.42578125" style="4" bestFit="1" customWidth="1"/>
    <col min="2308" max="2308" width="16" style="4" bestFit="1" customWidth="1"/>
    <col min="2309" max="2309" width="15.7109375" style="4" customWidth="1"/>
    <col min="2310" max="2310" width="14.7109375" style="4" customWidth="1"/>
    <col min="2311" max="2311" width="15.5703125" style="4" bestFit="1" customWidth="1"/>
    <col min="2312" max="2312" width="17.42578125" style="4" bestFit="1" customWidth="1"/>
    <col min="2313" max="2313" width="14.85546875" style="4" customWidth="1"/>
    <col min="2314" max="2314" width="14.85546875" style="4" bestFit="1" customWidth="1"/>
    <col min="2315" max="2315" width="15.28515625" style="4" bestFit="1" customWidth="1"/>
    <col min="2316" max="2316" width="16" style="4" bestFit="1" customWidth="1"/>
    <col min="2317" max="2317" width="17.42578125" style="4" bestFit="1" customWidth="1"/>
    <col min="2318" max="2318" width="16.85546875" style="4" customWidth="1"/>
    <col min="2319" max="2319" width="14.85546875" style="4" customWidth="1"/>
    <col min="2320" max="2320" width="14.140625" style="4" customWidth="1"/>
    <col min="2321" max="2559" width="9.140625" style="4"/>
    <col min="2560" max="2560" width="31.5703125" style="4" customWidth="1"/>
    <col min="2561" max="2561" width="0" style="4" hidden="1" customWidth="1"/>
    <col min="2562" max="2562" width="14.5703125" style="4" bestFit="1" customWidth="1"/>
    <col min="2563" max="2563" width="17.42578125" style="4" bestFit="1" customWidth="1"/>
    <col min="2564" max="2564" width="16" style="4" bestFit="1" customWidth="1"/>
    <col min="2565" max="2565" width="15.7109375" style="4" customWidth="1"/>
    <col min="2566" max="2566" width="14.7109375" style="4" customWidth="1"/>
    <col min="2567" max="2567" width="15.5703125" style="4" bestFit="1" customWidth="1"/>
    <col min="2568" max="2568" width="17.42578125" style="4" bestFit="1" customWidth="1"/>
    <col min="2569" max="2569" width="14.85546875" style="4" customWidth="1"/>
    <col min="2570" max="2570" width="14.85546875" style="4" bestFit="1" customWidth="1"/>
    <col min="2571" max="2571" width="15.28515625" style="4" bestFit="1" customWidth="1"/>
    <col min="2572" max="2572" width="16" style="4" bestFit="1" customWidth="1"/>
    <col min="2573" max="2573" width="17.42578125" style="4" bestFit="1" customWidth="1"/>
    <col min="2574" max="2574" width="16.85546875" style="4" customWidth="1"/>
    <col min="2575" max="2575" width="14.85546875" style="4" customWidth="1"/>
    <col min="2576" max="2576" width="14.140625" style="4" customWidth="1"/>
    <col min="2577" max="2815" width="9.140625" style="4"/>
    <col min="2816" max="2816" width="31.5703125" style="4" customWidth="1"/>
    <col min="2817" max="2817" width="0" style="4" hidden="1" customWidth="1"/>
    <col min="2818" max="2818" width="14.5703125" style="4" bestFit="1" customWidth="1"/>
    <col min="2819" max="2819" width="17.42578125" style="4" bestFit="1" customWidth="1"/>
    <col min="2820" max="2820" width="16" style="4" bestFit="1" customWidth="1"/>
    <col min="2821" max="2821" width="15.7109375" style="4" customWidth="1"/>
    <col min="2822" max="2822" width="14.7109375" style="4" customWidth="1"/>
    <col min="2823" max="2823" width="15.5703125" style="4" bestFit="1" customWidth="1"/>
    <col min="2824" max="2824" width="17.42578125" style="4" bestFit="1" customWidth="1"/>
    <col min="2825" max="2825" width="14.85546875" style="4" customWidth="1"/>
    <col min="2826" max="2826" width="14.85546875" style="4" bestFit="1" customWidth="1"/>
    <col min="2827" max="2827" width="15.28515625" style="4" bestFit="1" customWidth="1"/>
    <col min="2828" max="2828" width="16" style="4" bestFit="1" customWidth="1"/>
    <col min="2829" max="2829" width="17.42578125" style="4" bestFit="1" customWidth="1"/>
    <col min="2830" max="2830" width="16.85546875" style="4" customWidth="1"/>
    <col min="2831" max="2831" width="14.85546875" style="4" customWidth="1"/>
    <col min="2832" max="2832" width="14.140625" style="4" customWidth="1"/>
    <col min="2833" max="3071" width="9.140625" style="4"/>
    <col min="3072" max="3072" width="31.5703125" style="4" customWidth="1"/>
    <col min="3073" max="3073" width="0" style="4" hidden="1" customWidth="1"/>
    <col min="3074" max="3074" width="14.5703125" style="4" bestFit="1" customWidth="1"/>
    <col min="3075" max="3075" width="17.42578125" style="4" bestFit="1" customWidth="1"/>
    <col min="3076" max="3076" width="16" style="4" bestFit="1" customWidth="1"/>
    <col min="3077" max="3077" width="15.7109375" style="4" customWidth="1"/>
    <col min="3078" max="3078" width="14.7109375" style="4" customWidth="1"/>
    <col min="3079" max="3079" width="15.5703125" style="4" bestFit="1" customWidth="1"/>
    <col min="3080" max="3080" width="17.42578125" style="4" bestFit="1" customWidth="1"/>
    <col min="3081" max="3081" width="14.85546875" style="4" customWidth="1"/>
    <col min="3082" max="3082" width="14.85546875" style="4" bestFit="1" customWidth="1"/>
    <col min="3083" max="3083" width="15.28515625" style="4" bestFit="1" customWidth="1"/>
    <col min="3084" max="3084" width="16" style="4" bestFit="1" customWidth="1"/>
    <col min="3085" max="3085" width="17.42578125" style="4" bestFit="1" customWidth="1"/>
    <col min="3086" max="3086" width="16.85546875" style="4" customWidth="1"/>
    <col min="3087" max="3087" width="14.85546875" style="4" customWidth="1"/>
    <col min="3088" max="3088" width="14.140625" style="4" customWidth="1"/>
    <col min="3089" max="3327" width="9.140625" style="4"/>
    <col min="3328" max="3328" width="31.5703125" style="4" customWidth="1"/>
    <col min="3329" max="3329" width="0" style="4" hidden="1" customWidth="1"/>
    <col min="3330" max="3330" width="14.5703125" style="4" bestFit="1" customWidth="1"/>
    <col min="3331" max="3331" width="17.42578125" style="4" bestFit="1" customWidth="1"/>
    <col min="3332" max="3332" width="16" style="4" bestFit="1" customWidth="1"/>
    <col min="3333" max="3333" width="15.7109375" style="4" customWidth="1"/>
    <col min="3334" max="3334" width="14.7109375" style="4" customWidth="1"/>
    <col min="3335" max="3335" width="15.5703125" style="4" bestFit="1" customWidth="1"/>
    <col min="3336" max="3336" width="17.42578125" style="4" bestFit="1" customWidth="1"/>
    <col min="3337" max="3337" width="14.85546875" style="4" customWidth="1"/>
    <col min="3338" max="3338" width="14.85546875" style="4" bestFit="1" customWidth="1"/>
    <col min="3339" max="3339" width="15.28515625" style="4" bestFit="1" customWidth="1"/>
    <col min="3340" max="3340" width="16" style="4" bestFit="1" customWidth="1"/>
    <col min="3341" max="3341" width="17.42578125" style="4" bestFit="1" customWidth="1"/>
    <col min="3342" max="3342" width="16.85546875" style="4" customWidth="1"/>
    <col min="3343" max="3343" width="14.85546875" style="4" customWidth="1"/>
    <col min="3344" max="3344" width="14.140625" style="4" customWidth="1"/>
    <col min="3345" max="3583" width="9.140625" style="4"/>
    <col min="3584" max="3584" width="31.5703125" style="4" customWidth="1"/>
    <col min="3585" max="3585" width="0" style="4" hidden="1" customWidth="1"/>
    <col min="3586" max="3586" width="14.5703125" style="4" bestFit="1" customWidth="1"/>
    <col min="3587" max="3587" width="17.42578125" style="4" bestFit="1" customWidth="1"/>
    <col min="3588" max="3588" width="16" style="4" bestFit="1" customWidth="1"/>
    <col min="3589" max="3589" width="15.7109375" style="4" customWidth="1"/>
    <col min="3590" max="3590" width="14.7109375" style="4" customWidth="1"/>
    <col min="3591" max="3591" width="15.5703125" style="4" bestFit="1" customWidth="1"/>
    <col min="3592" max="3592" width="17.42578125" style="4" bestFit="1" customWidth="1"/>
    <col min="3593" max="3593" width="14.85546875" style="4" customWidth="1"/>
    <col min="3594" max="3594" width="14.85546875" style="4" bestFit="1" customWidth="1"/>
    <col min="3595" max="3595" width="15.28515625" style="4" bestFit="1" customWidth="1"/>
    <col min="3596" max="3596" width="16" style="4" bestFit="1" customWidth="1"/>
    <col min="3597" max="3597" width="17.42578125" style="4" bestFit="1" customWidth="1"/>
    <col min="3598" max="3598" width="16.85546875" style="4" customWidth="1"/>
    <col min="3599" max="3599" width="14.85546875" style="4" customWidth="1"/>
    <col min="3600" max="3600" width="14.140625" style="4" customWidth="1"/>
    <col min="3601" max="3839" width="9.140625" style="4"/>
    <col min="3840" max="3840" width="31.5703125" style="4" customWidth="1"/>
    <col min="3841" max="3841" width="0" style="4" hidden="1" customWidth="1"/>
    <col min="3842" max="3842" width="14.5703125" style="4" bestFit="1" customWidth="1"/>
    <col min="3843" max="3843" width="17.42578125" style="4" bestFit="1" customWidth="1"/>
    <col min="3844" max="3844" width="16" style="4" bestFit="1" customWidth="1"/>
    <col min="3845" max="3845" width="15.7109375" style="4" customWidth="1"/>
    <col min="3846" max="3846" width="14.7109375" style="4" customWidth="1"/>
    <col min="3847" max="3847" width="15.5703125" style="4" bestFit="1" customWidth="1"/>
    <col min="3848" max="3848" width="17.42578125" style="4" bestFit="1" customWidth="1"/>
    <col min="3849" max="3849" width="14.85546875" style="4" customWidth="1"/>
    <col min="3850" max="3850" width="14.85546875" style="4" bestFit="1" customWidth="1"/>
    <col min="3851" max="3851" width="15.28515625" style="4" bestFit="1" customWidth="1"/>
    <col min="3852" max="3852" width="16" style="4" bestFit="1" customWidth="1"/>
    <col min="3853" max="3853" width="17.42578125" style="4" bestFit="1" customWidth="1"/>
    <col min="3854" max="3854" width="16.85546875" style="4" customWidth="1"/>
    <col min="3855" max="3855" width="14.85546875" style="4" customWidth="1"/>
    <col min="3856" max="3856" width="14.140625" style="4" customWidth="1"/>
    <col min="3857" max="4095" width="9.140625" style="4"/>
    <col min="4096" max="4096" width="31.5703125" style="4" customWidth="1"/>
    <col min="4097" max="4097" width="0" style="4" hidden="1" customWidth="1"/>
    <col min="4098" max="4098" width="14.5703125" style="4" bestFit="1" customWidth="1"/>
    <col min="4099" max="4099" width="17.42578125" style="4" bestFit="1" customWidth="1"/>
    <col min="4100" max="4100" width="16" style="4" bestFit="1" customWidth="1"/>
    <col min="4101" max="4101" width="15.7109375" style="4" customWidth="1"/>
    <col min="4102" max="4102" width="14.7109375" style="4" customWidth="1"/>
    <col min="4103" max="4103" width="15.5703125" style="4" bestFit="1" customWidth="1"/>
    <col min="4104" max="4104" width="17.42578125" style="4" bestFit="1" customWidth="1"/>
    <col min="4105" max="4105" width="14.85546875" style="4" customWidth="1"/>
    <col min="4106" max="4106" width="14.85546875" style="4" bestFit="1" customWidth="1"/>
    <col min="4107" max="4107" width="15.28515625" style="4" bestFit="1" customWidth="1"/>
    <col min="4108" max="4108" width="16" style="4" bestFit="1" customWidth="1"/>
    <col min="4109" max="4109" width="17.42578125" style="4" bestFit="1" customWidth="1"/>
    <col min="4110" max="4110" width="16.85546875" style="4" customWidth="1"/>
    <col min="4111" max="4111" width="14.85546875" style="4" customWidth="1"/>
    <col min="4112" max="4112" width="14.140625" style="4" customWidth="1"/>
    <col min="4113" max="4351" width="9.140625" style="4"/>
    <col min="4352" max="4352" width="31.5703125" style="4" customWidth="1"/>
    <col min="4353" max="4353" width="0" style="4" hidden="1" customWidth="1"/>
    <col min="4354" max="4354" width="14.5703125" style="4" bestFit="1" customWidth="1"/>
    <col min="4355" max="4355" width="17.42578125" style="4" bestFit="1" customWidth="1"/>
    <col min="4356" max="4356" width="16" style="4" bestFit="1" customWidth="1"/>
    <col min="4357" max="4357" width="15.7109375" style="4" customWidth="1"/>
    <col min="4358" max="4358" width="14.7109375" style="4" customWidth="1"/>
    <col min="4359" max="4359" width="15.5703125" style="4" bestFit="1" customWidth="1"/>
    <col min="4360" max="4360" width="17.42578125" style="4" bestFit="1" customWidth="1"/>
    <col min="4361" max="4361" width="14.85546875" style="4" customWidth="1"/>
    <col min="4362" max="4362" width="14.85546875" style="4" bestFit="1" customWidth="1"/>
    <col min="4363" max="4363" width="15.28515625" style="4" bestFit="1" customWidth="1"/>
    <col min="4364" max="4364" width="16" style="4" bestFit="1" customWidth="1"/>
    <col min="4365" max="4365" width="17.42578125" style="4" bestFit="1" customWidth="1"/>
    <col min="4366" max="4366" width="16.85546875" style="4" customWidth="1"/>
    <col min="4367" max="4367" width="14.85546875" style="4" customWidth="1"/>
    <col min="4368" max="4368" width="14.140625" style="4" customWidth="1"/>
    <col min="4369" max="4607" width="9.140625" style="4"/>
    <col min="4608" max="4608" width="31.5703125" style="4" customWidth="1"/>
    <col min="4609" max="4609" width="0" style="4" hidden="1" customWidth="1"/>
    <col min="4610" max="4610" width="14.5703125" style="4" bestFit="1" customWidth="1"/>
    <col min="4611" max="4611" width="17.42578125" style="4" bestFit="1" customWidth="1"/>
    <col min="4612" max="4612" width="16" style="4" bestFit="1" customWidth="1"/>
    <col min="4613" max="4613" width="15.7109375" style="4" customWidth="1"/>
    <col min="4614" max="4614" width="14.7109375" style="4" customWidth="1"/>
    <col min="4615" max="4615" width="15.5703125" style="4" bestFit="1" customWidth="1"/>
    <col min="4616" max="4616" width="17.42578125" style="4" bestFit="1" customWidth="1"/>
    <col min="4617" max="4617" width="14.85546875" style="4" customWidth="1"/>
    <col min="4618" max="4618" width="14.85546875" style="4" bestFit="1" customWidth="1"/>
    <col min="4619" max="4619" width="15.28515625" style="4" bestFit="1" customWidth="1"/>
    <col min="4620" max="4620" width="16" style="4" bestFit="1" customWidth="1"/>
    <col min="4621" max="4621" width="17.42578125" style="4" bestFit="1" customWidth="1"/>
    <col min="4622" max="4622" width="16.85546875" style="4" customWidth="1"/>
    <col min="4623" max="4623" width="14.85546875" style="4" customWidth="1"/>
    <col min="4624" max="4624" width="14.140625" style="4" customWidth="1"/>
    <col min="4625" max="4863" width="9.140625" style="4"/>
    <col min="4864" max="4864" width="31.5703125" style="4" customWidth="1"/>
    <col min="4865" max="4865" width="0" style="4" hidden="1" customWidth="1"/>
    <col min="4866" max="4866" width="14.5703125" style="4" bestFit="1" customWidth="1"/>
    <col min="4867" max="4867" width="17.42578125" style="4" bestFit="1" customWidth="1"/>
    <col min="4868" max="4868" width="16" style="4" bestFit="1" customWidth="1"/>
    <col min="4869" max="4869" width="15.7109375" style="4" customWidth="1"/>
    <col min="4870" max="4870" width="14.7109375" style="4" customWidth="1"/>
    <col min="4871" max="4871" width="15.5703125" style="4" bestFit="1" customWidth="1"/>
    <col min="4872" max="4872" width="17.42578125" style="4" bestFit="1" customWidth="1"/>
    <col min="4873" max="4873" width="14.85546875" style="4" customWidth="1"/>
    <col min="4874" max="4874" width="14.85546875" style="4" bestFit="1" customWidth="1"/>
    <col min="4875" max="4875" width="15.28515625" style="4" bestFit="1" customWidth="1"/>
    <col min="4876" max="4876" width="16" style="4" bestFit="1" customWidth="1"/>
    <col min="4877" max="4877" width="17.42578125" style="4" bestFit="1" customWidth="1"/>
    <col min="4878" max="4878" width="16.85546875" style="4" customWidth="1"/>
    <col min="4879" max="4879" width="14.85546875" style="4" customWidth="1"/>
    <col min="4880" max="4880" width="14.140625" style="4" customWidth="1"/>
    <col min="4881" max="5119" width="9.140625" style="4"/>
    <col min="5120" max="5120" width="31.5703125" style="4" customWidth="1"/>
    <col min="5121" max="5121" width="0" style="4" hidden="1" customWidth="1"/>
    <col min="5122" max="5122" width="14.5703125" style="4" bestFit="1" customWidth="1"/>
    <col min="5123" max="5123" width="17.42578125" style="4" bestFit="1" customWidth="1"/>
    <col min="5124" max="5124" width="16" style="4" bestFit="1" customWidth="1"/>
    <col min="5125" max="5125" width="15.7109375" style="4" customWidth="1"/>
    <col min="5126" max="5126" width="14.7109375" style="4" customWidth="1"/>
    <col min="5127" max="5127" width="15.5703125" style="4" bestFit="1" customWidth="1"/>
    <col min="5128" max="5128" width="17.42578125" style="4" bestFit="1" customWidth="1"/>
    <col min="5129" max="5129" width="14.85546875" style="4" customWidth="1"/>
    <col min="5130" max="5130" width="14.85546875" style="4" bestFit="1" customWidth="1"/>
    <col min="5131" max="5131" width="15.28515625" style="4" bestFit="1" customWidth="1"/>
    <col min="5132" max="5132" width="16" style="4" bestFit="1" customWidth="1"/>
    <col min="5133" max="5133" width="17.42578125" style="4" bestFit="1" customWidth="1"/>
    <col min="5134" max="5134" width="16.85546875" style="4" customWidth="1"/>
    <col min="5135" max="5135" width="14.85546875" style="4" customWidth="1"/>
    <col min="5136" max="5136" width="14.140625" style="4" customWidth="1"/>
    <col min="5137" max="5375" width="9.140625" style="4"/>
    <col min="5376" max="5376" width="31.5703125" style="4" customWidth="1"/>
    <col min="5377" max="5377" width="0" style="4" hidden="1" customWidth="1"/>
    <col min="5378" max="5378" width="14.5703125" style="4" bestFit="1" customWidth="1"/>
    <col min="5379" max="5379" width="17.42578125" style="4" bestFit="1" customWidth="1"/>
    <col min="5380" max="5380" width="16" style="4" bestFit="1" customWidth="1"/>
    <col min="5381" max="5381" width="15.7109375" style="4" customWidth="1"/>
    <col min="5382" max="5382" width="14.7109375" style="4" customWidth="1"/>
    <col min="5383" max="5383" width="15.5703125" style="4" bestFit="1" customWidth="1"/>
    <col min="5384" max="5384" width="17.42578125" style="4" bestFit="1" customWidth="1"/>
    <col min="5385" max="5385" width="14.85546875" style="4" customWidth="1"/>
    <col min="5386" max="5386" width="14.85546875" style="4" bestFit="1" customWidth="1"/>
    <col min="5387" max="5387" width="15.28515625" style="4" bestFit="1" customWidth="1"/>
    <col min="5388" max="5388" width="16" style="4" bestFit="1" customWidth="1"/>
    <col min="5389" max="5389" width="17.42578125" style="4" bestFit="1" customWidth="1"/>
    <col min="5390" max="5390" width="16.85546875" style="4" customWidth="1"/>
    <col min="5391" max="5391" width="14.85546875" style="4" customWidth="1"/>
    <col min="5392" max="5392" width="14.140625" style="4" customWidth="1"/>
    <col min="5393" max="5631" width="9.140625" style="4"/>
    <col min="5632" max="5632" width="31.5703125" style="4" customWidth="1"/>
    <col min="5633" max="5633" width="0" style="4" hidden="1" customWidth="1"/>
    <col min="5634" max="5634" width="14.5703125" style="4" bestFit="1" customWidth="1"/>
    <col min="5635" max="5635" width="17.42578125" style="4" bestFit="1" customWidth="1"/>
    <col min="5636" max="5636" width="16" style="4" bestFit="1" customWidth="1"/>
    <col min="5637" max="5637" width="15.7109375" style="4" customWidth="1"/>
    <col min="5638" max="5638" width="14.7109375" style="4" customWidth="1"/>
    <col min="5639" max="5639" width="15.5703125" style="4" bestFit="1" customWidth="1"/>
    <col min="5640" max="5640" width="17.42578125" style="4" bestFit="1" customWidth="1"/>
    <col min="5641" max="5641" width="14.85546875" style="4" customWidth="1"/>
    <col min="5642" max="5642" width="14.85546875" style="4" bestFit="1" customWidth="1"/>
    <col min="5643" max="5643" width="15.28515625" style="4" bestFit="1" customWidth="1"/>
    <col min="5644" max="5644" width="16" style="4" bestFit="1" customWidth="1"/>
    <col min="5645" max="5645" width="17.42578125" style="4" bestFit="1" customWidth="1"/>
    <col min="5646" max="5646" width="16.85546875" style="4" customWidth="1"/>
    <col min="5647" max="5647" width="14.85546875" style="4" customWidth="1"/>
    <col min="5648" max="5648" width="14.140625" style="4" customWidth="1"/>
    <col min="5649" max="5887" width="9.140625" style="4"/>
    <col min="5888" max="5888" width="31.5703125" style="4" customWidth="1"/>
    <col min="5889" max="5889" width="0" style="4" hidden="1" customWidth="1"/>
    <col min="5890" max="5890" width="14.5703125" style="4" bestFit="1" customWidth="1"/>
    <col min="5891" max="5891" width="17.42578125" style="4" bestFit="1" customWidth="1"/>
    <col min="5892" max="5892" width="16" style="4" bestFit="1" customWidth="1"/>
    <col min="5893" max="5893" width="15.7109375" style="4" customWidth="1"/>
    <col min="5894" max="5894" width="14.7109375" style="4" customWidth="1"/>
    <col min="5895" max="5895" width="15.5703125" style="4" bestFit="1" customWidth="1"/>
    <col min="5896" max="5896" width="17.42578125" style="4" bestFit="1" customWidth="1"/>
    <col min="5897" max="5897" width="14.85546875" style="4" customWidth="1"/>
    <col min="5898" max="5898" width="14.85546875" style="4" bestFit="1" customWidth="1"/>
    <col min="5899" max="5899" width="15.28515625" style="4" bestFit="1" customWidth="1"/>
    <col min="5900" max="5900" width="16" style="4" bestFit="1" customWidth="1"/>
    <col min="5901" max="5901" width="17.42578125" style="4" bestFit="1" customWidth="1"/>
    <col min="5902" max="5902" width="16.85546875" style="4" customWidth="1"/>
    <col min="5903" max="5903" width="14.85546875" style="4" customWidth="1"/>
    <col min="5904" max="5904" width="14.140625" style="4" customWidth="1"/>
    <col min="5905" max="6143" width="9.140625" style="4"/>
    <col min="6144" max="6144" width="31.5703125" style="4" customWidth="1"/>
    <col min="6145" max="6145" width="0" style="4" hidden="1" customWidth="1"/>
    <col min="6146" max="6146" width="14.5703125" style="4" bestFit="1" customWidth="1"/>
    <col min="6147" max="6147" width="17.42578125" style="4" bestFit="1" customWidth="1"/>
    <col min="6148" max="6148" width="16" style="4" bestFit="1" customWidth="1"/>
    <col min="6149" max="6149" width="15.7109375" style="4" customWidth="1"/>
    <col min="6150" max="6150" width="14.7109375" style="4" customWidth="1"/>
    <col min="6151" max="6151" width="15.5703125" style="4" bestFit="1" customWidth="1"/>
    <col min="6152" max="6152" width="17.42578125" style="4" bestFit="1" customWidth="1"/>
    <col min="6153" max="6153" width="14.85546875" style="4" customWidth="1"/>
    <col min="6154" max="6154" width="14.85546875" style="4" bestFit="1" customWidth="1"/>
    <col min="6155" max="6155" width="15.28515625" style="4" bestFit="1" customWidth="1"/>
    <col min="6156" max="6156" width="16" style="4" bestFit="1" customWidth="1"/>
    <col min="6157" max="6157" width="17.42578125" style="4" bestFit="1" customWidth="1"/>
    <col min="6158" max="6158" width="16.85546875" style="4" customWidth="1"/>
    <col min="6159" max="6159" width="14.85546875" style="4" customWidth="1"/>
    <col min="6160" max="6160" width="14.140625" style="4" customWidth="1"/>
    <col min="6161" max="6399" width="9.140625" style="4"/>
    <col min="6400" max="6400" width="31.5703125" style="4" customWidth="1"/>
    <col min="6401" max="6401" width="0" style="4" hidden="1" customWidth="1"/>
    <col min="6402" max="6402" width="14.5703125" style="4" bestFit="1" customWidth="1"/>
    <col min="6403" max="6403" width="17.42578125" style="4" bestFit="1" customWidth="1"/>
    <col min="6404" max="6404" width="16" style="4" bestFit="1" customWidth="1"/>
    <col min="6405" max="6405" width="15.7109375" style="4" customWidth="1"/>
    <col min="6406" max="6406" width="14.7109375" style="4" customWidth="1"/>
    <col min="6407" max="6407" width="15.5703125" style="4" bestFit="1" customWidth="1"/>
    <col min="6408" max="6408" width="17.42578125" style="4" bestFit="1" customWidth="1"/>
    <col min="6409" max="6409" width="14.85546875" style="4" customWidth="1"/>
    <col min="6410" max="6410" width="14.85546875" style="4" bestFit="1" customWidth="1"/>
    <col min="6411" max="6411" width="15.28515625" style="4" bestFit="1" customWidth="1"/>
    <col min="6412" max="6412" width="16" style="4" bestFit="1" customWidth="1"/>
    <col min="6413" max="6413" width="17.42578125" style="4" bestFit="1" customWidth="1"/>
    <col min="6414" max="6414" width="16.85546875" style="4" customWidth="1"/>
    <col min="6415" max="6415" width="14.85546875" style="4" customWidth="1"/>
    <col min="6416" max="6416" width="14.140625" style="4" customWidth="1"/>
    <col min="6417" max="6655" width="9.140625" style="4"/>
    <col min="6656" max="6656" width="31.5703125" style="4" customWidth="1"/>
    <col min="6657" max="6657" width="0" style="4" hidden="1" customWidth="1"/>
    <col min="6658" max="6658" width="14.5703125" style="4" bestFit="1" customWidth="1"/>
    <col min="6659" max="6659" width="17.42578125" style="4" bestFit="1" customWidth="1"/>
    <col min="6660" max="6660" width="16" style="4" bestFit="1" customWidth="1"/>
    <col min="6661" max="6661" width="15.7109375" style="4" customWidth="1"/>
    <col min="6662" max="6662" width="14.7109375" style="4" customWidth="1"/>
    <col min="6663" max="6663" width="15.5703125" style="4" bestFit="1" customWidth="1"/>
    <col min="6664" max="6664" width="17.42578125" style="4" bestFit="1" customWidth="1"/>
    <col min="6665" max="6665" width="14.85546875" style="4" customWidth="1"/>
    <col min="6666" max="6666" width="14.85546875" style="4" bestFit="1" customWidth="1"/>
    <col min="6667" max="6667" width="15.28515625" style="4" bestFit="1" customWidth="1"/>
    <col min="6668" max="6668" width="16" style="4" bestFit="1" customWidth="1"/>
    <col min="6669" max="6669" width="17.42578125" style="4" bestFit="1" customWidth="1"/>
    <col min="6670" max="6670" width="16.85546875" style="4" customWidth="1"/>
    <col min="6671" max="6671" width="14.85546875" style="4" customWidth="1"/>
    <col min="6672" max="6672" width="14.140625" style="4" customWidth="1"/>
    <col min="6673" max="6911" width="9.140625" style="4"/>
    <col min="6912" max="6912" width="31.5703125" style="4" customWidth="1"/>
    <col min="6913" max="6913" width="0" style="4" hidden="1" customWidth="1"/>
    <col min="6914" max="6914" width="14.5703125" style="4" bestFit="1" customWidth="1"/>
    <col min="6915" max="6915" width="17.42578125" style="4" bestFit="1" customWidth="1"/>
    <col min="6916" max="6916" width="16" style="4" bestFit="1" customWidth="1"/>
    <col min="6917" max="6917" width="15.7109375" style="4" customWidth="1"/>
    <col min="6918" max="6918" width="14.7109375" style="4" customWidth="1"/>
    <col min="6919" max="6919" width="15.5703125" style="4" bestFit="1" customWidth="1"/>
    <col min="6920" max="6920" width="17.42578125" style="4" bestFit="1" customWidth="1"/>
    <col min="6921" max="6921" width="14.85546875" style="4" customWidth="1"/>
    <col min="6922" max="6922" width="14.85546875" style="4" bestFit="1" customWidth="1"/>
    <col min="6923" max="6923" width="15.28515625" style="4" bestFit="1" customWidth="1"/>
    <col min="6924" max="6924" width="16" style="4" bestFit="1" customWidth="1"/>
    <col min="6925" max="6925" width="17.42578125" style="4" bestFit="1" customWidth="1"/>
    <col min="6926" max="6926" width="16.85546875" style="4" customWidth="1"/>
    <col min="6927" max="6927" width="14.85546875" style="4" customWidth="1"/>
    <col min="6928" max="6928" width="14.140625" style="4" customWidth="1"/>
    <col min="6929" max="7167" width="9.140625" style="4"/>
    <col min="7168" max="7168" width="31.5703125" style="4" customWidth="1"/>
    <col min="7169" max="7169" width="0" style="4" hidden="1" customWidth="1"/>
    <col min="7170" max="7170" width="14.5703125" style="4" bestFit="1" customWidth="1"/>
    <col min="7171" max="7171" width="17.42578125" style="4" bestFit="1" customWidth="1"/>
    <col min="7172" max="7172" width="16" style="4" bestFit="1" customWidth="1"/>
    <col min="7173" max="7173" width="15.7109375" style="4" customWidth="1"/>
    <col min="7174" max="7174" width="14.7109375" style="4" customWidth="1"/>
    <col min="7175" max="7175" width="15.5703125" style="4" bestFit="1" customWidth="1"/>
    <col min="7176" max="7176" width="17.42578125" style="4" bestFit="1" customWidth="1"/>
    <col min="7177" max="7177" width="14.85546875" style="4" customWidth="1"/>
    <col min="7178" max="7178" width="14.85546875" style="4" bestFit="1" customWidth="1"/>
    <col min="7179" max="7179" width="15.28515625" style="4" bestFit="1" customWidth="1"/>
    <col min="7180" max="7180" width="16" style="4" bestFit="1" customWidth="1"/>
    <col min="7181" max="7181" width="17.42578125" style="4" bestFit="1" customWidth="1"/>
    <col min="7182" max="7182" width="16.85546875" style="4" customWidth="1"/>
    <col min="7183" max="7183" width="14.85546875" style="4" customWidth="1"/>
    <col min="7184" max="7184" width="14.140625" style="4" customWidth="1"/>
    <col min="7185" max="7423" width="9.140625" style="4"/>
    <col min="7424" max="7424" width="31.5703125" style="4" customWidth="1"/>
    <col min="7425" max="7425" width="0" style="4" hidden="1" customWidth="1"/>
    <col min="7426" max="7426" width="14.5703125" style="4" bestFit="1" customWidth="1"/>
    <col min="7427" max="7427" width="17.42578125" style="4" bestFit="1" customWidth="1"/>
    <col min="7428" max="7428" width="16" style="4" bestFit="1" customWidth="1"/>
    <col min="7429" max="7429" width="15.7109375" style="4" customWidth="1"/>
    <col min="7430" max="7430" width="14.7109375" style="4" customWidth="1"/>
    <col min="7431" max="7431" width="15.5703125" style="4" bestFit="1" customWidth="1"/>
    <col min="7432" max="7432" width="17.42578125" style="4" bestFit="1" customWidth="1"/>
    <col min="7433" max="7433" width="14.85546875" style="4" customWidth="1"/>
    <col min="7434" max="7434" width="14.85546875" style="4" bestFit="1" customWidth="1"/>
    <col min="7435" max="7435" width="15.28515625" style="4" bestFit="1" customWidth="1"/>
    <col min="7436" max="7436" width="16" style="4" bestFit="1" customWidth="1"/>
    <col min="7437" max="7437" width="17.42578125" style="4" bestFit="1" customWidth="1"/>
    <col min="7438" max="7438" width="16.85546875" style="4" customWidth="1"/>
    <col min="7439" max="7439" width="14.85546875" style="4" customWidth="1"/>
    <col min="7440" max="7440" width="14.140625" style="4" customWidth="1"/>
    <col min="7441" max="7679" width="9.140625" style="4"/>
    <col min="7680" max="7680" width="31.5703125" style="4" customWidth="1"/>
    <col min="7681" max="7681" width="0" style="4" hidden="1" customWidth="1"/>
    <col min="7682" max="7682" width="14.5703125" style="4" bestFit="1" customWidth="1"/>
    <col min="7683" max="7683" width="17.42578125" style="4" bestFit="1" customWidth="1"/>
    <col min="7684" max="7684" width="16" style="4" bestFit="1" customWidth="1"/>
    <col min="7685" max="7685" width="15.7109375" style="4" customWidth="1"/>
    <col min="7686" max="7686" width="14.7109375" style="4" customWidth="1"/>
    <col min="7687" max="7687" width="15.5703125" style="4" bestFit="1" customWidth="1"/>
    <col min="7688" max="7688" width="17.42578125" style="4" bestFit="1" customWidth="1"/>
    <col min="7689" max="7689" width="14.85546875" style="4" customWidth="1"/>
    <col min="7690" max="7690" width="14.85546875" style="4" bestFit="1" customWidth="1"/>
    <col min="7691" max="7691" width="15.28515625" style="4" bestFit="1" customWidth="1"/>
    <col min="7692" max="7692" width="16" style="4" bestFit="1" customWidth="1"/>
    <col min="7693" max="7693" width="17.42578125" style="4" bestFit="1" customWidth="1"/>
    <col min="7694" max="7694" width="16.85546875" style="4" customWidth="1"/>
    <col min="7695" max="7695" width="14.85546875" style="4" customWidth="1"/>
    <col min="7696" max="7696" width="14.140625" style="4" customWidth="1"/>
    <col min="7697" max="7935" width="9.140625" style="4"/>
    <col min="7936" max="7936" width="31.5703125" style="4" customWidth="1"/>
    <col min="7937" max="7937" width="0" style="4" hidden="1" customWidth="1"/>
    <col min="7938" max="7938" width="14.5703125" style="4" bestFit="1" customWidth="1"/>
    <col min="7939" max="7939" width="17.42578125" style="4" bestFit="1" customWidth="1"/>
    <col min="7940" max="7940" width="16" style="4" bestFit="1" customWidth="1"/>
    <col min="7941" max="7941" width="15.7109375" style="4" customWidth="1"/>
    <col min="7942" max="7942" width="14.7109375" style="4" customWidth="1"/>
    <col min="7943" max="7943" width="15.5703125" style="4" bestFit="1" customWidth="1"/>
    <col min="7944" max="7944" width="17.42578125" style="4" bestFit="1" customWidth="1"/>
    <col min="7945" max="7945" width="14.85546875" style="4" customWidth="1"/>
    <col min="7946" max="7946" width="14.85546875" style="4" bestFit="1" customWidth="1"/>
    <col min="7947" max="7947" width="15.28515625" style="4" bestFit="1" customWidth="1"/>
    <col min="7948" max="7948" width="16" style="4" bestFit="1" customWidth="1"/>
    <col min="7949" max="7949" width="17.42578125" style="4" bestFit="1" customWidth="1"/>
    <col min="7950" max="7950" width="16.85546875" style="4" customWidth="1"/>
    <col min="7951" max="7951" width="14.85546875" style="4" customWidth="1"/>
    <col min="7952" max="7952" width="14.140625" style="4" customWidth="1"/>
    <col min="7953" max="8191" width="9.140625" style="4"/>
    <col min="8192" max="8192" width="31.5703125" style="4" customWidth="1"/>
    <col min="8193" max="8193" width="0" style="4" hidden="1" customWidth="1"/>
    <col min="8194" max="8194" width="14.5703125" style="4" bestFit="1" customWidth="1"/>
    <col min="8195" max="8195" width="17.42578125" style="4" bestFit="1" customWidth="1"/>
    <col min="8196" max="8196" width="16" style="4" bestFit="1" customWidth="1"/>
    <col min="8197" max="8197" width="15.7109375" style="4" customWidth="1"/>
    <col min="8198" max="8198" width="14.7109375" style="4" customWidth="1"/>
    <col min="8199" max="8199" width="15.5703125" style="4" bestFit="1" customWidth="1"/>
    <col min="8200" max="8200" width="17.42578125" style="4" bestFit="1" customWidth="1"/>
    <col min="8201" max="8201" width="14.85546875" style="4" customWidth="1"/>
    <col min="8202" max="8202" width="14.85546875" style="4" bestFit="1" customWidth="1"/>
    <col min="8203" max="8203" width="15.28515625" style="4" bestFit="1" customWidth="1"/>
    <col min="8204" max="8204" width="16" style="4" bestFit="1" customWidth="1"/>
    <col min="8205" max="8205" width="17.42578125" style="4" bestFit="1" customWidth="1"/>
    <col min="8206" max="8206" width="16.85546875" style="4" customWidth="1"/>
    <col min="8207" max="8207" width="14.85546875" style="4" customWidth="1"/>
    <col min="8208" max="8208" width="14.140625" style="4" customWidth="1"/>
    <col min="8209" max="8447" width="9.140625" style="4"/>
    <col min="8448" max="8448" width="31.5703125" style="4" customWidth="1"/>
    <col min="8449" max="8449" width="0" style="4" hidden="1" customWidth="1"/>
    <col min="8450" max="8450" width="14.5703125" style="4" bestFit="1" customWidth="1"/>
    <col min="8451" max="8451" width="17.42578125" style="4" bestFit="1" customWidth="1"/>
    <col min="8452" max="8452" width="16" style="4" bestFit="1" customWidth="1"/>
    <col min="8453" max="8453" width="15.7109375" style="4" customWidth="1"/>
    <col min="8454" max="8454" width="14.7109375" style="4" customWidth="1"/>
    <col min="8455" max="8455" width="15.5703125" style="4" bestFit="1" customWidth="1"/>
    <col min="8456" max="8456" width="17.42578125" style="4" bestFit="1" customWidth="1"/>
    <col min="8457" max="8457" width="14.85546875" style="4" customWidth="1"/>
    <col min="8458" max="8458" width="14.85546875" style="4" bestFit="1" customWidth="1"/>
    <col min="8459" max="8459" width="15.28515625" style="4" bestFit="1" customWidth="1"/>
    <col min="8460" max="8460" width="16" style="4" bestFit="1" customWidth="1"/>
    <col min="8461" max="8461" width="17.42578125" style="4" bestFit="1" customWidth="1"/>
    <col min="8462" max="8462" width="16.85546875" style="4" customWidth="1"/>
    <col min="8463" max="8463" width="14.85546875" style="4" customWidth="1"/>
    <col min="8464" max="8464" width="14.140625" style="4" customWidth="1"/>
    <col min="8465" max="8703" width="9.140625" style="4"/>
    <col min="8704" max="8704" width="31.5703125" style="4" customWidth="1"/>
    <col min="8705" max="8705" width="0" style="4" hidden="1" customWidth="1"/>
    <col min="8706" max="8706" width="14.5703125" style="4" bestFit="1" customWidth="1"/>
    <col min="8707" max="8707" width="17.42578125" style="4" bestFit="1" customWidth="1"/>
    <col min="8708" max="8708" width="16" style="4" bestFit="1" customWidth="1"/>
    <col min="8709" max="8709" width="15.7109375" style="4" customWidth="1"/>
    <col min="8710" max="8710" width="14.7109375" style="4" customWidth="1"/>
    <col min="8711" max="8711" width="15.5703125" style="4" bestFit="1" customWidth="1"/>
    <col min="8712" max="8712" width="17.42578125" style="4" bestFit="1" customWidth="1"/>
    <col min="8713" max="8713" width="14.85546875" style="4" customWidth="1"/>
    <col min="8714" max="8714" width="14.85546875" style="4" bestFit="1" customWidth="1"/>
    <col min="8715" max="8715" width="15.28515625" style="4" bestFit="1" customWidth="1"/>
    <col min="8716" max="8716" width="16" style="4" bestFit="1" customWidth="1"/>
    <col min="8717" max="8717" width="17.42578125" style="4" bestFit="1" customWidth="1"/>
    <col min="8718" max="8718" width="16.85546875" style="4" customWidth="1"/>
    <col min="8719" max="8719" width="14.85546875" style="4" customWidth="1"/>
    <col min="8720" max="8720" width="14.140625" style="4" customWidth="1"/>
    <col min="8721" max="8959" width="9.140625" style="4"/>
    <col min="8960" max="8960" width="31.5703125" style="4" customWidth="1"/>
    <col min="8961" max="8961" width="0" style="4" hidden="1" customWidth="1"/>
    <col min="8962" max="8962" width="14.5703125" style="4" bestFit="1" customWidth="1"/>
    <col min="8963" max="8963" width="17.42578125" style="4" bestFit="1" customWidth="1"/>
    <col min="8964" max="8964" width="16" style="4" bestFit="1" customWidth="1"/>
    <col min="8965" max="8965" width="15.7109375" style="4" customWidth="1"/>
    <col min="8966" max="8966" width="14.7109375" style="4" customWidth="1"/>
    <col min="8967" max="8967" width="15.5703125" style="4" bestFit="1" customWidth="1"/>
    <col min="8968" max="8968" width="17.42578125" style="4" bestFit="1" customWidth="1"/>
    <col min="8969" max="8969" width="14.85546875" style="4" customWidth="1"/>
    <col min="8970" max="8970" width="14.85546875" style="4" bestFit="1" customWidth="1"/>
    <col min="8971" max="8971" width="15.28515625" style="4" bestFit="1" customWidth="1"/>
    <col min="8972" max="8972" width="16" style="4" bestFit="1" customWidth="1"/>
    <col min="8973" max="8973" width="17.42578125" style="4" bestFit="1" customWidth="1"/>
    <col min="8974" max="8974" width="16.85546875" style="4" customWidth="1"/>
    <col min="8975" max="8975" width="14.85546875" style="4" customWidth="1"/>
    <col min="8976" max="8976" width="14.140625" style="4" customWidth="1"/>
    <col min="8977" max="9215" width="9.140625" style="4"/>
    <col min="9216" max="9216" width="31.5703125" style="4" customWidth="1"/>
    <col min="9217" max="9217" width="0" style="4" hidden="1" customWidth="1"/>
    <col min="9218" max="9218" width="14.5703125" style="4" bestFit="1" customWidth="1"/>
    <col min="9219" max="9219" width="17.42578125" style="4" bestFit="1" customWidth="1"/>
    <col min="9220" max="9220" width="16" style="4" bestFit="1" customWidth="1"/>
    <col min="9221" max="9221" width="15.7109375" style="4" customWidth="1"/>
    <col min="9222" max="9222" width="14.7109375" style="4" customWidth="1"/>
    <col min="9223" max="9223" width="15.5703125" style="4" bestFit="1" customWidth="1"/>
    <col min="9224" max="9224" width="17.42578125" style="4" bestFit="1" customWidth="1"/>
    <col min="9225" max="9225" width="14.85546875" style="4" customWidth="1"/>
    <col min="9226" max="9226" width="14.85546875" style="4" bestFit="1" customWidth="1"/>
    <col min="9227" max="9227" width="15.28515625" style="4" bestFit="1" customWidth="1"/>
    <col min="9228" max="9228" width="16" style="4" bestFit="1" customWidth="1"/>
    <col min="9229" max="9229" width="17.42578125" style="4" bestFit="1" customWidth="1"/>
    <col min="9230" max="9230" width="16.85546875" style="4" customWidth="1"/>
    <col min="9231" max="9231" width="14.85546875" style="4" customWidth="1"/>
    <col min="9232" max="9232" width="14.140625" style="4" customWidth="1"/>
    <col min="9233" max="9471" width="9.140625" style="4"/>
    <col min="9472" max="9472" width="31.5703125" style="4" customWidth="1"/>
    <col min="9473" max="9473" width="0" style="4" hidden="1" customWidth="1"/>
    <col min="9474" max="9474" width="14.5703125" style="4" bestFit="1" customWidth="1"/>
    <col min="9475" max="9475" width="17.42578125" style="4" bestFit="1" customWidth="1"/>
    <col min="9476" max="9476" width="16" style="4" bestFit="1" customWidth="1"/>
    <col min="9477" max="9477" width="15.7109375" style="4" customWidth="1"/>
    <col min="9478" max="9478" width="14.7109375" style="4" customWidth="1"/>
    <col min="9479" max="9479" width="15.5703125" style="4" bestFit="1" customWidth="1"/>
    <col min="9480" max="9480" width="17.42578125" style="4" bestFit="1" customWidth="1"/>
    <col min="9481" max="9481" width="14.85546875" style="4" customWidth="1"/>
    <col min="9482" max="9482" width="14.85546875" style="4" bestFit="1" customWidth="1"/>
    <col min="9483" max="9483" width="15.28515625" style="4" bestFit="1" customWidth="1"/>
    <col min="9484" max="9484" width="16" style="4" bestFit="1" customWidth="1"/>
    <col min="9485" max="9485" width="17.42578125" style="4" bestFit="1" customWidth="1"/>
    <col min="9486" max="9486" width="16.85546875" style="4" customWidth="1"/>
    <col min="9487" max="9487" width="14.85546875" style="4" customWidth="1"/>
    <col min="9488" max="9488" width="14.140625" style="4" customWidth="1"/>
    <col min="9489" max="9727" width="9.140625" style="4"/>
    <col min="9728" max="9728" width="31.5703125" style="4" customWidth="1"/>
    <col min="9729" max="9729" width="0" style="4" hidden="1" customWidth="1"/>
    <col min="9730" max="9730" width="14.5703125" style="4" bestFit="1" customWidth="1"/>
    <col min="9731" max="9731" width="17.42578125" style="4" bestFit="1" customWidth="1"/>
    <col min="9732" max="9732" width="16" style="4" bestFit="1" customWidth="1"/>
    <col min="9733" max="9733" width="15.7109375" style="4" customWidth="1"/>
    <col min="9734" max="9734" width="14.7109375" style="4" customWidth="1"/>
    <col min="9735" max="9735" width="15.5703125" style="4" bestFit="1" customWidth="1"/>
    <col min="9736" max="9736" width="17.42578125" style="4" bestFit="1" customWidth="1"/>
    <col min="9737" max="9737" width="14.85546875" style="4" customWidth="1"/>
    <col min="9738" max="9738" width="14.85546875" style="4" bestFit="1" customWidth="1"/>
    <col min="9739" max="9739" width="15.28515625" style="4" bestFit="1" customWidth="1"/>
    <col min="9740" max="9740" width="16" style="4" bestFit="1" customWidth="1"/>
    <col min="9741" max="9741" width="17.42578125" style="4" bestFit="1" customWidth="1"/>
    <col min="9742" max="9742" width="16.85546875" style="4" customWidth="1"/>
    <col min="9743" max="9743" width="14.85546875" style="4" customWidth="1"/>
    <col min="9744" max="9744" width="14.140625" style="4" customWidth="1"/>
    <col min="9745" max="9983" width="9.140625" style="4"/>
    <col min="9984" max="9984" width="31.5703125" style="4" customWidth="1"/>
    <col min="9985" max="9985" width="0" style="4" hidden="1" customWidth="1"/>
    <col min="9986" max="9986" width="14.5703125" style="4" bestFit="1" customWidth="1"/>
    <col min="9987" max="9987" width="17.42578125" style="4" bestFit="1" customWidth="1"/>
    <col min="9988" max="9988" width="16" style="4" bestFit="1" customWidth="1"/>
    <col min="9989" max="9989" width="15.7109375" style="4" customWidth="1"/>
    <col min="9990" max="9990" width="14.7109375" style="4" customWidth="1"/>
    <col min="9991" max="9991" width="15.5703125" style="4" bestFit="1" customWidth="1"/>
    <col min="9992" max="9992" width="17.42578125" style="4" bestFit="1" customWidth="1"/>
    <col min="9993" max="9993" width="14.85546875" style="4" customWidth="1"/>
    <col min="9994" max="9994" width="14.85546875" style="4" bestFit="1" customWidth="1"/>
    <col min="9995" max="9995" width="15.28515625" style="4" bestFit="1" customWidth="1"/>
    <col min="9996" max="9996" width="16" style="4" bestFit="1" customWidth="1"/>
    <col min="9997" max="9997" width="17.42578125" style="4" bestFit="1" customWidth="1"/>
    <col min="9998" max="9998" width="16.85546875" style="4" customWidth="1"/>
    <col min="9999" max="9999" width="14.85546875" style="4" customWidth="1"/>
    <col min="10000" max="10000" width="14.140625" style="4" customWidth="1"/>
    <col min="10001" max="10239" width="9.140625" style="4"/>
    <col min="10240" max="10240" width="31.5703125" style="4" customWidth="1"/>
    <col min="10241" max="10241" width="0" style="4" hidden="1" customWidth="1"/>
    <col min="10242" max="10242" width="14.5703125" style="4" bestFit="1" customWidth="1"/>
    <col min="10243" max="10243" width="17.42578125" style="4" bestFit="1" customWidth="1"/>
    <col min="10244" max="10244" width="16" style="4" bestFit="1" customWidth="1"/>
    <col min="10245" max="10245" width="15.7109375" style="4" customWidth="1"/>
    <col min="10246" max="10246" width="14.7109375" style="4" customWidth="1"/>
    <col min="10247" max="10247" width="15.5703125" style="4" bestFit="1" customWidth="1"/>
    <col min="10248" max="10248" width="17.42578125" style="4" bestFit="1" customWidth="1"/>
    <col min="10249" max="10249" width="14.85546875" style="4" customWidth="1"/>
    <col min="10250" max="10250" width="14.85546875" style="4" bestFit="1" customWidth="1"/>
    <col min="10251" max="10251" width="15.28515625" style="4" bestFit="1" customWidth="1"/>
    <col min="10252" max="10252" width="16" style="4" bestFit="1" customWidth="1"/>
    <col min="10253" max="10253" width="17.42578125" style="4" bestFit="1" customWidth="1"/>
    <col min="10254" max="10254" width="16.85546875" style="4" customWidth="1"/>
    <col min="10255" max="10255" width="14.85546875" style="4" customWidth="1"/>
    <col min="10256" max="10256" width="14.140625" style="4" customWidth="1"/>
    <col min="10257" max="10495" width="9.140625" style="4"/>
    <col min="10496" max="10496" width="31.5703125" style="4" customWidth="1"/>
    <col min="10497" max="10497" width="0" style="4" hidden="1" customWidth="1"/>
    <col min="10498" max="10498" width="14.5703125" style="4" bestFit="1" customWidth="1"/>
    <col min="10499" max="10499" width="17.42578125" style="4" bestFit="1" customWidth="1"/>
    <col min="10500" max="10500" width="16" style="4" bestFit="1" customWidth="1"/>
    <col min="10501" max="10501" width="15.7109375" style="4" customWidth="1"/>
    <col min="10502" max="10502" width="14.7109375" style="4" customWidth="1"/>
    <col min="10503" max="10503" width="15.5703125" style="4" bestFit="1" customWidth="1"/>
    <col min="10504" max="10504" width="17.42578125" style="4" bestFit="1" customWidth="1"/>
    <col min="10505" max="10505" width="14.85546875" style="4" customWidth="1"/>
    <col min="10506" max="10506" width="14.85546875" style="4" bestFit="1" customWidth="1"/>
    <col min="10507" max="10507" width="15.28515625" style="4" bestFit="1" customWidth="1"/>
    <col min="10508" max="10508" width="16" style="4" bestFit="1" customWidth="1"/>
    <col min="10509" max="10509" width="17.42578125" style="4" bestFit="1" customWidth="1"/>
    <col min="10510" max="10510" width="16.85546875" style="4" customWidth="1"/>
    <col min="10511" max="10511" width="14.85546875" style="4" customWidth="1"/>
    <col min="10512" max="10512" width="14.140625" style="4" customWidth="1"/>
    <col min="10513" max="10751" width="9.140625" style="4"/>
    <col min="10752" max="10752" width="31.5703125" style="4" customWidth="1"/>
    <col min="10753" max="10753" width="0" style="4" hidden="1" customWidth="1"/>
    <col min="10754" max="10754" width="14.5703125" style="4" bestFit="1" customWidth="1"/>
    <col min="10755" max="10755" width="17.42578125" style="4" bestFit="1" customWidth="1"/>
    <col min="10756" max="10756" width="16" style="4" bestFit="1" customWidth="1"/>
    <col min="10757" max="10757" width="15.7109375" style="4" customWidth="1"/>
    <col min="10758" max="10758" width="14.7109375" style="4" customWidth="1"/>
    <col min="10759" max="10759" width="15.5703125" style="4" bestFit="1" customWidth="1"/>
    <col min="10760" max="10760" width="17.42578125" style="4" bestFit="1" customWidth="1"/>
    <col min="10761" max="10761" width="14.85546875" style="4" customWidth="1"/>
    <col min="10762" max="10762" width="14.85546875" style="4" bestFit="1" customWidth="1"/>
    <col min="10763" max="10763" width="15.28515625" style="4" bestFit="1" customWidth="1"/>
    <col min="10764" max="10764" width="16" style="4" bestFit="1" customWidth="1"/>
    <col min="10765" max="10765" width="17.42578125" style="4" bestFit="1" customWidth="1"/>
    <col min="10766" max="10766" width="16.85546875" style="4" customWidth="1"/>
    <col min="10767" max="10767" width="14.85546875" style="4" customWidth="1"/>
    <col min="10768" max="10768" width="14.140625" style="4" customWidth="1"/>
    <col min="10769" max="11007" width="9.140625" style="4"/>
    <col min="11008" max="11008" width="31.5703125" style="4" customWidth="1"/>
    <col min="11009" max="11009" width="0" style="4" hidden="1" customWidth="1"/>
    <col min="11010" max="11010" width="14.5703125" style="4" bestFit="1" customWidth="1"/>
    <col min="11011" max="11011" width="17.42578125" style="4" bestFit="1" customWidth="1"/>
    <col min="11012" max="11012" width="16" style="4" bestFit="1" customWidth="1"/>
    <col min="11013" max="11013" width="15.7109375" style="4" customWidth="1"/>
    <col min="11014" max="11014" width="14.7109375" style="4" customWidth="1"/>
    <col min="11015" max="11015" width="15.5703125" style="4" bestFit="1" customWidth="1"/>
    <col min="11016" max="11016" width="17.42578125" style="4" bestFit="1" customWidth="1"/>
    <col min="11017" max="11017" width="14.85546875" style="4" customWidth="1"/>
    <col min="11018" max="11018" width="14.85546875" style="4" bestFit="1" customWidth="1"/>
    <col min="11019" max="11019" width="15.28515625" style="4" bestFit="1" customWidth="1"/>
    <col min="11020" max="11020" width="16" style="4" bestFit="1" customWidth="1"/>
    <col min="11021" max="11021" width="17.42578125" style="4" bestFit="1" customWidth="1"/>
    <col min="11022" max="11022" width="16.85546875" style="4" customWidth="1"/>
    <col min="11023" max="11023" width="14.85546875" style="4" customWidth="1"/>
    <col min="11024" max="11024" width="14.140625" style="4" customWidth="1"/>
    <col min="11025" max="11263" width="9.140625" style="4"/>
    <col min="11264" max="11264" width="31.5703125" style="4" customWidth="1"/>
    <col min="11265" max="11265" width="0" style="4" hidden="1" customWidth="1"/>
    <col min="11266" max="11266" width="14.5703125" style="4" bestFit="1" customWidth="1"/>
    <col min="11267" max="11267" width="17.42578125" style="4" bestFit="1" customWidth="1"/>
    <col min="11268" max="11268" width="16" style="4" bestFit="1" customWidth="1"/>
    <col min="11269" max="11269" width="15.7109375" style="4" customWidth="1"/>
    <col min="11270" max="11270" width="14.7109375" style="4" customWidth="1"/>
    <col min="11271" max="11271" width="15.5703125" style="4" bestFit="1" customWidth="1"/>
    <col min="11272" max="11272" width="17.42578125" style="4" bestFit="1" customWidth="1"/>
    <col min="11273" max="11273" width="14.85546875" style="4" customWidth="1"/>
    <col min="11274" max="11274" width="14.85546875" style="4" bestFit="1" customWidth="1"/>
    <col min="11275" max="11275" width="15.28515625" style="4" bestFit="1" customWidth="1"/>
    <col min="11276" max="11276" width="16" style="4" bestFit="1" customWidth="1"/>
    <col min="11277" max="11277" width="17.42578125" style="4" bestFit="1" customWidth="1"/>
    <col min="11278" max="11278" width="16.85546875" style="4" customWidth="1"/>
    <col min="11279" max="11279" width="14.85546875" style="4" customWidth="1"/>
    <col min="11280" max="11280" width="14.140625" style="4" customWidth="1"/>
    <col min="11281" max="11519" width="9.140625" style="4"/>
    <col min="11520" max="11520" width="31.5703125" style="4" customWidth="1"/>
    <col min="11521" max="11521" width="0" style="4" hidden="1" customWidth="1"/>
    <col min="11522" max="11522" width="14.5703125" style="4" bestFit="1" customWidth="1"/>
    <col min="11523" max="11523" width="17.42578125" style="4" bestFit="1" customWidth="1"/>
    <col min="11524" max="11524" width="16" style="4" bestFit="1" customWidth="1"/>
    <col min="11525" max="11525" width="15.7109375" style="4" customWidth="1"/>
    <col min="11526" max="11526" width="14.7109375" style="4" customWidth="1"/>
    <col min="11527" max="11527" width="15.5703125" style="4" bestFit="1" customWidth="1"/>
    <col min="11528" max="11528" width="17.42578125" style="4" bestFit="1" customWidth="1"/>
    <col min="11529" max="11529" width="14.85546875" style="4" customWidth="1"/>
    <col min="11530" max="11530" width="14.85546875" style="4" bestFit="1" customWidth="1"/>
    <col min="11531" max="11531" width="15.28515625" style="4" bestFit="1" customWidth="1"/>
    <col min="11532" max="11532" width="16" style="4" bestFit="1" customWidth="1"/>
    <col min="11533" max="11533" width="17.42578125" style="4" bestFit="1" customWidth="1"/>
    <col min="11534" max="11534" width="16.85546875" style="4" customWidth="1"/>
    <col min="11535" max="11535" width="14.85546875" style="4" customWidth="1"/>
    <col min="11536" max="11536" width="14.140625" style="4" customWidth="1"/>
    <col min="11537" max="11775" width="9.140625" style="4"/>
    <col min="11776" max="11776" width="31.5703125" style="4" customWidth="1"/>
    <col min="11777" max="11777" width="0" style="4" hidden="1" customWidth="1"/>
    <col min="11778" max="11778" width="14.5703125" style="4" bestFit="1" customWidth="1"/>
    <col min="11779" max="11779" width="17.42578125" style="4" bestFit="1" customWidth="1"/>
    <col min="11780" max="11780" width="16" style="4" bestFit="1" customWidth="1"/>
    <col min="11781" max="11781" width="15.7109375" style="4" customWidth="1"/>
    <col min="11782" max="11782" width="14.7109375" style="4" customWidth="1"/>
    <col min="11783" max="11783" width="15.5703125" style="4" bestFit="1" customWidth="1"/>
    <col min="11784" max="11784" width="17.42578125" style="4" bestFit="1" customWidth="1"/>
    <col min="11785" max="11785" width="14.85546875" style="4" customWidth="1"/>
    <col min="11786" max="11786" width="14.85546875" style="4" bestFit="1" customWidth="1"/>
    <col min="11787" max="11787" width="15.28515625" style="4" bestFit="1" customWidth="1"/>
    <col min="11788" max="11788" width="16" style="4" bestFit="1" customWidth="1"/>
    <col min="11789" max="11789" width="17.42578125" style="4" bestFit="1" customWidth="1"/>
    <col min="11790" max="11790" width="16.85546875" style="4" customWidth="1"/>
    <col min="11791" max="11791" width="14.85546875" style="4" customWidth="1"/>
    <col min="11792" max="11792" width="14.140625" style="4" customWidth="1"/>
    <col min="11793" max="12031" width="9.140625" style="4"/>
    <col min="12032" max="12032" width="31.5703125" style="4" customWidth="1"/>
    <col min="12033" max="12033" width="0" style="4" hidden="1" customWidth="1"/>
    <col min="12034" max="12034" width="14.5703125" style="4" bestFit="1" customWidth="1"/>
    <col min="12035" max="12035" width="17.42578125" style="4" bestFit="1" customWidth="1"/>
    <col min="12036" max="12036" width="16" style="4" bestFit="1" customWidth="1"/>
    <col min="12037" max="12037" width="15.7109375" style="4" customWidth="1"/>
    <col min="12038" max="12038" width="14.7109375" style="4" customWidth="1"/>
    <col min="12039" max="12039" width="15.5703125" style="4" bestFit="1" customWidth="1"/>
    <col min="12040" max="12040" width="17.42578125" style="4" bestFit="1" customWidth="1"/>
    <col min="12041" max="12041" width="14.85546875" style="4" customWidth="1"/>
    <col min="12042" max="12042" width="14.85546875" style="4" bestFit="1" customWidth="1"/>
    <col min="12043" max="12043" width="15.28515625" style="4" bestFit="1" customWidth="1"/>
    <col min="12044" max="12044" width="16" style="4" bestFit="1" customWidth="1"/>
    <col min="12045" max="12045" width="17.42578125" style="4" bestFit="1" customWidth="1"/>
    <col min="12046" max="12046" width="16.85546875" style="4" customWidth="1"/>
    <col min="12047" max="12047" width="14.85546875" style="4" customWidth="1"/>
    <col min="12048" max="12048" width="14.140625" style="4" customWidth="1"/>
    <col min="12049" max="12287" width="9.140625" style="4"/>
    <col min="12288" max="12288" width="31.5703125" style="4" customWidth="1"/>
    <col min="12289" max="12289" width="0" style="4" hidden="1" customWidth="1"/>
    <col min="12290" max="12290" width="14.5703125" style="4" bestFit="1" customWidth="1"/>
    <col min="12291" max="12291" width="17.42578125" style="4" bestFit="1" customWidth="1"/>
    <col min="12292" max="12292" width="16" style="4" bestFit="1" customWidth="1"/>
    <col min="12293" max="12293" width="15.7109375" style="4" customWidth="1"/>
    <col min="12294" max="12294" width="14.7109375" style="4" customWidth="1"/>
    <col min="12295" max="12295" width="15.5703125" style="4" bestFit="1" customWidth="1"/>
    <col min="12296" max="12296" width="17.42578125" style="4" bestFit="1" customWidth="1"/>
    <col min="12297" max="12297" width="14.85546875" style="4" customWidth="1"/>
    <col min="12298" max="12298" width="14.85546875" style="4" bestFit="1" customWidth="1"/>
    <col min="12299" max="12299" width="15.28515625" style="4" bestFit="1" customWidth="1"/>
    <col min="12300" max="12300" width="16" style="4" bestFit="1" customWidth="1"/>
    <col min="12301" max="12301" width="17.42578125" style="4" bestFit="1" customWidth="1"/>
    <col min="12302" max="12302" width="16.85546875" style="4" customWidth="1"/>
    <col min="12303" max="12303" width="14.85546875" style="4" customWidth="1"/>
    <col min="12304" max="12304" width="14.140625" style="4" customWidth="1"/>
    <col min="12305" max="12543" width="9.140625" style="4"/>
    <col min="12544" max="12544" width="31.5703125" style="4" customWidth="1"/>
    <col min="12545" max="12545" width="0" style="4" hidden="1" customWidth="1"/>
    <col min="12546" max="12546" width="14.5703125" style="4" bestFit="1" customWidth="1"/>
    <col min="12547" max="12547" width="17.42578125" style="4" bestFit="1" customWidth="1"/>
    <col min="12548" max="12548" width="16" style="4" bestFit="1" customWidth="1"/>
    <col min="12549" max="12549" width="15.7109375" style="4" customWidth="1"/>
    <col min="12550" max="12550" width="14.7109375" style="4" customWidth="1"/>
    <col min="12551" max="12551" width="15.5703125" style="4" bestFit="1" customWidth="1"/>
    <col min="12552" max="12552" width="17.42578125" style="4" bestFit="1" customWidth="1"/>
    <col min="12553" max="12553" width="14.85546875" style="4" customWidth="1"/>
    <col min="12554" max="12554" width="14.85546875" style="4" bestFit="1" customWidth="1"/>
    <col min="12555" max="12555" width="15.28515625" style="4" bestFit="1" customWidth="1"/>
    <col min="12556" max="12556" width="16" style="4" bestFit="1" customWidth="1"/>
    <col min="12557" max="12557" width="17.42578125" style="4" bestFit="1" customWidth="1"/>
    <col min="12558" max="12558" width="16.85546875" style="4" customWidth="1"/>
    <col min="12559" max="12559" width="14.85546875" style="4" customWidth="1"/>
    <col min="12560" max="12560" width="14.140625" style="4" customWidth="1"/>
    <col min="12561" max="12799" width="9.140625" style="4"/>
    <col min="12800" max="12800" width="31.5703125" style="4" customWidth="1"/>
    <col min="12801" max="12801" width="0" style="4" hidden="1" customWidth="1"/>
    <col min="12802" max="12802" width="14.5703125" style="4" bestFit="1" customWidth="1"/>
    <col min="12803" max="12803" width="17.42578125" style="4" bestFit="1" customWidth="1"/>
    <col min="12804" max="12804" width="16" style="4" bestFit="1" customWidth="1"/>
    <col min="12805" max="12805" width="15.7109375" style="4" customWidth="1"/>
    <col min="12806" max="12806" width="14.7109375" style="4" customWidth="1"/>
    <col min="12807" max="12807" width="15.5703125" style="4" bestFit="1" customWidth="1"/>
    <col min="12808" max="12808" width="17.42578125" style="4" bestFit="1" customWidth="1"/>
    <col min="12809" max="12809" width="14.85546875" style="4" customWidth="1"/>
    <col min="12810" max="12810" width="14.85546875" style="4" bestFit="1" customWidth="1"/>
    <col min="12811" max="12811" width="15.28515625" style="4" bestFit="1" customWidth="1"/>
    <col min="12812" max="12812" width="16" style="4" bestFit="1" customWidth="1"/>
    <col min="12813" max="12813" width="17.42578125" style="4" bestFit="1" customWidth="1"/>
    <col min="12814" max="12814" width="16.85546875" style="4" customWidth="1"/>
    <col min="12815" max="12815" width="14.85546875" style="4" customWidth="1"/>
    <col min="12816" max="12816" width="14.140625" style="4" customWidth="1"/>
    <col min="12817" max="13055" width="9.140625" style="4"/>
    <col min="13056" max="13056" width="31.5703125" style="4" customWidth="1"/>
    <col min="13057" max="13057" width="0" style="4" hidden="1" customWidth="1"/>
    <col min="13058" max="13058" width="14.5703125" style="4" bestFit="1" customWidth="1"/>
    <col min="13059" max="13059" width="17.42578125" style="4" bestFit="1" customWidth="1"/>
    <col min="13060" max="13060" width="16" style="4" bestFit="1" customWidth="1"/>
    <col min="13061" max="13061" width="15.7109375" style="4" customWidth="1"/>
    <col min="13062" max="13062" width="14.7109375" style="4" customWidth="1"/>
    <col min="13063" max="13063" width="15.5703125" style="4" bestFit="1" customWidth="1"/>
    <col min="13064" max="13064" width="17.42578125" style="4" bestFit="1" customWidth="1"/>
    <col min="13065" max="13065" width="14.85546875" style="4" customWidth="1"/>
    <col min="13066" max="13066" width="14.85546875" style="4" bestFit="1" customWidth="1"/>
    <col min="13067" max="13067" width="15.28515625" style="4" bestFit="1" customWidth="1"/>
    <col min="13068" max="13068" width="16" style="4" bestFit="1" customWidth="1"/>
    <col min="13069" max="13069" width="17.42578125" style="4" bestFit="1" customWidth="1"/>
    <col min="13070" max="13070" width="16.85546875" style="4" customWidth="1"/>
    <col min="13071" max="13071" width="14.85546875" style="4" customWidth="1"/>
    <col min="13072" max="13072" width="14.140625" style="4" customWidth="1"/>
    <col min="13073" max="13311" width="9.140625" style="4"/>
    <col min="13312" max="13312" width="31.5703125" style="4" customWidth="1"/>
    <col min="13313" max="13313" width="0" style="4" hidden="1" customWidth="1"/>
    <col min="13314" max="13314" width="14.5703125" style="4" bestFit="1" customWidth="1"/>
    <col min="13315" max="13315" width="17.42578125" style="4" bestFit="1" customWidth="1"/>
    <col min="13316" max="13316" width="16" style="4" bestFit="1" customWidth="1"/>
    <col min="13317" max="13317" width="15.7109375" style="4" customWidth="1"/>
    <col min="13318" max="13318" width="14.7109375" style="4" customWidth="1"/>
    <col min="13319" max="13319" width="15.5703125" style="4" bestFit="1" customWidth="1"/>
    <col min="13320" max="13320" width="17.42578125" style="4" bestFit="1" customWidth="1"/>
    <col min="13321" max="13321" width="14.85546875" style="4" customWidth="1"/>
    <col min="13322" max="13322" width="14.85546875" style="4" bestFit="1" customWidth="1"/>
    <col min="13323" max="13323" width="15.28515625" style="4" bestFit="1" customWidth="1"/>
    <col min="13324" max="13324" width="16" style="4" bestFit="1" customWidth="1"/>
    <col min="13325" max="13325" width="17.42578125" style="4" bestFit="1" customWidth="1"/>
    <col min="13326" max="13326" width="16.85546875" style="4" customWidth="1"/>
    <col min="13327" max="13327" width="14.85546875" style="4" customWidth="1"/>
    <col min="13328" max="13328" width="14.140625" style="4" customWidth="1"/>
    <col min="13329" max="13567" width="9.140625" style="4"/>
    <col min="13568" max="13568" width="31.5703125" style="4" customWidth="1"/>
    <col min="13569" max="13569" width="0" style="4" hidden="1" customWidth="1"/>
    <col min="13570" max="13570" width="14.5703125" style="4" bestFit="1" customWidth="1"/>
    <col min="13571" max="13571" width="17.42578125" style="4" bestFit="1" customWidth="1"/>
    <col min="13572" max="13572" width="16" style="4" bestFit="1" customWidth="1"/>
    <col min="13573" max="13573" width="15.7109375" style="4" customWidth="1"/>
    <col min="13574" max="13574" width="14.7109375" style="4" customWidth="1"/>
    <col min="13575" max="13575" width="15.5703125" style="4" bestFit="1" customWidth="1"/>
    <col min="13576" max="13576" width="17.42578125" style="4" bestFit="1" customWidth="1"/>
    <col min="13577" max="13577" width="14.85546875" style="4" customWidth="1"/>
    <col min="13578" max="13578" width="14.85546875" style="4" bestFit="1" customWidth="1"/>
    <col min="13579" max="13579" width="15.28515625" style="4" bestFit="1" customWidth="1"/>
    <col min="13580" max="13580" width="16" style="4" bestFit="1" customWidth="1"/>
    <col min="13581" max="13581" width="17.42578125" style="4" bestFit="1" customWidth="1"/>
    <col min="13582" max="13582" width="16.85546875" style="4" customWidth="1"/>
    <col min="13583" max="13583" width="14.85546875" style="4" customWidth="1"/>
    <col min="13584" max="13584" width="14.140625" style="4" customWidth="1"/>
    <col min="13585" max="13823" width="9.140625" style="4"/>
    <col min="13824" max="13824" width="31.5703125" style="4" customWidth="1"/>
    <col min="13825" max="13825" width="0" style="4" hidden="1" customWidth="1"/>
    <col min="13826" max="13826" width="14.5703125" style="4" bestFit="1" customWidth="1"/>
    <col min="13827" max="13827" width="17.42578125" style="4" bestFit="1" customWidth="1"/>
    <col min="13828" max="13828" width="16" style="4" bestFit="1" customWidth="1"/>
    <col min="13829" max="13829" width="15.7109375" style="4" customWidth="1"/>
    <col min="13830" max="13830" width="14.7109375" style="4" customWidth="1"/>
    <col min="13831" max="13831" width="15.5703125" style="4" bestFit="1" customWidth="1"/>
    <col min="13832" max="13832" width="17.42578125" style="4" bestFit="1" customWidth="1"/>
    <col min="13833" max="13833" width="14.85546875" style="4" customWidth="1"/>
    <col min="13834" max="13834" width="14.85546875" style="4" bestFit="1" customWidth="1"/>
    <col min="13835" max="13835" width="15.28515625" style="4" bestFit="1" customWidth="1"/>
    <col min="13836" max="13836" width="16" style="4" bestFit="1" customWidth="1"/>
    <col min="13837" max="13837" width="17.42578125" style="4" bestFit="1" customWidth="1"/>
    <col min="13838" max="13838" width="16.85546875" style="4" customWidth="1"/>
    <col min="13839" max="13839" width="14.85546875" style="4" customWidth="1"/>
    <col min="13840" max="13840" width="14.140625" style="4" customWidth="1"/>
    <col min="13841" max="14079" width="9.140625" style="4"/>
    <col min="14080" max="14080" width="31.5703125" style="4" customWidth="1"/>
    <col min="14081" max="14081" width="0" style="4" hidden="1" customWidth="1"/>
    <col min="14082" max="14082" width="14.5703125" style="4" bestFit="1" customWidth="1"/>
    <col min="14083" max="14083" width="17.42578125" style="4" bestFit="1" customWidth="1"/>
    <col min="14084" max="14084" width="16" style="4" bestFit="1" customWidth="1"/>
    <col min="14085" max="14085" width="15.7109375" style="4" customWidth="1"/>
    <col min="14086" max="14086" width="14.7109375" style="4" customWidth="1"/>
    <col min="14087" max="14087" width="15.5703125" style="4" bestFit="1" customWidth="1"/>
    <col min="14088" max="14088" width="17.42578125" style="4" bestFit="1" customWidth="1"/>
    <col min="14089" max="14089" width="14.85546875" style="4" customWidth="1"/>
    <col min="14090" max="14090" width="14.85546875" style="4" bestFit="1" customWidth="1"/>
    <col min="14091" max="14091" width="15.28515625" style="4" bestFit="1" customWidth="1"/>
    <col min="14092" max="14092" width="16" style="4" bestFit="1" customWidth="1"/>
    <col min="14093" max="14093" width="17.42578125" style="4" bestFit="1" customWidth="1"/>
    <col min="14094" max="14094" width="16.85546875" style="4" customWidth="1"/>
    <col min="14095" max="14095" width="14.85546875" style="4" customWidth="1"/>
    <col min="14096" max="14096" width="14.140625" style="4" customWidth="1"/>
    <col min="14097" max="14335" width="9.140625" style="4"/>
    <col min="14336" max="14336" width="31.5703125" style="4" customWidth="1"/>
    <col min="14337" max="14337" width="0" style="4" hidden="1" customWidth="1"/>
    <col min="14338" max="14338" width="14.5703125" style="4" bestFit="1" customWidth="1"/>
    <col min="14339" max="14339" width="17.42578125" style="4" bestFit="1" customWidth="1"/>
    <col min="14340" max="14340" width="16" style="4" bestFit="1" customWidth="1"/>
    <col min="14341" max="14341" width="15.7109375" style="4" customWidth="1"/>
    <col min="14342" max="14342" width="14.7109375" style="4" customWidth="1"/>
    <col min="14343" max="14343" width="15.5703125" style="4" bestFit="1" customWidth="1"/>
    <col min="14344" max="14344" width="17.42578125" style="4" bestFit="1" customWidth="1"/>
    <col min="14345" max="14345" width="14.85546875" style="4" customWidth="1"/>
    <col min="14346" max="14346" width="14.85546875" style="4" bestFit="1" customWidth="1"/>
    <col min="14347" max="14347" width="15.28515625" style="4" bestFit="1" customWidth="1"/>
    <col min="14348" max="14348" width="16" style="4" bestFit="1" customWidth="1"/>
    <col min="14349" max="14349" width="17.42578125" style="4" bestFit="1" customWidth="1"/>
    <col min="14350" max="14350" width="16.85546875" style="4" customWidth="1"/>
    <col min="14351" max="14351" width="14.85546875" style="4" customWidth="1"/>
    <col min="14352" max="14352" width="14.140625" style="4" customWidth="1"/>
    <col min="14353" max="14591" width="9.140625" style="4"/>
    <col min="14592" max="14592" width="31.5703125" style="4" customWidth="1"/>
    <col min="14593" max="14593" width="0" style="4" hidden="1" customWidth="1"/>
    <col min="14594" max="14594" width="14.5703125" style="4" bestFit="1" customWidth="1"/>
    <col min="14595" max="14595" width="17.42578125" style="4" bestFit="1" customWidth="1"/>
    <col min="14596" max="14596" width="16" style="4" bestFit="1" customWidth="1"/>
    <col min="14597" max="14597" width="15.7109375" style="4" customWidth="1"/>
    <col min="14598" max="14598" width="14.7109375" style="4" customWidth="1"/>
    <col min="14599" max="14599" width="15.5703125" style="4" bestFit="1" customWidth="1"/>
    <col min="14600" max="14600" width="17.42578125" style="4" bestFit="1" customWidth="1"/>
    <col min="14601" max="14601" width="14.85546875" style="4" customWidth="1"/>
    <col min="14602" max="14602" width="14.85546875" style="4" bestFit="1" customWidth="1"/>
    <col min="14603" max="14603" width="15.28515625" style="4" bestFit="1" customWidth="1"/>
    <col min="14604" max="14604" width="16" style="4" bestFit="1" customWidth="1"/>
    <col min="14605" max="14605" width="17.42578125" style="4" bestFit="1" customWidth="1"/>
    <col min="14606" max="14606" width="16.85546875" style="4" customWidth="1"/>
    <col min="14607" max="14607" width="14.85546875" style="4" customWidth="1"/>
    <col min="14608" max="14608" width="14.140625" style="4" customWidth="1"/>
    <col min="14609" max="14847" width="9.140625" style="4"/>
    <col min="14848" max="14848" width="31.5703125" style="4" customWidth="1"/>
    <col min="14849" max="14849" width="0" style="4" hidden="1" customWidth="1"/>
    <col min="14850" max="14850" width="14.5703125" style="4" bestFit="1" customWidth="1"/>
    <col min="14851" max="14851" width="17.42578125" style="4" bestFit="1" customWidth="1"/>
    <col min="14852" max="14852" width="16" style="4" bestFit="1" customWidth="1"/>
    <col min="14853" max="14853" width="15.7109375" style="4" customWidth="1"/>
    <col min="14854" max="14854" width="14.7109375" style="4" customWidth="1"/>
    <col min="14855" max="14855" width="15.5703125" style="4" bestFit="1" customWidth="1"/>
    <col min="14856" max="14856" width="17.42578125" style="4" bestFit="1" customWidth="1"/>
    <col min="14857" max="14857" width="14.85546875" style="4" customWidth="1"/>
    <col min="14858" max="14858" width="14.85546875" style="4" bestFit="1" customWidth="1"/>
    <col min="14859" max="14859" width="15.28515625" style="4" bestFit="1" customWidth="1"/>
    <col min="14860" max="14860" width="16" style="4" bestFit="1" customWidth="1"/>
    <col min="14861" max="14861" width="17.42578125" style="4" bestFit="1" customWidth="1"/>
    <col min="14862" max="14862" width="16.85546875" style="4" customWidth="1"/>
    <col min="14863" max="14863" width="14.85546875" style="4" customWidth="1"/>
    <col min="14864" max="14864" width="14.140625" style="4" customWidth="1"/>
    <col min="14865" max="15103" width="9.140625" style="4"/>
    <col min="15104" max="15104" width="31.5703125" style="4" customWidth="1"/>
    <col min="15105" max="15105" width="0" style="4" hidden="1" customWidth="1"/>
    <col min="15106" max="15106" width="14.5703125" style="4" bestFit="1" customWidth="1"/>
    <col min="15107" max="15107" width="17.42578125" style="4" bestFit="1" customWidth="1"/>
    <col min="15108" max="15108" width="16" style="4" bestFit="1" customWidth="1"/>
    <col min="15109" max="15109" width="15.7109375" style="4" customWidth="1"/>
    <col min="15110" max="15110" width="14.7109375" style="4" customWidth="1"/>
    <col min="15111" max="15111" width="15.5703125" style="4" bestFit="1" customWidth="1"/>
    <col min="15112" max="15112" width="17.42578125" style="4" bestFit="1" customWidth="1"/>
    <col min="15113" max="15113" width="14.85546875" style="4" customWidth="1"/>
    <col min="15114" max="15114" width="14.85546875" style="4" bestFit="1" customWidth="1"/>
    <col min="15115" max="15115" width="15.28515625" style="4" bestFit="1" customWidth="1"/>
    <col min="15116" max="15116" width="16" style="4" bestFit="1" customWidth="1"/>
    <col min="15117" max="15117" width="17.42578125" style="4" bestFit="1" customWidth="1"/>
    <col min="15118" max="15118" width="16.85546875" style="4" customWidth="1"/>
    <col min="15119" max="15119" width="14.85546875" style="4" customWidth="1"/>
    <col min="15120" max="15120" width="14.140625" style="4" customWidth="1"/>
    <col min="15121" max="15359" width="9.140625" style="4"/>
    <col min="15360" max="15360" width="31.5703125" style="4" customWidth="1"/>
    <col min="15361" max="15361" width="0" style="4" hidden="1" customWidth="1"/>
    <col min="15362" max="15362" width="14.5703125" style="4" bestFit="1" customWidth="1"/>
    <col min="15363" max="15363" width="17.42578125" style="4" bestFit="1" customWidth="1"/>
    <col min="15364" max="15364" width="16" style="4" bestFit="1" customWidth="1"/>
    <col min="15365" max="15365" width="15.7109375" style="4" customWidth="1"/>
    <col min="15366" max="15366" width="14.7109375" style="4" customWidth="1"/>
    <col min="15367" max="15367" width="15.5703125" style="4" bestFit="1" customWidth="1"/>
    <col min="15368" max="15368" width="17.42578125" style="4" bestFit="1" customWidth="1"/>
    <col min="15369" max="15369" width="14.85546875" style="4" customWidth="1"/>
    <col min="15370" max="15370" width="14.85546875" style="4" bestFit="1" customWidth="1"/>
    <col min="15371" max="15371" width="15.28515625" style="4" bestFit="1" customWidth="1"/>
    <col min="15372" max="15372" width="16" style="4" bestFit="1" customWidth="1"/>
    <col min="15373" max="15373" width="17.42578125" style="4" bestFit="1" customWidth="1"/>
    <col min="15374" max="15374" width="16.85546875" style="4" customWidth="1"/>
    <col min="15375" max="15375" width="14.85546875" style="4" customWidth="1"/>
    <col min="15376" max="15376" width="14.140625" style="4" customWidth="1"/>
    <col min="15377" max="15615" width="9.140625" style="4"/>
    <col min="15616" max="15616" width="31.5703125" style="4" customWidth="1"/>
    <col min="15617" max="15617" width="0" style="4" hidden="1" customWidth="1"/>
    <col min="15618" max="15618" width="14.5703125" style="4" bestFit="1" customWidth="1"/>
    <col min="15619" max="15619" width="17.42578125" style="4" bestFit="1" customWidth="1"/>
    <col min="15620" max="15620" width="16" style="4" bestFit="1" customWidth="1"/>
    <col min="15621" max="15621" width="15.7109375" style="4" customWidth="1"/>
    <col min="15622" max="15622" width="14.7109375" style="4" customWidth="1"/>
    <col min="15623" max="15623" width="15.5703125" style="4" bestFit="1" customWidth="1"/>
    <col min="15624" max="15624" width="17.42578125" style="4" bestFit="1" customWidth="1"/>
    <col min="15625" max="15625" width="14.85546875" style="4" customWidth="1"/>
    <col min="15626" max="15626" width="14.85546875" style="4" bestFit="1" customWidth="1"/>
    <col min="15627" max="15627" width="15.28515625" style="4" bestFit="1" customWidth="1"/>
    <col min="15628" max="15628" width="16" style="4" bestFit="1" customWidth="1"/>
    <col min="15629" max="15629" width="17.42578125" style="4" bestFit="1" customWidth="1"/>
    <col min="15630" max="15630" width="16.85546875" style="4" customWidth="1"/>
    <col min="15631" max="15631" width="14.85546875" style="4" customWidth="1"/>
    <col min="15632" max="15632" width="14.140625" style="4" customWidth="1"/>
    <col min="15633" max="15871" width="9.140625" style="4"/>
    <col min="15872" max="15872" width="31.5703125" style="4" customWidth="1"/>
    <col min="15873" max="15873" width="0" style="4" hidden="1" customWidth="1"/>
    <col min="15874" max="15874" width="14.5703125" style="4" bestFit="1" customWidth="1"/>
    <col min="15875" max="15875" width="17.42578125" style="4" bestFit="1" customWidth="1"/>
    <col min="15876" max="15876" width="16" style="4" bestFit="1" customWidth="1"/>
    <col min="15877" max="15877" width="15.7109375" style="4" customWidth="1"/>
    <col min="15878" max="15878" width="14.7109375" style="4" customWidth="1"/>
    <col min="15879" max="15879" width="15.5703125" style="4" bestFit="1" customWidth="1"/>
    <col min="15880" max="15880" width="17.42578125" style="4" bestFit="1" customWidth="1"/>
    <col min="15881" max="15881" width="14.85546875" style="4" customWidth="1"/>
    <col min="15882" max="15882" width="14.85546875" style="4" bestFit="1" customWidth="1"/>
    <col min="15883" max="15883" width="15.28515625" style="4" bestFit="1" customWidth="1"/>
    <col min="15884" max="15884" width="16" style="4" bestFit="1" customWidth="1"/>
    <col min="15885" max="15885" width="17.42578125" style="4" bestFit="1" customWidth="1"/>
    <col min="15886" max="15886" width="16.85546875" style="4" customWidth="1"/>
    <col min="15887" max="15887" width="14.85546875" style="4" customWidth="1"/>
    <col min="15888" max="15888" width="14.140625" style="4" customWidth="1"/>
    <col min="15889" max="16127" width="9.140625" style="4"/>
    <col min="16128" max="16128" width="31.5703125" style="4" customWidth="1"/>
    <col min="16129" max="16129" width="0" style="4" hidden="1" customWidth="1"/>
    <col min="16130" max="16130" width="14.5703125" style="4" bestFit="1" customWidth="1"/>
    <col min="16131" max="16131" width="17.42578125" style="4" bestFit="1" customWidth="1"/>
    <col min="16132" max="16132" width="16" style="4" bestFit="1" customWidth="1"/>
    <col min="16133" max="16133" width="15.7109375" style="4" customWidth="1"/>
    <col min="16134" max="16134" width="14.7109375" style="4" customWidth="1"/>
    <col min="16135" max="16135" width="15.5703125" style="4" bestFit="1" customWidth="1"/>
    <col min="16136" max="16136" width="17.42578125" style="4" bestFit="1" customWidth="1"/>
    <col min="16137" max="16137" width="14.85546875" style="4" customWidth="1"/>
    <col min="16138" max="16138" width="14.85546875" style="4" bestFit="1" customWidth="1"/>
    <col min="16139" max="16139" width="15.28515625" style="4" bestFit="1" customWidth="1"/>
    <col min="16140" max="16140" width="16" style="4" bestFit="1" customWidth="1"/>
    <col min="16141" max="16141" width="17.42578125" style="4" bestFit="1" customWidth="1"/>
    <col min="16142" max="16142" width="16.85546875" style="4" customWidth="1"/>
    <col min="16143" max="16143" width="14.85546875" style="4" customWidth="1"/>
    <col min="16144" max="16144" width="14.140625" style="4" customWidth="1"/>
    <col min="16145" max="16384" width="9.140625" style="4"/>
  </cols>
  <sheetData>
    <row r="1" spans="1:13" x14ac:dyDescent="0.25">
      <c r="A1" s="2" t="s">
        <v>13</v>
      </c>
      <c r="B1" s="3"/>
      <c r="C1" s="3"/>
    </row>
    <row r="2" spans="1:13" outlineLevel="1" x14ac:dyDescent="0.25">
      <c r="A2" s="5"/>
      <c r="B2" s="202" t="s">
        <v>14</v>
      </c>
      <c r="C2" s="202"/>
      <c r="D2" s="202"/>
      <c r="F2" s="202" t="s">
        <v>15</v>
      </c>
      <c r="G2" s="202"/>
      <c r="H2" s="202"/>
      <c r="I2" s="5"/>
      <c r="J2" s="202" t="s">
        <v>16</v>
      </c>
      <c r="K2" s="202"/>
      <c r="L2" s="202"/>
    </row>
    <row r="3" spans="1:13" outlineLevel="1" x14ac:dyDescent="0.25">
      <c r="A3" s="5"/>
      <c r="B3" s="6" t="s">
        <v>17</v>
      </c>
      <c r="C3" s="6" t="s">
        <v>18</v>
      </c>
      <c r="D3" s="6" t="s">
        <v>19</v>
      </c>
      <c r="F3" s="6" t="s">
        <v>17</v>
      </c>
      <c r="G3" s="6" t="s">
        <v>18</v>
      </c>
      <c r="H3" s="6" t="s">
        <v>19</v>
      </c>
      <c r="I3" s="5"/>
      <c r="J3" s="6" t="s">
        <v>17</v>
      </c>
      <c r="K3" s="6" t="s">
        <v>18</v>
      </c>
      <c r="L3" s="6" t="s">
        <v>19</v>
      </c>
    </row>
    <row r="4" spans="1:13" outlineLevel="1" x14ac:dyDescent="0.25">
      <c r="A4" s="7" t="s">
        <v>20</v>
      </c>
      <c r="B4" s="5"/>
      <c r="C4" s="5"/>
      <c r="D4" s="5"/>
      <c r="F4" s="5"/>
      <c r="G4" s="5"/>
      <c r="H4" s="5"/>
      <c r="I4" s="5"/>
      <c r="J4" s="5"/>
      <c r="K4" s="5"/>
      <c r="L4" s="5"/>
    </row>
    <row r="5" spans="1:13" outlineLevel="1" x14ac:dyDescent="0.25">
      <c r="A5" s="4" t="s">
        <v>21</v>
      </c>
      <c r="B5" s="9">
        <v>0</v>
      </c>
      <c r="C5" s="9">
        <v>22986.94</v>
      </c>
      <c r="D5" s="9">
        <f>SUM(B5:C5)</f>
        <v>22986.94</v>
      </c>
      <c r="F5" s="9">
        <v>0</v>
      </c>
      <c r="G5" s="9">
        <v>-766.23</v>
      </c>
      <c r="H5" s="9">
        <f>SUM(F5:G5)</f>
        <v>-766.23</v>
      </c>
      <c r="J5" s="9">
        <f t="shared" ref="J5:L7" si="0">B5+F5</f>
        <v>0</v>
      </c>
      <c r="K5" s="9">
        <f>C5+G5</f>
        <v>22220.71</v>
      </c>
      <c r="L5" s="9">
        <f t="shared" si="0"/>
        <v>22220.71</v>
      </c>
    </row>
    <row r="6" spans="1:13" outlineLevel="1" x14ac:dyDescent="0.25">
      <c r="A6" s="4" t="s">
        <v>22</v>
      </c>
      <c r="B6" s="9">
        <v>0</v>
      </c>
      <c r="C6" s="9">
        <v>38138.46</v>
      </c>
      <c r="D6" s="9">
        <f>SUM(B6:C6)</f>
        <v>38138.46</v>
      </c>
      <c r="F6" s="9">
        <v>0</v>
      </c>
      <c r="G6" s="9">
        <v>0</v>
      </c>
      <c r="H6" s="9">
        <f>SUM(F6:G6)</f>
        <v>0</v>
      </c>
      <c r="J6" s="9">
        <f t="shared" si="0"/>
        <v>0</v>
      </c>
      <c r="K6" s="9">
        <f t="shared" si="0"/>
        <v>38138.46</v>
      </c>
      <c r="L6" s="9">
        <f t="shared" si="0"/>
        <v>38138.46</v>
      </c>
    </row>
    <row r="7" spans="1:13" outlineLevel="1" x14ac:dyDescent="0.25">
      <c r="A7" s="4" t="s">
        <v>23</v>
      </c>
      <c r="B7" s="9">
        <v>-1.8917489796876907E-10</v>
      </c>
      <c r="C7" s="9">
        <v>171.17</v>
      </c>
      <c r="D7" s="9">
        <f>SUM(B7:C7)</f>
        <v>171.16999999981081</v>
      </c>
      <c r="F7" s="9">
        <v>0</v>
      </c>
      <c r="G7" s="9">
        <v>0</v>
      </c>
      <c r="H7" s="9">
        <f>SUM(F7:G7)</f>
        <v>0</v>
      </c>
      <c r="J7" s="9">
        <f t="shared" si="0"/>
        <v>-1.8917489796876907E-10</v>
      </c>
      <c r="K7" s="9">
        <f t="shared" si="0"/>
        <v>171.17</v>
      </c>
      <c r="L7" s="9">
        <f t="shared" si="0"/>
        <v>171.16999999981081</v>
      </c>
    </row>
    <row r="8" spans="1:13" s="5" customFormat="1" outlineLevel="1" x14ac:dyDescent="0.25">
      <c r="A8" s="5" t="s">
        <v>24</v>
      </c>
      <c r="B8" s="10">
        <f>SUM(B5:B7)</f>
        <v>-1.8917489796876907E-10</v>
      </c>
      <c r="C8" s="10">
        <f>SUM(C5:C7)</f>
        <v>61296.569999999992</v>
      </c>
      <c r="D8" s="10">
        <f>SUM(D5:D7)</f>
        <v>61296.569999999803</v>
      </c>
      <c r="E8" s="11"/>
      <c r="F8" s="12">
        <f>SUM(F5:F7)</f>
        <v>0</v>
      </c>
      <c r="G8" s="12">
        <f>SUM(G5:G7)</f>
        <v>-766.23</v>
      </c>
      <c r="H8" s="12">
        <f>SUM(H5:H7)</f>
        <v>-766.23</v>
      </c>
      <c r="I8" s="13"/>
      <c r="J8" s="12">
        <f>SUM(J5:J7)</f>
        <v>-1.8917489796876907E-10</v>
      </c>
      <c r="K8" s="12">
        <f>SUM(K5:K7)</f>
        <v>60530.34</v>
      </c>
      <c r="L8" s="12">
        <f>SUM(L5:L7)</f>
        <v>60530.339999999807</v>
      </c>
      <c r="M8" s="14"/>
    </row>
    <row r="9" spans="1:13" outlineLevel="1" x14ac:dyDescent="0.25"/>
    <row r="10" spans="1:13" outlineLevel="1" x14ac:dyDescent="0.25">
      <c r="A10" s="5"/>
      <c r="B10" s="202" t="s">
        <v>14</v>
      </c>
      <c r="C10" s="202"/>
      <c r="D10" s="202"/>
      <c r="F10" s="202" t="s">
        <v>25</v>
      </c>
      <c r="G10" s="202"/>
      <c r="H10" s="202"/>
      <c r="I10" s="5"/>
      <c r="J10" s="202" t="s">
        <v>16</v>
      </c>
      <c r="K10" s="202"/>
      <c r="L10" s="202"/>
    </row>
    <row r="11" spans="1:13" outlineLevel="1" x14ac:dyDescent="0.25">
      <c r="A11" s="5"/>
      <c r="B11" s="6" t="s">
        <v>17</v>
      </c>
      <c r="C11" s="6" t="s">
        <v>18</v>
      </c>
      <c r="D11" s="6" t="s">
        <v>19</v>
      </c>
      <c r="F11" s="6" t="s">
        <v>17</v>
      </c>
      <c r="G11" s="6" t="s">
        <v>18</v>
      </c>
      <c r="H11" s="6" t="s">
        <v>19</v>
      </c>
      <c r="I11" s="5"/>
      <c r="J11" s="6" t="s">
        <v>17</v>
      </c>
      <c r="K11" s="6" t="s">
        <v>18</v>
      </c>
      <c r="L11" s="6" t="s">
        <v>19</v>
      </c>
    </row>
    <row r="12" spans="1:13" outlineLevel="1" x14ac:dyDescent="0.25">
      <c r="A12" s="7" t="s">
        <v>26</v>
      </c>
      <c r="B12" s="5"/>
      <c r="C12" s="5"/>
      <c r="D12" s="5"/>
      <c r="F12" s="5"/>
      <c r="G12" s="5"/>
      <c r="H12" s="5"/>
      <c r="I12" s="5"/>
      <c r="J12" s="5"/>
      <c r="K12" s="5"/>
      <c r="L12" s="5"/>
    </row>
    <row r="13" spans="1:13" outlineLevel="1" x14ac:dyDescent="0.25">
      <c r="A13" s="4" t="s">
        <v>21</v>
      </c>
      <c r="B13" s="9">
        <f>+D5</f>
        <v>22986.94</v>
      </c>
      <c r="C13" s="9">
        <v>88314.49</v>
      </c>
      <c r="D13" s="9">
        <f>SUM(B13:C13)</f>
        <v>111301.43000000001</v>
      </c>
      <c r="E13" s="9"/>
      <c r="F13" s="9">
        <f>+H5</f>
        <v>-766.23</v>
      </c>
      <c r="G13" s="9">
        <v>-4476.28</v>
      </c>
      <c r="H13" s="9">
        <f>SUM(F13:G13)</f>
        <v>-5242.51</v>
      </c>
      <c r="J13" s="9">
        <f t="shared" ref="J13:L16" si="1">B13+F13</f>
        <v>22220.71</v>
      </c>
      <c r="K13" s="9">
        <f t="shared" si="1"/>
        <v>83838.210000000006</v>
      </c>
      <c r="L13" s="9">
        <f t="shared" si="1"/>
        <v>106058.92000000001</v>
      </c>
    </row>
    <row r="14" spans="1:13" outlineLevel="1" x14ac:dyDescent="0.25">
      <c r="A14" s="4" t="s">
        <v>27</v>
      </c>
      <c r="B14" s="9">
        <f>+G5</f>
        <v>-766.23</v>
      </c>
      <c r="C14" s="9"/>
      <c r="D14" s="9">
        <f>SUM(B14:C14)</f>
        <v>-766.23</v>
      </c>
      <c r="E14" s="9"/>
      <c r="F14" s="9">
        <f>-G5</f>
        <v>766.23</v>
      </c>
      <c r="G14" s="9"/>
      <c r="H14" s="9">
        <f>SUM(F14:G14)</f>
        <v>766.23</v>
      </c>
      <c r="J14" s="9">
        <f t="shared" si="1"/>
        <v>0</v>
      </c>
      <c r="K14" s="9">
        <f t="shared" si="1"/>
        <v>0</v>
      </c>
      <c r="L14" s="9">
        <f t="shared" si="1"/>
        <v>0</v>
      </c>
    </row>
    <row r="15" spans="1:13" outlineLevel="1" x14ac:dyDescent="0.25">
      <c r="A15" s="4" t="s">
        <v>22</v>
      </c>
      <c r="B15" s="9">
        <v>38138.46</v>
      </c>
      <c r="C15" s="9">
        <v>109236.68</v>
      </c>
      <c r="D15" s="9">
        <f>SUM(B15:C15)</f>
        <v>147375.13999999998</v>
      </c>
      <c r="E15" s="9"/>
      <c r="F15" s="9">
        <v>0</v>
      </c>
      <c r="G15" s="9">
        <v>0</v>
      </c>
      <c r="H15" s="9">
        <f>SUM(F15:G15)</f>
        <v>0</v>
      </c>
      <c r="J15" s="9">
        <f t="shared" si="1"/>
        <v>38138.46</v>
      </c>
      <c r="K15" s="9">
        <f t="shared" si="1"/>
        <v>109236.68</v>
      </c>
      <c r="L15" s="9">
        <f t="shared" si="1"/>
        <v>147375.13999999998</v>
      </c>
    </row>
    <row r="16" spans="1:13" outlineLevel="1" x14ac:dyDescent="0.25">
      <c r="A16" s="4" t="s">
        <v>23</v>
      </c>
      <c r="B16" s="9">
        <v>171.16999999981081</v>
      </c>
      <c r="C16" s="9">
        <v>-138.13999999999999</v>
      </c>
      <c r="D16" s="9">
        <f>SUM(B16:C16)</f>
        <v>33.029999999810826</v>
      </c>
      <c r="E16" s="9"/>
      <c r="F16" s="9">
        <v>0</v>
      </c>
      <c r="G16" s="9">
        <v>0</v>
      </c>
      <c r="H16" s="9">
        <f>SUM(F16:G16)</f>
        <v>0</v>
      </c>
      <c r="J16" s="9">
        <f t="shared" si="1"/>
        <v>171.16999999981081</v>
      </c>
      <c r="K16" s="9">
        <f t="shared" si="1"/>
        <v>-138.13999999999999</v>
      </c>
      <c r="L16" s="9">
        <f t="shared" si="1"/>
        <v>33.029999999810826</v>
      </c>
    </row>
    <row r="17" spans="1:13" outlineLevel="1" x14ac:dyDescent="0.25">
      <c r="A17" s="5" t="s">
        <v>24</v>
      </c>
      <c r="B17" s="10">
        <f>SUM(B13:B16)</f>
        <v>60530.339999999807</v>
      </c>
      <c r="C17" s="10">
        <f>SUM(C13:C16)</f>
        <v>197413.02999999997</v>
      </c>
      <c r="D17" s="10">
        <f>SUM(D13:D16)</f>
        <v>257943.36999999982</v>
      </c>
      <c r="E17" s="9"/>
      <c r="F17" s="10">
        <f>SUM(F13:F16)</f>
        <v>0</v>
      </c>
      <c r="G17" s="10">
        <f>SUM(G13:G16)</f>
        <v>-4476.28</v>
      </c>
      <c r="H17" s="10">
        <f>SUM(H13:H16)</f>
        <v>-4476.2800000000007</v>
      </c>
      <c r="I17" s="13"/>
      <c r="J17" s="10">
        <f>SUM(J13:J16)</f>
        <v>60530.339999999807</v>
      </c>
      <c r="K17" s="10">
        <f>SUM(K13:K16)</f>
        <v>192936.75</v>
      </c>
      <c r="L17" s="10">
        <f>SUM(L13:L16)</f>
        <v>253467.08999999982</v>
      </c>
      <c r="M17" s="14"/>
    </row>
    <row r="18" spans="1:13" outlineLevel="1" x14ac:dyDescent="0.25"/>
    <row r="19" spans="1:13" outlineLevel="1" x14ac:dyDescent="0.25">
      <c r="A19" s="5"/>
      <c r="B19" s="202" t="s">
        <v>14</v>
      </c>
      <c r="C19" s="202"/>
      <c r="D19" s="202"/>
      <c r="F19" s="202" t="s">
        <v>25</v>
      </c>
      <c r="G19" s="202"/>
      <c r="H19" s="202"/>
      <c r="I19" s="5"/>
      <c r="J19" s="202" t="s">
        <v>16</v>
      </c>
      <c r="K19" s="202"/>
      <c r="L19" s="202"/>
    </row>
    <row r="20" spans="1:13" outlineLevel="1" x14ac:dyDescent="0.25">
      <c r="A20" s="5"/>
      <c r="B20" s="6" t="s">
        <v>17</v>
      </c>
      <c r="C20" s="6" t="s">
        <v>18</v>
      </c>
      <c r="D20" s="6" t="s">
        <v>19</v>
      </c>
      <c r="F20" s="6" t="s">
        <v>17</v>
      </c>
      <c r="G20" s="6" t="s">
        <v>18</v>
      </c>
      <c r="H20" s="6" t="s">
        <v>19</v>
      </c>
      <c r="I20" s="5"/>
      <c r="J20" s="6" t="s">
        <v>17</v>
      </c>
      <c r="K20" s="6" t="s">
        <v>18</v>
      </c>
      <c r="L20" s="6" t="s">
        <v>19</v>
      </c>
    </row>
    <row r="21" spans="1:13" outlineLevel="1" x14ac:dyDescent="0.25">
      <c r="A21" s="7" t="s">
        <v>28</v>
      </c>
      <c r="B21" s="5"/>
      <c r="C21" s="5"/>
      <c r="D21" s="5"/>
      <c r="F21" s="5"/>
      <c r="G21" s="5"/>
      <c r="H21" s="5"/>
      <c r="I21" s="5"/>
      <c r="J21" s="5"/>
      <c r="K21" s="5"/>
      <c r="L21" s="5"/>
    </row>
    <row r="22" spans="1:13" outlineLevel="1" x14ac:dyDescent="0.25">
      <c r="A22" s="4" t="s">
        <v>21</v>
      </c>
      <c r="B22" s="9">
        <v>110535.20000000001</v>
      </c>
      <c r="C22" s="9">
        <v>173210.96</v>
      </c>
      <c r="D22" s="9">
        <f>SUM(B22:C22)</f>
        <v>283746.16000000003</v>
      </c>
      <c r="E22" s="9"/>
      <c r="F22" s="9">
        <v>-4476.28</v>
      </c>
      <c r="G22" s="9">
        <v>-13193.79</v>
      </c>
      <c r="H22" s="9">
        <f>SUM(F22:G22)</f>
        <v>-17670.07</v>
      </c>
      <c r="I22" s="9"/>
      <c r="J22" s="9">
        <f t="shared" ref="J22:L26" si="2">B22+F22</f>
        <v>106058.92000000001</v>
      </c>
      <c r="K22" s="9">
        <f t="shared" si="2"/>
        <v>160017.16999999998</v>
      </c>
      <c r="L22" s="9">
        <f t="shared" si="2"/>
        <v>266076.09000000003</v>
      </c>
    </row>
    <row r="23" spans="1:13" outlineLevel="1" x14ac:dyDescent="0.25">
      <c r="A23" s="4" t="s">
        <v>22</v>
      </c>
      <c r="B23" s="9">
        <v>147375.13999999998</v>
      </c>
      <c r="C23" s="9">
        <v>36781</v>
      </c>
      <c r="D23" s="9">
        <f>SUM(B23:C23)</f>
        <v>184156.13999999998</v>
      </c>
      <c r="E23" s="9"/>
      <c r="F23" s="9">
        <v>0</v>
      </c>
      <c r="G23" s="9"/>
      <c r="H23" s="9">
        <f>SUM(F23:G23)</f>
        <v>0</v>
      </c>
      <c r="I23" s="9"/>
      <c r="J23" s="9">
        <f t="shared" si="2"/>
        <v>147375.13999999998</v>
      </c>
      <c r="K23" s="9">
        <f t="shared" si="2"/>
        <v>36781</v>
      </c>
      <c r="L23" s="9">
        <f t="shared" si="2"/>
        <v>184156.13999999998</v>
      </c>
    </row>
    <row r="24" spans="1:13" outlineLevel="1" x14ac:dyDescent="0.25">
      <c r="A24" s="4" t="s">
        <v>23</v>
      </c>
      <c r="B24" s="9">
        <v>33.029999999810826</v>
      </c>
      <c r="C24" s="9">
        <v>-33.03</v>
      </c>
      <c r="D24" s="9">
        <f>SUM(B24:C24)</f>
        <v>-1.8917489796876907E-10</v>
      </c>
      <c r="E24" s="9"/>
      <c r="F24" s="9">
        <v>0</v>
      </c>
      <c r="G24" s="9"/>
      <c r="H24" s="9">
        <f>SUM(F24:G24)</f>
        <v>0</v>
      </c>
      <c r="I24" s="9"/>
      <c r="J24" s="9">
        <f t="shared" si="2"/>
        <v>33.029999999810826</v>
      </c>
      <c r="K24" s="9">
        <f t="shared" si="2"/>
        <v>-33.03</v>
      </c>
      <c r="L24" s="9">
        <f t="shared" si="2"/>
        <v>-1.8917489796876907E-10</v>
      </c>
      <c r="M24" s="14">
        <f>+L17/2+L27/2</f>
        <v>317065.49499999982</v>
      </c>
    </row>
    <row r="25" spans="1:13" outlineLevel="1" x14ac:dyDescent="0.25">
      <c r="A25" s="4" t="s">
        <v>29</v>
      </c>
      <c r="B25" s="9">
        <v>0</v>
      </c>
      <c r="C25" s="9">
        <v>-4850</v>
      </c>
      <c r="D25" s="9">
        <f>SUM(B25:C25)</f>
        <v>-4850</v>
      </c>
      <c r="E25" s="9"/>
      <c r="F25" s="9">
        <v>0</v>
      </c>
      <c r="G25" s="9">
        <v>161.66999999999999</v>
      </c>
      <c r="H25" s="9">
        <f>SUM(F25:G25)</f>
        <v>161.66999999999999</v>
      </c>
      <c r="I25" s="9"/>
      <c r="J25" s="9">
        <f t="shared" si="2"/>
        <v>0</v>
      </c>
      <c r="K25" s="9">
        <f t="shared" si="2"/>
        <v>-4688.33</v>
      </c>
      <c r="L25" s="9">
        <f t="shared" si="2"/>
        <v>-4688.33</v>
      </c>
    </row>
    <row r="26" spans="1:13" outlineLevel="1" x14ac:dyDescent="0.25">
      <c r="A26" s="4" t="s">
        <v>30</v>
      </c>
      <c r="B26" s="9">
        <v>0</v>
      </c>
      <c r="C26" s="9">
        <v>-64880</v>
      </c>
      <c r="D26" s="9">
        <f>SUM(B26:C26)</f>
        <v>-64880</v>
      </c>
      <c r="E26" s="9"/>
      <c r="F26" s="9">
        <v>0</v>
      </c>
      <c r="G26" s="9"/>
      <c r="H26" s="9">
        <f>SUM(F26:G26)</f>
        <v>0</v>
      </c>
      <c r="I26" s="9"/>
      <c r="J26" s="9">
        <f t="shared" si="2"/>
        <v>0</v>
      </c>
      <c r="K26" s="9">
        <f t="shared" si="2"/>
        <v>-64880</v>
      </c>
      <c r="L26" s="9">
        <f t="shared" si="2"/>
        <v>-64880</v>
      </c>
    </row>
    <row r="27" spans="1:13" outlineLevel="1" x14ac:dyDescent="0.25">
      <c r="A27" s="5" t="s">
        <v>24</v>
      </c>
      <c r="B27" s="10">
        <f>SUM(B22:B26)</f>
        <v>257943.36999999982</v>
      </c>
      <c r="C27" s="10">
        <f t="shared" ref="C27:L27" si="3">SUM(C22:C26)</f>
        <v>140228.93</v>
      </c>
      <c r="D27" s="10">
        <f t="shared" si="3"/>
        <v>398172.29999999987</v>
      </c>
      <c r="E27" s="11"/>
      <c r="F27" s="10">
        <f t="shared" si="3"/>
        <v>-4476.28</v>
      </c>
      <c r="G27" s="10">
        <f t="shared" si="3"/>
        <v>-13032.12</v>
      </c>
      <c r="H27" s="10">
        <f t="shared" si="3"/>
        <v>-17508.400000000001</v>
      </c>
      <c r="I27" s="13"/>
      <c r="J27" s="10">
        <f t="shared" si="3"/>
        <v>253467.08999999982</v>
      </c>
      <c r="K27" s="10">
        <f t="shared" si="3"/>
        <v>127196.81</v>
      </c>
      <c r="L27" s="10">
        <f t="shared" si="3"/>
        <v>380663.89999999979</v>
      </c>
      <c r="M27" s="14"/>
    </row>
    <row r="28" spans="1:13" outlineLevel="1" x14ac:dyDescent="0.25"/>
    <row r="29" spans="1:13" outlineLevel="1" x14ac:dyDescent="0.25">
      <c r="A29" s="5"/>
      <c r="B29" s="202" t="s">
        <v>14</v>
      </c>
      <c r="C29" s="202"/>
      <c r="D29" s="202"/>
      <c r="F29" s="202" t="s">
        <v>25</v>
      </c>
      <c r="G29" s="202"/>
      <c r="H29" s="202"/>
      <c r="I29" s="5"/>
      <c r="J29" s="202" t="s">
        <v>16</v>
      </c>
      <c r="K29" s="202"/>
      <c r="L29" s="202"/>
    </row>
    <row r="30" spans="1:13" outlineLevel="1" x14ac:dyDescent="0.25">
      <c r="A30" s="5"/>
      <c r="B30" s="6" t="s">
        <v>17</v>
      </c>
      <c r="C30" s="6" t="s">
        <v>31</v>
      </c>
      <c r="D30" s="6" t="s">
        <v>19</v>
      </c>
      <c r="F30" s="6" t="s">
        <v>17</v>
      </c>
      <c r="G30" s="6" t="s">
        <v>31</v>
      </c>
      <c r="H30" s="6" t="s">
        <v>19</v>
      </c>
      <c r="J30" s="6" t="s">
        <v>17</v>
      </c>
      <c r="K30" s="6" t="s">
        <v>31</v>
      </c>
      <c r="L30" s="6" t="s">
        <v>19</v>
      </c>
    </row>
    <row r="31" spans="1:13" outlineLevel="1" x14ac:dyDescent="0.25">
      <c r="A31" s="7" t="s">
        <v>32</v>
      </c>
      <c r="B31" s="5"/>
      <c r="C31" s="5"/>
      <c r="D31" s="5"/>
      <c r="F31" s="5"/>
      <c r="G31" s="5"/>
      <c r="H31" s="5"/>
      <c r="J31" s="5"/>
      <c r="K31" s="5"/>
      <c r="L31" s="5"/>
    </row>
    <row r="32" spans="1:13" outlineLevel="1" x14ac:dyDescent="0.25">
      <c r="A32" s="4" t="s">
        <v>21</v>
      </c>
      <c r="B32" s="9">
        <f>D22</f>
        <v>283746.16000000003</v>
      </c>
      <c r="C32" s="9">
        <v>241194.34</v>
      </c>
      <c r="D32" s="9">
        <f t="shared" ref="D32:D37" si="4">SUM(B32:C32)</f>
        <v>524940.5</v>
      </c>
      <c r="E32" s="9"/>
      <c r="F32" s="9">
        <f>H22</f>
        <v>-17670.07</v>
      </c>
      <c r="G32" s="9">
        <v>-27007.3</v>
      </c>
      <c r="H32" s="9">
        <f t="shared" ref="H32:H37" si="5">SUM(F32:G32)</f>
        <v>-44677.369999999995</v>
      </c>
      <c r="I32" s="9"/>
      <c r="J32" s="9">
        <f t="shared" ref="J32:L36" si="6">B32+F32</f>
        <v>266076.09000000003</v>
      </c>
      <c r="K32" s="9">
        <f t="shared" si="6"/>
        <v>214187.04</v>
      </c>
      <c r="L32" s="9">
        <f t="shared" si="6"/>
        <v>480263.13</v>
      </c>
    </row>
    <row r="33" spans="1:13" outlineLevel="1" x14ac:dyDescent="0.25">
      <c r="A33" s="4" t="s">
        <v>22</v>
      </c>
      <c r="B33" s="9">
        <f>D23</f>
        <v>184156.13999999998</v>
      </c>
      <c r="C33" s="9">
        <v>24029.68</v>
      </c>
      <c r="D33" s="9">
        <f t="shared" si="4"/>
        <v>208185.81999999998</v>
      </c>
      <c r="E33" s="9"/>
      <c r="F33" s="9">
        <f>H23</f>
        <v>0</v>
      </c>
      <c r="G33" s="9"/>
      <c r="H33" s="9">
        <f t="shared" si="5"/>
        <v>0</v>
      </c>
      <c r="I33" s="9"/>
      <c r="J33" s="9">
        <f t="shared" si="6"/>
        <v>184156.13999999998</v>
      </c>
      <c r="K33" s="9">
        <f t="shared" si="6"/>
        <v>24029.68</v>
      </c>
      <c r="L33" s="9">
        <f t="shared" si="6"/>
        <v>208185.81999999998</v>
      </c>
    </row>
    <row r="34" spans="1:13" outlineLevel="1" x14ac:dyDescent="0.25">
      <c r="A34" s="4" t="s">
        <v>23</v>
      </c>
      <c r="B34" s="9">
        <f>D24</f>
        <v>-1.8917489796876907E-10</v>
      </c>
      <c r="C34" s="9">
        <v>61.17</v>
      </c>
      <c r="D34" s="9">
        <f t="shared" si="4"/>
        <v>61.169999999810827</v>
      </c>
      <c r="E34" s="9"/>
      <c r="F34" s="9">
        <f>H24</f>
        <v>0</v>
      </c>
      <c r="G34" s="9"/>
      <c r="H34" s="9">
        <f t="shared" si="5"/>
        <v>0</v>
      </c>
      <c r="I34" s="9"/>
      <c r="J34" s="9">
        <f t="shared" si="6"/>
        <v>-1.8917489796876907E-10</v>
      </c>
      <c r="K34" s="9">
        <f t="shared" si="6"/>
        <v>61.17</v>
      </c>
      <c r="L34" s="9">
        <f t="shared" si="6"/>
        <v>61.169999999810827</v>
      </c>
    </row>
    <row r="35" spans="1:13" outlineLevel="1" x14ac:dyDescent="0.25">
      <c r="A35" s="4" t="s">
        <v>29</v>
      </c>
      <c r="B35" s="9">
        <f>D25</f>
        <v>-4850</v>
      </c>
      <c r="C35" s="9">
        <v>-74950</v>
      </c>
      <c r="D35" s="9">
        <f t="shared" si="4"/>
        <v>-79800</v>
      </c>
      <c r="E35" s="9"/>
      <c r="F35" s="9">
        <f>H25</f>
        <v>161.66999999999999</v>
      </c>
      <c r="G35" s="9">
        <v>2821.66</v>
      </c>
      <c r="H35" s="9">
        <f t="shared" si="5"/>
        <v>2983.33</v>
      </c>
      <c r="I35" s="9"/>
      <c r="J35" s="9">
        <f t="shared" si="6"/>
        <v>-4688.33</v>
      </c>
      <c r="K35" s="9">
        <f t="shared" si="6"/>
        <v>-72128.34</v>
      </c>
      <c r="L35" s="9">
        <f t="shared" si="6"/>
        <v>-76816.67</v>
      </c>
    </row>
    <row r="36" spans="1:13" outlineLevel="1" x14ac:dyDescent="0.25">
      <c r="A36" s="4" t="s">
        <v>30</v>
      </c>
      <c r="B36" s="9">
        <f>D26</f>
        <v>-64880</v>
      </c>
      <c r="C36" s="9">
        <v>-81057.100000000006</v>
      </c>
      <c r="D36" s="9">
        <f t="shared" si="4"/>
        <v>-145937.1</v>
      </c>
      <c r="E36" s="9"/>
      <c r="F36" s="9">
        <f>H26</f>
        <v>0</v>
      </c>
      <c r="G36" s="9"/>
      <c r="H36" s="9">
        <f t="shared" si="5"/>
        <v>0</v>
      </c>
      <c r="I36" s="9"/>
      <c r="J36" s="9">
        <f t="shared" si="6"/>
        <v>-64880</v>
      </c>
      <c r="K36" s="9">
        <f t="shared" si="6"/>
        <v>-81057.100000000006</v>
      </c>
      <c r="L36" s="9">
        <f t="shared" si="6"/>
        <v>-145937.1</v>
      </c>
    </row>
    <row r="37" spans="1:13" s="3" customFormat="1" outlineLevel="1" x14ac:dyDescent="0.25">
      <c r="A37" s="2" t="s">
        <v>24</v>
      </c>
      <c r="B37" s="10">
        <f>SUM(B32:B36)</f>
        <v>398172.29999999987</v>
      </c>
      <c r="C37" s="10">
        <f>SUM(C32:C36)</f>
        <v>109278.09</v>
      </c>
      <c r="D37" s="10">
        <f t="shared" si="4"/>
        <v>507450.3899999999</v>
      </c>
      <c r="F37" s="10">
        <f>SUM(F32:F36)</f>
        <v>-17508.400000000001</v>
      </c>
      <c r="G37" s="10">
        <f>SUM(G32:G36)</f>
        <v>-24185.64</v>
      </c>
      <c r="H37" s="10">
        <f t="shared" si="5"/>
        <v>-41694.04</v>
      </c>
      <c r="J37" s="10">
        <f>SUM(J32:J36)</f>
        <v>380663.89999999979</v>
      </c>
      <c r="K37" s="10">
        <f>SUM(K32:K36)</f>
        <v>85092.450000000012</v>
      </c>
      <c r="L37" s="10">
        <f>SUM(L32:L36)</f>
        <v>465756.34999999974</v>
      </c>
      <c r="M37" s="14"/>
    </row>
    <row r="38" spans="1:13" outlineLevel="1" x14ac:dyDescent="0.25">
      <c r="I38" s="9"/>
      <c r="L38" s="11"/>
    </row>
    <row r="39" spans="1:13" outlineLevel="1" x14ac:dyDescent="0.25">
      <c r="A39" s="5"/>
      <c r="B39" s="202" t="s">
        <v>14</v>
      </c>
      <c r="C39" s="202"/>
      <c r="D39" s="202"/>
      <c r="E39" s="15"/>
      <c r="F39" s="202" t="s">
        <v>15</v>
      </c>
      <c r="G39" s="202"/>
      <c r="H39" s="202"/>
      <c r="I39" s="9"/>
      <c r="J39" s="202" t="s">
        <v>16</v>
      </c>
      <c r="K39" s="202"/>
      <c r="L39" s="202"/>
    </row>
    <row r="40" spans="1:13" outlineLevel="1" x14ac:dyDescent="0.25">
      <c r="A40" s="5"/>
      <c r="B40" s="6" t="s">
        <v>17</v>
      </c>
      <c r="C40" s="6" t="s">
        <v>31</v>
      </c>
      <c r="D40" s="6" t="s">
        <v>19</v>
      </c>
      <c r="E40" s="9"/>
      <c r="F40" s="6" t="s">
        <v>17</v>
      </c>
      <c r="G40" s="6" t="s">
        <v>31</v>
      </c>
      <c r="H40" s="6" t="s">
        <v>19</v>
      </c>
      <c r="I40" s="9"/>
      <c r="J40" s="6" t="s">
        <v>17</v>
      </c>
      <c r="K40" s="6" t="s">
        <v>31</v>
      </c>
      <c r="L40" s="6" t="s">
        <v>19</v>
      </c>
    </row>
    <row r="41" spans="1:13" outlineLevel="1" x14ac:dyDescent="0.25">
      <c r="A41" s="7" t="s">
        <v>33</v>
      </c>
      <c r="B41" s="5"/>
      <c r="C41" s="5"/>
      <c r="E41" s="9"/>
      <c r="F41" s="5"/>
      <c r="G41" s="5"/>
      <c r="H41" s="5"/>
      <c r="I41" s="9"/>
      <c r="J41" s="5"/>
      <c r="K41" s="5"/>
    </row>
    <row r="42" spans="1:13" outlineLevel="1" x14ac:dyDescent="0.25">
      <c r="A42" s="4" t="s">
        <v>21</v>
      </c>
      <c r="B42" s="9">
        <f>D32</f>
        <v>524940.5</v>
      </c>
      <c r="C42" s="9">
        <v>274892</v>
      </c>
      <c r="D42" s="9">
        <f>SUM(B42:C42)</f>
        <v>799832.5</v>
      </c>
      <c r="E42" s="9"/>
      <c r="F42" s="9">
        <f>H32</f>
        <v>-44677.369999999995</v>
      </c>
      <c r="G42" s="9">
        <v>-44210</v>
      </c>
      <c r="H42" s="9">
        <f>SUM(F42:G42)</f>
        <v>-88887.37</v>
      </c>
      <c r="I42" s="9"/>
      <c r="J42" s="9">
        <f t="shared" ref="J42:L46" si="7">B42+F42</f>
        <v>480263.13</v>
      </c>
      <c r="K42" s="9">
        <f t="shared" si="7"/>
        <v>230682</v>
      </c>
      <c r="L42" s="9">
        <f t="shared" si="7"/>
        <v>710945.13</v>
      </c>
    </row>
    <row r="43" spans="1:13" outlineLevel="1" x14ac:dyDescent="0.25">
      <c r="A43" s="4" t="s">
        <v>22</v>
      </c>
      <c r="B43" s="9">
        <f>D33</f>
        <v>208185.81999999998</v>
      </c>
      <c r="C43" s="9">
        <v>43892</v>
      </c>
      <c r="D43" s="9">
        <f>SUM(B43:C43)</f>
        <v>252077.81999999998</v>
      </c>
      <c r="E43" s="9"/>
      <c r="F43" s="9">
        <f>H33</f>
        <v>0</v>
      </c>
      <c r="G43" s="9"/>
      <c r="H43" s="9">
        <f>SUM(F43:G43)</f>
        <v>0</v>
      </c>
      <c r="I43" s="9"/>
      <c r="J43" s="9">
        <f t="shared" si="7"/>
        <v>208185.81999999998</v>
      </c>
      <c r="K43" s="9">
        <f t="shared" si="7"/>
        <v>43892</v>
      </c>
      <c r="L43" s="9">
        <f t="shared" si="7"/>
        <v>252077.81999999998</v>
      </c>
    </row>
    <row r="44" spans="1:13" outlineLevel="1" x14ac:dyDescent="0.25">
      <c r="A44" s="4" t="s">
        <v>23</v>
      </c>
      <c r="B44" s="9">
        <f>D34</f>
        <v>61.169999999810827</v>
      </c>
      <c r="C44" s="9">
        <v>63</v>
      </c>
      <c r="D44" s="9">
        <f>SUM(B44:C44)</f>
        <v>124.16999999981083</v>
      </c>
      <c r="E44" s="9"/>
      <c r="F44" s="9">
        <f>H34</f>
        <v>0</v>
      </c>
      <c r="G44" s="9"/>
      <c r="H44" s="9">
        <f>SUM(F44:G44)</f>
        <v>0</v>
      </c>
      <c r="I44" s="9"/>
      <c r="J44" s="9">
        <f t="shared" si="7"/>
        <v>61.169999999810827</v>
      </c>
      <c r="K44" s="9">
        <f t="shared" si="7"/>
        <v>63</v>
      </c>
      <c r="L44" s="9">
        <f t="shared" si="7"/>
        <v>124.16999999981083</v>
      </c>
    </row>
    <row r="45" spans="1:13" outlineLevel="1" x14ac:dyDescent="0.25">
      <c r="A45" s="4" t="s">
        <v>29</v>
      </c>
      <c r="B45" s="9">
        <f>D35</f>
        <v>-79800</v>
      </c>
      <c r="C45" s="9">
        <v>-134270</v>
      </c>
      <c r="D45" s="9">
        <f>SUM(B45:C45)</f>
        <v>-214070</v>
      </c>
      <c r="E45" s="9"/>
      <c r="F45" s="9">
        <f>H35</f>
        <v>2983.33</v>
      </c>
      <c r="G45" s="9">
        <v>9796</v>
      </c>
      <c r="H45" s="9">
        <f>SUM(F45:G45)</f>
        <v>12779.33</v>
      </c>
      <c r="I45" s="9"/>
      <c r="J45" s="9">
        <f t="shared" si="7"/>
        <v>-76816.67</v>
      </c>
      <c r="K45" s="9">
        <f t="shared" si="7"/>
        <v>-124474</v>
      </c>
      <c r="L45" s="9">
        <f t="shared" si="7"/>
        <v>-201290.67</v>
      </c>
    </row>
    <row r="46" spans="1:13" outlineLevel="1" x14ac:dyDescent="0.25">
      <c r="A46" s="4" t="s">
        <v>30</v>
      </c>
      <c r="B46" s="9">
        <f>D36</f>
        <v>-145937.1</v>
      </c>
      <c r="C46" s="9">
        <v>-97552</v>
      </c>
      <c r="D46" s="9">
        <f>SUM(B46:C46)</f>
        <v>-243489.1</v>
      </c>
      <c r="E46" s="9"/>
      <c r="F46" s="9">
        <f>H36</f>
        <v>0</v>
      </c>
      <c r="G46" s="9"/>
      <c r="H46" s="9">
        <f>SUM(F46:G46)</f>
        <v>0</v>
      </c>
      <c r="I46" s="9"/>
      <c r="J46" s="9">
        <f t="shared" si="7"/>
        <v>-145937.1</v>
      </c>
      <c r="K46" s="9">
        <f t="shared" si="7"/>
        <v>-97552</v>
      </c>
      <c r="L46" s="9">
        <f t="shared" si="7"/>
        <v>-243489.1</v>
      </c>
    </row>
    <row r="47" spans="1:13" outlineLevel="1" x14ac:dyDescent="0.25">
      <c r="A47" s="5" t="s">
        <v>24</v>
      </c>
      <c r="B47" s="10">
        <f>SUM(B42:B46)</f>
        <v>507450.38999999978</v>
      </c>
      <c r="C47" s="10">
        <f>SUM(C42:C46)</f>
        <v>87025</v>
      </c>
      <c r="D47" s="10">
        <f>SUM(D42:D46)</f>
        <v>594475.39</v>
      </c>
      <c r="E47" s="9"/>
      <c r="F47" s="10">
        <f>SUM(F42:F46)</f>
        <v>-41694.039999999994</v>
      </c>
      <c r="G47" s="10">
        <f>SUM(G42:G46)</f>
        <v>-34414</v>
      </c>
      <c r="H47" s="10">
        <f>SUM(H42:H46)</f>
        <v>-76108.039999999994</v>
      </c>
      <c r="I47" s="9"/>
      <c r="J47" s="10">
        <f>SUM(J42:J46)</f>
        <v>465756.34999999974</v>
      </c>
      <c r="K47" s="10">
        <f>SUM(K42:K46)</f>
        <v>52611</v>
      </c>
      <c r="L47" s="10">
        <f>SUM(L42:L46)</f>
        <v>518367.34999999974</v>
      </c>
      <c r="M47" s="14"/>
    </row>
    <row r="48" spans="1:13" outlineLevel="1" x14ac:dyDescent="0.25">
      <c r="A48" s="5"/>
      <c r="B48" s="13"/>
      <c r="C48" s="13"/>
      <c r="D48" s="13"/>
      <c r="E48" s="9"/>
      <c r="F48" s="13"/>
      <c r="G48" s="13"/>
      <c r="H48" s="13"/>
      <c r="I48" s="9"/>
      <c r="J48" s="13"/>
      <c r="K48" s="13"/>
      <c r="L48" s="13"/>
      <c r="M48" s="14"/>
    </row>
    <row r="49" spans="1:16" outlineLevel="1" x14ac:dyDescent="0.25">
      <c r="A49" s="5"/>
      <c r="B49" s="202" t="s">
        <v>14</v>
      </c>
      <c r="C49" s="202"/>
      <c r="D49" s="202"/>
      <c r="E49" s="9"/>
      <c r="F49" s="202" t="s">
        <v>25</v>
      </c>
      <c r="G49" s="202"/>
      <c r="H49" s="202"/>
      <c r="I49" s="5"/>
      <c r="J49" s="202" t="s">
        <v>16</v>
      </c>
      <c r="K49" s="202"/>
      <c r="L49" s="202"/>
    </row>
    <row r="50" spans="1:16" outlineLevel="1" x14ac:dyDescent="0.25">
      <c r="A50" s="5"/>
      <c r="B50" s="6" t="s">
        <v>17</v>
      </c>
      <c r="C50" s="6" t="s">
        <v>18</v>
      </c>
      <c r="D50" s="6" t="s">
        <v>19</v>
      </c>
      <c r="E50" s="9"/>
      <c r="F50" s="6" t="s">
        <v>17</v>
      </c>
      <c r="G50" s="6" t="s">
        <v>18</v>
      </c>
      <c r="H50" s="6" t="s">
        <v>19</v>
      </c>
      <c r="I50" s="5"/>
      <c r="J50" s="6" t="s">
        <v>17</v>
      </c>
      <c r="K50" s="6" t="s">
        <v>18</v>
      </c>
      <c r="L50" s="6" t="s">
        <v>19</v>
      </c>
      <c r="N50" s="16"/>
    </row>
    <row r="51" spans="1:16" outlineLevel="1" x14ac:dyDescent="0.25">
      <c r="A51" s="7" t="s">
        <v>34</v>
      </c>
      <c r="B51" s="5"/>
      <c r="C51" s="5"/>
      <c r="D51" s="5"/>
      <c r="E51" s="14"/>
      <c r="F51" s="5"/>
      <c r="G51" s="5"/>
      <c r="H51" s="5"/>
      <c r="I51" s="5"/>
      <c r="J51" s="5"/>
      <c r="K51" s="5"/>
      <c r="L51" s="5"/>
      <c r="N51" s="14"/>
      <c r="O51" s="14"/>
      <c r="P51" s="14"/>
    </row>
    <row r="52" spans="1:16" outlineLevel="1" x14ac:dyDescent="0.25">
      <c r="A52" s="4" t="s">
        <v>21</v>
      </c>
      <c r="B52" s="17">
        <f>D42</f>
        <v>799832.5</v>
      </c>
      <c r="C52" s="17">
        <v>310319.60000000003</v>
      </c>
      <c r="D52" s="17">
        <f>SUM(B52:C52)</f>
        <v>1110152.1000000001</v>
      </c>
      <c r="E52" s="17"/>
      <c r="F52" s="17">
        <f>H42</f>
        <v>-88887.37</v>
      </c>
      <c r="G52" s="17">
        <v>-63717.24</v>
      </c>
      <c r="H52" s="17">
        <f>SUM(F52:G52)</f>
        <v>-152604.60999999999</v>
      </c>
      <c r="I52" s="18"/>
      <c r="J52" s="9">
        <f t="shared" ref="J52:L56" si="8">B52+F52</f>
        <v>710945.13</v>
      </c>
      <c r="K52" s="9">
        <f t="shared" si="8"/>
        <v>246602.36000000004</v>
      </c>
      <c r="L52" s="9">
        <f t="shared" si="8"/>
        <v>957547.49000000011</v>
      </c>
      <c r="M52" s="14"/>
      <c r="N52" s="14"/>
      <c r="O52" s="14"/>
      <c r="P52" s="14"/>
    </row>
    <row r="53" spans="1:16" outlineLevel="1" x14ac:dyDescent="0.25">
      <c r="A53" s="4" t="s">
        <v>22</v>
      </c>
      <c r="B53" s="17">
        <f>D43</f>
        <v>252077.81999999998</v>
      </c>
      <c r="C53" s="17">
        <v>-113046.75</v>
      </c>
      <c r="D53" s="17">
        <f>SUM(B53:C53)</f>
        <v>139031.06999999998</v>
      </c>
      <c r="E53" s="17"/>
      <c r="F53" s="17">
        <f>H43</f>
        <v>0</v>
      </c>
      <c r="G53" s="17">
        <v>0</v>
      </c>
      <c r="H53" s="17">
        <f>SUM(F53:G53)</f>
        <v>0</v>
      </c>
      <c r="I53" s="18"/>
      <c r="J53" s="9">
        <f t="shared" si="8"/>
        <v>252077.81999999998</v>
      </c>
      <c r="K53" s="9">
        <f t="shared" si="8"/>
        <v>-113046.75</v>
      </c>
      <c r="L53" s="9">
        <f t="shared" si="8"/>
        <v>139031.06999999998</v>
      </c>
      <c r="M53" s="14"/>
      <c r="N53" s="14"/>
      <c r="O53" s="14"/>
      <c r="P53" s="14"/>
    </row>
    <row r="54" spans="1:16" outlineLevel="1" x14ac:dyDescent="0.25">
      <c r="A54" s="4" t="s">
        <v>23</v>
      </c>
      <c r="B54" s="17">
        <f>D44</f>
        <v>124.16999999981083</v>
      </c>
      <c r="C54" s="17">
        <v>62.04</v>
      </c>
      <c r="D54" s="17">
        <f>SUM(B54:C54)</f>
        <v>186.20999999981083</v>
      </c>
      <c r="E54" s="19"/>
      <c r="F54" s="17">
        <f>H44</f>
        <v>0</v>
      </c>
      <c r="G54" s="17">
        <v>0</v>
      </c>
      <c r="H54" s="17">
        <f>SUM(F54:G54)</f>
        <v>0</v>
      </c>
      <c r="I54" s="18"/>
      <c r="J54" s="9">
        <f t="shared" si="8"/>
        <v>124.16999999981083</v>
      </c>
      <c r="K54" s="9">
        <f t="shared" si="8"/>
        <v>62.04</v>
      </c>
      <c r="L54" s="9">
        <f t="shared" si="8"/>
        <v>186.20999999981083</v>
      </c>
      <c r="M54" s="14"/>
    </row>
    <row r="55" spans="1:16" outlineLevel="1" x14ac:dyDescent="0.25">
      <c r="A55" s="4" t="s">
        <v>29</v>
      </c>
      <c r="B55" s="17">
        <f>D45</f>
        <v>-214070</v>
      </c>
      <c r="C55" s="17">
        <v>-132840</v>
      </c>
      <c r="D55" s="17">
        <f>SUM(B55:C55)</f>
        <v>-346910</v>
      </c>
      <c r="E55" s="19"/>
      <c r="F55" s="17">
        <f>H45</f>
        <v>12779.33</v>
      </c>
      <c r="G55" s="17">
        <v>18699.330000000002</v>
      </c>
      <c r="H55" s="17">
        <f>SUM(F55:G55)</f>
        <v>31478.660000000003</v>
      </c>
      <c r="I55" s="9"/>
      <c r="J55" s="9">
        <f t="shared" si="8"/>
        <v>-201290.67</v>
      </c>
      <c r="K55" s="9">
        <f t="shared" si="8"/>
        <v>-114140.67</v>
      </c>
      <c r="L55" s="9">
        <f t="shared" si="8"/>
        <v>-315431.33999999997</v>
      </c>
      <c r="M55" s="14"/>
    </row>
    <row r="56" spans="1:16" outlineLevel="1" x14ac:dyDescent="0.25">
      <c r="A56" s="4" t="s">
        <v>30</v>
      </c>
      <c r="B56" s="17">
        <f>D46</f>
        <v>-243489.1</v>
      </c>
      <c r="C56" s="17">
        <v>173077.16</v>
      </c>
      <c r="D56" s="17">
        <f>SUM(B56:C56)</f>
        <v>-70411.94</v>
      </c>
      <c r="E56" s="17"/>
      <c r="F56" s="17">
        <f>H46</f>
        <v>0</v>
      </c>
      <c r="G56" s="17">
        <v>0</v>
      </c>
      <c r="H56" s="17">
        <f>SUM(F56:G56)</f>
        <v>0</v>
      </c>
      <c r="I56" s="18"/>
      <c r="J56" s="9">
        <f t="shared" si="8"/>
        <v>-243489.1</v>
      </c>
      <c r="K56" s="9">
        <f t="shared" si="8"/>
        <v>173077.16</v>
      </c>
      <c r="L56" s="9">
        <f t="shared" si="8"/>
        <v>-70411.94</v>
      </c>
      <c r="M56" s="14"/>
    </row>
    <row r="57" spans="1:16" x14ac:dyDescent="0.25">
      <c r="A57" s="5" t="s">
        <v>24</v>
      </c>
      <c r="B57" s="20">
        <f>SUM(B52:B56)</f>
        <v>594475.39</v>
      </c>
      <c r="C57" s="20">
        <f>SUM(C52:C56)</f>
        <v>237572.05000000005</v>
      </c>
      <c r="D57" s="20">
        <f>SUM(D52:D56)</f>
        <v>832047.44</v>
      </c>
      <c r="E57" s="21"/>
      <c r="F57" s="20">
        <f>SUM(F52:F56)</f>
        <v>-76108.039999999994</v>
      </c>
      <c r="G57" s="20">
        <f>SUM(G52:G56)</f>
        <v>-45017.909999999996</v>
      </c>
      <c r="H57" s="20">
        <f>SUM(H52:H56)</f>
        <v>-121125.94999999998</v>
      </c>
      <c r="I57" s="13"/>
      <c r="J57" s="10">
        <f>SUM(J52:J56)</f>
        <v>518367.34999999974</v>
      </c>
      <c r="K57" s="10">
        <f>SUM(K52:K56)</f>
        <v>192554.14000000007</v>
      </c>
      <c r="L57" s="10">
        <f>SUM(L52:L56)</f>
        <v>710921.48999999976</v>
      </c>
      <c r="M57" s="14"/>
    </row>
    <row r="58" spans="1:16" x14ac:dyDescent="0.25">
      <c r="A58" s="5"/>
      <c r="B58" s="22"/>
      <c r="C58" s="22"/>
      <c r="D58" s="22"/>
      <c r="E58" s="21"/>
      <c r="F58" s="22"/>
      <c r="G58" s="22"/>
      <c r="H58" s="22"/>
      <c r="I58" s="13"/>
      <c r="J58" s="13"/>
      <c r="K58" s="13"/>
      <c r="L58" s="13"/>
      <c r="M58" s="14"/>
    </row>
    <row r="59" spans="1:16" outlineLevel="1" x14ac:dyDescent="0.25">
      <c r="A59" s="5"/>
      <c r="B59" s="201" t="s">
        <v>14</v>
      </c>
      <c r="C59" s="201"/>
      <c r="D59" s="201"/>
      <c r="E59" s="17"/>
      <c r="F59" s="201" t="s">
        <v>25</v>
      </c>
      <c r="G59" s="201"/>
      <c r="H59" s="201"/>
      <c r="I59" s="5"/>
      <c r="J59" s="202" t="s">
        <v>16</v>
      </c>
      <c r="K59" s="202"/>
      <c r="L59" s="202"/>
    </row>
    <row r="60" spans="1:16" outlineLevel="1" x14ac:dyDescent="0.25">
      <c r="A60" s="5"/>
      <c r="B60" s="23" t="s">
        <v>17</v>
      </c>
      <c r="C60" s="23" t="s">
        <v>18</v>
      </c>
      <c r="D60" s="23" t="s">
        <v>19</v>
      </c>
      <c r="E60" s="17"/>
      <c r="F60" s="23" t="s">
        <v>17</v>
      </c>
      <c r="G60" s="23" t="s">
        <v>18</v>
      </c>
      <c r="H60" s="23" t="s">
        <v>19</v>
      </c>
      <c r="I60" s="5"/>
      <c r="J60" s="6" t="s">
        <v>17</v>
      </c>
      <c r="K60" s="6" t="s">
        <v>18</v>
      </c>
      <c r="L60" s="6" t="s">
        <v>19</v>
      </c>
    </row>
    <row r="61" spans="1:16" outlineLevel="1" x14ac:dyDescent="0.25">
      <c r="A61" s="7" t="s">
        <v>35</v>
      </c>
      <c r="B61" s="2"/>
      <c r="C61" s="2"/>
      <c r="D61" s="2"/>
      <c r="E61" s="3"/>
      <c r="F61" s="2"/>
      <c r="G61" s="2"/>
      <c r="H61" s="2"/>
      <c r="I61" s="5"/>
      <c r="J61" s="5"/>
      <c r="K61" s="5"/>
      <c r="L61" s="5"/>
    </row>
    <row r="62" spans="1:16" outlineLevel="1" x14ac:dyDescent="0.25">
      <c r="A62" s="4" t="s">
        <v>21</v>
      </c>
      <c r="B62" s="17">
        <f>D52</f>
        <v>1110152.1000000001</v>
      </c>
      <c r="C62" s="17">
        <v>182362.59</v>
      </c>
      <c r="D62" s="17">
        <f>SUM(B62:C62)</f>
        <v>1292514.6900000002</v>
      </c>
      <c r="E62" s="17"/>
      <c r="F62" s="17">
        <f>H52</f>
        <v>-152604.60999999999</v>
      </c>
      <c r="G62" s="17">
        <v>-80139.97</v>
      </c>
      <c r="H62" s="17">
        <f>SUM(F62:G62)</f>
        <v>-232744.58</v>
      </c>
      <c r="I62" s="9"/>
      <c r="J62" s="9">
        <f t="shared" ref="J62:L66" si="9">B62+F62</f>
        <v>957547.49000000011</v>
      </c>
      <c r="K62" s="17">
        <f t="shared" si="9"/>
        <v>102222.62</v>
      </c>
      <c r="L62" s="9">
        <f t="shared" si="9"/>
        <v>1059770.1100000001</v>
      </c>
    </row>
    <row r="63" spans="1:16" outlineLevel="1" x14ac:dyDescent="0.25">
      <c r="A63" s="4" t="s">
        <v>22</v>
      </c>
      <c r="B63" s="17">
        <f>D53</f>
        <v>139031.06999999998</v>
      </c>
      <c r="C63" s="17">
        <v>-13211.19</v>
      </c>
      <c r="D63" s="17">
        <f>SUM(B63:C63)</f>
        <v>125819.87999999998</v>
      </c>
      <c r="E63" s="17"/>
      <c r="F63" s="17">
        <f>H53</f>
        <v>0</v>
      </c>
      <c r="G63" s="17">
        <v>0</v>
      </c>
      <c r="H63" s="17">
        <f>SUM(F63:G63)</f>
        <v>0</v>
      </c>
      <c r="I63" s="9"/>
      <c r="J63" s="9">
        <f t="shared" si="9"/>
        <v>139031.06999999998</v>
      </c>
      <c r="K63" s="17">
        <f t="shared" si="9"/>
        <v>-13211.19</v>
      </c>
      <c r="L63" s="9">
        <f t="shared" si="9"/>
        <v>125819.87999999998</v>
      </c>
    </row>
    <row r="64" spans="1:16" outlineLevel="1" x14ac:dyDescent="0.25">
      <c r="A64" s="4" t="s">
        <v>23</v>
      </c>
      <c r="B64" s="17">
        <f>D54</f>
        <v>186.20999999981083</v>
      </c>
      <c r="C64" s="17">
        <v>64.77</v>
      </c>
      <c r="D64" s="17">
        <f>SUM(B64:C64)</f>
        <v>250.97999999981084</v>
      </c>
      <c r="E64" s="17"/>
      <c r="F64" s="17">
        <f>H54</f>
        <v>0</v>
      </c>
      <c r="G64" s="17">
        <v>0</v>
      </c>
      <c r="H64" s="17">
        <f>SUM(F64:G64)</f>
        <v>0</v>
      </c>
      <c r="I64" s="9"/>
      <c r="J64" s="9">
        <f t="shared" si="9"/>
        <v>186.20999999981083</v>
      </c>
      <c r="K64" s="17">
        <f t="shared" si="9"/>
        <v>64.77</v>
      </c>
      <c r="L64" s="9">
        <f t="shared" si="9"/>
        <v>250.97999999981084</v>
      </c>
    </row>
    <row r="65" spans="1:14" outlineLevel="1" x14ac:dyDescent="0.25">
      <c r="A65" s="4" t="s">
        <v>29</v>
      </c>
      <c r="B65" s="17">
        <f>D55</f>
        <v>-346910</v>
      </c>
      <c r="C65" s="17">
        <v>-7269.91</v>
      </c>
      <c r="D65" s="17">
        <f>SUM(B65:C65)</f>
        <v>-354179.91</v>
      </c>
      <c r="E65" s="17"/>
      <c r="F65" s="17">
        <f>H55</f>
        <v>31478.660000000003</v>
      </c>
      <c r="G65" s="17">
        <v>23369.66</v>
      </c>
      <c r="H65" s="17">
        <f>SUM(F65:G65)</f>
        <v>54848.320000000007</v>
      </c>
      <c r="I65" s="9"/>
      <c r="J65" s="9">
        <f t="shared" si="9"/>
        <v>-315431.33999999997</v>
      </c>
      <c r="K65" s="17">
        <f t="shared" si="9"/>
        <v>16099.75</v>
      </c>
      <c r="L65" s="9">
        <f t="shared" si="9"/>
        <v>-299331.58999999997</v>
      </c>
    </row>
    <row r="66" spans="1:14" outlineLevel="1" x14ac:dyDescent="0.25">
      <c r="A66" s="4" t="s">
        <v>30</v>
      </c>
      <c r="B66" s="17">
        <f>D56</f>
        <v>-70411.94</v>
      </c>
      <c r="C66" s="17">
        <v>0</v>
      </c>
      <c r="D66" s="17">
        <f>SUM(B66:C66)</f>
        <v>-70411.94</v>
      </c>
      <c r="E66" s="17"/>
      <c r="F66" s="17">
        <f>H56</f>
        <v>0</v>
      </c>
      <c r="G66" s="17">
        <v>0</v>
      </c>
      <c r="H66" s="17">
        <f>SUM(F66:G66)</f>
        <v>0</v>
      </c>
      <c r="I66" s="9"/>
      <c r="J66" s="9">
        <f t="shared" si="9"/>
        <v>-70411.94</v>
      </c>
      <c r="K66" s="17">
        <f t="shared" si="9"/>
        <v>0</v>
      </c>
      <c r="L66" s="9">
        <f t="shared" si="9"/>
        <v>-70411.94</v>
      </c>
    </row>
    <row r="67" spans="1:14" x14ac:dyDescent="0.25">
      <c r="A67" s="5" t="s">
        <v>24</v>
      </c>
      <c r="B67" s="10">
        <f>SUM(B62:B66)</f>
        <v>832047.44</v>
      </c>
      <c r="C67" s="10">
        <f>SUM(C62:C66)</f>
        <v>161946.25999999998</v>
      </c>
      <c r="D67" s="10">
        <f>SUM(D62:D66)</f>
        <v>993993.7</v>
      </c>
      <c r="E67" s="11"/>
      <c r="F67" s="10">
        <f>SUM(F62:F66)</f>
        <v>-121125.94999999998</v>
      </c>
      <c r="G67" s="10">
        <f>SUM(G62:G66)</f>
        <v>-56770.31</v>
      </c>
      <c r="H67" s="10">
        <f>SUM(H62:H66)</f>
        <v>-177896.25999999998</v>
      </c>
      <c r="I67" s="13"/>
      <c r="J67" s="10">
        <f>SUM(J62:J66)</f>
        <v>710921.48999999976</v>
      </c>
      <c r="K67" s="10">
        <f>SUM(K62:K66)</f>
        <v>105175.95</v>
      </c>
      <c r="L67" s="10">
        <f>SUM(L62:L66)</f>
        <v>816097.43999999971</v>
      </c>
      <c r="M67" s="14"/>
    </row>
    <row r="68" spans="1:14" x14ac:dyDescent="0.25">
      <c r="A68" s="5"/>
      <c r="B68" s="13"/>
      <c r="C68" s="13"/>
      <c r="D68" s="13"/>
      <c r="E68" s="11"/>
      <c r="F68" s="13"/>
      <c r="G68" s="13"/>
      <c r="H68" s="13"/>
      <c r="I68" s="13"/>
      <c r="J68" s="13"/>
      <c r="K68" s="13"/>
      <c r="L68" s="13"/>
    </row>
    <row r="69" spans="1:14" x14ac:dyDescent="0.25">
      <c r="A69" s="5"/>
      <c r="B69" s="201" t="s">
        <v>14</v>
      </c>
      <c r="C69" s="201"/>
      <c r="D69" s="201"/>
      <c r="E69" s="17"/>
      <c r="F69" s="201" t="s">
        <v>25</v>
      </c>
      <c r="G69" s="201"/>
      <c r="H69" s="201"/>
      <c r="I69" s="5"/>
      <c r="J69" s="202" t="s">
        <v>16</v>
      </c>
      <c r="K69" s="202"/>
      <c r="L69" s="202"/>
      <c r="N69" s="14"/>
    </row>
    <row r="70" spans="1:14" x14ac:dyDescent="0.25">
      <c r="B70" s="23" t="s">
        <v>17</v>
      </c>
      <c r="C70" s="23" t="s">
        <v>18</v>
      </c>
      <c r="D70" s="23" t="s">
        <v>19</v>
      </c>
      <c r="E70" s="17"/>
      <c r="F70" s="23" t="s">
        <v>17</v>
      </c>
      <c r="G70" s="23" t="s">
        <v>18</v>
      </c>
      <c r="H70" s="23" t="s">
        <v>19</v>
      </c>
      <c r="I70" s="5"/>
      <c r="J70" s="6" t="s">
        <v>17</v>
      </c>
      <c r="K70" s="6" t="s">
        <v>18</v>
      </c>
      <c r="L70" s="6" t="s">
        <v>19</v>
      </c>
      <c r="N70" s="14"/>
    </row>
    <row r="71" spans="1:14" x14ac:dyDescent="0.25">
      <c r="A71" s="7" t="s">
        <v>36</v>
      </c>
      <c r="B71" s="2"/>
      <c r="C71" s="2"/>
      <c r="D71" s="2"/>
      <c r="E71" s="3"/>
      <c r="F71" s="2"/>
      <c r="G71" s="2"/>
      <c r="H71" s="2"/>
      <c r="I71" s="5"/>
      <c r="J71" s="5"/>
      <c r="K71" s="5"/>
      <c r="L71" s="5"/>
    </row>
    <row r="72" spans="1:14" x14ac:dyDescent="0.25">
      <c r="A72" s="4" t="s">
        <v>21</v>
      </c>
      <c r="B72" s="17">
        <f>D62</f>
        <v>1292514.6900000002</v>
      </c>
      <c r="C72" s="17">
        <v>233867.99</v>
      </c>
      <c r="D72" s="17">
        <f>SUM(B72:C72)</f>
        <v>1526382.6800000002</v>
      </c>
      <c r="E72" s="67"/>
      <c r="F72" s="17">
        <f>H62</f>
        <v>-232744.58</v>
      </c>
      <c r="G72" s="17">
        <v>-94014.33</v>
      </c>
      <c r="H72" s="17">
        <f>SUM(F72:G72)</f>
        <v>-326758.90999999997</v>
      </c>
      <c r="I72" s="17"/>
      <c r="J72" s="17">
        <f t="shared" ref="J72:L76" si="10">B72+F72</f>
        <v>1059770.1100000001</v>
      </c>
      <c r="K72" s="17">
        <f>C72+G72</f>
        <v>139853.65999999997</v>
      </c>
      <c r="L72" s="9">
        <f t="shared" si="10"/>
        <v>1199623.7700000003</v>
      </c>
      <c r="N72" s="24"/>
    </row>
    <row r="73" spans="1:14" x14ac:dyDescent="0.25">
      <c r="A73" s="4" t="s">
        <v>22</v>
      </c>
      <c r="B73" s="17">
        <f>D63</f>
        <v>125819.87999999998</v>
      </c>
      <c r="C73" s="17">
        <v>28024.91</v>
      </c>
      <c r="D73" s="17">
        <f>SUM(B73:C73)</f>
        <v>153844.78999999998</v>
      </c>
      <c r="E73" s="17"/>
      <c r="F73" s="17">
        <f>H63</f>
        <v>0</v>
      </c>
      <c r="G73" s="17">
        <v>0</v>
      </c>
      <c r="H73" s="17">
        <f>SUM(F73:G73)</f>
        <v>0</v>
      </c>
      <c r="I73" s="17"/>
      <c r="J73" s="17">
        <f t="shared" si="10"/>
        <v>125819.87999999998</v>
      </c>
      <c r="K73" s="17">
        <f t="shared" si="10"/>
        <v>28024.91</v>
      </c>
      <c r="L73" s="9">
        <f t="shared" si="10"/>
        <v>153844.78999999998</v>
      </c>
    </row>
    <row r="74" spans="1:14" x14ac:dyDescent="0.25">
      <c r="A74" s="4" t="s">
        <v>23</v>
      </c>
      <c r="B74" s="17">
        <f>D64</f>
        <v>250.97999999981084</v>
      </c>
      <c r="C74" s="17">
        <v>-250.62</v>
      </c>
      <c r="D74" s="17">
        <f>SUM(B74:C74)</f>
        <v>0.35999999981083874</v>
      </c>
      <c r="E74" s="17"/>
      <c r="F74" s="17">
        <f>H64</f>
        <v>0</v>
      </c>
      <c r="G74" s="17">
        <v>0</v>
      </c>
      <c r="H74" s="17">
        <f>SUM(F74:G74)</f>
        <v>0</v>
      </c>
      <c r="I74" s="17"/>
      <c r="J74" s="17">
        <f t="shared" si="10"/>
        <v>250.97999999981084</v>
      </c>
      <c r="K74" s="17">
        <f t="shared" si="10"/>
        <v>-250.62</v>
      </c>
      <c r="L74" s="9">
        <f t="shared" si="10"/>
        <v>0.35999999981083874</v>
      </c>
      <c r="M74" s="14"/>
    </row>
    <row r="75" spans="1:14" x14ac:dyDescent="0.25">
      <c r="A75" s="4" t="s">
        <v>29</v>
      </c>
      <c r="B75" s="17">
        <f>D65</f>
        <v>-354179.91</v>
      </c>
      <c r="C75" s="17">
        <v>-47370</v>
      </c>
      <c r="D75" s="17">
        <f>SUM(B75:C75)</f>
        <v>-401549.91</v>
      </c>
      <c r="E75" s="17"/>
      <c r="F75" s="17">
        <f>H65</f>
        <v>54848.320000000007</v>
      </c>
      <c r="G75" s="17">
        <v>25190.99</v>
      </c>
      <c r="H75" s="17">
        <f>SUM(F75:G75)</f>
        <v>80039.310000000012</v>
      </c>
      <c r="I75" s="17"/>
      <c r="J75" s="17">
        <f t="shared" si="10"/>
        <v>-299331.58999999997</v>
      </c>
      <c r="K75" s="17">
        <f t="shared" si="10"/>
        <v>-22179.01</v>
      </c>
      <c r="L75" s="9">
        <f t="shared" si="10"/>
        <v>-321510.59999999998</v>
      </c>
    </row>
    <row r="76" spans="1:14" x14ac:dyDescent="0.25">
      <c r="A76" s="4" t="s">
        <v>30</v>
      </c>
      <c r="B76" s="17">
        <f>D66</f>
        <v>-70411.94</v>
      </c>
      <c r="C76" s="17">
        <v>36370</v>
      </c>
      <c r="D76" s="17">
        <f>SUM(B76:C76)</f>
        <v>-34041.94</v>
      </c>
      <c r="E76" s="17"/>
      <c r="F76" s="17">
        <f>H66</f>
        <v>0</v>
      </c>
      <c r="G76" s="17">
        <v>0</v>
      </c>
      <c r="H76" s="17">
        <f>SUM(F76:G76)</f>
        <v>0</v>
      </c>
      <c r="I76" s="17"/>
      <c r="J76" s="17">
        <f t="shared" si="10"/>
        <v>-70411.94</v>
      </c>
      <c r="K76" s="17">
        <f t="shared" si="10"/>
        <v>36370</v>
      </c>
      <c r="L76" s="9">
        <f t="shared" si="10"/>
        <v>-34041.94</v>
      </c>
    </row>
    <row r="77" spans="1:14" x14ac:dyDescent="0.25">
      <c r="A77" s="5" t="s">
        <v>24</v>
      </c>
      <c r="B77" s="10">
        <f>SUM(B72:B76)</f>
        <v>993993.7</v>
      </c>
      <c r="C77" s="10">
        <f>SUM(C72:C76)</f>
        <v>250642.28</v>
      </c>
      <c r="D77" s="10">
        <f>SUM(D72:D76)</f>
        <v>1244635.9800000002</v>
      </c>
      <c r="E77" s="11"/>
      <c r="F77" s="10">
        <f>SUM(F72:F76)</f>
        <v>-177896.25999999998</v>
      </c>
      <c r="G77" s="10">
        <f>SUM(G72:G76)</f>
        <v>-68823.34</v>
      </c>
      <c r="H77" s="10">
        <f>SUM(H72:H76)</f>
        <v>-246719.59999999998</v>
      </c>
      <c r="I77" s="13"/>
      <c r="J77" s="10">
        <f>SUM(J72:J76)</f>
        <v>816097.43999999971</v>
      </c>
      <c r="K77" s="10">
        <f>SUM(K72:K76)</f>
        <v>181818.93999999997</v>
      </c>
      <c r="L77" s="10">
        <f>SUM(L72:L76)</f>
        <v>997916.38000000012</v>
      </c>
      <c r="M77" s="14"/>
    </row>
    <row r="78" spans="1:14" x14ac:dyDescent="0.25">
      <c r="A78" s="5"/>
      <c r="B78" s="13"/>
      <c r="C78" s="13"/>
      <c r="D78" s="13"/>
      <c r="E78" s="11"/>
      <c r="F78" s="13"/>
      <c r="G78" s="13"/>
      <c r="H78" s="13"/>
      <c r="I78" s="13"/>
      <c r="J78" s="13"/>
      <c r="K78" s="13"/>
      <c r="L78" s="13"/>
    </row>
    <row r="79" spans="1:14" x14ac:dyDescent="0.25">
      <c r="A79" s="5"/>
      <c r="B79" s="201" t="s">
        <v>14</v>
      </c>
      <c r="C79" s="201"/>
      <c r="D79" s="201"/>
      <c r="E79" s="17"/>
      <c r="F79" s="201" t="s">
        <v>25</v>
      </c>
      <c r="G79" s="201"/>
      <c r="H79" s="201"/>
      <c r="I79" s="5"/>
      <c r="J79" s="202" t="s">
        <v>16</v>
      </c>
      <c r="K79" s="202"/>
      <c r="L79" s="202"/>
    </row>
    <row r="80" spans="1:14" x14ac:dyDescent="0.25">
      <c r="B80" s="23" t="s">
        <v>17</v>
      </c>
      <c r="C80" s="23" t="s">
        <v>18</v>
      </c>
      <c r="D80" s="23" t="s">
        <v>19</v>
      </c>
      <c r="E80" s="17"/>
      <c r="F80" s="23" t="s">
        <v>17</v>
      </c>
      <c r="G80" s="23" t="s">
        <v>18</v>
      </c>
      <c r="H80" s="23" t="s">
        <v>19</v>
      </c>
      <c r="I80" s="5"/>
      <c r="J80" s="6" t="s">
        <v>17</v>
      </c>
      <c r="K80" s="6" t="s">
        <v>18</v>
      </c>
      <c r="L80" s="6" t="s">
        <v>19</v>
      </c>
    </row>
    <row r="81" spans="1:14" x14ac:dyDescent="0.25">
      <c r="A81" s="7" t="s">
        <v>78</v>
      </c>
      <c r="B81" s="2"/>
      <c r="C81" s="2"/>
      <c r="D81" s="2"/>
      <c r="E81" s="3"/>
      <c r="F81" s="2"/>
      <c r="G81" s="2"/>
      <c r="H81" s="2"/>
      <c r="I81" s="5"/>
      <c r="J81" s="5"/>
      <c r="K81" s="5"/>
      <c r="L81" s="5"/>
    </row>
    <row r="82" spans="1:14" x14ac:dyDescent="0.25">
      <c r="A82" s="4" t="s">
        <v>21</v>
      </c>
      <c r="B82" s="17">
        <f>D72</f>
        <v>1526382.6800000002</v>
      </c>
      <c r="C82" s="17">
        <v>283060.58</v>
      </c>
      <c r="D82" s="17">
        <f>SUM(B82:C82)</f>
        <v>1809443.2600000002</v>
      </c>
      <c r="E82" s="17"/>
      <c r="F82" s="17">
        <f>H72</f>
        <v>-326758.90999999997</v>
      </c>
      <c r="G82" s="17">
        <v>-111245.29</v>
      </c>
      <c r="H82" s="17">
        <f>SUM(F82:G82)</f>
        <v>-438004.19999999995</v>
      </c>
      <c r="I82" s="17"/>
      <c r="J82" s="17">
        <f t="shared" ref="J82:L86" si="11">B82+F82</f>
        <v>1199623.7700000003</v>
      </c>
      <c r="K82" s="17">
        <f>C82+G82</f>
        <v>171815.29000000004</v>
      </c>
      <c r="L82" s="17">
        <f t="shared" si="11"/>
        <v>1371439.0600000003</v>
      </c>
      <c r="N82" s="14"/>
    </row>
    <row r="83" spans="1:14" x14ac:dyDescent="0.25">
      <c r="A83" s="4" t="s">
        <v>22</v>
      </c>
      <c r="B83" s="17">
        <f>D73</f>
        <v>153844.78999999998</v>
      </c>
      <c r="C83" s="17">
        <v>-150273.76</v>
      </c>
      <c r="D83" s="17">
        <f>SUM(B83:C83)</f>
        <v>3571.0299999999697</v>
      </c>
      <c r="E83" s="17"/>
      <c r="F83" s="17">
        <f>H73</f>
        <v>0</v>
      </c>
      <c r="G83" s="17">
        <v>0</v>
      </c>
      <c r="H83" s="17">
        <f>SUM(F83:G83)</f>
        <v>0</v>
      </c>
      <c r="I83" s="17"/>
      <c r="J83" s="17">
        <f t="shared" si="11"/>
        <v>153844.78999999998</v>
      </c>
      <c r="K83" s="17">
        <f t="shared" si="11"/>
        <v>-150273.76</v>
      </c>
      <c r="L83" s="17">
        <f t="shared" si="11"/>
        <v>3571.0299999999697</v>
      </c>
    </row>
    <row r="84" spans="1:14" x14ac:dyDescent="0.25">
      <c r="A84" s="4" t="s">
        <v>23</v>
      </c>
      <c r="B84" s="17">
        <f>D74</f>
        <v>0.35999999981083874</v>
      </c>
      <c r="C84" s="17">
        <v>0</v>
      </c>
      <c r="D84" s="17">
        <f>SUM(B84:C84)</f>
        <v>0.35999999981083874</v>
      </c>
      <c r="E84" s="17"/>
      <c r="F84" s="17">
        <f>H74</f>
        <v>0</v>
      </c>
      <c r="G84" s="17">
        <v>0</v>
      </c>
      <c r="H84" s="17">
        <f>SUM(F84:G84)</f>
        <v>0</v>
      </c>
      <c r="I84" s="17"/>
      <c r="J84" s="17">
        <f t="shared" si="11"/>
        <v>0.35999999981083874</v>
      </c>
      <c r="K84" s="17">
        <f t="shared" si="11"/>
        <v>0</v>
      </c>
      <c r="L84" s="17">
        <f t="shared" si="11"/>
        <v>0.35999999981083874</v>
      </c>
    </row>
    <row r="85" spans="1:14" x14ac:dyDescent="0.25">
      <c r="A85" s="4" t="s">
        <v>29</v>
      </c>
      <c r="B85" s="17">
        <f>D75</f>
        <v>-401549.91</v>
      </c>
      <c r="C85" s="17">
        <v>-60684.9</v>
      </c>
      <c r="D85" s="17">
        <f>SUM(B85:C85)</f>
        <v>-462234.81</v>
      </c>
      <c r="E85" s="17"/>
      <c r="F85" s="17">
        <f>H75</f>
        <v>80039.310000000012</v>
      </c>
      <c r="G85" s="17">
        <v>28792.820000000003</v>
      </c>
      <c r="H85" s="17">
        <f>SUM(F85:G85)</f>
        <v>108832.13000000002</v>
      </c>
      <c r="I85" s="17"/>
      <c r="J85" s="17">
        <f t="shared" si="11"/>
        <v>-321510.59999999998</v>
      </c>
      <c r="K85" s="17">
        <f t="shared" si="11"/>
        <v>-31892.079999999998</v>
      </c>
      <c r="L85" s="17">
        <f t="shared" si="11"/>
        <v>-353402.68</v>
      </c>
    </row>
    <row r="86" spans="1:14" x14ac:dyDescent="0.25">
      <c r="A86" s="4" t="s">
        <v>30</v>
      </c>
      <c r="B86" s="17">
        <f>D76</f>
        <v>-34041.94</v>
      </c>
      <c r="C86" s="17">
        <v>34042.100000000006</v>
      </c>
      <c r="D86" s="17">
        <f>SUM(B86:C86)</f>
        <v>0.16000000000349246</v>
      </c>
      <c r="E86" s="17"/>
      <c r="F86" s="17">
        <f>H76</f>
        <v>0</v>
      </c>
      <c r="G86" s="17">
        <v>0</v>
      </c>
      <c r="H86" s="17">
        <f>SUM(F86:G86)</f>
        <v>0</v>
      </c>
      <c r="I86" s="17"/>
      <c r="J86" s="17">
        <f t="shared" si="11"/>
        <v>-34041.94</v>
      </c>
      <c r="K86" s="17">
        <f t="shared" si="11"/>
        <v>34042.100000000006</v>
      </c>
      <c r="L86" s="17">
        <f t="shared" si="11"/>
        <v>0.16000000000349246</v>
      </c>
    </row>
    <row r="87" spans="1:14" x14ac:dyDescent="0.25">
      <c r="A87" s="5" t="s">
        <v>24</v>
      </c>
      <c r="B87" s="10">
        <f>SUM(B82:B86)</f>
        <v>1244635.9800000002</v>
      </c>
      <c r="C87" s="10">
        <f>SUM(C82:C86)</f>
        <v>106144.02000000002</v>
      </c>
      <c r="D87" s="10">
        <f>SUM(D82:D86)</f>
        <v>1350780</v>
      </c>
      <c r="E87" s="11"/>
      <c r="F87" s="10">
        <f>SUM(F82:F86)</f>
        <v>-246719.59999999998</v>
      </c>
      <c r="G87" s="10">
        <f>SUM(G82:G86)</f>
        <v>-82452.469999999987</v>
      </c>
      <c r="H87" s="10">
        <f>SUM(H82:H86)</f>
        <v>-329172.06999999995</v>
      </c>
      <c r="I87" s="13"/>
      <c r="J87" s="10">
        <f>SUM(J82:J86)</f>
        <v>997916.38000000012</v>
      </c>
      <c r="K87" s="10">
        <f>SUM(K82:K86)</f>
        <v>23691.550000000036</v>
      </c>
      <c r="L87" s="10">
        <f>SUM(L82:L86)</f>
        <v>1021607.9300000003</v>
      </c>
      <c r="M87" s="14"/>
    </row>
    <row r="88" spans="1:14" x14ac:dyDescent="0.25">
      <c r="A88" s="5"/>
      <c r="B88" s="13"/>
      <c r="C88" s="13"/>
      <c r="D88" s="13"/>
      <c r="E88" s="11"/>
      <c r="F88" s="13"/>
      <c r="G88" s="13"/>
      <c r="H88" s="13"/>
      <c r="I88" s="13"/>
      <c r="J88" s="13"/>
      <c r="K88" s="13"/>
      <c r="L88" s="13"/>
    </row>
    <row r="89" spans="1:14" x14ac:dyDescent="0.25">
      <c r="A89" s="5"/>
      <c r="B89" s="13"/>
      <c r="C89" s="13"/>
      <c r="D89" s="13"/>
      <c r="E89" s="11"/>
      <c r="F89" s="13"/>
      <c r="G89" s="13"/>
      <c r="H89" s="13"/>
      <c r="I89" s="13"/>
      <c r="J89" s="13"/>
      <c r="K89" s="13"/>
      <c r="L89" s="13"/>
    </row>
    <row r="90" spans="1:14" x14ac:dyDescent="0.25">
      <c r="A90" s="5"/>
      <c r="B90" s="201" t="s">
        <v>14</v>
      </c>
      <c r="C90" s="201"/>
      <c r="D90" s="201"/>
      <c r="E90" s="17"/>
      <c r="F90" s="201" t="s">
        <v>25</v>
      </c>
      <c r="G90" s="201"/>
      <c r="H90" s="201"/>
      <c r="I90" s="5"/>
      <c r="J90" s="202" t="s">
        <v>16</v>
      </c>
      <c r="K90" s="202"/>
      <c r="L90" s="202"/>
    </row>
    <row r="91" spans="1:14" x14ac:dyDescent="0.25">
      <c r="B91" s="23" t="s">
        <v>17</v>
      </c>
      <c r="C91" s="23" t="s">
        <v>18</v>
      </c>
      <c r="D91" s="23" t="s">
        <v>19</v>
      </c>
      <c r="E91" s="17"/>
      <c r="F91" s="23" t="s">
        <v>17</v>
      </c>
      <c r="G91" s="23" t="s">
        <v>18</v>
      </c>
      <c r="H91" s="23" t="s">
        <v>19</v>
      </c>
      <c r="I91" s="5"/>
      <c r="J91" s="6" t="s">
        <v>17</v>
      </c>
      <c r="K91" s="6" t="s">
        <v>18</v>
      </c>
      <c r="L91" s="6" t="s">
        <v>19</v>
      </c>
    </row>
    <row r="92" spans="1:14" x14ac:dyDescent="0.25">
      <c r="A92" s="7" t="s">
        <v>80</v>
      </c>
      <c r="B92" s="2"/>
      <c r="C92" s="2"/>
      <c r="D92" s="2"/>
      <c r="E92" s="3"/>
      <c r="F92" s="2"/>
      <c r="G92" s="2"/>
      <c r="H92" s="2"/>
      <c r="I92" s="5"/>
      <c r="J92" s="5"/>
      <c r="K92" s="5"/>
      <c r="L92" s="5"/>
    </row>
    <row r="93" spans="1:14" x14ac:dyDescent="0.25">
      <c r="A93" s="4" t="s">
        <v>21</v>
      </c>
      <c r="B93" s="17">
        <f>D82</f>
        <v>1809443.2600000002</v>
      </c>
      <c r="C93" s="17">
        <v>6180.54</v>
      </c>
      <c r="D93" s="17">
        <f>SUM(B93:C93)</f>
        <v>1815623.8000000003</v>
      </c>
      <c r="E93" s="17"/>
      <c r="F93" s="17">
        <f>H82</f>
        <v>-438004.19999999995</v>
      </c>
      <c r="G93" s="17">
        <v>-121567.90999999999</v>
      </c>
      <c r="H93" s="17">
        <f>SUM(F93:G93)</f>
        <v>-559572.11</v>
      </c>
      <c r="I93" s="9"/>
      <c r="J93" s="9">
        <f t="shared" ref="J93:L97" si="12">B93+F93</f>
        <v>1371439.0600000003</v>
      </c>
      <c r="K93" s="17">
        <f t="shared" si="12"/>
        <v>-115387.37</v>
      </c>
      <c r="L93" s="9">
        <f t="shared" si="12"/>
        <v>1256051.6900000004</v>
      </c>
      <c r="N93" s="14"/>
    </row>
    <row r="94" spans="1:14" x14ac:dyDescent="0.25">
      <c r="A94" s="4" t="s">
        <v>22</v>
      </c>
      <c r="B94" s="17">
        <f>D83</f>
        <v>3571.0299999999697</v>
      </c>
      <c r="C94" s="17">
        <v>49722.449999999255</v>
      </c>
      <c r="D94" s="17">
        <f>SUM(B94:C94)</f>
        <v>53293.479999999225</v>
      </c>
      <c r="E94" s="17"/>
      <c r="F94" s="17">
        <f>H83</f>
        <v>0</v>
      </c>
      <c r="G94" s="17"/>
      <c r="H94" s="17">
        <f>SUM(F94:G94)</f>
        <v>0</v>
      </c>
      <c r="I94" s="9"/>
      <c r="J94" s="9">
        <f t="shared" si="12"/>
        <v>3571.0299999999697</v>
      </c>
      <c r="K94" s="17">
        <f t="shared" si="12"/>
        <v>49722.449999999255</v>
      </c>
      <c r="L94" s="9">
        <f t="shared" si="12"/>
        <v>53293.479999999225</v>
      </c>
    </row>
    <row r="95" spans="1:14" x14ac:dyDescent="0.25">
      <c r="A95" s="4" t="s">
        <v>23</v>
      </c>
      <c r="B95" s="17">
        <f>D84</f>
        <v>0.35999999981083874</v>
      </c>
      <c r="C95" s="17">
        <v>27.66</v>
      </c>
      <c r="D95" s="17">
        <f>SUM(B95:C95)</f>
        <v>28.019999999810839</v>
      </c>
      <c r="E95" s="17"/>
      <c r="F95" s="17">
        <f>H84</f>
        <v>0</v>
      </c>
      <c r="G95" s="17"/>
      <c r="H95" s="17">
        <f>SUM(F95:G95)</f>
        <v>0</v>
      </c>
      <c r="I95" s="9"/>
      <c r="J95" s="9">
        <f t="shared" si="12"/>
        <v>0.35999999981083874</v>
      </c>
      <c r="K95" s="17">
        <f t="shared" si="12"/>
        <v>27.66</v>
      </c>
      <c r="L95" s="9">
        <f t="shared" si="12"/>
        <v>28.019999999810839</v>
      </c>
    </row>
    <row r="96" spans="1:14" x14ac:dyDescent="0.25">
      <c r="A96" s="4" t="s">
        <v>29</v>
      </c>
      <c r="B96" s="17">
        <f>D85</f>
        <v>-462234.81</v>
      </c>
      <c r="C96" s="17">
        <v>0</v>
      </c>
      <c r="D96" s="17">
        <f>SUM(B96:C96)</f>
        <v>-462234.81</v>
      </c>
      <c r="E96" s="17"/>
      <c r="F96" s="17">
        <f>H85</f>
        <v>108832.13000000002</v>
      </c>
      <c r="G96" s="17">
        <v>30950.920000000002</v>
      </c>
      <c r="H96" s="17">
        <f>SUM(F96:G96)</f>
        <v>139783.05000000002</v>
      </c>
      <c r="I96" s="9"/>
      <c r="J96" s="9">
        <f t="shared" si="12"/>
        <v>-353402.68</v>
      </c>
      <c r="K96" s="17">
        <f t="shared" si="12"/>
        <v>30950.920000000002</v>
      </c>
      <c r="L96" s="9">
        <f t="shared" si="12"/>
        <v>-322451.76</v>
      </c>
    </row>
    <row r="97" spans="1:14" x14ac:dyDescent="0.25">
      <c r="A97" s="4" t="s">
        <v>30</v>
      </c>
      <c r="B97" s="17">
        <f>D86</f>
        <v>0.16000000000349246</v>
      </c>
      <c r="C97" s="17">
        <v>0</v>
      </c>
      <c r="D97" s="17">
        <f>SUM(B97:C97)</f>
        <v>0.16000000000349246</v>
      </c>
      <c r="E97" s="17"/>
      <c r="F97" s="17">
        <f>H86</f>
        <v>0</v>
      </c>
      <c r="G97" s="17"/>
      <c r="H97" s="17">
        <f>SUM(F97:G97)</f>
        <v>0</v>
      </c>
      <c r="I97" s="9"/>
      <c r="J97" s="9">
        <f t="shared" si="12"/>
        <v>0.16000000000349246</v>
      </c>
      <c r="K97" s="17">
        <f t="shared" si="12"/>
        <v>0</v>
      </c>
      <c r="L97" s="9">
        <f t="shared" si="12"/>
        <v>0.16000000000349246</v>
      </c>
    </row>
    <row r="98" spans="1:14" x14ac:dyDescent="0.25">
      <c r="A98" s="5" t="s">
        <v>24</v>
      </c>
      <c r="B98" s="10">
        <f>SUM(B93:B97)</f>
        <v>1350780</v>
      </c>
      <c r="C98" s="10">
        <f>SUM(C93:C97)</f>
        <v>55930.649999999259</v>
      </c>
      <c r="D98" s="10">
        <f>SUM(D93:D97)</f>
        <v>1406710.6499999992</v>
      </c>
      <c r="E98" s="11"/>
      <c r="F98" s="10">
        <f>SUM(F93:F97)</f>
        <v>-329172.06999999995</v>
      </c>
      <c r="G98" s="10">
        <f>SUM(G93:G97)</f>
        <v>-90616.989999999991</v>
      </c>
      <c r="H98" s="10">
        <f>SUM(H93:H97)</f>
        <v>-419789.05999999994</v>
      </c>
      <c r="I98" s="13"/>
      <c r="J98" s="10">
        <f>SUM(J93:J97)</f>
        <v>1021607.9300000003</v>
      </c>
      <c r="K98" s="10">
        <f>SUM(K93:K97)</f>
        <v>-34686.340000000739</v>
      </c>
      <c r="L98" s="10">
        <f>SUM(L93:L97)</f>
        <v>986921.5899999995</v>
      </c>
      <c r="M98" s="14"/>
    </row>
    <row r="99" spans="1:14" x14ac:dyDescent="0.25">
      <c r="A99" s="5"/>
      <c r="B99" s="13"/>
      <c r="C99" s="13"/>
      <c r="D99" s="13"/>
      <c r="E99" s="11"/>
      <c r="F99" s="13"/>
      <c r="G99" s="13"/>
      <c r="H99" s="13"/>
      <c r="I99" s="13"/>
      <c r="J99" s="13"/>
      <c r="K99" s="13"/>
      <c r="L99" s="13"/>
    </row>
    <row r="100" spans="1:14" x14ac:dyDescent="0.25">
      <c r="A100" s="5"/>
      <c r="B100" s="13"/>
      <c r="C100" s="13"/>
      <c r="D100" s="13"/>
      <c r="E100" s="11"/>
      <c r="F100" s="13"/>
      <c r="G100" s="13"/>
      <c r="H100" s="13"/>
      <c r="I100" s="13"/>
      <c r="J100" s="13"/>
      <c r="K100" s="13"/>
      <c r="L100" s="13"/>
    </row>
    <row r="101" spans="1:14" x14ac:dyDescent="0.25">
      <c r="A101" s="5"/>
      <c r="B101" s="201" t="s">
        <v>14</v>
      </c>
      <c r="C101" s="201"/>
      <c r="D101" s="201"/>
      <c r="E101" s="17"/>
      <c r="F101" s="201" t="s">
        <v>25</v>
      </c>
      <c r="G101" s="201"/>
      <c r="H101" s="201"/>
      <c r="I101" s="5"/>
      <c r="J101" s="202" t="s">
        <v>16</v>
      </c>
      <c r="K101" s="202"/>
      <c r="L101" s="202"/>
    </row>
    <row r="102" spans="1:14" x14ac:dyDescent="0.25">
      <c r="B102" s="23" t="s">
        <v>17</v>
      </c>
      <c r="C102" s="23" t="s">
        <v>18</v>
      </c>
      <c r="D102" s="23" t="s">
        <v>19</v>
      </c>
      <c r="E102" s="17"/>
      <c r="F102" s="23" t="s">
        <v>17</v>
      </c>
      <c r="G102" s="23" t="s">
        <v>18</v>
      </c>
      <c r="H102" s="23" t="s">
        <v>19</v>
      </c>
      <c r="I102" s="5"/>
      <c r="J102" s="6" t="s">
        <v>17</v>
      </c>
      <c r="K102" s="6" t="s">
        <v>18</v>
      </c>
      <c r="L102" s="6" t="s">
        <v>19</v>
      </c>
    </row>
    <row r="103" spans="1:14" x14ac:dyDescent="0.25">
      <c r="A103" s="7" t="s">
        <v>123</v>
      </c>
      <c r="B103" s="2"/>
      <c r="C103" s="2"/>
      <c r="D103" s="2"/>
      <c r="E103" s="3"/>
      <c r="F103" s="2"/>
      <c r="G103" s="2"/>
      <c r="H103" s="2"/>
      <c r="I103" s="5"/>
      <c r="J103" s="5"/>
      <c r="K103" s="5"/>
      <c r="L103" s="5"/>
    </row>
    <row r="104" spans="1:14" x14ac:dyDescent="0.25">
      <c r="A104" s="4" t="s">
        <v>21</v>
      </c>
      <c r="B104" s="17">
        <f>D93</f>
        <v>1815623.8000000003</v>
      </c>
      <c r="C104" s="17">
        <v>0</v>
      </c>
      <c r="D104" s="17">
        <f>SUM(B104:C104)</f>
        <v>1815623.8000000003</v>
      </c>
      <c r="E104" s="17"/>
      <c r="F104" s="17">
        <f>H93</f>
        <v>-559572.11</v>
      </c>
      <c r="G104" s="17">
        <v>-121670.67</v>
      </c>
      <c r="H104" s="17">
        <f>SUM(F104:G104)</f>
        <v>-681242.78</v>
      </c>
      <c r="I104" s="9"/>
      <c r="J104" s="9">
        <f t="shared" ref="J104:J108" si="13">B104+F104</f>
        <v>1256051.6900000004</v>
      </c>
      <c r="K104" s="17">
        <f t="shared" ref="K104:K108" si="14">C104+G104</f>
        <v>-121670.67</v>
      </c>
      <c r="L104" s="9">
        <f t="shared" ref="L104:L108" si="15">D104+H104</f>
        <v>1134381.0200000003</v>
      </c>
      <c r="N104" s="14"/>
    </row>
    <row r="105" spans="1:14" x14ac:dyDescent="0.25">
      <c r="A105" s="4" t="s">
        <v>22</v>
      </c>
      <c r="B105" s="17">
        <f>D94</f>
        <v>53293.479999999225</v>
      </c>
      <c r="C105" s="17"/>
      <c r="D105" s="17">
        <f>SUM(B105:C105)</f>
        <v>53293.479999999225</v>
      </c>
      <c r="E105" s="17"/>
      <c r="F105" s="17">
        <f>H94</f>
        <v>0</v>
      </c>
      <c r="G105" s="17">
        <v>0</v>
      </c>
      <c r="H105" s="17">
        <f>SUM(F105:G105)</f>
        <v>0</v>
      </c>
      <c r="I105" s="9"/>
      <c r="J105" s="9">
        <f t="shared" si="13"/>
        <v>53293.479999999225</v>
      </c>
      <c r="K105" s="17">
        <f t="shared" si="14"/>
        <v>0</v>
      </c>
      <c r="L105" s="9">
        <f t="shared" si="15"/>
        <v>53293.479999999225</v>
      </c>
    </row>
    <row r="106" spans="1:14" x14ac:dyDescent="0.25">
      <c r="A106" s="4" t="s">
        <v>23</v>
      </c>
      <c r="B106" s="17">
        <f>D95</f>
        <v>28.019999999810839</v>
      </c>
      <c r="C106" s="17">
        <v>-6.7099999999999937</v>
      </c>
      <c r="D106" s="17">
        <f>SUM(B106:C106)</f>
        <v>21.309999999810845</v>
      </c>
      <c r="E106" s="17"/>
      <c r="F106" s="17">
        <f>H95</f>
        <v>0</v>
      </c>
      <c r="G106" s="17">
        <v>0</v>
      </c>
      <c r="H106" s="17">
        <f>SUM(F106:G106)</f>
        <v>0</v>
      </c>
      <c r="I106" s="9"/>
      <c r="J106" s="9">
        <f t="shared" si="13"/>
        <v>28.019999999810839</v>
      </c>
      <c r="K106" s="17">
        <f t="shared" si="14"/>
        <v>-6.7099999999999937</v>
      </c>
      <c r="L106" s="9">
        <f t="shared" si="15"/>
        <v>21.309999999810845</v>
      </c>
    </row>
    <row r="107" spans="1:14" x14ac:dyDescent="0.25">
      <c r="A107" s="4" t="s">
        <v>29</v>
      </c>
      <c r="B107" s="17">
        <f>D96</f>
        <v>-462234.81</v>
      </c>
      <c r="C107" s="17">
        <v>0</v>
      </c>
      <c r="D107" s="17">
        <f>SUM(B107:C107)</f>
        <v>-462234.81</v>
      </c>
      <c r="E107" s="17"/>
      <c r="F107" s="17">
        <f>H96</f>
        <v>139783.05000000002</v>
      </c>
      <c r="G107" s="17">
        <v>30950.925000000003</v>
      </c>
      <c r="H107" s="17">
        <f>SUM(F107:G107)</f>
        <v>170733.97500000003</v>
      </c>
      <c r="I107" s="9"/>
      <c r="J107" s="9">
        <f t="shared" si="13"/>
        <v>-322451.76</v>
      </c>
      <c r="K107" s="17">
        <f t="shared" si="14"/>
        <v>30950.925000000003</v>
      </c>
      <c r="L107" s="9">
        <f t="shared" si="15"/>
        <v>-291500.83499999996</v>
      </c>
    </row>
    <row r="108" spans="1:14" x14ac:dyDescent="0.25">
      <c r="A108" s="4" t="s">
        <v>30</v>
      </c>
      <c r="B108" s="17">
        <f>D97</f>
        <v>0.16000000000349246</v>
      </c>
      <c r="C108" s="17">
        <v>0</v>
      </c>
      <c r="D108" s="17">
        <f>SUM(B108:C108)</f>
        <v>0.16000000000349246</v>
      </c>
      <c r="E108" s="17"/>
      <c r="F108" s="17">
        <f>H97</f>
        <v>0</v>
      </c>
      <c r="G108" s="17"/>
      <c r="H108" s="17">
        <f>SUM(F108:G108)</f>
        <v>0</v>
      </c>
      <c r="I108" s="9"/>
      <c r="J108" s="9">
        <f t="shared" si="13"/>
        <v>0.16000000000349246</v>
      </c>
      <c r="K108" s="17">
        <f t="shared" si="14"/>
        <v>0</v>
      </c>
      <c r="L108" s="9">
        <f t="shared" si="15"/>
        <v>0.16000000000349246</v>
      </c>
    </row>
    <row r="109" spans="1:14" x14ac:dyDescent="0.25">
      <c r="A109" s="5" t="s">
        <v>24</v>
      </c>
      <c r="B109" s="10">
        <f>SUM(B104:B108)</f>
        <v>1406710.6499999992</v>
      </c>
      <c r="C109" s="10">
        <f>SUM(C104:C108)</f>
        <v>-6.7099999999999937</v>
      </c>
      <c r="D109" s="10">
        <f>SUM(D104:D108)</f>
        <v>1406703.9399999992</v>
      </c>
      <c r="E109" s="11"/>
      <c r="F109" s="10">
        <f>SUM(F104:F108)</f>
        <v>-419789.05999999994</v>
      </c>
      <c r="G109" s="10">
        <f>SUM(G104:G108)</f>
        <v>-90719.744999999995</v>
      </c>
      <c r="H109" s="10">
        <f>SUM(H104:H108)</f>
        <v>-510508.80499999999</v>
      </c>
      <c r="I109" s="13"/>
      <c r="J109" s="10">
        <f>SUM(J104:J108)</f>
        <v>986921.5899999995</v>
      </c>
      <c r="K109" s="10">
        <f>SUM(K104:K108)</f>
        <v>-90726.455000000002</v>
      </c>
      <c r="L109" s="10">
        <f>SUM(L104:L108)</f>
        <v>896195.13499999943</v>
      </c>
    </row>
    <row r="110" spans="1:14" x14ac:dyDescent="0.25">
      <c r="A110" s="5"/>
      <c r="B110" s="13"/>
      <c r="C110" s="13"/>
      <c r="D110" s="13"/>
      <c r="E110" s="11"/>
      <c r="F110" s="13"/>
      <c r="G110" s="13"/>
      <c r="H110" s="13"/>
      <c r="I110" s="13"/>
      <c r="J110" s="13"/>
      <c r="K110" s="13"/>
      <c r="L110" s="13"/>
    </row>
    <row r="111" spans="1:14" x14ac:dyDescent="0.25">
      <c r="A111" s="5"/>
      <c r="B111" s="13"/>
      <c r="C111" s="13"/>
      <c r="D111" s="13"/>
      <c r="E111" s="11"/>
      <c r="F111" s="13"/>
      <c r="G111" s="13"/>
      <c r="H111" s="13"/>
      <c r="I111" s="13"/>
      <c r="J111" s="13"/>
      <c r="K111" s="13"/>
      <c r="L111" s="13"/>
    </row>
    <row r="112" spans="1:14" x14ac:dyDescent="0.25">
      <c r="A112" s="5"/>
      <c r="B112" s="201" t="s">
        <v>14</v>
      </c>
      <c r="C112" s="201"/>
      <c r="D112" s="201"/>
      <c r="E112" s="17"/>
      <c r="F112" s="201" t="s">
        <v>25</v>
      </c>
      <c r="G112" s="201"/>
      <c r="H112" s="201"/>
      <c r="I112" s="5"/>
      <c r="J112" s="202" t="s">
        <v>16</v>
      </c>
      <c r="K112" s="202"/>
      <c r="L112" s="202"/>
    </row>
    <row r="113" spans="1:13" x14ac:dyDescent="0.25">
      <c r="B113" s="23" t="s">
        <v>17</v>
      </c>
      <c r="C113" s="23" t="s">
        <v>18</v>
      </c>
      <c r="D113" s="23" t="s">
        <v>19</v>
      </c>
      <c r="E113" s="17"/>
      <c r="F113" s="23" t="s">
        <v>17</v>
      </c>
      <c r="G113" s="23" t="s">
        <v>18</v>
      </c>
      <c r="H113" s="23" t="s">
        <v>19</v>
      </c>
      <c r="I113" s="5"/>
      <c r="J113" s="6" t="s">
        <v>17</v>
      </c>
      <c r="K113" s="6" t="s">
        <v>18</v>
      </c>
      <c r="L113" s="6" t="s">
        <v>19</v>
      </c>
    </row>
    <row r="114" spans="1:13" x14ac:dyDescent="0.25">
      <c r="A114" s="7" t="s">
        <v>79</v>
      </c>
      <c r="B114" s="2"/>
      <c r="C114" s="2"/>
      <c r="D114" s="2"/>
      <c r="E114" s="3"/>
      <c r="F114" s="2"/>
      <c r="G114" s="2"/>
      <c r="H114" s="2"/>
      <c r="I114" s="5"/>
      <c r="J114" s="5"/>
      <c r="K114" s="5"/>
      <c r="L114" s="5"/>
    </row>
    <row r="115" spans="1:13" x14ac:dyDescent="0.25">
      <c r="A115" s="4" t="s">
        <v>21</v>
      </c>
      <c r="B115" s="17">
        <f>D104</f>
        <v>1815623.8000000003</v>
      </c>
      <c r="C115" s="17">
        <v>0</v>
      </c>
      <c r="D115" s="17">
        <f>SUM(B115:C115)</f>
        <v>1815623.8000000003</v>
      </c>
      <c r="E115" s="17"/>
      <c r="F115" s="17">
        <f>H104</f>
        <v>-681242.78</v>
      </c>
      <c r="G115" s="17">
        <v>-121670.67</v>
      </c>
      <c r="H115" s="17">
        <f>SUM(F115:G115)</f>
        <v>-802913.45000000007</v>
      </c>
      <c r="I115" s="9"/>
      <c r="J115" s="9">
        <f t="shared" ref="J115:J119" si="16">B115+F115</f>
        <v>1134381.0200000003</v>
      </c>
      <c r="K115" s="17">
        <f t="shared" ref="K115:K119" si="17">C115+G115</f>
        <v>-121670.67</v>
      </c>
      <c r="L115" s="9">
        <f t="shared" ref="L115:L119" si="18">D115+H115</f>
        <v>1012710.3500000002</v>
      </c>
    </row>
    <row r="116" spans="1:13" x14ac:dyDescent="0.25">
      <c r="A116" s="4" t="s">
        <v>22</v>
      </c>
      <c r="B116" s="17">
        <f>D105</f>
        <v>53293.479999999225</v>
      </c>
      <c r="C116" s="17">
        <v>0</v>
      </c>
      <c r="D116" s="17">
        <f>SUM(B116:C116)</f>
        <v>53293.479999999225</v>
      </c>
      <c r="E116" s="17"/>
      <c r="F116" s="17">
        <f>H105</f>
        <v>0</v>
      </c>
      <c r="G116" s="17">
        <v>0</v>
      </c>
      <c r="H116" s="17">
        <f>SUM(F116:G116)</f>
        <v>0</v>
      </c>
      <c r="I116" s="9"/>
      <c r="J116" s="9">
        <f t="shared" si="16"/>
        <v>53293.479999999225</v>
      </c>
      <c r="K116" s="17">
        <f t="shared" si="17"/>
        <v>0</v>
      </c>
      <c r="L116" s="9">
        <f t="shared" si="18"/>
        <v>53293.479999999225</v>
      </c>
    </row>
    <row r="117" spans="1:13" x14ac:dyDescent="0.25">
      <c r="A117" s="4" t="s">
        <v>23</v>
      </c>
      <c r="B117" s="17">
        <f>D106</f>
        <v>21.309999999810845</v>
      </c>
      <c r="C117" s="17">
        <v>0</v>
      </c>
      <c r="D117" s="17">
        <f>SUM(B117:C117)</f>
        <v>21.309999999810845</v>
      </c>
      <c r="E117" s="17"/>
      <c r="F117" s="17">
        <f>H106</f>
        <v>0</v>
      </c>
      <c r="G117" s="17">
        <v>0</v>
      </c>
      <c r="H117" s="17">
        <f>SUM(F117:G117)</f>
        <v>0</v>
      </c>
      <c r="I117" s="9"/>
      <c r="J117" s="9">
        <f t="shared" si="16"/>
        <v>21.309999999810845</v>
      </c>
      <c r="K117" s="17">
        <f t="shared" si="17"/>
        <v>0</v>
      </c>
      <c r="L117" s="9">
        <f t="shared" si="18"/>
        <v>21.309999999810845</v>
      </c>
    </row>
    <row r="118" spans="1:13" x14ac:dyDescent="0.25">
      <c r="A118" s="4" t="s">
        <v>29</v>
      </c>
      <c r="B118" s="17">
        <f>D107</f>
        <v>-462234.81</v>
      </c>
      <c r="C118" s="17">
        <v>0</v>
      </c>
      <c r="D118" s="17">
        <f>SUM(B118:C118)</f>
        <v>-462234.81</v>
      </c>
      <c r="E118" s="17"/>
      <c r="F118" s="17">
        <f>H107</f>
        <v>170733.97500000003</v>
      </c>
      <c r="G118" s="17">
        <v>30950.925000000003</v>
      </c>
      <c r="H118" s="17">
        <f>SUM(F118:G118)</f>
        <v>201684.90000000002</v>
      </c>
      <c r="I118" s="9"/>
      <c r="J118" s="9">
        <f t="shared" si="16"/>
        <v>-291500.83499999996</v>
      </c>
      <c r="K118" s="17">
        <f t="shared" si="17"/>
        <v>30950.925000000003</v>
      </c>
      <c r="L118" s="9">
        <f t="shared" si="18"/>
        <v>-260549.90999999997</v>
      </c>
    </row>
    <row r="119" spans="1:13" x14ac:dyDescent="0.25">
      <c r="A119" s="4" t="s">
        <v>30</v>
      </c>
      <c r="B119" s="17">
        <f>D108</f>
        <v>0.16000000000349246</v>
      </c>
      <c r="C119" s="17">
        <v>0</v>
      </c>
      <c r="D119" s="17">
        <f>SUM(B119:C119)</f>
        <v>0.16000000000349246</v>
      </c>
      <c r="E119" s="17"/>
      <c r="F119" s="17">
        <f>H108</f>
        <v>0</v>
      </c>
      <c r="G119" s="17"/>
      <c r="H119" s="17">
        <f>SUM(F119:G119)</f>
        <v>0</v>
      </c>
      <c r="I119" s="9"/>
      <c r="J119" s="9">
        <f t="shared" si="16"/>
        <v>0.16000000000349246</v>
      </c>
      <c r="K119" s="17">
        <f t="shared" si="17"/>
        <v>0</v>
      </c>
      <c r="L119" s="9">
        <f t="shared" si="18"/>
        <v>0.16000000000349246</v>
      </c>
    </row>
    <row r="120" spans="1:13" x14ac:dyDescent="0.25">
      <c r="A120" s="5" t="s">
        <v>24</v>
      </c>
      <c r="B120" s="10">
        <f>SUM(B115:B119)</f>
        <v>1406703.9399999992</v>
      </c>
      <c r="C120" s="10">
        <f>SUM(C115:C119)</f>
        <v>0</v>
      </c>
      <c r="D120" s="10">
        <f>SUM(D115:D119)</f>
        <v>1406703.9399999992</v>
      </c>
      <c r="E120" s="11"/>
      <c r="F120" s="10">
        <f>SUM(F115:F119)</f>
        <v>-510508.80499999999</v>
      </c>
      <c r="G120" s="10">
        <f>SUM(G115:G119)</f>
        <v>-90719.744999999995</v>
      </c>
      <c r="H120" s="10">
        <f>SUM(H115:H119)</f>
        <v>-601228.55000000005</v>
      </c>
      <c r="I120" s="13"/>
      <c r="J120" s="10">
        <f>SUM(J115:J119)</f>
        <v>896195.13499999943</v>
      </c>
      <c r="K120" s="10">
        <f>SUM(K115:K119)</f>
        <v>-90719.744999999995</v>
      </c>
      <c r="L120" s="10">
        <f>SUM(L115:L119)</f>
        <v>805475.38999999932</v>
      </c>
    </row>
    <row r="121" spans="1:13" x14ac:dyDescent="0.25">
      <c r="A121" s="5"/>
      <c r="B121" s="13"/>
      <c r="C121" s="13"/>
      <c r="D121" s="13"/>
      <c r="E121" s="11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5"/>
      <c r="B122" s="13"/>
      <c r="C122" s="13"/>
      <c r="D122" s="13"/>
      <c r="E122" s="11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5"/>
      <c r="B123" s="201" t="s">
        <v>14</v>
      </c>
      <c r="C123" s="201"/>
      <c r="D123" s="201"/>
      <c r="E123" s="17"/>
      <c r="F123" s="201" t="s">
        <v>25</v>
      </c>
      <c r="G123" s="201"/>
      <c r="H123" s="201"/>
      <c r="I123" s="5"/>
      <c r="J123" s="202" t="s">
        <v>16</v>
      </c>
      <c r="K123" s="202"/>
      <c r="L123" s="202"/>
      <c r="M123" s="13"/>
    </row>
    <row r="124" spans="1:13" x14ac:dyDescent="0.25">
      <c r="B124" s="23" t="s">
        <v>17</v>
      </c>
      <c r="C124" s="23" t="s">
        <v>18</v>
      </c>
      <c r="D124" s="23" t="s">
        <v>19</v>
      </c>
      <c r="E124" s="17"/>
      <c r="F124" s="23" t="s">
        <v>17</v>
      </c>
      <c r="G124" s="23" t="s">
        <v>18</v>
      </c>
      <c r="H124" s="23" t="s">
        <v>19</v>
      </c>
      <c r="I124" s="5"/>
      <c r="J124" s="6" t="s">
        <v>17</v>
      </c>
      <c r="K124" s="6" t="s">
        <v>18</v>
      </c>
      <c r="L124" s="6" t="s">
        <v>19</v>
      </c>
      <c r="M124" s="13"/>
    </row>
    <row r="125" spans="1:13" x14ac:dyDescent="0.25">
      <c r="A125" s="7" t="s">
        <v>110</v>
      </c>
      <c r="B125" s="2"/>
      <c r="C125" s="2"/>
      <c r="D125" s="2"/>
      <c r="E125" s="3"/>
      <c r="F125" s="2"/>
      <c r="G125" s="2"/>
      <c r="H125" s="2"/>
      <c r="I125" s="5"/>
      <c r="J125" s="5"/>
      <c r="K125" s="5"/>
      <c r="L125" s="5"/>
      <c r="M125" s="13"/>
    </row>
    <row r="126" spans="1:13" x14ac:dyDescent="0.25">
      <c r="A126" s="4" t="s">
        <v>21</v>
      </c>
      <c r="B126" s="17">
        <f>D115</f>
        <v>1815623.8000000003</v>
      </c>
      <c r="C126" s="17">
        <v>0</v>
      </c>
      <c r="D126" s="17">
        <f>SUM(B126:C126)</f>
        <v>1815623.8000000003</v>
      </c>
      <c r="E126" s="17"/>
      <c r="F126" s="17">
        <f>H115</f>
        <v>-802913.45000000007</v>
      </c>
      <c r="G126" s="17">
        <v>-121670.64</v>
      </c>
      <c r="H126" s="17">
        <f>SUM(F126:G126)</f>
        <v>-924584.09000000008</v>
      </c>
      <c r="I126" s="9"/>
      <c r="J126" s="9">
        <f t="shared" ref="J126:J130" si="19">B126+F126</f>
        <v>1012710.3500000002</v>
      </c>
      <c r="K126" s="17">
        <f t="shared" ref="K126:K130" si="20">C126+G126</f>
        <v>-121670.64</v>
      </c>
      <c r="L126" s="9">
        <f t="shared" ref="L126:L130" si="21">D126+H126</f>
        <v>891039.7100000002</v>
      </c>
      <c r="M126" s="13"/>
    </row>
    <row r="127" spans="1:13" x14ac:dyDescent="0.25">
      <c r="A127" s="4" t="s">
        <v>22</v>
      </c>
      <c r="B127" s="17">
        <f>D116</f>
        <v>53293.479999999225</v>
      </c>
      <c r="C127" s="17">
        <v>0</v>
      </c>
      <c r="D127" s="17">
        <f>SUM(B127:C127)</f>
        <v>53293.479999999225</v>
      </c>
      <c r="E127" s="17"/>
      <c r="F127" s="17">
        <f>H116</f>
        <v>0</v>
      </c>
      <c r="G127" s="17"/>
      <c r="H127" s="17">
        <f>SUM(F127:G127)</f>
        <v>0</v>
      </c>
      <c r="I127" s="9"/>
      <c r="J127" s="9">
        <f t="shared" si="19"/>
        <v>53293.479999999225</v>
      </c>
      <c r="K127" s="17">
        <f t="shared" si="20"/>
        <v>0</v>
      </c>
      <c r="L127" s="9">
        <f t="shared" si="21"/>
        <v>53293.479999999225</v>
      </c>
      <c r="M127" s="13"/>
    </row>
    <row r="128" spans="1:13" x14ac:dyDescent="0.25">
      <c r="A128" s="4" t="s">
        <v>23</v>
      </c>
      <c r="B128" s="17">
        <f>D117</f>
        <v>21.309999999810845</v>
      </c>
      <c r="C128" s="17">
        <v>0</v>
      </c>
      <c r="D128" s="17">
        <f>SUM(B128:C128)</f>
        <v>21.309999999810845</v>
      </c>
      <c r="E128" s="17"/>
      <c r="F128" s="17">
        <f>H117</f>
        <v>0</v>
      </c>
      <c r="G128" s="17"/>
      <c r="H128" s="17">
        <f>SUM(F128:G128)</f>
        <v>0</v>
      </c>
      <c r="I128" s="9"/>
      <c r="J128" s="9">
        <f t="shared" si="19"/>
        <v>21.309999999810845</v>
      </c>
      <c r="K128" s="17">
        <f t="shared" si="20"/>
        <v>0</v>
      </c>
      <c r="L128" s="9">
        <f t="shared" si="21"/>
        <v>21.309999999810845</v>
      </c>
      <c r="M128" s="13"/>
    </row>
    <row r="129" spans="1:13" x14ac:dyDescent="0.25">
      <c r="A129" s="4" t="s">
        <v>29</v>
      </c>
      <c r="B129" s="17">
        <f>D118</f>
        <v>-462234.81</v>
      </c>
      <c r="C129" s="17">
        <v>0</v>
      </c>
      <c r="D129" s="17">
        <f>SUM(B129:C129)</f>
        <v>-462234.81</v>
      </c>
      <c r="E129" s="17"/>
      <c r="F129" s="17">
        <f>H118</f>
        <v>201684.90000000002</v>
      </c>
      <c r="G129" s="17">
        <v>30950.920000000002</v>
      </c>
      <c r="H129" s="17">
        <f>SUM(F129:G129)</f>
        <v>232635.82000000004</v>
      </c>
      <c r="I129" s="9"/>
      <c r="J129" s="9">
        <f t="shared" si="19"/>
        <v>-260549.90999999997</v>
      </c>
      <c r="K129" s="17">
        <f t="shared" si="20"/>
        <v>30950.920000000002</v>
      </c>
      <c r="L129" s="9">
        <f t="shared" si="21"/>
        <v>-229598.98999999996</v>
      </c>
      <c r="M129" s="13"/>
    </row>
    <row r="130" spans="1:13" x14ac:dyDescent="0.25">
      <c r="A130" s="4" t="s">
        <v>30</v>
      </c>
      <c r="B130" s="17">
        <f>D119</f>
        <v>0.16000000000349246</v>
      </c>
      <c r="C130" s="17">
        <v>0</v>
      </c>
      <c r="D130" s="17">
        <f>SUM(B130:C130)</f>
        <v>0.16000000000349246</v>
      </c>
      <c r="E130" s="17"/>
      <c r="F130" s="17">
        <f>H119</f>
        <v>0</v>
      </c>
      <c r="G130" s="17"/>
      <c r="H130" s="17">
        <f>SUM(F130:G130)</f>
        <v>0</v>
      </c>
      <c r="I130" s="9"/>
      <c r="J130" s="9">
        <f t="shared" si="19"/>
        <v>0.16000000000349246</v>
      </c>
      <c r="K130" s="17">
        <f t="shared" si="20"/>
        <v>0</v>
      </c>
      <c r="L130" s="9">
        <f t="shared" si="21"/>
        <v>0.16000000000349246</v>
      </c>
      <c r="M130" s="13"/>
    </row>
    <row r="131" spans="1:13" x14ac:dyDescent="0.25">
      <c r="A131" s="5" t="s">
        <v>24</v>
      </c>
      <c r="B131" s="10">
        <f>SUM(B126:B130)</f>
        <v>1406703.9399999992</v>
      </c>
      <c r="C131" s="10">
        <f>SUM(C126:C130)</f>
        <v>0</v>
      </c>
      <c r="D131" s="10">
        <f>SUM(D126:D130)</f>
        <v>1406703.9399999992</v>
      </c>
      <c r="E131" s="11"/>
      <c r="F131" s="10">
        <f>SUM(F126:F130)</f>
        <v>-601228.55000000005</v>
      </c>
      <c r="G131" s="10">
        <f>SUM(G126:G130)</f>
        <v>-90719.72</v>
      </c>
      <c r="H131" s="10">
        <f>SUM(H126:H130)</f>
        <v>-691948.27</v>
      </c>
      <c r="I131" s="13"/>
      <c r="J131" s="10">
        <f>SUM(J126:J130)</f>
        <v>805475.38999999932</v>
      </c>
      <c r="K131" s="10">
        <f>SUM(K126:K130)</f>
        <v>-90719.72</v>
      </c>
      <c r="L131" s="10">
        <f>SUM(L126:L130)</f>
        <v>714755.66999999934</v>
      </c>
      <c r="M131" s="13"/>
    </row>
    <row r="132" spans="1:13" x14ac:dyDescent="0.25">
      <c r="A132" s="5"/>
      <c r="B132" s="13"/>
      <c r="C132" s="13"/>
      <c r="D132" s="13"/>
      <c r="E132" s="11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5"/>
      <c r="B133" s="13"/>
      <c r="C133" s="13"/>
      <c r="D133" s="13"/>
      <c r="E133" s="11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5"/>
      <c r="B134" s="201" t="s">
        <v>14</v>
      </c>
      <c r="C134" s="201"/>
      <c r="D134" s="201"/>
      <c r="E134" s="17"/>
      <c r="F134" s="201" t="s">
        <v>25</v>
      </c>
      <c r="G134" s="201"/>
      <c r="H134" s="201"/>
      <c r="I134" s="5"/>
      <c r="J134" s="202" t="s">
        <v>16</v>
      </c>
      <c r="K134" s="202"/>
      <c r="L134" s="202"/>
      <c r="M134" s="13"/>
    </row>
    <row r="135" spans="1:13" x14ac:dyDescent="0.25">
      <c r="B135" s="23" t="s">
        <v>17</v>
      </c>
      <c r="C135" s="23" t="s">
        <v>18</v>
      </c>
      <c r="D135" s="23" t="s">
        <v>19</v>
      </c>
      <c r="E135" s="17"/>
      <c r="F135" s="23" t="s">
        <v>17</v>
      </c>
      <c r="G135" s="23" t="s">
        <v>18</v>
      </c>
      <c r="H135" s="23" t="s">
        <v>19</v>
      </c>
      <c r="I135" s="5"/>
      <c r="J135" s="6" t="s">
        <v>17</v>
      </c>
      <c r="K135" s="6" t="s">
        <v>18</v>
      </c>
      <c r="L135" s="6" t="s">
        <v>19</v>
      </c>
      <c r="M135" s="13"/>
    </row>
    <row r="136" spans="1:13" x14ac:dyDescent="0.25">
      <c r="A136" s="7" t="s">
        <v>111</v>
      </c>
      <c r="B136" s="2"/>
      <c r="C136" s="2"/>
      <c r="D136" s="2"/>
      <c r="E136" s="3"/>
      <c r="F136" s="2"/>
      <c r="G136" s="2"/>
      <c r="H136" s="2"/>
      <c r="I136" s="5"/>
      <c r="J136" s="5"/>
      <c r="K136" s="5"/>
      <c r="L136" s="5"/>
      <c r="M136" s="13"/>
    </row>
    <row r="137" spans="1:13" x14ac:dyDescent="0.25">
      <c r="A137" s="4" t="s">
        <v>21</v>
      </c>
      <c r="B137" s="17">
        <f>D126</f>
        <v>1815623.8000000003</v>
      </c>
      <c r="C137" s="17">
        <v>0</v>
      </c>
      <c r="D137" s="17">
        <f>SUM(B137:C137)</f>
        <v>1815623.8000000003</v>
      </c>
      <c r="E137" s="17"/>
      <c r="F137" s="17">
        <f>H126</f>
        <v>-924584.09000000008</v>
      </c>
      <c r="G137" s="17">
        <v>-121670.63999999998</v>
      </c>
      <c r="H137" s="17">
        <f>SUM(F137:G137)</f>
        <v>-1046254.7300000001</v>
      </c>
      <c r="I137" s="9"/>
      <c r="J137" s="9">
        <f t="shared" ref="J137:J141" si="22">B137+F137</f>
        <v>891039.7100000002</v>
      </c>
      <c r="K137" s="17">
        <f t="shared" ref="K137:K141" si="23">C137+G137</f>
        <v>-121670.63999999998</v>
      </c>
      <c r="L137" s="9">
        <f t="shared" ref="L137:L141" si="24">D137+H137</f>
        <v>769369.07000000018</v>
      </c>
      <c r="M137" s="13"/>
    </row>
    <row r="138" spans="1:13" x14ac:dyDescent="0.25">
      <c r="A138" s="4" t="s">
        <v>22</v>
      </c>
      <c r="B138" s="17">
        <f>D127</f>
        <v>53293.479999999225</v>
      </c>
      <c r="C138" s="17">
        <v>0</v>
      </c>
      <c r="D138" s="17">
        <f>SUM(B138:C138)</f>
        <v>53293.479999999225</v>
      </c>
      <c r="E138" s="17"/>
      <c r="F138" s="17">
        <f>H127</f>
        <v>0</v>
      </c>
      <c r="G138" s="17"/>
      <c r="H138" s="17">
        <f>SUM(F138:G138)</f>
        <v>0</v>
      </c>
      <c r="I138" s="9"/>
      <c r="J138" s="9">
        <f t="shared" si="22"/>
        <v>53293.479999999225</v>
      </c>
      <c r="K138" s="17">
        <f t="shared" si="23"/>
        <v>0</v>
      </c>
      <c r="L138" s="9">
        <f t="shared" si="24"/>
        <v>53293.479999999225</v>
      </c>
      <c r="M138" s="13"/>
    </row>
    <row r="139" spans="1:13" x14ac:dyDescent="0.25">
      <c r="A139" s="4" t="s">
        <v>23</v>
      </c>
      <c r="B139" s="17">
        <f>D128</f>
        <v>21.309999999810845</v>
      </c>
      <c r="C139" s="17">
        <v>0</v>
      </c>
      <c r="D139" s="17">
        <f>SUM(B139:C139)</f>
        <v>21.309999999810845</v>
      </c>
      <c r="E139" s="17"/>
      <c r="F139" s="17">
        <f>H128</f>
        <v>0</v>
      </c>
      <c r="G139" s="17"/>
      <c r="H139" s="17">
        <f>SUM(F139:G139)</f>
        <v>0</v>
      </c>
      <c r="I139" s="9"/>
      <c r="J139" s="9">
        <f t="shared" si="22"/>
        <v>21.309999999810845</v>
      </c>
      <c r="K139" s="17">
        <f t="shared" si="23"/>
        <v>0</v>
      </c>
      <c r="L139" s="9">
        <f t="shared" si="24"/>
        <v>21.309999999810845</v>
      </c>
      <c r="M139" s="13"/>
    </row>
    <row r="140" spans="1:13" x14ac:dyDescent="0.25">
      <c r="A140" s="4" t="s">
        <v>29</v>
      </c>
      <c r="B140" s="17">
        <f>D129</f>
        <v>-462234.81</v>
      </c>
      <c r="C140" s="17">
        <v>0</v>
      </c>
      <c r="D140" s="17">
        <f>SUM(B140:C140)</f>
        <v>-462234.81</v>
      </c>
      <c r="E140" s="17"/>
      <c r="F140" s="17">
        <f>H129</f>
        <v>232635.82000000004</v>
      </c>
      <c r="G140" s="17">
        <v>30950.920000000002</v>
      </c>
      <c r="H140" s="17">
        <f>SUM(F140:G140)</f>
        <v>263586.74000000005</v>
      </c>
      <c r="I140" s="9"/>
      <c r="J140" s="9">
        <f t="shared" si="22"/>
        <v>-229598.98999999996</v>
      </c>
      <c r="K140" s="17">
        <f t="shared" si="23"/>
        <v>30950.920000000002</v>
      </c>
      <c r="L140" s="9">
        <f t="shared" si="24"/>
        <v>-198648.06999999995</v>
      </c>
      <c r="M140" s="13"/>
    </row>
    <row r="141" spans="1:13" x14ac:dyDescent="0.25">
      <c r="A141" s="4" t="s">
        <v>30</v>
      </c>
      <c r="B141" s="17">
        <f>D130</f>
        <v>0.16000000000349246</v>
      </c>
      <c r="C141" s="17">
        <v>0</v>
      </c>
      <c r="D141" s="17">
        <f>SUM(B141:C141)</f>
        <v>0.16000000000349246</v>
      </c>
      <c r="E141" s="17"/>
      <c r="F141" s="17">
        <f>H130</f>
        <v>0</v>
      </c>
      <c r="G141" s="17"/>
      <c r="H141" s="17">
        <f>SUM(F141:G141)</f>
        <v>0</v>
      </c>
      <c r="I141" s="9"/>
      <c r="J141" s="9">
        <f t="shared" si="22"/>
        <v>0.16000000000349246</v>
      </c>
      <c r="K141" s="17">
        <f t="shared" si="23"/>
        <v>0</v>
      </c>
      <c r="L141" s="9">
        <f t="shared" si="24"/>
        <v>0.16000000000349246</v>
      </c>
      <c r="M141" s="13"/>
    </row>
    <row r="142" spans="1:13" x14ac:dyDescent="0.25">
      <c r="A142" s="5" t="s">
        <v>24</v>
      </c>
      <c r="B142" s="10">
        <f>SUM(B137:B141)</f>
        <v>1406703.9399999992</v>
      </c>
      <c r="C142" s="10">
        <f>SUM(C137:C141)</f>
        <v>0</v>
      </c>
      <c r="D142" s="10">
        <f>SUM(D137:D141)</f>
        <v>1406703.9399999992</v>
      </c>
      <c r="E142" s="11"/>
      <c r="F142" s="10">
        <f>SUM(F137:F141)</f>
        <v>-691948.27</v>
      </c>
      <c r="G142" s="10">
        <f>SUM(G137:G141)</f>
        <v>-90719.719999999987</v>
      </c>
      <c r="H142" s="10">
        <f>SUM(H137:H141)</f>
        <v>-782667.99</v>
      </c>
      <c r="I142" s="13"/>
      <c r="J142" s="10">
        <f>SUM(J137:J141)</f>
        <v>714755.66999999934</v>
      </c>
      <c r="K142" s="10">
        <f>SUM(K137:K141)</f>
        <v>-90719.719999999987</v>
      </c>
      <c r="L142" s="10">
        <f>SUM(L137:L141)</f>
        <v>624035.94999999925</v>
      </c>
      <c r="M142" s="13"/>
    </row>
    <row r="143" spans="1:13" x14ac:dyDescent="0.25">
      <c r="A143" s="5"/>
      <c r="B143" s="13"/>
      <c r="C143" s="13"/>
      <c r="D143" s="13"/>
      <c r="E143" s="11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5"/>
      <c r="B144" s="13"/>
      <c r="C144" s="13"/>
      <c r="D144" s="13"/>
      <c r="E144" s="11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5"/>
      <c r="B145" s="201" t="s">
        <v>14</v>
      </c>
      <c r="C145" s="201"/>
      <c r="D145" s="201"/>
      <c r="E145" s="17"/>
      <c r="F145" s="201" t="s">
        <v>25</v>
      </c>
      <c r="G145" s="201"/>
      <c r="H145" s="201"/>
      <c r="I145" s="5"/>
      <c r="J145" s="202" t="s">
        <v>16</v>
      </c>
      <c r="K145" s="202"/>
      <c r="L145" s="202"/>
      <c r="M145" s="13"/>
    </row>
    <row r="146" spans="1:13" x14ac:dyDescent="0.25">
      <c r="B146" s="23" t="s">
        <v>17</v>
      </c>
      <c r="C146" s="23" t="s">
        <v>18</v>
      </c>
      <c r="D146" s="23" t="s">
        <v>19</v>
      </c>
      <c r="E146" s="17"/>
      <c r="F146" s="23" t="s">
        <v>17</v>
      </c>
      <c r="G146" s="23" t="s">
        <v>18</v>
      </c>
      <c r="H146" s="23" t="s">
        <v>19</v>
      </c>
      <c r="I146" s="5"/>
      <c r="J146" s="6" t="s">
        <v>17</v>
      </c>
      <c r="K146" s="6" t="s">
        <v>18</v>
      </c>
      <c r="L146" s="6" t="s">
        <v>19</v>
      </c>
      <c r="M146" s="13"/>
    </row>
    <row r="147" spans="1:13" x14ac:dyDescent="0.25">
      <c r="A147" s="7" t="s">
        <v>112</v>
      </c>
      <c r="B147" s="2"/>
      <c r="C147" s="2"/>
      <c r="D147" s="2"/>
      <c r="E147" s="3"/>
      <c r="F147" s="2"/>
      <c r="G147" s="2"/>
      <c r="H147" s="2"/>
      <c r="I147" s="5"/>
      <c r="J147" s="5"/>
      <c r="K147" s="5"/>
      <c r="L147" s="5"/>
      <c r="M147" s="13"/>
    </row>
    <row r="148" spans="1:13" x14ac:dyDescent="0.25">
      <c r="A148" s="4" t="s">
        <v>21</v>
      </c>
      <c r="B148" s="17">
        <f>D137</f>
        <v>1815623.8000000003</v>
      </c>
      <c r="C148" s="17">
        <v>0</v>
      </c>
      <c r="D148" s="17">
        <f>SUM(B148:C148)</f>
        <v>1815623.8000000003</v>
      </c>
      <c r="E148" s="17"/>
      <c r="F148" s="17">
        <f>H137</f>
        <v>-1046254.7300000001</v>
      </c>
      <c r="G148" s="17">
        <v>-121670.63999999998</v>
      </c>
      <c r="H148" s="17">
        <f>SUM(F148:G148)</f>
        <v>-1167925.3700000001</v>
      </c>
      <c r="I148" s="9"/>
      <c r="J148" s="9">
        <f t="shared" ref="J148:J152" si="25">B148+F148</f>
        <v>769369.07000000018</v>
      </c>
      <c r="K148" s="17">
        <f t="shared" ref="K148:K152" si="26">C148+G148</f>
        <v>-121670.63999999998</v>
      </c>
      <c r="L148" s="9">
        <f t="shared" ref="L148:L152" si="27">D148+H148</f>
        <v>647698.43000000017</v>
      </c>
      <c r="M148" s="13"/>
    </row>
    <row r="149" spans="1:13" x14ac:dyDescent="0.25">
      <c r="A149" s="4" t="s">
        <v>22</v>
      </c>
      <c r="B149" s="17">
        <f>D138</f>
        <v>53293.479999999225</v>
      </c>
      <c r="C149" s="17">
        <v>0</v>
      </c>
      <c r="D149" s="17">
        <f>SUM(B149:C149)</f>
        <v>53293.479999999225</v>
      </c>
      <c r="E149" s="17"/>
      <c r="F149" s="17">
        <f>H138</f>
        <v>0</v>
      </c>
      <c r="G149" s="17"/>
      <c r="H149" s="17">
        <f>SUM(F149:G149)</f>
        <v>0</v>
      </c>
      <c r="I149" s="9"/>
      <c r="J149" s="9">
        <f t="shared" si="25"/>
        <v>53293.479999999225</v>
      </c>
      <c r="K149" s="17">
        <f t="shared" si="26"/>
        <v>0</v>
      </c>
      <c r="L149" s="9">
        <f t="shared" si="27"/>
        <v>53293.479999999225</v>
      </c>
      <c r="M149" s="13"/>
    </row>
    <row r="150" spans="1:13" x14ac:dyDescent="0.25">
      <c r="A150" s="4" t="s">
        <v>23</v>
      </c>
      <c r="B150" s="17">
        <f>D139</f>
        <v>21.309999999810845</v>
      </c>
      <c r="C150" s="17">
        <v>0</v>
      </c>
      <c r="D150" s="17">
        <f>SUM(B150:C150)</f>
        <v>21.309999999810845</v>
      </c>
      <c r="E150" s="17"/>
      <c r="F150" s="17">
        <f>H139</f>
        <v>0</v>
      </c>
      <c r="G150" s="17"/>
      <c r="H150" s="17">
        <f>SUM(F150:G150)</f>
        <v>0</v>
      </c>
      <c r="I150" s="9"/>
      <c r="J150" s="9">
        <f t="shared" si="25"/>
        <v>21.309999999810845</v>
      </c>
      <c r="K150" s="17">
        <f t="shared" si="26"/>
        <v>0</v>
      </c>
      <c r="L150" s="9">
        <f t="shared" si="27"/>
        <v>21.309999999810845</v>
      </c>
      <c r="M150" s="13"/>
    </row>
    <row r="151" spans="1:13" x14ac:dyDescent="0.25">
      <c r="A151" s="4" t="s">
        <v>29</v>
      </c>
      <c r="B151" s="17">
        <f>D140</f>
        <v>-462234.81</v>
      </c>
      <c r="C151" s="17">
        <v>0</v>
      </c>
      <c r="D151" s="17">
        <f>SUM(B151:C151)</f>
        <v>-462234.81</v>
      </c>
      <c r="E151" s="17"/>
      <c r="F151" s="17">
        <f>H140</f>
        <v>263586.74000000005</v>
      </c>
      <c r="G151" s="17">
        <v>30950.920000000002</v>
      </c>
      <c r="H151" s="17">
        <f>SUM(F151:G151)</f>
        <v>294537.66000000003</v>
      </c>
      <c r="I151" s="9"/>
      <c r="J151" s="9">
        <f t="shared" si="25"/>
        <v>-198648.06999999995</v>
      </c>
      <c r="K151" s="17">
        <f t="shared" si="26"/>
        <v>30950.920000000002</v>
      </c>
      <c r="L151" s="9">
        <f t="shared" si="27"/>
        <v>-167697.14999999997</v>
      </c>
      <c r="M151" s="13"/>
    </row>
    <row r="152" spans="1:13" x14ac:dyDescent="0.25">
      <c r="A152" s="4" t="s">
        <v>30</v>
      </c>
      <c r="B152" s="17">
        <f>D141</f>
        <v>0.16000000000349246</v>
      </c>
      <c r="C152" s="17">
        <v>0</v>
      </c>
      <c r="D152" s="17">
        <f>SUM(B152:C152)</f>
        <v>0.16000000000349246</v>
      </c>
      <c r="E152" s="17"/>
      <c r="F152" s="17">
        <f>H141</f>
        <v>0</v>
      </c>
      <c r="G152" s="17"/>
      <c r="H152" s="17">
        <f>SUM(F152:G152)</f>
        <v>0</v>
      </c>
      <c r="I152" s="9"/>
      <c r="J152" s="9">
        <f t="shared" si="25"/>
        <v>0.16000000000349246</v>
      </c>
      <c r="K152" s="17">
        <f t="shared" si="26"/>
        <v>0</v>
      </c>
      <c r="L152" s="9">
        <f t="shared" si="27"/>
        <v>0.16000000000349246</v>
      </c>
      <c r="M152" s="13"/>
    </row>
    <row r="153" spans="1:13" x14ac:dyDescent="0.25">
      <c r="A153" s="5" t="s">
        <v>24</v>
      </c>
      <c r="B153" s="10">
        <f>SUM(B148:B152)</f>
        <v>1406703.9399999992</v>
      </c>
      <c r="C153" s="10">
        <f>SUM(C148:C152)</f>
        <v>0</v>
      </c>
      <c r="D153" s="10">
        <f>SUM(D148:D152)</f>
        <v>1406703.9399999992</v>
      </c>
      <c r="E153" s="11"/>
      <c r="F153" s="10">
        <f>SUM(F148:F152)</f>
        <v>-782667.99</v>
      </c>
      <c r="G153" s="10">
        <f>SUM(G148:G152)</f>
        <v>-90719.719999999987</v>
      </c>
      <c r="H153" s="10">
        <f>SUM(H148:H152)</f>
        <v>-873387.71000000008</v>
      </c>
      <c r="I153" s="13"/>
      <c r="J153" s="10">
        <f>SUM(J148:J152)</f>
        <v>624035.94999999925</v>
      </c>
      <c r="K153" s="10">
        <f>SUM(K148:K152)</f>
        <v>-90719.719999999987</v>
      </c>
      <c r="L153" s="10">
        <f>SUM(L148:L152)</f>
        <v>533316.2299999994</v>
      </c>
      <c r="M153" s="13"/>
    </row>
    <row r="154" spans="1:13" x14ac:dyDescent="0.25">
      <c r="A154" s="5"/>
      <c r="B154" s="13"/>
      <c r="C154" s="13"/>
      <c r="D154" s="13"/>
      <c r="E154" s="11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5"/>
      <c r="B155" s="13"/>
      <c r="C155" s="13"/>
      <c r="D155" s="13"/>
      <c r="E155" s="11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5"/>
      <c r="B156" s="201" t="s">
        <v>14</v>
      </c>
      <c r="C156" s="201"/>
      <c r="D156" s="201"/>
      <c r="E156" s="17"/>
      <c r="F156" s="201" t="s">
        <v>25</v>
      </c>
      <c r="G156" s="201"/>
      <c r="H156" s="201"/>
      <c r="I156" s="5"/>
      <c r="J156" s="202" t="s">
        <v>16</v>
      </c>
      <c r="K156" s="202"/>
      <c r="L156" s="202"/>
      <c r="M156" s="13"/>
    </row>
    <row r="157" spans="1:13" x14ac:dyDescent="0.25">
      <c r="B157" s="23" t="s">
        <v>17</v>
      </c>
      <c r="C157" s="23" t="s">
        <v>18</v>
      </c>
      <c r="D157" s="23" t="s">
        <v>19</v>
      </c>
      <c r="E157" s="17"/>
      <c r="F157" s="23" t="s">
        <v>17</v>
      </c>
      <c r="G157" s="23" t="s">
        <v>18</v>
      </c>
      <c r="H157" s="23" t="s">
        <v>19</v>
      </c>
      <c r="I157" s="5"/>
      <c r="J157" s="6" t="s">
        <v>17</v>
      </c>
      <c r="K157" s="6" t="s">
        <v>18</v>
      </c>
      <c r="L157" s="6" t="s">
        <v>19</v>
      </c>
      <c r="M157" s="13"/>
    </row>
    <row r="158" spans="1:13" x14ac:dyDescent="0.25">
      <c r="A158" s="7" t="s">
        <v>113</v>
      </c>
      <c r="B158" s="2"/>
      <c r="C158" s="2"/>
      <c r="D158" s="2"/>
      <c r="E158" s="3"/>
      <c r="F158" s="2"/>
      <c r="G158" s="2"/>
      <c r="H158" s="2"/>
      <c r="I158" s="5"/>
      <c r="J158" s="5"/>
      <c r="K158" s="5"/>
      <c r="L158" s="5"/>
      <c r="M158" s="13"/>
    </row>
    <row r="159" spans="1:13" x14ac:dyDescent="0.25">
      <c r="A159" s="4" t="s">
        <v>21</v>
      </c>
      <c r="B159" s="17">
        <f>D148</f>
        <v>1815623.8000000003</v>
      </c>
      <c r="C159" s="17">
        <v>0</v>
      </c>
      <c r="D159" s="17">
        <f>SUM(B159:C159)</f>
        <v>1815623.8000000003</v>
      </c>
      <c r="E159" s="17"/>
      <c r="F159" s="17">
        <f>H148</f>
        <v>-1167925.3700000001</v>
      </c>
      <c r="G159" s="17">
        <v>-121670.63999999998</v>
      </c>
      <c r="H159" s="17">
        <f>SUM(F159:G159)</f>
        <v>-1289596.01</v>
      </c>
      <c r="I159" s="9"/>
      <c r="J159" s="9">
        <f t="shared" ref="J159:J163" si="28">B159+F159</f>
        <v>647698.43000000017</v>
      </c>
      <c r="K159" s="17">
        <f t="shared" ref="K159:K163" si="29">C159+G159</f>
        <v>-121670.63999999998</v>
      </c>
      <c r="L159" s="9">
        <f t="shared" ref="L159:L163" si="30">D159+H159</f>
        <v>526027.79000000027</v>
      </c>
      <c r="M159" s="13"/>
    </row>
    <row r="160" spans="1:13" x14ac:dyDescent="0.25">
      <c r="A160" s="4" t="s">
        <v>22</v>
      </c>
      <c r="B160" s="17">
        <f>D149</f>
        <v>53293.479999999225</v>
      </c>
      <c r="C160" s="17">
        <v>0</v>
      </c>
      <c r="D160" s="17">
        <f>SUM(B160:C160)</f>
        <v>53293.479999999225</v>
      </c>
      <c r="E160" s="17"/>
      <c r="F160" s="17">
        <f>H149</f>
        <v>0</v>
      </c>
      <c r="G160" s="17"/>
      <c r="H160" s="17">
        <f>SUM(F160:G160)</f>
        <v>0</v>
      </c>
      <c r="I160" s="9"/>
      <c r="J160" s="9">
        <f t="shared" si="28"/>
        <v>53293.479999999225</v>
      </c>
      <c r="K160" s="17">
        <f t="shared" si="29"/>
        <v>0</v>
      </c>
      <c r="L160" s="9">
        <f t="shared" si="30"/>
        <v>53293.479999999225</v>
      </c>
      <c r="M160" s="13"/>
    </row>
    <row r="161" spans="1:13" x14ac:dyDescent="0.25">
      <c r="A161" s="4" t="s">
        <v>23</v>
      </c>
      <c r="B161" s="17">
        <f>D150</f>
        <v>21.309999999810845</v>
      </c>
      <c r="C161" s="17">
        <v>0</v>
      </c>
      <c r="D161" s="17">
        <f>SUM(B161:C161)</f>
        <v>21.309999999810845</v>
      </c>
      <c r="E161" s="17"/>
      <c r="F161" s="17">
        <f>H150</f>
        <v>0</v>
      </c>
      <c r="G161" s="17"/>
      <c r="H161" s="17">
        <f>SUM(F161:G161)</f>
        <v>0</v>
      </c>
      <c r="I161" s="9"/>
      <c r="J161" s="9">
        <f t="shared" si="28"/>
        <v>21.309999999810845</v>
      </c>
      <c r="K161" s="17">
        <f t="shared" si="29"/>
        <v>0</v>
      </c>
      <c r="L161" s="9">
        <f t="shared" si="30"/>
        <v>21.309999999810845</v>
      </c>
      <c r="M161" s="13"/>
    </row>
    <row r="162" spans="1:13" x14ac:dyDescent="0.25">
      <c r="A162" s="4" t="s">
        <v>29</v>
      </c>
      <c r="B162" s="17">
        <f>D151</f>
        <v>-462234.81</v>
      </c>
      <c r="C162" s="17">
        <v>0</v>
      </c>
      <c r="D162" s="17">
        <f>SUM(B162:C162)</f>
        <v>-462234.81</v>
      </c>
      <c r="E162" s="17"/>
      <c r="F162" s="17">
        <f>H151</f>
        <v>294537.66000000003</v>
      </c>
      <c r="G162" s="17">
        <v>30950.920000000002</v>
      </c>
      <c r="H162" s="17">
        <f>SUM(F162:G162)</f>
        <v>325488.58</v>
      </c>
      <c r="I162" s="9"/>
      <c r="J162" s="9">
        <f t="shared" si="28"/>
        <v>-167697.14999999997</v>
      </c>
      <c r="K162" s="17">
        <f t="shared" si="29"/>
        <v>30950.920000000002</v>
      </c>
      <c r="L162" s="9">
        <f t="shared" si="30"/>
        <v>-136746.22999999998</v>
      </c>
      <c r="M162" s="13"/>
    </row>
    <row r="163" spans="1:13" x14ac:dyDescent="0.25">
      <c r="A163" s="4" t="s">
        <v>30</v>
      </c>
      <c r="B163" s="17">
        <f>D152</f>
        <v>0.16000000000349246</v>
      </c>
      <c r="C163" s="17">
        <v>0</v>
      </c>
      <c r="D163" s="17">
        <f>SUM(B163:C163)</f>
        <v>0.16000000000349246</v>
      </c>
      <c r="E163" s="17"/>
      <c r="F163" s="17">
        <f>H152</f>
        <v>0</v>
      </c>
      <c r="G163" s="17"/>
      <c r="H163" s="17">
        <f>SUM(F163:G163)</f>
        <v>0</v>
      </c>
      <c r="I163" s="9"/>
      <c r="J163" s="9">
        <f t="shared" si="28"/>
        <v>0.16000000000349246</v>
      </c>
      <c r="K163" s="17">
        <f t="shared" si="29"/>
        <v>0</v>
      </c>
      <c r="L163" s="9">
        <f t="shared" si="30"/>
        <v>0.16000000000349246</v>
      </c>
      <c r="M163" s="13"/>
    </row>
    <row r="164" spans="1:13" x14ac:dyDescent="0.25">
      <c r="A164" s="5" t="s">
        <v>24</v>
      </c>
      <c r="B164" s="10">
        <f>SUM(B159:B163)</f>
        <v>1406703.9399999992</v>
      </c>
      <c r="C164" s="10">
        <f>SUM(C159:C163)</f>
        <v>0</v>
      </c>
      <c r="D164" s="10">
        <f>SUM(D159:D163)</f>
        <v>1406703.9399999992</v>
      </c>
      <c r="E164" s="11"/>
      <c r="F164" s="10">
        <f>SUM(F159:F163)</f>
        <v>-873387.71000000008</v>
      </c>
      <c r="G164" s="10">
        <f>SUM(G159:G163)</f>
        <v>-90719.719999999987</v>
      </c>
      <c r="H164" s="10">
        <f>SUM(H159:H163)</f>
        <v>-964107.42999999993</v>
      </c>
      <c r="I164" s="13"/>
      <c r="J164" s="10">
        <f>SUM(J159:J163)</f>
        <v>533316.2299999994</v>
      </c>
      <c r="K164" s="10">
        <f>SUM(K159:K163)</f>
        <v>-90719.719999999987</v>
      </c>
      <c r="L164" s="10">
        <f>SUM(L159:L163)</f>
        <v>442596.50999999943</v>
      </c>
      <c r="M164" s="13"/>
    </row>
    <row r="165" spans="1:13" x14ac:dyDescent="0.25">
      <c r="A165" s="5"/>
      <c r="B165" s="13"/>
      <c r="C165" s="13"/>
      <c r="D165" s="13"/>
      <c r="E165" s="11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5"/>
      <c r="B166" s="13"/>
      <c r="C166" s="13"/>
      <c r="D166" s="13"/>
      <c r="E166" s="11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5"/>
      <c r="B167" s="201" t="s">
        <v>14</v>
      </c>
      <c r="C167" s="201"/>
      <c r="D167" s="201"/>
      <c r="E167" s="17"/>
      <c r="F167" s="201" t="s">
        <v>25</v>
      </c>
      <c r="G167" s="201"/>
      <c r="H167" s="201"/>
      <c r="I167" s="5"/>
      <c r="J167" s="202" t="s">
        <v>16</v>
      </c>
      <c r="K167" s="202"/>
      <c r="L167" s="202"/>
      <c r="M167" s="13"/>
    </row>
    <row r="168" spans="1:13" x14ac:dyDescent="0.25">
      <c r="B168" s="23" t="s">
        <v>17</v>
      </c>
      <c r="C168" s="23" t="s">
        <v>18</v>
      </c>
      <c r="D168" s="23" t="s">
        <v>19</v>
      </c>
      <c r="E168" s="17"/>
      <c r="F168" s="23" t="s">
        <v>17</v>
      </c>
      <c r="G168" s="23" t="s">
        <v>18</v>
      </c>
      <c r="H168" s="23" t="s">
        <v>19</v>
      </c>
      <c r="I168" s="5"/>
      <c r="J168" s="6" t="s">
        <v>17</v>
      </c>
      <c r="K168" s="6" t="s">
        <v>18</v>
      </c>
      <c r="L168" s="6" t="s">
        <v>19</v>
      </c>
      <c r="M168" s="13"/>
    </row>
    <row r="169" spans="1:13" x14ac:dyDescent="0.25">
      <c r="A169" s="7" t="s">
        <v>114</v>
      </c>
      <c r="B169" s="2"/>
      <c r="C169" s="2"/>
      <c r="D169" s="2"/>
      <c r="E169" s="3"/>
      <c r="F169" s="2"/>
      <c r="G169" s="2"/>
      <c r="H169" s="2"/>
      <c r="I169" s="5"/>
      <c r="J169" s="5"/>
      <c r="K169" s="5"/>
      <c r="L169" s="5"/>
      <c r="M169" s="13"/>
    </row>
    <row r="170" spans="1:13" x14ac:dyDescent="0.25">
      <c r="A170" s="4" t="s">
        <v>21</v>
      </c>
      <c r="B170" s="17">
        <f>D159</f>
        <v>1815623.8000000003</v>
      </c>
      <c r="C170" s="17">
        <v>0</v>
      </c>
      <c r="D170" s="17">
        <f>SUM(B170:C170)</f>
        <v>1815623.8000000003</v>
      </c>
      <c r="E170" s="17"/>
      <c r="F170" s="17">
        <f>H159</f>
        <v>-1289596.01</v>
      </c>
      <c r="G170" s="17">
        <v>-121670.63999999998</v>
      </c>
      <c r="H170" s="17">
        <f>SUM(F170:G170)</f>
        <v>-1411266.65</v>
      </c>
      <c r="I170" s="9"/>
      <c r="J170" s="9">
        <f t="shared" ref="J170:J174" si="31">B170+F170</f>
        <v>526027.79000000027</v>
      </c>
      <c r="K170" s="17">
        <f t="shared" ref="K170:K174" si="32">C170+G170</f>
        <v>-121670.63999999998</v>
      </c>
      <c r="L170" s="9">
        <f t="shared" ref="L170:L174" si="33">D170+H170</f>
        <v>404357.15000000037</v>
      </c>
      <c r="M170" s="13"/>
    </row>
    <row r="171" spans="1:13" x14ac:dyDescent="0.25">
      <c r="A171" s="4" t="s">
        <v>22</v>
      </c>
      <c r="B171" s="17">
        <f>D160</f>
        <v>53293.479999999225</v>
      </c>
      <c r="C171" s="17">
        <v>0</v>
      </c>
      <c r="D171" s="17">
        <f>SUM(B171:C171)</f>
        <v>53293.479999999225</v>
      </c>
      <c r="E171" s="17"/>
      <c r="F171" s="17">
        <f>H160</f>
        <v>0</v>
      </c>
      <c r="G171" s="17"/>
      <c r="H171" s="17">
        <f>SUM(F171:G171)</f>
        <v>0</v>
      </c>
      <c r="I171" s="9"/>
      <c r="J171" s="9">
        <f t="shared" si="31"/>
        <v>53293.479999999225</v>
      </c>
      <c r="K171" s="17">
        <f t="shared" si="32"/>
        <v>0</v>
      </c>
      <c r="L171" s="9">
        <f t="shared" si="33"/>
        <v>53293.479999999225</v>
      </c>
      <c r="M171" s="13"/>
    </row>
    <row r="172" spans="1:13" x14ac:dyDescent="0.25">
      <c r="A172" s="4" t="s">
        <v>23</v>
      </c>
      <c r="B172" s="17">
        <f>D161</f>
        <v>21.309999999810845</v>
      </c>
      <c r="C172" s="17">
        <v>0</v>
      </c>
      <c r="D172" s="17">
        <f>SUM(B172:C172)</f>
        <v>21.309999999810845</v>
      </c>
      <c r="E172" s="17"/>
      <c r="F172" s="17">
        <f>H161</f>
        <v>0</v>
      </c>
      <c r="G172" s="17"/>
      <c r="H172" s="17">
        <f>SUM(F172:G172)</f>
        <v>0</v>
      </c>
      <c r="I172" s="9"/>
      <c r="J172" s="9">
        <f t="shared" si="31"/>
        <v>21.309999999810845</v>
      </c>
      <c r="K172" s="17">
        <f t="shared" si="32"/>
        <v>0</v>
      </c>
      <c r="L172" s="9">
        <f t="shared" si="33"/>
        <v>21.309999999810845</v>
      </c>
      <c r="M172" s="13"/>
    </row>
    <row r="173" spans="1:13" x14ac:dyDescent="0.25">
      <c r="A173" s="4" t="s">
        <v>29</v>
      </c>
      <c r="B173" s="17">
        <f>D162</f>
        <v>-462234.81</v>
      </c>
      <c r="C173" s="17">
        <v>0</v>
      </c>
      <c r="D173" s="17">
        <f>SUM(B173:C173)</f>
        <v>-462234.81</v>
      </c>
      <c r="E173" s="17"/>
      <c r="F173" s="17">
        <f>H162</f>
        <v>325488.58</v>
      </c>
      <c r="G173" s="17">
        <v>30950.920000000002</v>
      </c>
      <c r="H173" s="17">
        <f>SUM(F173:G173)</f>
        <v>356439.5</v>
      </c>
      <c r="I173" s="9"/>
      <c r="J173" s="9">
        <f t="shared" si="31"/>
        <v>-136746.22999999998</v>
      </c>
      <c r="K173" s="17">
        <f t="shared" si="32"/>
        <v>30950.920000000002</v>
      </c>
      <c r="L173" s="9">
        <f t="shared" si="33"/>
        <v>-105795.31</v>
      </c>
      <c r="M173" s="13"/>
    </row>
    <row r="174" spans="1:13" x14ac:dyDescent="0.25">
      <c r="A174" s="4" t="s">
        <v>30</v>
      </c>
      <c r="B174" s="17">
        <f>D163</f>
        <v>0.16000000000349246</v>
      </c>
      <c r="C174" s="17">
        <v>0</v>
      </c>
      <c r="D174" s="17">
        <f>SUM(B174:C174)</f>
        <v>0.16000000000349246</v>
      </c>
      <c r="E174" s="17"/>
      <c r="F174" s="17">
        <f>H163</f>
        <v>0</v>
      </c>
      <c r="G174" s="17"/>
      <c r="H174" s="17">
        <f>SUM(F174:G174)</f>
        <v>0</v>
      </c>
      <c r="I174" s="9"/>
      <c r="J174" s="9">
        <f t="shared" si="31"/>
        <v>0.16000000000349246</v>
      </c>
      <c r="K174" s="17">
        <f t="shared" si="32"/>
        <v>0</v>
      </c>
      <c r="L174" s="9">
        <f t="shared" si="33"/>
        <v>0.16000000000349246</v>
      </c>
      <c r="M174" s="13"/>
    </row>
    <row r="175" spans="1:13" x14ac:dyDescent="0.25">
      <c r="A175" s="5" t="s">
        <v>24</v>
      </c>
      <c r="B175" s="10">
        <f>SUM(B170:B174)</f>
        <v>1406703.9399999992</v>
      </c>
      <c r="C175" s="10">
        <f>SUM(C170:C174)</f>
        <v>0</v>
      </c>
      <c r="D175" s="10">
        <f>SUM(D170:D174)</f>
        <v>1406703.9399999992</v>
      </c>
      <c r="E175" s="11"/>
      <c r="F175" s="10">
        <f>SUM(F170:F174)</f>
        <v>-964107.42999999993</v>
      </c>
      <c r="G175" s="10">
        <f>SUM(G170:G174)</f>
        <v>-90719.719999999987</v>
      </c>
      <c r="H175" s="10">
        <f>SUM(H170:H174)</f>
        <v>-1054827.1499999999</v>
      </c>
      <c r="I175" s="13"/>
      <c r="J175" s="10">
        <f>SUM(J170:J174)</f>
        <v>442596.50999999943</v>
      </c>
      <c r="K175" s="10">
        <f>SUM(K170:K174)</f>
        <v>-90719.719999999987</v>
      </c>
      <c r="L175" s="10">
        <f>SUM(L170:L174)</f>
        <v>351876.78999999946</v>
      </c>
      <c r="M175" s="13"/>
    </row>
    <row r="176" spans="1:13" x14ac:dyDescent="0.25">
      <c r="A176" s="5"/>
      <c r="B176" s="13"/>
      <c r="C176" s="13"/>
      <c r="D176" s="13"/>
      <c r="E176" s="11"/>
      <c r="F176" s="13"/>
      <c r="G176" s="13"/>
      <c r="H176" s="13"/>
      <c r="I176" s="13"/>
      <c r="J176" s="13"/>
      <c r="K176" s="13"/>
      <c r="L176" s="13"/>
      <c r="M176" s="13"/>
    </row>
    <row r="177" spans="1:19" x14ac:dyDescent="0.25">
      <c r="A177" s="5"/>
      <c r="B177" s="13"/>
      <c r="C177" s="13"/>
      <c r="D177" s="13"/>
      <c r="E177" s="11"/>
      <c r="F177" s="13"/>
      <c r="G177" s="13"/>
      <c r="H177" s="13"/>
      <c r="I177" s="13"/>
      <c r="J177" s="13"/>
      <c r="K177" s="13"/>
      <c r="L177" s="13"/>
      <c r="M177" s="13"/>
    </row>
    <row r="178" spans="1:19" x14ac:dyDescent="0.25">
      <c r="B178" s="25">
        <v>2010</v>
      </c>
      <c r="C178" s="25">
        <v>2011</v>
      </c>
      <c r="D178" s="25">
        <v>2012</v>
      </c>
      <c r="E178" s="143">
        <v>2013</v>
      </c>
      <c r="F178" s="25">
        <v>2014</v>
      </c>
      <c r="G178" s="25">
        <v>2015</v>
      </c>
      <c r="H178" s="25">
        <v>2016</v>
      </c>
      <c r="I178" s="25">
        <v>2017</v>
      </c>
      <c r="J178" s="25">
        <v>2018</v>
      </c>
      <c r="K178" s="25">
        <v>2019</v>
      </c>
      <c r="L178" s="25">
        <v>2020</v>
      </c>
      <c r="M178" s="25">
        <v>2021</v>
      </c>
      <c r="N178" s="25">
        <v>2022</v>
      </c>
      <c r="O178" s="25">
        <v>2023</v>
      </c>
      <c r="P178" s="25">
        <v>2024</v>
      </c>
      <c r="Q178" s="25">
        <v>2025</v>
      </c>
      <c r="R178" s="25">
        <v>2026</v>
      </c>
      <c r="S178" s="25" t="s">
        <v>37</v>
      </c>
    </row>
    <row r="179" spans="1:19" x14ac:dyDescent="0.25">
      <c r="A179" s="27" t="s">
        <v>38</v>
      </c>
      <c r="B179" s="28">
        <f>+C8</f>
        <v>61296.569999999992</v>
      </c>
      <c r="C179" s="28">
        <f>+C17</f>
        <v>197413.02999999997</v>
      </c>
      <c r="D179" s="28">
        <f>+C27</f>
        <v>140228.93</v>
      </c>
      <c r="E179" s="28">
        <f>C37</f>
        <v>109278.09</v>
      </c>
      <c r="F179" s="28">
        <f>C47</f>
        <v>87025</v>
      </c>
      <c r="G179" s="28">
        <f>C57</f>
        <v>237572.05000000005</v>
      </c>
      <c r="H179" s="28">
        <f>C67</f>
        <v>161946.25999999998</v>
      </c>
      <c r="I179" s="28">
        <f>C77</f>
        <v>250642.28</v>
      </c>
      <c r="J179" s="28">
        <f>C87</f>
        <v>106144.02000000002</v>
      </c>
      <c r="K179" s="28">
        <f>C98</f>
        <v>55930.649999999259</v>
      </c>
      <c r="L179" s="28">
        <f>+C109</f>
        <v>-6.7099999999999937</v>
      </c>
      <c r="M179" s="28">
        <f>C120</f>
        <v>0</v>
      </c>
      <c r="N179" s="28">
        <f>C131</f>
        <v>0</v>
      </c>
      <c r="O179" s="28">
        <f>C142</f>
        <v>0</v>
      </c>
      <c r="P179" s="28">
        <f>C153</f>
        <v>0</v>
      </c>
      <c r="Q179" s="28">
        <f>C164</f>
        <v>0</v>
      </c>
      <c r="R179" s="28">
        <f>C175</f>
        <v>0</v>
      </c>
      <c r="S179" s="28">
        <f>SUM(B179:R179)</f>
        <v>1407470.1699999992</v>
      </c>
    </row>
    <row r="180" spans="1:19" x14ac:dyDescent="0.25">
      <c r="A180" s="27" t="s">
        <v>39</v>
      </c>
      <c r="B180" s="28">
        <f>+G8</f>
        <v>-766.23</v>
      </c>
      <c r="C180" s="28">
        <f>+G17</f>
        <v>-4476.28</v>
      </c>
      <c r="D180" s="28">
        <f>+G27</f>
        <v>-13032.12</v>
      </c>
      <c r="E180" s="28">
        <f>G37</f>
        <v>-24185.64</v>
      </c>
      <c r="F180" s="28">
        <f>G47</f>
        <v>-34414</v>
      </c>
      <c r="G180" s="28">
        <f>G57</f>
        <v>-45017.909999999996</v>
      </c>
      <c r="H180" s="28">
        <f>G67</f>
        <v>-56770.31</v>
      </c>
      <c r="I180" s="28">
        <f>G77</f>
        <v>-68823.34</v>
      </c>
      <c r="J180" s="28">
        <f>G87</f>
        <v>-82452.469999999987</v>
      </c>
      <c r="K180" s="28">
        <f>G98</f>
        <v>-90616.989999999991</v>
      </c>
      <c r="L180" s="28">
        <f>+G109</f>
        <v>-90719.744999999995</v>
      </c>
      <c r="M180" s="28">
        <f>G120</f>
        <v>-90719.744999999995</v>
      </c>
      <c r="N180" s="28">
        <f>G131</f>
        <v>-90719.72</v>
      </c>
      <c r="O180" s="28">
        <f>G142</f>
        <v>-90719.719999999987</v>
      </c>
      <c r="P180" s="28">
        <f>G153</f>
        <v>-90719.719999999987</v>
      </c>
      <c r="Q180" s="28">
        <f>G164</f>
        <v>-90719.719999999987</v>
      </c>
      <c r="R180" s="28">
        <f>G175</f>
        <v>-90719.719999999987</v>
      </c>
      <c r="S180" s="28">
        <f>SUM(B180:R180)</f>
        <v>-1055593.3799999999</v>
      </c>
    </row>
    <row r="182" spans="1:19" ht="30" x14ac:dyDescent="0.25">
      <c r="A182" s="27"/>
      <c r="B182" s="25">
        <v>2010</v>
      </c>
      <c r="C182" s="25">
        <v>2011</v>
      </c>
      <c r="D182" s="29" t="s">
        <v>40</v>
      </c>
      <c r="E182" s="26">
        <v>2012</v>
      </c>
      <c r="F182" s="25">
        <v>2013</v>
      </c>
      <c r="G182" s="25">
        <v>2014</v>
      </c>
      <c r="H182" s="25">
        <v>2015</v>
      </c>
      <c r="I182" s="25">
        <v>2016</v>
      </c>
      <c r="J182" s="25">
        <v>2017</v>
      </c>
      <c r="K182" s="25">
        <v>2018</v>
      </c>
      <c r="L182" s="25">
        <v>2019</v>
      </c>
      <c r="M182" s="25">
        <v>2020</v>
      </c>
      <c r="N182" s="25">
        <v>2021</v>
      </c>
      <c r="O182" s="25">
        <v>2022</v>
      </c>
      <c r="P182" s="25">
        <v>2023</v>
      </c>
      <c r="Q182" s="25">
        <v>2024</v>
      </c>
      <c r="R182" s="25">
        <v>2025</v>
      </c>
      <c r="S182" s="25">
        <v>2026</v>
      </c>
    </row>
    <row r="183" spans="1:19" x14ac:dyDescent="0.25">
      <c r="A183" s="27" t="s">
        <v>41</v>
      </c>
      <c r="B183" s="30">
        <f>+B179</f>
        <v>61296.569999999992</v>
      </c>
      <c r="C183" s="30">
        <f>+B183+C179</f>
        <v>258709.59999999998</v>
      </c>
      <c r="D183" s="30">
        <f>+D14</f>
        <v>-766.23</v>
      </c>
      <c r="E183" s="30">
        <f>+C183+D179+D183</f>
        <v>398172.3</v>
      </c>
      <c r="F183" s="30">
        <f>+E183+E179</f>
        <v>507450.39</v>
      </c>
      <c r="G183" s="30">
        <f t="shared" ref="G183:K183" si="34">F183+F179</f>
        <v>594475.39</v>
      </c>
      <c r="H183" s="30">
        <f t="shared" si="34"/>
        <v>832047.44000000006</v>
      </c>
      <c r="I183" s="30">
        <f t="shared" si="34"/>
        <v>993993.70000000007</v>
      </c>
      <c r="J183" s="30">
        <f t="shared" si="34"/>
        <v>1244635.98</v>
      </c>
      <c r="K183" s="30">
        <f t="shared" si="34"/>
        <v>1350780</v>
      </c>
      <c r="L183" s="30">
        <f>K183+K179</f>
        <v>1406710.6499999992</v>
      </c>
      <c r="M183" s="30">
        <f>L183+L179</f>
        <v>1406703.9399999992</v>
      </c>
      <c r="N183" s="30">
        <f>M183+M179</f>
        <v>1406703.9399999992</v>
      </c>
      <c r="O183" s="30">
        <f t="shared" ref="O183:R183" si="35">N183+N179</f>
        <v>1406703.9399999992</v>
      </c>
      <c r="P183" s="30">
        <f t="shared" si="35"/>
        <v>1406703.9399999992</v>
      </c>
      <c r="Q183" s="30">
        <f t="shared" si="35"/>
        <v>1406703.9399999992</v>
      </c>
      <c r="R183" s="30">
        <f t="shared" si="35"/>
        <v>1406703.9399999992</v>
      </c>
      <c r="S183" s="30">
        <f>R183+R179</f>
        <v>1406703.9399999992</v>
      </c>
    </row>
    <row r="184" spans="1:19" x14ac:dyDescent="0.25">
      <c r="A184" s="27" t="s">
        <v>42</v>
      </c>
      <c r="B184" s="30">
        <f>-D6-D7</f>
        <v>-38309.629999999808</v>
      </c>
      <c r="C184" s="30">
        <f>-D15-D16</f>
        <v>-147408.16999999981</v>
      </c>
      <c r="D184" s="30">
        <f>-E15-E16</f>
        <v>0</v>
      </c>
      <c r="E184" s="30">
        <f>-D23-D24-D26</f>
        <v>-119276.13999999978</v>
      </c>
      <c r="F184" s="30">
        <f>-D33-D34-D36</f>
        <v>-62309.889999999781</v>
      </c>
      <c r="G184" s="30">
        <f>-D43-D44-D46</f>
        <v>-8712.8899999997811</v>
      </c>
      <c r="H184" s="30">
        <f>-D53-D54-D56</f>
        <v>-68805.339999999793</v>
      </c>
      <c r="I184" s="30">
        <f>-D63-D64-D66</f>
        <v>-55658.91999999978</v>
      </c>
      <c r="J184" s="30">
        <f>-D73-D74-D76</f>
        <v>-119803.20999999979</v>
      </c>
      <c r="K184" s="30">
        <f>-D83-D84-D86</f>
        <v>-3571.5499999997842</v>
      </c>
      <c r="L184" s="30">
        <f>-D94-D95-D97</f>
        <v>-53321.659999999036</v>
      </c>
      <c r="M184" s="30">
        <f>-D105-D106-D108</f>
        <v>-53314.949999999037</v>
      </c>
      <c r="N184" s="30">
        <f>-D116-D117-D119</f>
        <v>-53314.949999999037</v>
      </c>
      <c r="O184" s="30">
        <f>-D127-D128-D130</f>
        <v>-53314.949999999037</v>
      </c>
      <c r="P184" s="30">
        <f>-D138-D139-D141</f>
        <v>-53314.949999999037</v>
      </c>
      <c r="Q184" s="30">
        <f>-D149-D150-D152</f>
        <v>-53314.949999999037</v>
      </c>
      <c r="R184" s="30">
        <f>-D160-D161-D163</f>
        <v>-53314.949999999037</v>
      </c>
      <c r="S184" s="30">
        <f>-D171-D172-D174</f>
        <v>-53314.949999999037</v>
      </c>
    </row>
    <row r="185" spans="1:19" x14ac:dyDescent="0.25">
      <c r="A185" s="27" t="s">
        <v>43</v>
      </c>
      <c r="B185" s="30">
        <f>+B180</f>
        <v>-766.23</v>
      </c>
      <c r="C185" s="30">
        <f>+B185+C180</f>
        <v>-5242.51</v>
      </c>
      <c r="D185" s="30">
        <f>-D183</f>
        <v>766.23</v>
      </c>
      <c r="E185" s="30">
        <f>+C185+D180+D185</f>
        <v>-17508.400000000001</v>
      </c>
      <c r="F185" s="30">
        <f>+E185+E180</f>
        <v>-41694.04</v>
      </c>
      <c r="G185" s="30">
        <f t="shared" ref="G185:K185" si="36">F185+F180</f>
        <v>-76108.040000000008</v>
      </c>
      <c r="H185" s="30">
        <f t="shared" si="36"/>
        <v>-121125.95000000001</v>
      </c>
      <c r="I185" s="30">
        <f t="shared" si="36"/>
        <v>-177896.26</v>
      </c>
      <c r="J185" s="30">
        <f t="shared" si="36"/>
        <v>-246719.6</v>
      </c>
      <c r="K185" s="30">
        <f t="shared" si="36"/>
        <v>-329172.07</v>
      </c>
      <c r="L185" s="30">
        <f>K185+K180</f>
        <v>-419789.06</v>
      </c>
      <c r="M185" s="30">
        <f>L185+L180</f>
        <v>-510508.80499999999</v>
      </c>
      <c r="N185" s="30">
        <f>M185+M180</f>
        <v>-601228.55000000005</v>
      </c>
      <c r="O185" s="30">
        <f t="shared" ref="O185:S185" si="37">N185+N180</f>
        <v>-691948.27</v>
      </c>
      <c r="P185" s="30">
        <f t="shared" si="37"/>
        <v>-782667.99</v>
      </c>
      <c r="Q185" s="30">
        <f t="shared" si="37"/>
        <v>-873387.71</v>
      </c>
      <c r="R185" s="30">
        <f t="shared" si="37"/>
        <v>-964107.42999999993</v>
      </c>
      <c r="S185" s="30">
        <f t="shared" si="37"/>
        <v>-1054827.1499999999</v>
      </c>
    </row>
    <row r="186" spans="1:19" x14ac:dyDescent="0.25">
      <c r="A186" s="31"/>
      <c r="B186" s="32"/>
      <c r="C186" s="32"/>
      <c r="D186" s="32"/>
      <c r="E186" s="32"/>
      <c r="F186" s="32"/>
      <c r="G186" s="32"/>
      <c r="H186" s="32"/>
      <c r="I186" s="32"/>
    </row>
    <row r="187" spans="1:19" ht="30" x14ac:dyDescent="0.25">
      <c r="A187" s="11"/>
      <c r="B187" s="29" t="s">
        <v>44</v>
      </c>
      <c r="C187" s="29" t="s">
        <v>45</v>
      </c>
      <c r="D187" s="8"/>
      <c r="E187" s="33" t="s">
        <v>46</v>
      </c>
      <c r="F187" s="29" t="s">
        <v>47</v>
      </c>
      <c r="G187" s="29" t="s">
        <v>48</v>
      </c>
      <c r="H187" s="29" t="s">
        <v>49</v>
      </c>
      <c r="I187" s="29" t="s">
        <v>50</v>
      </c>
      <c r="J187" s="29" t="s">
        <v>51</v>
      </c>
      <c r="K187" s="29" t="s">
        <v>52</v>
      </c>
      <c r="L187" s="29" t="s">
        <v>53</v>
      </c>
      <c r="M187" s="29" t="s">
        <v>77</v>
      </c>
      <c r="N187" s="29" t="s">
        <v>81</v>
      </c>
      <c r="O187" s="29" t="s">
        <v>115</v>
      </c>
      <c r="P187" s="29" t="s">
        <v>116</v>
      </c>
      <c r="Q187" s="29" t="s">
        <v>117</v>
      </c>
      <c r="R187" s="29" t="s">
        <v>118</v>
      </c>
      <c r="S187" s="29" t="s">
        <v>119</v>
      </c>
    </row>
    <row r="188" spans="1:19" x14ac:dyDescent="0.25">
      <c r="B188" s="34">
        <f>+B183/2</f>
        <v>30648.284999999996</v>
      </c>
      <c r="C188" s="34">
        <f>+(B183+C183+D183)/2</f>
        <v>159619.97</v>
      </c>
      <c r="E188" s="34">
        <f>+(C183+D183+E183)/2</f>
        <v>328057.83499999996</v>
      </c>
      <c r="F188" s="34">
        <f>+(E183+F183)/2</f>
        <v>452811.34499999997</v>
      </c>
      <c r="G188" s="34">
        <f t="shared" ref="F188:L190" si="38">+(F183+G183)/2</f>
        <v>550962.89</v>
      </c>
      <c r="H188" s="34">
        <f t="shared" si="38"/>
        <v>713261.41500000004</v>
      </c>
      <c r="I188" s="34">
        <f t="shared" ref="I188:N188" si="39">+(H183+I183)/2</f>
        <v>913020.57000000007</v>
      </c>
      <c r="J188" s="34">
        <f t="shared" si="39"/>
        <v>1119314.8400000001</v>
      </c>
      <c r="K188" s="34">
        <f t="shared" si="39"/>
        <v>1297707.99</v>
      </c>
      <c r="L188" s="34">
        <f t="shared" si="39"/>
        <v>1378745.3249999997</v>
      </c>
      <c r="M188" s="34">
        <f t="shared" si="39"/>
        <v>1406707.2949999992</v>
      </c>
      <c r="N188" s="34">
        <f t="shared" si="39"/>
        <v>1406703.9399999992</v>
      </c>
      <c r="O188" s="34">
        <f t="shared" ref="O188:O190" si="40">+(N183+O183)/2</f>
        <v>1406703.9399999992</v>
      </c>
      <c r="P188" s="34">
        <f t="shared" ref="P188:P190" si="41">+(O183+P183)/2</f>
        <v>1406703.9399999992</v>
      </c>
      <c r="Q188" s="34">
        <f t="shared" ref="Q188:Q190" si="42">+(P183+Q183)/2</f>
        <v>1406703.9399999992</v>
      </c>
      <c r="R188" s="34">
        <f t="shared" ref="R188:R190" si="43">+(Q183+R183)/2</f>
        <v>1406703.9399999992</v>
      </c>
      <c r="S188" s="34">
        <f t="shared" ref="S188:S189" si="44">+(R183+S183)/2</f>
        <v>1406703.9399999992</v>
      </c>
    </row>
    <row r="189" spans="1:19" x14ac:dyDescent="0.25">
      <c r="B189" s="34">
        <f>+B184/2</f>
        <v>-19154.814999999904</v>
      </c>
      <c r="C189" s="34">
        <f>+(B184+C184+D184)/2</f>
        <v>-92858.899999999805</v>
      </c>
      <c r="E189" s="34">
        <f>+(C184+D184+E184)/2</f>
        <v>-133342.1549999998</v>
      </c>
      <c r="F189" s="34">
        <f t="shared" si="38"/>
        <v>-90793.014999999781</v>
      </c>
      <c r="G189" s="34">
        <f t="shared" si="38"/>
        <v>-35511.389999999781</v>
      </c>
      <c r="H189" s="34">
        <f t="shared" si="38"/>
        <v>-38759.114999999787</v>
      </c>
      <c r="I189" s="34">
        <f t="shared" si="38"/>
        <v>-62232.129999999786</v>
      </c>
      <c r="J189" s="34">
        <f t="shared" si="38"/>
        <v>-87731.064999999784</v>
      </c>
      <c r="K189" s="34">
        <f t="shared" si="38"/>
        <v>-61687.379999999786</v>
      </c>
      <c r="L189" s="34">
        <f>+(K184+L184)/2</f>
        <v>-28446.60499999941</v>
      </c>
      <c r="M189" s="34">
        <f t="shared" ref="M189:M190" si="45">+(L184+M184)/2</f>
        <v>-53318.304999999033</v>
      </c>
      <c r="N189" s="34">
        <f>+(M184+N184)/2</f>
        <v>-53314.949999999037</v>
      </c>
      <c r="O189" s="34">
        <f t="shared" si="40"/>
        <v>-53314.949999999037</v>
      </c>
      <c r="P189" s="34">
        <f t="shared" si="41"/>
        <v>-53314.949999999037</v>
      </c>
      <c r="Q189" s="34">
        <f t="shared" si="42"/>
        <v>-53314.949999999037</v>
      </c>
      <c r="R189" s="34">
        <f t="shared" si="43"/>
        <v>-53314.949999999037</v>
      </c>
      <c r="S189" s="34">
        <f t="shared" si="44"/>
        <v>-53314.949999999037</v>
      </c>
    </row>
    <row r="190" spans="1:19" x14ac:dyDescent="0.25">
      <c r="B190" s="34">
        <f>+B185/2</f>
        <v>-383.11500000000001</v>
      </c>
      <c r="C190" s="34">
        <f>+(B185+C185+D185)/2</f>
        <v>-2621.2550000000001</v>
      </c>
      <c r="E190" s="34">
        <f>+(C185+D185+E185)/2</f>
        <v>-10992.34</v>
      </c>
      <c r="F190" s="34">
        <f t="shared" si="38"/>
        <v>-29601.22</v>
      </c>
      <c r="G190" s="34">
        <f t="shared" si="38"/>
        <v>-58901.040000000008</v>
      </c>
      <c r="H190" s="34">
        <f t="shared" si="38"/>
        <v>-98616.99500000001</v>
      </c>
      <c r="I190" s="34">
        <f t="shared" si="38"/>
        <v>-149511.10500000001</v>
      </c>
      <c r="J190" s="34">
        <f t="shared" si="38"/>
        <v>-212307.93</v>
      </c>
      <c r="K190" s="34">
        <f t="shared" si="38"/>
        <v>-287945.83500000002</v>
      </c>
      <c r="L190" s="34">
        <f t="shared" si="38"/>
        <v>-374480.565</v>
      </c>
      <c r="M190" s="34">
        <f t="shared" si="45"/>
        <v>-465148.9325</v>
      </c>
      <c r="N190" s="34">
        <f>+(M185+N185)/2</f>
        <v>-555868.67749999999</v>
      </c>
      <c r="O190" s="34">
        <f t="shared" si="40"/>
        <v>-646588.41</v>
      </c>
      <c r="P190" s="34">
        <f t="shared" si="41"/>
        <v>-737308.13</v>
      </c>
      <c r="Q190" s="34">
        <f t="shared" si="42"/>
        <v>-828027.85</v>
      </c>
      <c r="R190" s="34">
        <f t="shared" si="43"/>
        <v>-918747.57</v>
      </c>
      <c r="S190" s="34">
        <f>+(R185+S185)/2</f>
        <v>-1009467.2899999999</v>
      </c>
    </row>
    <row r="191" spans="1:19" x14ac:dyDescent="0.25">
      <c r="B191" s="35">
        <f>SUM(B188:B190)</f>
        <v>11110.355000000092</v>
      </c>
      <c r="C191" s="35">
        <f>SUM(C188:C190)</f>
        <v>64139.815000000199</v>
      </c>
      <c r="E191" s="34">
        <f t="shared" ref="E191:M191" si="46">SUM(E188:E190)</f>
        <v>183723.34000000017</v>
      </c>
      <c r="F191" s="35">
        <f t="shared" si="46"/>
        <v>332417.11000000022</v>
      </c>
      <c r="G191" s="35">
        <f t="shared" si="46"/>
        <v>456550.4600000002</v>
      </c>
      <c r="H191" s="35">
        <f t="shared" si="46"/>
        <v>575885.30500000028</v>
      </c>
      <c r="I191" s="35">
        <f t="shared" si="46"/>
        <v>701277.33500000031</v>
      </c>
      <c r="J191" s="35">
        <f t="shared" si="46"/>
        <v>819275.8450000002</v>
      </c>
      <c r="K191" s="35">
        <f t="shared" si="46"/>
        <v>948074.77500000014</v>
      </c>
      <c r="L191" s="35">
        <f t="shared" ref="L191" si="47">SUM(L188:L190)</f>
        <v>975818.15500000026</v>
      </c>
      <c r="M191" s="35">
        <f t="shared" si="46"/>
        <v>888240.05750000023</v>
      </c>
      <c r="N191" s="35">
        <f>SUM(N188:N190)</f>
        <v>797520.31250000023</v>
      </c>
      <c r="O191" s="35">
        <f t="shared" ref="O191:S191" si="48">SUM(O188:O190)</f>
        <v>706800.58000000019</v>
      </c>
      <c r="P191" s="35">
        <f t="shared" si="48"/>
        <v>616080.86000000022</v>
      </c>
      <c r="Q191" s="35">
        <f t="shared" si="48"/>
        <v>525361.14000000025</v>
      </c>
      <c r="R191" s="35">
        <f t="shared" si="48"/>
        <v>434641.42000000027</v>
      </c>
      <c r="S191" s="35">
        <f t="shared" si="48"/>
        <v>343921.7000000003</v>
      </c>
    </row>
    <row r="192" spans="1:19" x14ac:dyDescent="0.25">
      <c r="M192" s="14"/>
    </row>
    <row r="193" spans="13:13" x14ac:dyDescent="0.25">
      <c r="M193" s="66"/>
    </row>
  </sheetData>
  <mergeCells count="51">
    <mergeCell ref="B19:D19"/>
    <mergeCell ref="F19:H19"/>
    <mergeCell ref="J19:L19"/>
    <mergeCell ref="B29:D29"/>
    <mergeCell ref="F29:H29"/>
    <mergeCell ref="J29:L29"/>
    <mergeCell ref="B2:D2"/>
    <mergeCell ref="F2:H2"/>
    <mergeCell ref="J2:L2"/>
    <mergeCell ref="B10:D10"/>
    <mergeCell ref="F10:H10"/>
    <mergeCell ref="J10:L10"/>
    <mergeCell ref="F39:H39"/>
    <mergeCell ref="J39:L39"/>
    <mergeCell ref="B49:D49"/>
    <mergeCell ref="F49:H49"/>
    <mergeCell ref="J49:L49"/>
    <mergeCell ref="B39:D39"/>
    <mergeCell ref="B59:D59"/>
    <mergeCell ref="F59:H59"/>
    <mergeCell ref="J59:L59"/>
    <mergeCell ref="B69:D69"/>
    <mergeCell ref="F69:H69"/>
    <mergeCell ref="J69:L69"/>
    <mergeCell ref="B112:D112"/>
    <mergeCell ref="F112:H112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B123:D123"/>
    <mergeCell ref="F123:H123"/>
    <mergeCell ref="J123:L123"/>
    <mergeCell ref="B134:D134"/>
    <mergeCell ref="F134:H134"/>
    <mergeCell ref="J134:L134"/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9"/>
  <sheetViews>
    <sheetView workbookViewId="0">
      <selection activeCell="G20" sqref="G20"/>
    </sheetView>
  </sheetViews>
  <sheetFormatPr defaultRowHeight="15" x14ac:dyDescent="0.25"/>
  <cols>
    <col min="1" max="1" width="2.5703125" style="1" customWidth="1"/>
    <col min="2" max="2" width="37.42578125" style="1" bestFit="1" customWidth="1"/>
    <col min="3" max="3" width="9.42578125" style="1" customWidth="1"/>
    <col min="4" max="4" width="12.42578125" style="36" bestFit="1" customWidth="1"/>
    <col min="5" max="6" width="13.28515625" style="36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20" width="11.5703125" style="1" bestFit="1" customWidth="1"/>
    <col min="21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1" spans="1:20" x14ac:dyDescent="0.25">
      <c r="A1" s="37"/>
      <c r="B1" s="37"/>
      <c r="C1" s="37"/>
      <c r="D1" s="38"/>
      <c r="E1" s="38"/>
      <c r="F1" s="38"/>
    </row>
    <row r="2" spans="1:20" ht="26.25" x14ac:dyDescent="0.4">
      <c r="A2" s="37"/>
      <c r="B2" s="39" t="s">
        <v>54</v>
      </c>
      <c r="C2" s="40"/>
      <c r="D2" s="38"/>
      <c r="E2" s="38"/>
      <c r="F2" s="38"/>
    </row>
    <row r="3" spans="1:20" x14ac:dyDescent="0.25">
      <c r="A3" s="37"/>
      <c r="B3" s="41"/>
      <c r="C3" s="41"/>
      <c r="D3" s="42"/>
      <c r="E3" s="42"/>
      <c r="F3" s="42"/>
      <c r="G3" s="3"/>
      <c r="H3" s="3"/>
      <c r="I3" s="3"/>
      <c r="J3" s="3"/>
      <c r="K3" s="3"/>
      <c r="L3" s="3"/>
    </row>
    <row r="4" spans="1:20" x14ac:dyDescent="0.25">
      <c r="B4" s="41"/>
      <c r="C4" s="41"/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  <c r="O4" s="43">
        <v>2021</v>
      </c>
      <c r="P4" s="43">
        <v>2022</v>
      </c>
      <c r="Q4" s="43">
        <v>2023</v>
      </c>
      <c r="R4" s="43">
        <v>2024</v>
      </c>
      <c r="S4" s="43">
        <v>2025</v>
      </c>
      <c r="T4" s="43">
        <v>2026</v>
      </c>
    </row>
    <row r="5" spans="1:20" x14ac:dyDescent="0.25">
      <c r="B5" s="44"/>
      <c r="C5" s="44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5">
      <c r="B6" s="44" t="s">
        <v>55</v>
      </c>
      <c r="C6" s="44"/>
      <c r="D6" s="45">
        <v>0</v>
      </c>
      <c r="E6" s="45">
        <f t="shared" ref="E6:O6" si="0">D14</f>
        <v>58844.70719999999</v>
      </c>
      <c r="F6" s="45">
        <f t="shared" si="0"/>
        <v>243653.63942399996</v>
      </c>
      <c r="G6" s="45">
        <f t="shared" si="0"/>
        <v>358781.12107007997</v>
      </c>
      <c r="H6" s="45">
        <f t="shared" si="0"/>
        <v>434985.59778447356</v>
      </c>
      <c r="I6" s="45">
        <f t="shared" si="0"/>
        <v>483730.74996171566</v>
      </c>
      <c r="J6" s="45">
        <f t="shared" si="0"/>
        <v>673101.45796477841</v>
      </c>
      <c r="K6" s="45">
        <f t="shared" si="0"/>
        <v>774721.75092759612</v>
      </c>
      <c r="L6" s="45">
        <f t="shared" si="0"/>
        <v>953360.59965338849</v>
      </c>
      <c r="M6" s="45">
        <f t="shared" si="0"/>
        <v>978990.01088111731</v>
      </c>
      <c r="N6" s="45">
        <f t="shared" si="0"/>
        <v>954364.23401062714</v>
      </c>
      <c r="O6" s="45">
        <f t="shared" si="0"/>
        <v>878008.65368977701</v>
      </c>
      <c r="P6" s="45">
        <f>O14</f>
        <v>807767.96139459487</v>
      </c>
      <c r="Q6" s="45">
        <f t="shared" ref="Q6" si="1">P14</f>
        <v>743146.52448302729</v>
      </c>
      <c r="R6" s="45">
        <f t="shared" ref="R6" si="2">Q14</f>
        <v>683694.80252438504</v>
      </c>
      <c r="S6" s="45">
        <f t="shared" ref="S6" si="3">R14</f>
        <v>628999.21832243423</v>
      </c>
      <c r="T6" s="45">
        <f t="shared" ref="T6" si="4">S14</f>
        <v>578679.2808566395</v>
      </c>
    </row>
    <row r="7" spans="1:20" x14ac:dyDescent="0.25">
      <c r="B7" s="44" t="s">
        <v>56</v>
      </c>
      <c r="C7" s="44"/>
      <c r="D7" s="42">
        <f>+'Avg NFA'!C8</f>
        <v>61296.569999999992</v>
      </c>
      <c r="E7" s="42">
        <f>+'Avg NFA'!C17</f>
        <v>197413.02999999997</v>
      </c>
      <c r="F7" s="42">
        <f>+'Avg NFA'!C27</f>
        <v>140228.93</v>
      </c>
      <c r="G7" s="42">
        <f>+'Avg NFA'!C37</f>
        <v>109278.09</v>
      </c>
      <c r="H7" s="42">
        <f>+'Avg NFA'!C47</f>
        <v>87025</v>
      </c>
      <c r="I7" s="42">
        <f>+'Avg NFA'!C57</f>
        <v>237572.05000000005</v>
      </c>
      <c r="J7" s="42">
        <f>+'Avg NFA'!C67</f>
        <v>161946.25999999998</v>
      </c>
      <c r="K7" s="42">
        <f>+'Avg NFA'!C77</f>
        <v>250642.28</v>
      </c>
      <c r="L7" s="42">
        <f>+'Avg NFA'!C87</f>
        <v>106144.02000000002</v>
      </c>
      <c r="M7" s="42">
        <f>+'Avg NFA'!C98</f>
        <v>55930.649999999259</v>
      </c>
      <c r="N7" s="42">
        <f>+'Avg NFA'!C109</f>
        <v>-6.7099999999999937</v>
      </c>
      <c r="O7" s="42">
        <f>'Avg NFA'!C120</f>
        <v>0</v>
      </c>
      <c r="P7" s="42">
        <f>'Avg NFA'!C131</f>
        <v>0</v>
      </c>
      <c r="Q7" s="42">
        <f>'Avg NFA'!C142</f>
        <v>0</v>
      </c>
      <c r="R7" s="42">
        <f>'Avg NFA'!C153</f>
        <v>0</v>
      </c>
      <c r="S7" s="42">
        <f>'Avg NFA'!C164</f>
        <v>0</v>
      </c>
      <c r="T7" s="42">
        <f>'Avg NFA'!C175</f>
        <v>0</v>
      </c>
    </row>
    <row r="8" spans="1:20" x14ac:dyDescent="0.25">
      <c r="B8" s="44" t="s">
        <v>57</v>
      </c>
      <c r="C8" s="44"/>
      <c r="D8" s="45">
        <f t="shared" ref="D8:I8" si="5">SUM(D6:D7)</f>
        <v>61296.569999999992</v>
      </c>
      <c r="E8" s="45">
        <f t="shared" si="5"/>
        <v>256257.73719999997</v>
      </c>
      <c r="F8" s="45">
        <f t="shared" si="5"/>
        <v>383882.56942399999</v>
      </c>
      <c r="G8" s="45">
        <f t="shared" si="5"/>
        <v>468059.21107007994</v>
      </c>
      <c r="H8" s="45">
        <f t="shared" si="5"/>
        <v>522010.59778447356</v>
      </c>
      <c r="I8" s="45">
        <f t="shared" si="5"/>
        <v>721302.7999617157</v>
      </c>
      <c r="J8" s="45">
        <f t="shared" ref="J8:O8" si="6">SUM(J6:J7)</f>
        <v>835047.71796477842</v>
      </c>
      <c r="K8" s="45">
        <f t="shared" si="6"/>
        <v>1025364.0309275961</v>
      </c>
      <c r="L8" s="45">
        <f t="shared" si="6"/>
        <v>1059504.6196533884</v>
      </c>
      <c r="M8" s="45">
        <f t="shared" si="6"/>
        <v>1034920.6608811165</v>
      </c>
      <c r="N8" s="45">
        <f t="shared" si="6"/>
        <v>954357.52401062718</v>
      </c>
      <c r="O8" s="45">
        <f t="shared" si="6"/>
        <v>878008.65368977701</v>
      </c>
      <c r="P8" s="45">
        <f t="shared" ref="P8:T8" si="7">SUM(P6:P7)</f>
        <v>807767.96139459487</v>
      </c>
      <c r="Q8" s="45">
        <f t="shared" si="7"/>
        <v>743146.52448302729</v>
      </c>
      <c r="R8" s="45">
        <f t="shared" si="7"/>
        <v>683694.80252438504</v>
      </c>
      <c r="S8" s="45">
        <f t="shared" si="7"/>
        <v>628999.21832243423</v>
      </c>
      <c r="T8" s="45">
        <f t="shared" si="7"/>
        <v>578679.2808566395</v>
      </c>
    </row>
    <row r="9" spans="1:20" x14ac:dyDescent="0.25">
      <c r="B9" s="44" t="s">
        <v>58</v>
      </c>
      <c r="C9" s="44"/>
      <c r="D9" s="42">
        <f t="shared" ref="D9:I9" si="8">D7/2</f>
        <v>30648.284999999996</v>
      </c>
      <c r="E9" s="42">
        <f t="shared" si="8"/>
        <v>98706.514999999985</v>
      </c>
      <c r="F9" s="42">
        <f t="shared" si="8"/>
        <v>70114.464999999997</v>
      </c>
      <c r="G9" s="42">
        <f t="shared" si="8"/>
        <v>54639.044999999998</v>
      </c>
      <c r="H9" s="42">
        <f t="shared" si="8"/>
        <v>43512.5</v>
      </c>
      <c r="I9" s="42">
        <f t="shared" si="8"/>
        <v>118786.02500000002</v>
      </c>
      <c r="J9" s="42">
        <f t="shared" ref="J9:O9" si="9">J7/2</f>
        <v>80973.12999999999</v>
      </c>
      <c r="K9" s="42">
        <f t="shared" si="9"/>
        <v>125321.14</v>
      </c>
      <c r="L9" s="42">
        <f t="shared" si="9"/>
        <v>53072.010000000009</v>
      </c>
      <c r="M9" s="42">
        <f t="shared" si="9"/>
        <v>27965.32499999963</v>
      </c>
      <c r="N9" s="42">
        <f t="shared" si="9"/>
        <v>-3.3549999999999969</v>
      </c>
      <c r="O9" s="42">
        <f t="shared" si="9"/>
        <v>0</v>
      </c>
      <c r="P9" s="42">
        <f t="shared" ref="P9:T9" si="10">P7/2</f>
        <v>0</v>
      </c>
      <c r="Q9" s="42">
        <f t="shared" si="10"/>
        <v>0</v>
      </c>
      <c r="R9" s="42">
        <f t="shared" si="10"/>
        <v>0</v>
      </c>
      <c r="S9" s="42">
        <f t="shared" si="10"/>
        <v>0</v>
      </c>
      <c r="T9" s="42">
        <f t="shared" si="10"/>
        <v>0</v>
      </c>
    </row>
    <row r="10" spans="1:20" x14ac:dyDescent="0.25">
      <c r="B10" s="44" t="s">
        <v>59</v>
      </c>
      <c r="C10" s="44"/>
      <c r="D10" s="45">
        <f t="shared" ref="D10:I10" si="11">D8-D9</f>
        <v>30648.284999999996</v>
      </c>
      <c r="E10" s="45">
        <f t="shared" si="11"/>
        <v>157551.22219999999</v>
      </c>
      <c r="F10" s="45">
        <f t="shared" si="11"/>
        <v>313768.10442400002</v>
      </c>
      <c r="G10" s="45">
        <f t="shared" si="11"/>
        <v>413420.16607007995</v>
      </c>
      <c r="H10" s="45">
        <f t="shared" si="11"/>
        <v>478498.09778447356</v>
      </c>
      <c r="I10" s="45">
        <f t="shared" si="11"/>
        <v>602516.77496171568</v>
      </c>
      <c r="J10" s="45">
        <f t="shared" ref="J10:O10" si="12">J8-J9</f>
        <v>754074.58796477842</v>
      </c>
      <c r="K10" s="45">
        <f t="shared" si="12"/>
        <v>900042.89092759613</v>
      </c>
      <c r="L10" s="45">
        <f t="shared" si="12"/>
        <v>1006432.6096533884</v>
      </c>
      <c r="M10" s="45">
        <f t="shared" si="12"/>
        <v>1006955.3358811169</v>
      </c>
      <c r="N10" s="45">
        <f t="shared" si="12"/>
        <v>954360.87901062716</v>
      </c>
      <c r="O10" s="45">
        <f t="shared" si="12"/>
        <v>878008.65368977701</v>
      </c>
      <c r="P10" s="45">
        <f t="shared" ref="P10:T10" si="13">P8-P9</f>
        <v>807767.96139459487</v>
      </c>
      <c r="Q10" s="45">
        <f t="shared" si="13"/>
        <v>743146.52448302729</v>
      </c>
      <c r="R10" s="45">
        <f t="shared" si="13"/>
        <v>683694.80252438504</v>
      </c>
      <c r="S10" s="45">
        <f t="shared" si="13"/>
        <v>628999.21832243423</v>
      </c>
      <c r="T10" s="45">
        <f t="shared" si="13"/>
        <v>578679.2808566395</v>
      </c>
    </row>
    <row r="11" spans="1:20" x14ac:dyDescent="0.25">
      <c r="B11" s="41" t="s">
        <v>60</v>
      </c>
      <c r="C11" s="46">
        <v>47</v>
      </c>
      <c r="D11" s="46">
        <v>47</v>
      </c>
      <c r="E11" s="46">
        <v>47</v>
      </c>
      <c r="F11" s="46">
        <v>47</v>
      </c>
      <c r="G11" s="46">
        <v>47</v>
      </c>
      <c r="H11" s="46">
        <v>47</v>
      </c>
      <c r="I11" s="46">
        <v>47</v>
      </c>
      <c r="J11" s="46">
        <v>47</v>
      </c>
      <c r="K11" s="46">
        <v>47</v>
      </c>
      <c r="L11" s="46">
        <v>47</v>
      </c>
      <c r="M11" s="46">
        <v>47</v>
      </c>
      <c r="N11" s="46">
        <v>47</v>
      </c>
      <c r="O11" s="46">
        <v>47</v>
      </c>
      <c r="P11" s="46">
        <v>47</v>
      </c>
      <c r="Q11" s="46">
        <v>47</v>
      </c>
      <c r="R11" s="46">
        <v>47</v>
      </c>
      <c r="S11" s="46">
        <v>47</v>
      </c>
      <c r="T11" s="46">
        <v>47</v>
      </c>
    </row>
    <row r="12" spans="1:20" x14ac:dyDescent="0.25">
      <c r="B12" s="41" t="s">
        <v>61</v>
      </c>
      <c r="C12" s="47">
        <v>0.08</v>
      </c>
      <c r="D12" s="47">
        <v>0.08</v>
      </c>
      <c r="E12" s="47">
        <v>0.08</v>
      </c>
      <c r="F12" s="47">
        <v>0.08</v>
      </c>
      <c r="G12" s="47">
        <v>0.08</v>
      </c>
      <c r="H12" s="47">
        <v>0.08</v>
      </c>
      <c r="I12" s="47">
        <v>0.08</v>
      </c>
      <c r="J12" s="47">
        <v>0.08</v>
      </c>
      <c r="K12" s="47">
        <v>0.08</v>
      </c>
      <c r="L12" s="47">
        <v>0.08</v>
      </c>
      <c r="M12" s="47">
        <v>0.08</v>
      </c>
      <c r="N12" s="47">
        <v>0.08</v>
      </c>
      <c r="O12" s="47">
        <v>0.08</v>
      </c>
      <c r="P12" s="47">
        <v>0.08</v>
      </c>
      <c r="Q12" s="47">
        <v>0.08</v>
      </c>
      <c r="R12" s="47">
        <v>0.08</v>
      </c>
      <c r="S12" s="47">
        <v>0.08</v>
      </c>
      <c r="T12" s="47">
        <v>0.08</v>
      </c>
    </row>
    <row r="13" spans="1:20" x14ac:dyDescent="0.25">
      <c r="B13" s="44" t="s">
        <v>62</v>
      </c>
      <c r="C13" s="44"/>
      <c r="D13" s="45">
        <f t="shared" ref="D13:I13" si="14">D10*$C$12</f>
        <v>2451.8627999999999</v>
      </c>
      <c r="E13" s="45">
        <f t="shared" si="14"/>
        <v>12604.097775999999</v>
      </c>
      <c r="F13" s="45">
        <f t="shared" si="14"/>
        <v>25101.448353920001</v>
      </c>
      <c r="G13" s="45">
        <f t="shared" si="14"/>
        <v>33073.6132856064</v>
      </c>
      <c r="H13" s="45">
        <f t="shared" si="14"/>
        <v>38279.847822757889</v>
      </c>
      <c r="I13" s="45">
        <f t="shared" si="14"/>
        <v>48201.341996937255</v>
      </c>
      <c r="J13" s="45">
        <f t="shared" ref="J13:O13" si="15">J10*$C$12</f>
        <v>60325.967037182272</v>
      </c>
      <c r="K13" s="45">
        <f t="shared" si="15"/>
        <v>72003.431274207687</v>
      </c>
      <c r="L13" s="45">
        <f t="shared" si="15"/>
        <v>80514.608772271065</v>
      </c>
      <c r="M13" s="45">
        <f t="shared" si="15"/>
        <v>80556.426870489362</v>
      </c>
      <c r="N13" s="45">
        <f t="shared" si="15"/>
        <v>76348.870320850168</v>
      </c>
      <c r="O13" s="45">
        <f t="shared" si="15"/>
        <v>70240.692295182162</v>
      </c>
      <c r="P13" s="45">
        <f t="shared" ref="P13:T13" si="16">P10*$C$12</f>
        <v>64621.436911567587</v>
      </c>
      <c r="Q13" s="45">
        <f t="shared" si="16"/>
        <v>59451.721958642185</v>
      </c>
      <c r="R13" s="45">
        <f t="shared" si="16"/>
        <v>54695.584201950805</v>
      </c>
      <c r="S13" s="45">
        <f t="shared" si="16"/>
        <v>50319.937465794741</v>
      </c>
      <c r="T13" s="45">
        <f t="shared" si="16"/>
        <v>46294.342468531162</v>
      </c>
    </row>
    <row r="14" spans="1:20" ht="15.75" thickBot="1" x14ac:dyDescent="0.3">
      <c r="B14" s="44" t="s">
        <v>63</v>
      </c>
      <c r="C14" s="44"/>
      <c r="D14" s="48">
        <f t="shared" ref="D14:I14" si="17">D8-D13</f>
        <v>58844.70719999999</v>
      </c>
      <c r="E14" s="48">
        <f t="shared" si="17"/>
        <v>243653.63942399996</v>
      </c>
      <c r="F14" s="48">
        <f t="shared" si="17"/>
        <v>358781.12107007997</v>
      </c>
      <c r="G14" s="48">
        <f t="shared" si="17"/>
        <v>434985.59778447356</v>
      </c>
      <c r="H14" s="48">
        <f t="shared" si="17"/>
        <v>483730.74996171566</v>
      </c>
      <c r="I14" s="48">
        <f t="shared" si="17"/>
        <v>673101.45796477841</v>
      </c>
      <c r="J14" s="48">
        <f t="shared" ref="J14:O14" si="18">J8-J13</f>
        <v>774721.75092759612</v>
      </c>
      <c r="K14" s="48">
        <f t="shared" si="18"/>
        <v>953360.59965338849</v>
      </c>
      <c r="L14" s="48">
        <f t="shared" si="18"/>
        <v>978990.01088111731</v>
      </c>
      <c r="M14" s="48">
        <f t="shared" si="18"/>
        <v>954364.23401062714</v>
      </c>
      <c r="N14" s="48">
        <f t="shared" si="18"/>
        <v>878008.65368977701</v>
      </c>
      <c r="O14" s="48">
        <f t="shared" si="18"/>
        <v>807767.96139459487</v>
      </c>
      <c r="P14" s="48">
        <f t="shared" ref="P14:T14" si="19">P8-P13</f>
        <v>743146.52448302729</v>
      </c>
      <c r="Q14" s="48">
        <f t="shared" si="19"/>
        <v>683694.80252438504</v>
      </c>
      <c r="R14" s="48">
        <f t="shared" si="19"/>
        <v>628999.21832243423</v>
      </c>
      <c r="S14" s="48">
        <f t="shared" si="19"/>
        <v>578679.2808566395</v>
      </c>
      <c r="T14" s="48">
        <f t="shared" si="19"/>
        <v>532384.93838810828</v>
      </c>
    </row>
    <row r="15" spans="1:20" x14ac:dyDescent="0.25">
      <c r="B15" s="44"/>
      <c r="C15" s="44"/>
      <c r="D15" s="42"/>
      <c r="E15" s="42"/>
      <c r="F15" s="42"/>
      <c r="G15" s="3"/>
      <c r="H15" s="3"/>
      <c r="I15" s="3"/>
      <c r="J15" s="3"/>
      <c r="K15" s="3"/>
      <c r="L15" s="3"/>
    </row>
    <row r="16" spans="1:20" x14ac:dyDescent="0.25">
      <c r="B16" s="3"/>
      <c r="C16" s="3"/>
      <c r="D16" s="49"/>
      <c r="E16" s="49"/>
      <c r="F16" s="49"/>
      <c r="G16" s="3"/>
      <c r="H16" s="3"/>
      <c r="I16" s="3"/>
      <c r="J16" s="3"/>
      <c r="K16" s="3"/>
      <c r="L16" s="3"/>
    </row>
    <row r="17" spans="2:12" x14ac:dyDescent="0.25">
      <c r="B17" s="3"/>
      <c r="C17" s="3"/>
      <c r="D17" s="49"/>
      <c r="E17" s="49"/>
      <c r="F17" s="49"/>
      <c r="G17" s="3"/>
      <c r="H17" s="3"/>
      <c r="I17" s="3"/>
      <c r="J17" s="3"/>
      <c r="K17" s="3"/>
      <c r="L17" s="3"/>
    </row>
    <row r="18" spans="2:12" x14ac:dyDescent="0.25">
      <c r="B18" s="3"/>
      <c r="C18" s="3"/>
      <c r="D18" s="49"/>
      <c r="E18" s="49"/>
      <c r="F18" s="49"/>
      <c r="G18" s="3"/>
      <c r="H18" s="3"/>
      <c r="I18" s="3"/>
      <c r="J18" s="3"/>
      <c r="K18" s="3"/>
      <c r="L18" s="3"/>
    </row>
    <row r="19" spans="2:12" x14ac:dyDescent="0.25">
      <c r="B19" s="3"/>
      <c r="C19" s="3"/>
      <c r="D19" s="49"/>
      <c r="E19" s="49"/>
      <c r="F19" s="49"/>
      <c r="G19" s="3"/>
      <c r="H19" s="3"/>
      <c r="I19" s="3"/>
      <c r="J19" s="3"/>
      <c r="K19" s="3"/>
      <c r="L19" s="3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S33"/>
  <sheetViews>
    <sheetView topLeftCell="I1" workbookViewId="0">
      <selection activeCell="L13" sqref="L13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8" style="1" customWidth="1"/>
    <col min="4" max="4" width="17.5703125" style="1" customWidth="1"/>
    <col min="5" max="5" width="14.85546875" style="1" customWidth="1"/>
    <col min="6" max="7" width="17.85546875" style="1" customWidth="1"/>
    <col min="8" max="8" width="16.28515625" style="1" customWidth="1"/>
    <col min="9" max="12" width="16.42578125" style="1" customWidth="1"/>
    <col min="13" max="13" width="16" style="1" customWidth="1"/>
    <col min="14" max="19" width="17.7109375" style="1" customWidth="1"/>
    <col min="20" max="255" width="11.28515625" style="1"/>
    <col min="256" max="256" width="3.7109375" style="1" customWidth="1"/>
    <col min="257" max="257" width="32.7109375" style="1" bestFit="1" customWidth="1"/>
    <col min="258" max="258" width="0" style="1" hidden="1" customWidth="1"/>
    <col min="259" max="259" width="18" style="1" customWidth="1"/>
    <col min="260" max="260" width="17.5703125" style="1" customWidth="1"/>
    <col min="261" max="261" width="14.85546875" style="1" customWidth="1"/>
    <col min="262" max="263" width="17.85546875" style="1" customWidth="1"/>
    <col min="264" max="264" width="16.28515625" style="1" customWidth="1"/>
    <col min="265" max="268" width="16.42578125" style="1" customWidth="1"/>
    <col min="269" max="511" width="11.28515625" style="1"/>
    <col min="512" max="512" width="3.7109375" style="1" customWidth="1"/>
    <col min="513" max="513" width="32.7109375" style="1" bestFit="1" customWidth="1"/>
    <col min="514" max="514" width="0" style="1" hidden="1" customWidth="1"/>
    <col min="515" max="515" width="18" style="1" customWidth="1"/>
    <col min="516" max="516" width="17.5703125" style="1" customWidth="1"/>
    <col min="517" max="517" width="14.85546875" style="1" customWidth="1"/>
    <col min="518" max="519" width="17.85546875" style="1" customWidth="1"/>
    <col min="520" max="520" width="16.28515625" style="1" customWidth="1"/>
    <col min="521" max="524" width="16.42578125" style="1" customWidth="1"/>
    <col min="525" max="767" width="11.28515625" style="1"/>
    <col min="768" max="768" width="3.7109375" style="1" customWidth="1"/>
    <col min="769" max="769" width="32.7109375" style="1" bestFit="1" customWidth="1"/>
    <col min="770" max="770" width="0" style="1" hidden="1" customWidth="1"/>
    <col min="771" max="771" width="18" style="1" customWidth="1"/>
    <col min="772" max="772" width="17.5703125" style="1" customWidth="1"/>
    <col min="773" max="773" width="14.85546875" style="1" customWidth="1"/>
    <col min="774" max="775" width="17.85546875" style="1" customWidth="1"/>
    <col min="776" max="776" width="16.28515625" style="1" customWidth="1"/>
    <col min="777" max="780" width="16.42578125" style="1" customWidth="1"/>
    <col min="781" max="1023" width="11.28515625" style="1"/>
    <col min="1024" max="1024" width="3.7109375" style="1" customWidth="1"/>
    <col min="1025" max="1025" width="32.7109375" style="1" bestFit="1" customWidth="1"/>
    <col min="1026" max="1026" width="0" style="1" hidden="1" customWidth="1"/>
    <col min="1027" max="1027" width="18" style="1" customWidth="1"/>
    <col min="1028" max="1028" width="17.5703125" style="1" customWidth="1"/>
    <col min="1029" max="1029" width="14.85546875" style="1" customWidth="1"/>
    <col min="1030" max="1031" width="17.85546875" style="1" customWidth="1"/>
    <col min="1032" max="1032" width="16.28515625" style="1" customWidth="1"/>
    <col min="1033" max="1036" width="16.42578125" style="1" customWidth="1"/>
    <col min="1037" max="1279" width="11.28515625" style="1"/>
    <col min="1280" max="1280" width="3.7109375" style="1" customWidth="1"/>
    <col min="1281" max="1281" width="32.7109375" style="1" bestFit="1" customWidth="1"/>
    <col min="1282" max="1282" width="0" style="1" hidden="1" customWidth="1"/>
    <col min="1283" max="1283" width="18" style="1" customWidth="1"/>
    <col min="1284" max="1284" width="17.5703125" style="1" customWidth="1"/>
    <col min="1285" max="1285" width="14.85546875" style="1" customWidth="1"/>
    <col min="1286" max="1287" width="17.85546875" style="1" customWidth="1"/>
    <col min="1288" max="1288" width="16.28515625" style="1" customWidth="1"/>
    <col min="1289" max="1292" width="16.42578125" style="1" customWidth="1"/>
    <col min="1293" max="1535" width="11.28515625" style="1"/>
    <col min="1536" max="1536" width="3.7109375" style="1" customWidth="1"/>
    <col min="1537" max="1537" width="32.7109375" style="1" bestFit="1" customWidth="1"/>
    <col min="1538" max="1538" width="0" style="1" hidden="1" customWidth="1"/>
    <col min="1539" max="1539" width="18" style="1" customWidth="1"/>
    <col min="1540" max="1540" width="17.5703125" style="1" customWidth="1"/>
    <col min="1541" max="1541" width="14.85546875" style="1" customWidth="1"/>
    <col min="1542" max="1543" width="17.85546875" style="1" customWidth="1"/>
    <col min="1544" max="1544" width="16.28515625" style="1" customWidth="1"/>
    <col min="1545" max="1548" width="16.42578125" style="1" customWidth="1"/>
    <col min="1549" max="1791" width="11.28515625" style="1"/>
    <col min="1792" max="1792" width="3.7109375" style="1" customWidth="1"/>
    <col min="1793" max="1793" width="32.7109375" style="1" bestFit="1" customWidth="1"/>
    <col min="1794" max="1794" width="0" style="1" hidden="1" customWidth="1"/>
    <col min="1795" max="1795" width="18" style="1" customWidth="1"/>
    <col min="1796" max="1796" width="17.5703125" style="1" customWidth="1"/>
    <col min="1797" max="1797" width="14.85546875" style="1" customWidth="1"/>
    <col min="1798" max="1799" width="17.85546875" style="1" customWidth="1"/>
    <col min="1800" max="1800" width="16.28515625" style="1" customWidth="1"/>
    <col min="1801" max="1804" width="16.42578125" style="1" customWidth="1"/>
    <col min="1805" max="2047" width="11.28515625" style="1"/>
    <col min="2048" max="2048" width="3.7109375" style="1" customWidth="1"/>
    <col min="2049" max="2049" width="32.7109375" style="1" bestFit="1" customWidth="1"/>
    <col min="2050" max="2050" width="0" style="1" hidden="1" customWidth="1"/>
    <col min="2051" max="2051" width="18" style="1" customWidth="1"/>
    <col min="2052" max="2052" width="17.5703125" style="1" customWidth="1"/>
    <col min="2053" max="2053" width="14.85546875" style="1" customWidth="1"/>
    <col min="2054" max="2055" width="17.85546875" style="1" customWidth="1"/>
    <col min="2056" max="2056" width="16.28515625" style="1" customWidth="1"/>
    <col min="2057" max="2060" width="16.42578125" style="1" customWidth="1"/>
    <col min="2061" max="2303" width="11.28515625" style="1"/>
    <col min="2304" max="2304" width="3.7109375" style="1" customWidth="1"/>
    <col min="2305" max="2305" width="32.7109375" style="1" bestFit="1" customWidth="1"/>
    <col min="2306" max="2306" width="0" style="1" hidden="1" customWidth="1"/>
    <col min="2307" max="2307" width="18" style="1" customWidth="1"/>
    <col min="2308" max="2308" width="17.5703125" style="1" customWidth="1"/>
    <col min="2309" max="2309" width="14.85546875" style="1" customWidth="1"/>
    <col min="2310" max="2311" width="17.85546875" style="1" customWidth="1"/>
    <col min="2312" max="2312" width="16.28515625" style="1" customWidth="1"/>
    <col min="2313" max="2316" width="16.42578125" style="1" customWidth="1"/>
    <col min="2317" max="2559" width="11.28515625" style="1"/>
    <col min="2560" max="2560" width="3.7109375" style="1" customWidth="1"/>
    <col min="2561" max="2561" width="32.7109375" style="1" bestFit="1" customWidth="1"/>
    <col min="2562" max="2562" width="0" style="1" hidden="1" customWidth="1"/>
    <col min="2563" max="2563" width="18" style="1" customWidth="1"/>
    <col min="2564" max="2564" width="17.5703125" style="1" customWidth="1"/>
    <col min="2565" max="2565" width="14.85546875" style="1" customWidth="1"/>
    <col min="2566" max="2567" width="17.85546875" style="1" customWidth="1"/>
    <col min="2568" max="2568" width="16.28515625" style="1" customWidth="1"/>
    <col min="2569" max="2572" width="16.42578125" style="1" customWidth="1"/>
    <col min="2573" max="2815" width="11.28515625" style="1"/>
    <col min="2816" max="2816" width="3.7109375" style="1" customWidth="1"/>
    <col min="2817" max="2817" width="32.7109375" style="1" bestFit="1" customWidth="1"/>
    <col min="2818" max="2818" width="0" style="1" hidden="1" customWidth="1"/>
    <col min="2819" max="2819" width="18" style="1" customWidth="1"/>
    <col min="2820" max="2820" width="17.5703125" style="1" customWidth="1"/>
    <col min="2821" max="2821" width="14.85546875" style="1" customWidth="1"/>
    <col min="2822" max="2823" width="17.85546875" style="1" customWidth="1"/>
    <col min="2824" max="2824" width="16.28515625" style="1" customWidth="1"/>
    <col min="2825" max="2828" width="16.42578125" style="1" customWidth="1"/>
    <col min="2829" max="3071" width="11.28515625" style="1"/>
    <col min="3072" max="3072" width="3.7109375" style="1" customWidth="1"/>
    <col min="3073" max="3073" width="32.7109375" style="1" bestFit="1" customWidth="1"/>
    <col min="3074" max="3074" width="0" style="1" hidden="1" customWidth="1"/>
    <col min="3075" max="3075" width="18" style="1" customWidth="1"/>
    <col min="3076" max="3076" width="17.5703125" style="1" customWidth="1"/>
    <col min="3077" max="3077" width="14.85546875" style="1" customWidth="1"/>
    <col min="3078" max="3079" width="17.85546875" style="1" customWidth="1"/>
    <col min="3080" max="3080" width="16.28515625" style="1" customWidth="1"/>
    <col min="3081" max="3084" width="16.42578125" style="1" customWidth="1"/>
    <col min="3085" max="3327" width="11.28515625" style="1"/>
    <col min="3328" max="3328" width="3.7109375" style="1" customWidth="1"/>
    <col min="3329" max="3329" width="32.7109375" style="1" bestFit="1" customWidth="1"/>
    <col min="3330" max="3330" width="0" style="1" hidden="1" customWidth="1"/>
    <col min="3331" max="3331" width="18" style="1" customWidth="1"/>
    <col min="3332" max="3332" width="17.5703125" style="1" customWidth="1"/>
    <col min="3333" max="3333" width="14.85546875" style="1" customWidth="1"/>
    <col min="3334" max="3335" width="17.85546875" style="1" customWidth="1"/>
    <col min="3336" max="3336" width="16.28515625" style="1" customWidth="1"/>
    <col min="3337" max="3340" width="16.42578125" style="1" customWidth="1"/>
    <col min="3341" max="3583" width="11.28515625" style="1"/>
    <col min="3584" max="3584" width="3.7109375" style="1" customWidth="1"/>
    <col min="3585" max="3585" width="32.7109375" style="1" bestFit="1" customWidth="1"/>
    <col min="3586" max="3586" width="0" style="1" hidden="1" customWidth="1"/>
    <col min="3587" max="3587" width="18" style="1" customWidth="1"/>
    <col min="3588" max="3588" width="17.5703125" style="1" customWidth="1"/>
    <col min="3589" max="3589" width="14.85546875" style="1" customWidth="1"/>
    <col min="3590" max="3591" width="17.85546875" style="1" customWidth="1"/>
    <col min="3592" max="3592" width="16.28515625" style="1" customWidth="1"/>
    <col min="3593" max="3596" width="16.42578125" style="1" customWidth="1"/>
    <col min="3597" max="3839" width="11.28515625" style="1"/>
    <col min="3840" max="3840" width="3.7109375" style="1" customWidth="1"/>
    <col min="3841" max="3841" width="32.7109375" style="1" bestFit="1" customWidth="1"/>
    <col min="3842" max="3842" width="0" style="1" hidden="1" customWidth="1"/>
    <col min="3843" max="3843" width="18" style="1" customWidth="1"/>
    <col min="3844" max="3844" width="17.5703125" style="1" customWidth="1"/>
    <col min="3845" max="3845" width="14.85546875" style="1" customWidth="1"/>
    <col min="3846" max="3847" width="17.85546875" style="1" customWidth="1"/>
    <col min="3848" max="3848" width="16.28515625" style="1" customWidth="1"/>
    <col min="3849" max="3852" width="16.42578125" style="1" customWidth="1"/>
    <col min="3853" max="4095" width="11.28515625" style="1"/>
    <col min="4096" max="4096" width="3.7109375" style="1" customWidth="1"/>
    <col min="4097" max="4097" width="32.7109375" style="1" bestFit="1" customWidth="1"/>
    <col min="4098" max="4098" width="0" style="1" hidden="1" customWidth="1"/>
    <col min="4099" max="4099" width="18" style="1" customWidth="1"/>
    <col min="4100" max="4100" width="17.5703125" style="1" customWidth="1"/>
    <col min="4101" max="4101" width="14.85546875" style="1" customWidth="1"/>
    <col min="4102" max="4103" width="17.85546875" style="1" customWidth="1"/>
    <col min="4104" max="4104" width="16.28515625" style="1" customWidth="1"/>
    <col min="4105" max="4108" width="16.42578125" style="1" customWidth="1"/>
    <col min="4109" max="4351" width="11.28515625" style="1"/>
    <col min="4352" max="4352" width="3.7109375" style="1" customWidth="1"/>
    <col min="4353" max="4353" width="32.7109375" style="1" bestFit="1" customWidth="1"/>
    <col min="4354" max="4354" width="0" style="1" hidden="1" customWidth="1"/>
    <col min="4355" max="4355" width="18" style="1" customWidth="1"/>
    <col min="4356" max="4356" width="17.5703125" style="1" customWidth="1"/>
    <col min="4357" max="4357" width="14.85546875" style="1" customWidth="1"/>
    <col min="4358" max="4359" width="17.85546875" style="1" customWidth="1"/>
    <col min="4360" max="4360" width="16.28515625" style="1" customWidth="1"/>
    <col min="4361" max="4364" width="16.42578125" style="1" customWidth="1"/>
    <col min="4365" max="4607" width="11.28515625" style="1"/>
    <col min="4608" max="4608" width="3.7109375" style="1" customWidth="1"/>
    <col min="4609" max="4609" width="32.7109375" style="1" bestFit="1" customWidth="1"/>
    <col min="4610" max="4610" width="0" style="1" hidden="1" customWidth="1"/>
    <col min="4611" max="4611" width="18" style="1" customWidth="1"/>
    <col min="4612" max="4612" width="17.5703125" style="1" customWidth="1"/>
    <col min="4613" max="4613" width="14.85546875" style="1" customWidth="1"/>
    <col min="4614" max="4615" width="17.85546875" style="1" customWidth="1"/>
    <col min="4616" max="4616" width="16.28515625" style="1" customWidth="1"/>
    <col min="4617" max="4620" width="16.42578125" style="1" customWidth="1"/>
    <col min="4621" max="4863" width="11.28515625" style="1"/>
    <col min="4864" max="4864" width="3.7109375" style="1" customWidth="1"/>
    <col min="4865" max="4865" width="32.7109375" style="1" bestFit="1" customWidth="1"/>
    <col min="4866" max="4866" width="0" style="1" hidden="1" customWidth="1"/>
    <col min="4867" max="4867" width="18" style="1" customWidth="1"/>
    <col min="4868" max="4868" width="17.5703125" style="1" customWidth="1"/>
    <col min="4869" max="4869" width="14.85546875" style="1" customWidth="1"/>
    <col min="4870" max="4871" width="17.85546875" style="1" customWidth="1"/>
    <col min="4872" max="4872" width="16.28515625" style="1" customWidth="1"/>
    <col min="4873" max="4876" width="16.42578125" style="1" customWidth="1"/>
    <col min="4877" max="5119" width="11.28515625" style="1"/>
    <col min="5120" max="5120" width="3.7109375" style="1" customWidth="1"/>
    <col min="5121" max="5121" width="32.7109375" style="1" bestFit="1" customWidth="1"/>
    <col min="5122" max="5122" width="0" style="1" hidden="1" customWidth="1"/>
    <col min="5123" max="5123" width="18" style="1" customWidth="1"/>
    <col min="5124" max="5124" width="17.5703125" style="1" customWidth="1"/>
    <col min="5125" max="5125" width="14.85546875" style="1" customWidth="1"/>
    <col min="5126" max="5127" width="17.85546875" style="1" customWidth="1"/>
    <col min="5128" max="5128" width="16.28515625" style="1" customWidth="1"/>
    <col min="5129" max="5132" width="16.42578125" style="1" customWidth="1"/>
    <col min="5133" max="5375" width="11.28515625" style="1"/>
    <col min="5376" max="5376" width="3.7109375" style="1" customWidth="1"/>
    <col min="5377" max="5377" width="32.7109375" style="1" bestFit="1" customWidth="1"/>
    <col min="5378" max="5378" width="0" style="1" hidden="1" customWidth="1"/>
    <col min="5379" max="5379" width="18" style="1" customWidth="1"/>
    <col min="5380" max="5380" width="17.5703125" style="1" customWidth="1"/>
    <col min="5381" max="5381" width="14.85546875" style="1" customWidth="1"/>
    <col min="5382" max="5383" width="17.85546875" style="1" customWidth="1"/>
    <col min="5384" max="5384" width="16.28515625" style="1" customWidth="1"/>
    <col min="5385" max="5388" width="16.42578125" style="1" customWidth="1"/>
    <col min="5389" max="5631" width="11.28515625" style="1"/>
    <col min="5632" max="5632" width="3.7109375" style="1" customWidth="1"/>
    <col min="5633" max="5633" width="32.7109375" style="1" bestFit="1" customWidth="1"/>
    <col min="5634" max="5634" width="0" style="1" hidden="1" customWidth="1"/>
    <col min="5635" max="5635" width="18" style="1" customWidth="1"/>
    <col min="5636" max="5636" width="17.5703125" style="1" customWidth="1"/>
    <col min="5637" max="5637" width="14.85546875" style="1" customWidth="1"/>
    <col min="5638" max="5639" width="17.85546875" style="1" customWidth="1"/>
    <col min="5640" max="5640" width="16.28515625" style="1" customWidth="1"/>
    <col min="5641" max="5644" width="16.42578125" style="1" customWidth="1"/>
    <col min="5645" max="5887" width="11.28515625" style="1"/>
    <col min="5888" max="5888" width="3.7109375" style="1" customWidth="1"/>
    <col min="5889" max="5889" width="32.7109375" style="1" bestFit="1" customWidth="1"/>
    <col min="5890" max="5890" width="0" style="1" hidden="1" customWidth="1"/>
    <col min="5891" max="5891" width="18" style="1" customWidth="1"/>
    <col min="5892" max="5892" width="17.5703125" style="1" customWidth="1"/>
    <col min="5893" max="5893" width="14.85546875" style="1" customWidth="1"/>
    <col min="5894" max="5895" width="17.85546875" style="1" customWidth="1"/>
    <col min="5896" max="5896" width="16.28515625" style="1" customWidth="1"/>
    <col min="5897" max="5900" width="16.42578125" style="1" customWidth="1"/>
    <col min="5901" max="6143" width="11.28515625" style="1"/>
    <col min="6144" max="6144" width="3.7109375" style="1" customWidth="1"/>
    <col min="6145" max="6145" width="32.7109375" style="1" bestFit="1" customWidth="1"/>
    <col min="6146" max="6146" width="0" style="1" hidden="1" customWidth="1"/>
    <col min="6147" max="6147" width="18" style="1" customWidth="1"/>
    <col min="6148" max="6148" width="17.5703125" style="1" customWidth="1"/>
    <col min="6149" max="6149" width="14.85546875" style="1" customWidth="1"/>
    <col min="6150" max="6151" width="17.85546875" style="1" customWidth="1"/>
    <col min="6152" max="6152" width="16.28515625" style="1" customWidth="1"/>
    <col min="6153" max="6156" width="16.42578125" style="1" customWidth="1"/>
    <col min="6157" max="6399" width="11.28515625" style="1"/>
    <col min="6400" max="6400" width="3.7109375" style="1" customWidth="1"/>
    <col min="6401" max="6401" width="32.7109375" style="1" bestFit="1" customWidth="1"/>
    <col min="6402" max="6402" width="0" style="1" hidden="1" customWidth="1"/>
    <col min="6403" max="6403" width="18" style="1" customWidth="1"/>
    <col min="6404" max="6404" width="17.5703125" style="1" customWidth="1"/>
    <col min="6405" max="6405" width="14.85546875" style="1" customWidth="1"/>
    <col min="6406" max="6407" width="17.85546875" style="1" customWidth="1"/>
    <col min="6408" max="6408" width="16.28515625" style="1" customWidth="1"/>
    <col min="6409" max="6412" width="16.42578125" style="1" customWidth="1"/>
    <col min="6413" max="6655" width="11.28515625" style="1"/>
    <col min="6656" max="6656" width="3.7109375" style="1" customWidth="1"/>
    <col min="6657" max="6657" width="32.7109375" style="1" bestFit="1" customWidth="1"/>
    <col min="6658" max="6658" width="0" style="1" hidden="1" customWidth="1"/>
    <col min="6659" max="6659" width="18" style="1" customWidth="1"/>
    <col min="6660" max="6660" width="17.5703125" style="1" customWidth="1"/>
    <col min="6661" max="6661" width="14.85546875" style="1" customWidth="1"/>
    <col min="6662" max="6663" width="17.85546875" style="1" customWidth="1"/>
    <col min="6664" max="6664" width="16.28515625" style="1" customWidth="1"/>
    <col min="6665" max="6668" width="16.42578125" style="1" customWidth="1"/>
    <col min="6669" max="6911" width="11.28515625" style="1"/>
    <col min="6912" max="6912" width="3.7109375" style="1" customWidth="1"/>
    <col min="6913" max="6913" width="32.7109375" style="1" bestFit="1" customWidth="1"/>
    <col min="6914" max="6914" width="0" style="1" hidden="1" customWidth="1"/>
    <col min="6915" max="6915" width="18" style="1" customWidth="1"/>
    <col min="6916" max="6916" width="17.5703125" style="1" customWidth="1"/>
    <col min="6917" max="6917" width="14.85546875" style="1" customWidth="1"/>
    <col min="6918" max="6919" width="17.85546875" style="1" customWidth="1"/>
    <col min="6920" max="6920" width="16.28515625" style="1" customWidth="1"/>
    <col min="6921" max="6924" width="16.42578125" style="1" customWidth="1"/>
    <col min="6925" max="7167" width="11.28515625" style="1"/>
    <col min="7168" max="7168" width="3.7109375" style="1" customWidth="1"/>
    <col min="7169" max="7169" width="32.7109375" style="1" bestFit="1" customWidth="1"/>
    <col min="7170" max="7170" width="0" style="1" hidden="1" customWidth="1"/>
    <col min="7171" max="7171" width="18" style="1" customWidth="1"/>
    <col min="7172" max="7172" width="17.5703125" style="1" customWidth="1"/>
    <col min="7173" max="7173" width="14.85546875" style="1" customWidth="1"/>
    <col min="7174" max="7175" width="17.85546875" style="1" customWidth="1"/>
    <col min="7176" max="7176" width="16.28515625" style="1" customWidth="1"/>
    <col min="7177" max="7180" width="16.42578125" style="1" customWidth="1"/>
    <col min="7181" max="7423" width="11.28515625" style="1"/>
    <col min="7424" max="7424" width="3.7109375" style="1" customWidth="1"/>
    <col min="7425" max="7425" width="32.7109375" style="1" bestFit="1" customWidth="1"/>
    <col min="7426" max="7426" width="0" style="1" hidden="1" customWidth="1"/>
    <col min="7427" max="7427" width="18" style="1" customWidth="1"/>
    <col min="7428" max="7428" width="17.5703125" style="1" customWidth="1"/>
    <col min="7429" max="7429" width="14.85546875" style="1" customWidth="1"/>
    <col min="7430" max="7431" width="17.85546875" style="1" customWidth="1"/>
    <col min="7432" max="7432" width="16.28515625" style="1" customWidth="1"/>
    <col min="7433" max="7436" width="16.42578125" style="1" customWidth="1"/>
    <col min="7437" max="7679" width="11.28515625" style="1"/>
    <col min="7680" max="7680" width="3.7109375" style="1" customWidth="1"/>
    <col min="7681" max="7681" width="32.7109375" style="1" bestFit="1" customWidth="1"/>
    <col min="7682" max="7682" width="0" style="1" hidden="1" customWidth="1"/>
    <col min="7683" max="7683" width="18" style="1" customWidth="1"/>
    <col min="7684" max="7684" width="17.5703125" style="1" customWidth="1"/>
    <col min="7685" max="7685" width="14.85546875" style="1" customWidth="1"/>
    <col min="7686" max="7687" width="17.85546875" style="1" customWidth="1"/>
    <col min="7688" max="7688" width="16.28515625" style="1" customWidth="1"/>
    <col min="7689" max="7692" width="16.42578125" style="1" customWidth="1"/>
    <col min="7693" max="7935" width="11.28515625" style="1"/>
    <col min="7936" max="7936" width="3.7109375" style="1" customWidth="1"/>
    <col min="7937" max="7937" width="32.7109375" style="1" bestFit="1" customWidth="1"/>
    <col min="7938" max="7938" width="0" style="1" hidden="1" customWidth="1"/>
    <col min="7939" max="7939" width="18" style="1" customWidth="1"/>
    <col min="7940" max="7940" width="17.5703125" style="1" customWidth="1"/>
    <col min="7941" max="7941" width="14.85546875" style="1" customWidth="1"/>
    <col min="7942" max="7943" width="17.85546875" style="1" customWidth="1"/>
    <col min="7944" max="7944" width="16.28515625" style="1" customWidth="1"/>
    <col min="7945" max="7948" width="16.42578125" style="1" customWidth="1"/>
    <col min="7949" max="8191" width="11.28515625" style="1"/>
    <col min="8192" max="8192" width="3.7109375" style="1" customWidth="1"/>
    <col min="8193" max="8193" width="32.7109375" style="1" bestFit="1" customWidth="1"/>
    <col min="8194" max="8194" width="0" style="1" hidden="1" customWidth="1"/>
    <col min="8195" max="8195" width="18" style="1" customWidth="1"/>
    <col min="8196" max="8196" width="17.5703125" style="1" customWidth="1"/>
    <col min="8197" max="8197" width="14.85546875" style="1" customWidth="1"/>
    <col min="8198" max="8199" width="17.85546875" style="1" customWidth="1"/>
    <col min="8200" max="8200" width="16.28515625" style="1" customWidth="1"/>
    <col min="8201" max="8204" width="16.42578125" style="1" customWidth="1"/>
    <col min="8205" max="8447" width="11.28515625" style="1"/>
    <col min="8448" max="8448" width="3.7109375" style="1" customWidth="1"/>
    <col min="8449" max="8449" width="32.7109375" style="1" bestFit="1" customWidth="1"/>
    <col min="8450" max="8450" width="0" style="1" hidden="1" customWidth="1"/>
    <col min="8451" max="8451" width="18" style="1" customWidth="1"/>
    <col min="8452" max="8452" width="17.5703125" style="1" customWidth="1"/>
    <col min="8453" max="8453" width="14.85546875" style="1" customWidth="1"/>
    <col min="8454" max="8455" width="17.85546875" style="1" customWidth="1"/>
    <col min="8456" max="8456" width="16.28515625" style="1" customWidth="1"/>
    <col min="8457" max="8460" width="16.42578125" style="1" customWidth="1"/>
    <col min="8461" max="8703" width="11.28515625" style="1"/>
    <col min="8704" max="8704" width="3.7109375" style="1" customWidth="1"/>
    <col min="8705" max="8705" width="32.7109375" style="1" bestFit="1" customWidth="1"/>
    <col min="8706" max="8706" width="0" style="1" hidden="1" customWidth="1"/>
    <col min="8707" max="8707" width="18" style="1" customWidth="1"/>
    <col min="8708" max="8708" width="17.5703125" style="1" customWidth="1"/>
    <col min="8709" max="8709" width="14.85546875" style="1" customWidth="1"/>
    <col min="8710" max="8711" width="17.85546875" style="1" customWidth="1"/>
    <col min="8712" max="8712" width="16.28515625" style="1" customWidth="1"/>
    <col min="8713" max="8716" width="16.42578125" style="1" customWidth="1"/>
    <col min="8717" max="8959" width="11.28515625" style="1"/>
    <col min="8960" max="8960" width="3.7109375" style="1" customWidth="1"/>
    <col min="8961" max="8961" width="32.7109375" style="1" bestFit="1" customWidth="1"/>
    <col min="8962" max="8962" width="0" style="1" hidden="1" customWidth="1"/>
    <col min="8963" max="8963" width="18" style="1" customWidth="1"/>
    <col min="8964" max="8964" width="17.5703125" style="1" customWidth="1"/>
    <col min="8965" max="8965" width="14.85546875" style="1" customWidth="1"/>
    <col min="8966" max="8967" width="17.85546875" style="1" customWidth="1"/>
    <col min="8968" max="8968" width="16.28515625" style="1" customWidth="1"/>
    <col min="8969" max="8972" width="16.42578125" style="1" customWidth="1"/>
    <col min="8973" max="9215" width="11.28515625" style="1"/>
    <col min="9216" max="9216" width="3.7109375" style="1" customWidth="1"/>
    <col min="9217" max="9217" width="32.7109375" style="1" bestFit="1" customWidth="1"/>
    <col min="9218" max="9218" width="0" style="1" hidden="1" customWidth="1"/>
    <col min="9219" max="9219" width="18" style="1" customWidth="1"/>
    <col min="9220" max="9220" width="17.5703125" style="1" customWidth="1"/>
    <col min="9221" max="9221" width="14.85546875" style="1" customWidth="1"/>
    <col min="9222" max="9223" width="17.85546875" style="1" customWidth="1"/>
    <col min="9224" max="9224" width="16.28515625" style="1" customWidth="1"/>
    <col min="9225" max="9228" width="16.42578125" style="1" customWidth="1"/>
    <col min="9229" max="9471" width="11.28515625" style="1"/>
    <col min="9472" max="9472" width="3.7109375" style="1" customWidth="1"/>
    <col min="9473" max="9473" width="32.7109375" style="1" bestFit="1" customWidth="1"/>
    <col min="9474" max="9474" width="0" style="1" hidden="1" customWidth="1"/>
    <col min="9475" max="9475" width="18" style="1" customWidth="1"/>
    <col min="9476" max="9476" width="17.5703125" style="1" customWidth="1"/>
    <col min="9477" max="9477" width="14.85546875" style="1" customWidth="1"/>
    <col min="9478" max="9479" width="17.85546875" style="1" customWidth="1"/>
    <col min="9480" max="9480" width="16.28515625" style="1" customWidth="1"/>
    <col min="9481" max="9484" width="16.42578125" style="1" customWidth="1"/>
    <col min="9485" max="9727" width="11.28515625" style="1"/>
    <col min="9728" max="9728" width="3.7109375" style="1" customWidth="1"/>
    <col min="9729" max="9729" width="32.7109375" style="1" bestFit="1" customWidth="1"/>
    <col min="9730" max="9730" width="0" style="1" hidden="1" customWidth="1"/>
    <col min="9731" max="9731" width="18" style="1" customWidth="1"/>
    <col min="9732" max="9732" width="17.5703125" style="1" customWidth="1"/>
    <col min="9733" max="9733" width="14.85546875" style="1" customWidth="1"/>
    <col min="9734" max="9735" width="17.85546875" style="1" customWidth="1"/>
    <col min="9736" max="9736" width="16.28515625" style="1" customWidth="1"/>
    <col min="9737" max="9740" width="16.42578125" style="1" customWidth="1"/>
    <col min="9741" max="9983" width="11.28515625" style="1"/>
    <col min="9984" max="9984" width="3.7109375" style="1" customWidth="1"/>
    <col min="9985" max="9985" width="32.7109375" style="1" bestFit="1" customWidth="1"/>
    <col min="9986" max="9986" width="0" style="1" hidden="1" customWidth="1"/>
    <col min="9987" max="9987" width="18" style="1" customWidth="1"/>
    <col min="9988" max="9988" width="17.5703125" style="1" customWidth="1"/>
    <col min="9989" max="9989" width="14.85546875" style="1" customWidth="1"/>
    <col min="9990" max="9991" width="17.85546875" style="1" customWidth="1"/>
    <col min="9992" max="9992" width="16.28515625" style="1" customWidth="1"/>
    <col min="9993" max="9996" width="16.42578125" style="1" customWidth="1"/>
    <col min="9997" max="10239" width="11.28515625" style="1"/>
    <col min="10240" max="10240" width="3.7109375" style="1" customWidth="1"/>
    <col min="10241" max="10241" width="32.7109375" style="1" bestFit="1" customWidth="1"/>
    <col min="10242" max="10242" width="0" style="1" hidden="1" customWidth="1"/>
    <col min="10243" max="10243" width="18" style="1" customWidth="1"/>
    <col min="10244" max="10244" width="17.5703125" style="1" customWidth="1"/>
    <col min="10245" max="10245" width="14.85546875" style="1" customWidth="1"/>
    <col min="10246" max="10247" width="17.85546875" style="1" customWidth="1"/>
    <col min="10248" max="10248" width="16.28515625" style="1" customWidth="1"/>
    <col min="10249" max="10252" width="16.42578125" style="1" customWidth="1"/>
    <col min="10253" max="10495" width="11.28515625" style="1"/>
    <col min="10496" max="10496" width="3.7109375" style="1" customWidth="1"/>
    <col min="10497" max="10497" width="32.7109375" style="1" bestFit="1" customWidth="1"/>
    <col min="10498" max="10498" width="0" style="1" hidden="1" customWidth="1"/>
    <col min="10499" max="10499" width="18" style="1" customWidth="1"/>
    <col min="10500" max="10500" width="17.5703125" style="1" customWidth="1"/>
    <col min="10501" max="10501" width="14.85546875" style="1" customWidth="1"/>
    <col min="10502" max="10503" width="17.85546875" style="1" customWidth="1"/>
    <col min="10504" max="10504" width="16.28515625" style="1" customWidth="1"/>
    <col min="10505" max="10508" width="16.42578125" style="1" customWidth="1"/>
    <col min="10509" max="10751" width="11.28515625" style="1"/>
    <col min="10752" max="10752" width="3.7109375" style="1" customWidth="1"/>
    <col min="10753" max="10753" width="32.7109375" style="1" bestFit="1" customWidth="1"/>
    <col min="10754" max="10754" width="0" style="1" hidden="1" customWidth="1"/>
    <col min="10755" max="10755" width="18" style="1" customWidth="1"/>
    <col min="10756" max="10756" width="17.5703125" style="1" customWidth="1"/>
    <col min="10757" max="10757" width="14.85546875" style="1" customWidth="1"/>
    <col min="10758" max="10759" width="17.85546875" style="1" customWidth="1"/>
    <col min="10760" max="10760" width="16.28515625" style="1" customWidth="1"/>
    <col min="10761" max="10764" width="16.42578125" style="1" customWidth="1"/>
    <col min="10765" max="11007" width="11.28515625" style="1"/>
    <col min="11008" max="11008" width="3.7109375" style="1" customWidth="1"/>
    <col min="11009" max="11009" width="32.7109375" style="1" bestFit="1" customWidth="1"/>
    <col min="11010" max="11010" width="0" style="1" hidden="1" customWidth="1"/>
    <col min="11011" max="11011" width="18" style="1" customWidth="1"/>
    <col min="11012" max="11012" width="17.5703125" style="1" customWidth="1"/>
    <col min="11013" max="11013" width="14.85546875" style="1" customWidth="1"/>
    <col min="11014" max="11015" width="17.85546875" style="1" customWidth="1"/>
    <col min="11016" max="11016" width="16.28515625" style="1" customWidth="1"/>
    <col min="11017" max="11020" width="16.42578125" style="1" customWidth="1"/>
    <col min="11021" max="11263" width="11.28515625" style="1"/>
    <col min="11264" max="11264" width="3.7109375" style="1" customWidth="1"/>
    <col min="11265" max="11265" width="32.7109375" style="1" bestFit="1" customWidth="1"/>
    <col min="11266" max="11266" width="0" style="1" hidden="1" customWidth="1"/>
    <col min="11267" max="11267" width="18" style="1" customWidth="1"/>
    <col min="11268" max="11268" width="17.5703125" style="1" customWidth="1"/>
    <col min="11269" max="11269" width="14.85546875" style="1" customWidth="1"/>
    <col min="11270" max="11271" width="17.85546875" style="1" customWidth="1"/>
    <col min="11272" max="11272" width="16.28515625" style="1" customWidth="1"/>
    <col min="11273" max="11276" width="16.42578125" style="1" customWidth="1"/>
    <col min="11277" max="11519" width="11.28515625" style="1"/>
    <col min="11520" max="11520" width="3.7109375" style="1" customWidth="1"/>
    <col min="11521" max="11521" width="32.7109375" style="1" bestFit="1" customWidth="1"/>
    <col min="11522" max="11522" width="0" style="1" hidden="1" customWidth="1"/>
    <col min="11523" max="11523" width="18" style="1" customWidth="1"/>
    <col min="11524" max="11524" width="17.5703125" style="1" customWidth="1"/>
    <col min="11525" max="11525" width="14.85546875" style="1" customWidth="1"/>
    <col min="11526" max="11527" width="17.85546875" style="1" customWidth="1"/>
    <col min="11528" max="11528" width="16.28515625" style="1" customWidth="1"/>
    <col min="11529" max="11532" width="16.42578125" style="1" customWidth="1"/>
    <col min="11533" max="11775" width="11.28515625" style="1"/>
    <col min="11776" max="11776" width="3.7109375" style="1" customWidth="1"/>
    <col min="11777" max="11777" width="32.7109375" style="1" bestFit="1" customWidth="1"/>
    <col min="11778" max="11778" width="0" style="1" hidden="1" customWidth="1"/>
    <col min="11779" max="11779" width="18" style="1" customWidth="1"/>
    <col min="11780" max="11780" width="17.5703125" style="1" customWidth="1"/>
    <col min="11781" max="11781" width="14.85546875" style="1" customWidth="1"/>
    <col min="11782" max="11783" width="17.85546875" style="1" customWidth="1"/>
    <col min="11784" max="11784" width="16.28515625" style="1" customWidth="1"/>
    <col min="11785" max="11788" width="16.42578125" style="1" customWidth="1"/>
    <col min="11789" max="12031" width="11.28515625" style="1"/>
    <col min="12032" max="12032" width="3.7109375" style="1" customWidth="1"/>
    <col min="12033" max="12033" width="32.7109375" style="1" bestFit="1" customWidth="1"/>
    <col min="12034" max="12034" width="0" style="1" hidden="1" customWidth="1"/>
    <col min="12035" max="12035" width="18" style="1" customWidth="1"/>
    <col min="12036" max="12036" width="17.5703125" style="1" customWidth="1"/>
    <col min="12037" max="12037" width="14.85546875" style="1" customWidth="1"/>
    <col min="12038" max="12039" width="17.85546875" style="1" customWidth="1"/>
    <col min="12040" max="12040" width="16.28515625" style="1" customWidth="1"/>
    <col min="12041" max="12044" width="16.42578125" style="1" customWidth="1"/>
    <col min="12045" max="12287" width="11.28515625" style="1"/>
    <col min="12288" max="12288" width="3.7109375" style="1" customWidth="1"/>
    <col min="12289" max="12289" width="32.7109375" style="1" bestFit="1" customWidth="1"/>
    <col min="12290" max="12290" width="0" style="1" hidden="1" customWidth="1"/>
    <col min="12291" max="12291" width="18" style="1" customWidth="1"/>
    <col min="12292" max="12292" width="17.5703125" style="1" customWidth="1"/>
    <col min="12293" max="12293" width="14.85546875" style="1" customWidth="1"/>
    <col min="12294" max="12295" width="17.85546875" style="1" customWidth="1"/>
    <col min="12296" max="12296" width="16.28515625" style="1" customWidth="1"/>
    <col min="12297" max="12300" width="16.42578125" style="1" customWidth="1"/>
    <col min="12301" max="12543" width="11.28515625" style="1"/>
    <col min="12544" max="12544" width="3.7109375" style="1" customWidth="1"/>
    <col min="12545" max="12545" width="32.7109375" style="1" bestFit="1" customWidth="1"/>
    <col min="12546" max="12546" width="0" style="1" hidden="1" customWidth="1"/>
    <col min="12547" max="12547" width="18" style="1" customWidth="1"/>
    <col min="12548" max="12548" width="17.5703125" style="1" customWidth="1"/>
    <col min="12549" max="12549" width="14.85546875" style="1" customWidth="1"/>
    <col min="12550" max="12551" width="17.85546875" style="1" customWidth="1"/>
    <col min="12552" max="12552" width="16.28515625" style="1" customWidth="1"/>
    <col min="12553" max="12556" width="16.42578125" style="1" customWidth="1"/>
    <col min="12557" max="12799" width="11.28515625" style="1"/>
    <col min="12800" max="12800" width="3.7109375" style="1" customWidth="1"/>
    <col min="12801" max="12801" width="32.7109375" style="1" bestFit="1" customWidth="1"/>
    <col min="12802" max="12802" width="0" style="1" hidden="1" customWidth="1"/>
    <col min="12803" max="12803" width="18" style="1" customWidth="1"/>
    <col min="12804" max="12804" width="17.5703125" style="1" customWidth="1"/>
    <col min="12805" max="12805" width="14.85546875" style="1" customWidth="1"/>
    <col min="12806" max="12807" width="17.85546875" style="1" customWidth="1"/>
    <col min="12808" max="12808" width="16.28515625" style="1" customWidth="1"/>
    <col min="12809" max="12812" width="16.42578125" style="1" customWidth="1"/>
    <col min="12813" max="13055" width="11.28515625" style="1"/>
    <col min="13056" max="13056" width="3.7109375" style="1" customWidth="1"/>
    <col min="13057" max="13057" width="32.7109375" style="1" bestFit="1" customWidth="1"/>
    <col min="13058" max="13058" width="0" style="1" hidden="1" customWidth="1"/>
    <col min="13059" max="13059" width="18" style="1" customWidth="1"/>
    <col min="13060" max="13060" width="17.5703125" style="1" customWidth="1"/>
    <col min="13061" max="13061" width="14.85546875" style="1" customWidth="1"/>
    <col min="13062" max="13063" width="17.85546875" style="1" customWidth="1"/>
    <col min="13064" max="13064" width="16.28515625" style="1" customWidth="1"/>
    <col min="13065" max="13068" width="16.42578125" style="1" customWidth="1"/>
    <col min="13069" max="13311" width="11.28515625" style="1"/>
    <col min="13312" max="13312" width="3.7109375" style="1" customWidth="1"/>
    <col min="13313" max="13313" width="32.7109375" style="1" bestFit="1" customWidth="1"/>
    <col min="13314" max="13314" width="0" style="1" hidden="1" customWidth="1"/>
    <col min="13315" max="13315" width="18" style="1" customWidth="1"/>
    <col min="13316" max="13316" width="17.5703125" style="1" customWidth="1"/>
    <col min="13317" max="13317" width="14.85546875" style="1" customWidth="1"/>
    <col min="13318" max="13319" width="17.85546875" style="1" customWidth="1"/>
    <col min="13320" max="13320" width="16.28515625" style="1" customWidth="1"/>
    <col min="13321" max="13324" width="16.42578125" style="1" customWidth="1"/>
    <col min="13325" max="13567" width="11.28515625" style="1"/>
    <col min="13568" max="13568" width="3.7109375" style="1" customWidth="1"/>
    <col min="13569" max="13569" width="32.7109375" style="1" bestFit="1" customWidth="1"/>
    <col min="13570" max="13570" width="0" style="1" hidden="1" customWidth="1"/>
    <col min="13571" max="13571" width="18" style="1" customWidth="1"/>
    <col min="13572" max="13572" width="17.5703125" style="1" customWidth="1"/>
    <col min="13573" max="13573" width="14.85546875" style="1" customWidth="1"/>
    <col min="13574" max="13575" width="17.85546875" style="1" customWidth="1"/>
    <col min="13576" max="13576" width="16.28515625" style="1" customWidth="1"/>
    <col min="13577" max="13580" width="16.42578125" style="1" customWidth="1"/>
    <col min="13581" max="13823" width="11.28515625" style="1"/>
    <col min="13824" max="13824" width="3.7109375" style="1" customWidth="1"/>
    <col min="13825" max="13825" width="32.7109375" style="1" bestFit="1" customWidth="1"/>
    <col min="13826" max="13826" width="0" style="1" hidden="1" customWidth="1"/>
    <col min="13827" max="13827" width="18" style="1" customWidth="1"/>
    <col min="13828" max="13828" width="17.5703125" style="1" customWidth="1"/>
    <col min="13829" max="13829" width="14.85546875" style="1" customWidth="1"/>
    <col min="13830" max="13831" width="17.85546875" style="1" customWidth="1"/>
    <col min="13832" max="13832" width="16.28515625" style="1" customWidth="1"/>
    <col min="13833" max="13836" width="16.42578125" style="1" customWidth="1"/>
    <col min="13837" max="14079" width="11.28515625" style="1"/>
    <col min="14080" max="14080" width="3.7109375" style="1" customWidth="1"/>
    <col min="14081" max="14081" width="32.7109375" style="1" bestFit="1" customWidth="1"/>
    <col min="14082" max="14082" width="0" style="1" hidden="1" customWidth="1"/>
    <col min="14083" max="14083" width="18" style="1" customWidth="1"/>
    <col min="14084" max="14084" width="17.5703125" style="1" customWidth="1"/>
    <col min="14085" max="14085" width="14.85546875" style="1" customWidth="1"/>
    <col min="14086" max="14087" width="17.85546875" style="1" customWidth="1"/>
    <col min="14088" max="14088" width="16.28515625" style="1" customWidth="1"/>
    <col min="14089" max="14092" width="16.42578125" style="1" customWidth="1"/>
    <col min="14093" max="14335" width="11.28515625" style="1"/>
    <col min="14336" max="14336" width="3.7109375" style="1" customWidth="1"/>
    <col min="14337" max="14337" width="32.7109375" style="1" bestFit="1" customWidth="1"/>
    <col min="14338" max="14338" width="0" style="1" hidden="1" customWidth="1"/>
    <col min="14339" max="14339" width="18" style="1" customWidth="1"/>
    <col min="14340" max="14340" width="17.5703125" style="1" customWidth="1"/>
    <col min="14341" max="14341" width="14.85546875" style="1" customWidth="1"/>
    <col min="14342" max="14343" width="17.85546875" style="1" customWidth="1"/>
    <col min="14344" max="14344" width="16.28515625" style="1" customWidth="1"/>
    <col min="14345" max="14348" width="16.42578125" style="1" customWidth="1"/>
    <col min="14349" max="14591" width="11.28515625" style="1"/>
    <col min="14592" max="14592" width="3.7109375" style="1" customWidth="1"/>
    <col min="14593" max="14593" width="32.7109375" style="1" bestFit="1" customWidth="1"/>
    <col min="14594" max="14594" width="0" style="1" hidden="1" customWidth="1"/>
    <col min="14595" max="14595" width="18" style="1" customWidth="1"/>
    <col min="14596" max="14596" width="17.5703125" style="1" customWidth="1"/>
    <col min="14597" max="14597" width="14.85546875" style="1" customWidth="1"/>
    <col min="14598" max="14599" width="17.85546875" style="1" customWidth="1"/>
    <col min="14600" max="14600" width="16.28515625" style="1" customWidth="1"/>
    <col min="14601" max="14604" width="16.42578125" style="1" customWidth="1"/>
    <col min="14605" max="14847" width="11.28515625" style="1"/>
    <col min="14848" max="14848" width="3.7109375" style="1" customWidth="1"/>
    <col min="14849" max="14849" width="32.7109375" style="1" bestFit="1" customWidth="1"/>
    <col min="14850" max="14850" width="0" style="1" hidden="1" customWidth="1"/>
    <col min="14851" max="14851" width="18" style="1" customWidth="1"/>
    <col min="14852" max="14852" width="17.5703125" style="1" customWidth="1"/>
    <col min="14853" max="14853" width="14.85546875" style="1" customWidth="1"/>
    <col min="14854" max="14855" width="17.85546875" style="1" customWidth="1"/>
    <col min="14856" max="14856" width="16.28515625" style="1" customWidth="1"/>
    <col min="14857" max="14860" width="16.42578125" style="1" customWidth="1"/>
    <col min="14861" max="15103" width="11.28515625" style="1"/>
    <col min="15104" max="15104" width="3.7109375" style="1" customWidth="1"/>
    <col min="15105" max="15105" width="32.7109375" style="1" bestFit="1" customWidth="1"/>
    <col min="15106" max="15106" width="0" style="1" hidden="1" customWidth="1"/>
    <col min="15107" max="15107" width="18" style="1" customWidth="1"/>
    <col min="15108" max="15108" width="17.5703125" style="1" customWidth="1"/>
    <col min="15109" max="15109" width="14.85546875" style="1" customWidth="1"/>
    <col min="15110" max="15111" width="17.85546875" style="1" customWidth="1"/>
    <col min="15112" max="15112" width="16.28515625" style="1" customWidth="1"/>
    <col min="15113" max="15116" width="16.42578125" style="1" customWidth="1"/>
    <col min="15117" max="15359" width="11.28515625" style="1"/>
    <col min="15360" max="15360" width="3.7109375" style="1" customWidth="1"/>
    <col min="15361" max="15361" width="32.7109375" style="1" bestFit="1" customWidth="1"/>
    <col min="15362" max="15362" width="0" style="1" hidden="1" customWidth="1"/>
    <col min="15363" max="15363" width="18" style="1" customWidth="1"/>
    <col min="15364" max="15364" width="17.5703125" style="1" customWidth="1"/>
    <col min="15365" max="15365" width="14.85546875" style="1" customWidth="1"/>
    <col min="15366" max="15367" width="17.85546875" style="1" customWidth="1"/>
    <col min="15368" max="15368" width="16.28515625" style="1" customWidth="1"/>
    <col min="15369" max="15372" width="16.42578125" style="1" customWidth="1"/>
    <col min="15373" max="15615" width="11.28515625" style="1"/>
    <col min="15616" max="15616" width="3.7109375" style="1" customWidth="1"/>
    <col min="15617" max="15617" width="32.7109375" style="1" bestFit="1" customWidth="1"/>
    <col min="15618" max="15618" width="0" style="1" hidden="1" customWidth="1"/>
    <col min="15619" max="15619" width="18" style="1" customWidth="1"/>
    <col min="15620" max="15620" width="17.5703125" style="1" customWidth="1"/>
    <col min="15621" max="15621" width="14.85546875" style="1" customWidth="1"/>
    <col min="15622" max="15623" width="17.85546875" style="1" customWidth="1"/>
    <col min="15624" max="15624" width="16.28515625" style="1" customWidth="1"/>
    <col min="15625" max="15628" width="16.42578125" style="1" customWidth="1"/>
    <col min="15629" max="15871" width="11.28515625" style="1"/>
    <col min="15872" max="15872" width="3.7109375" style="1" customWidth="1"/>
    <col min="15873" max="15873" width="32.7109375" style="1" bestFit="1" customWidth="1"/>
    <col min="15874" max="15874" width="0" style="1" hidden="1" customWidth="1"/>
    <col min="15875" max="15875" width="18" style="1" customWidth="1"/>
    <col min="15876" max="15876" width="17.5703125" style="1" customWidth="1"/>
    <col min="15877" max="15877" width="14.85546875" style="1" customWidth="1"/>
    <col min="15878" max="15879" width="17.85546875" style="1" customWidth="1"/>
    <col min="15880" max="15880" width="16.28515625" style="1" customWidth="1"/>
    <col min="15881" max="15884" width="16.42578125" style="1" customWidth="1"/>
    <col min="15885" max="16127" width="11.28515625" style="1"/>
    <col min="16128" max="16128" width="3.7109375" style="1" customWidth="1"/>
    <col min="16129" max="16129" width="32.7109375" style="1" bestFit="1" customWidth="1"/>
    <col min="16130" max="16130" width="0" style="1" hidden="1" customWidth="1"/>
    <col min="16131" max="16131" width="18" style="1" customWidth="1"/>
    <col min="16132" max="16132" width="17.5703125" style="1" customWidth="1"/>
    <col min="16133" max="16133" width="14.85546875" style="1" customWidth="1"/>
    <col min="16134" max="16135" width="17.85546875" style="1" customWidth="1"/>
    <col min="16136" max="16136" width="16.28515625" style="1" customWidth="1"/>
    <col min="16137" max="16140" width="16.42578125" style="1" customWidth="1"/>
    <col min="16141" max="16384" width="11.28515625" style="1"/>
  </cols>
  <sheetData>
    <row r="2" spans="1:19" ht="26.25" x14ac:dyDescent="0.4">
      <c r="A2" s="50"/>
      <c r="B2" s="51" t="s">
        <v>64</v>
      </c>
      <c r="C2" s="52"/>
      <c r="D2" s="52"/>
    </row>
    <row r="3" spans="1:19" x14ac:dyDescent="0.25">
      <c r="A3" s="50"/>
      <c r="B3" s="50"/>
      <c r="C3" s="52"/>
      <c r="D3" s="52"/>
    </row>
    <row r="4" spans="1:19" x14ac:dyDescent="0.25">
      <c r="A4" s="50"/>
      <c r="B4" s="53"/>
      <c r="C4" s="55">
        <v>2010</v>
      </c>
      <c r="D4" s="55">
        <v>2011</v>
      </c>
      <c r="E4" s="55">
        <v>2012</v>
      </c>
      <c r="F4" s="55">
        <v>2013</v>
      </c>
      <c r="G4" s="55">
        <v>2014</v>
      </c>
      <c r="H4" s="55">
        <v>2015</v>
      </c>
      <c r="I4" s="55">
        <v>2016</v>
      </c>
      <c r="J4" s="55">
        <v>2017</v>
      </c>
      <c r="K4" s="55">
        <v>2018</v>
      </c>
      <c r="L4" s="55">
        <v>2019</v>
      </c>
      <c r="M4" s="55">
        <v>2020</v>
      </c>
      <c r="N4" s="55">
        <v>2021</v>
      </c>
      <c r="O4" s="55">
        <v>2022</v>
      </c>
      <c r="P4" s="55">
        <v>2023</v>
      </c>
      <c r="Q4" s="55">
        <v>2024</v>
      </c>
      <c r="R4" s="55">
        <v>2025</v>
      </c>
      <c r="S4" s="55">
        <v>2026</v>
      </c>
    </row>
    <row r="5" spans="1:19" x14ac:dyDescent="0.25">
      <c r="A5" s="50"/>
      <c r="B5" s="56" t="s">
        <v>65</v>
      </c>
      <c r="C5" s="54"/>
      <c r="D5" s="5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50"/>
      <c r="B6" s="53" t="s">
        <v>66</v>
      </c>
      <c r="C6" s="42">
        <f>'Revenue Requirement'!E26+'Revenue Requirement'!D26</f>
        <v>380.86296940000312</v>
      </c>
      <c r="D6" s="42">
        <f>'Revenue Requirement'!G26+'Revenue Requirement'!H26</f>
        <v>2198.7128582000068</v>
      </c>
      <c r="E6" s="42">
        <f>'Revenue Requirement'!J26+'Revenue Requirement'!K26</f>
        <v>6298.0360952000065</v>
      </c>
      <c r="F6" s="42">
        <f>'Revenue Requirement'!M26+'Revenue Requirement'!N26</f>
        <v>11988.707529200008</v>
      </c>
      <c r="G6" s="42">
        <f>'Revenue Requirement'!P26+'Revenue Requirement'!Q26</f>
        <v>16421.009977000009</v>
      </c>
      <c r="H6" s="42">
        <f>'Revenue Requirement'!S26+'Revenue Requirement'!T26</f>
        <v>20780.943010046009</v>
      </c>
      <c r="I6" s="42">
        <f>'Revenue Requirement'!V26+'Revenue Requirement'!W26</f>
        <v>25329.554296426009</v>
      </c>
      <c r="J6" s="42">
        <f>'Revenue Requirement'!Y26+'Revenue Requirement'!Z26</f>
        <v>29511.408268166007</v>
      </c>
      <c r="K6" s="42">
        <f>'Revenue Requirement'!AB26+'Revenue Requirement'!AC26</f>
        <v>34169.255675958004</v>
      </c>
      <c r="L6" s="42">
        <f>'Revenue Requirement'!AE26+'Revenue Requirement'!AF26</f>
        <v>34856.224303712006</v>
      </c>
      <c r="M6" s="42">
        <f>'Revenue Requirement'!AH26+'Revenue Requirement'!AI26</f>
        <v>31727.934853900006</v>
      </c>
      <c r="N6" s="42">
        <f>'Revenue Requirement'!AK26+'Revenue Requirement'!AL26</f>
        <v>28487.425562500011</v>
      </c>
      <c r="O6" s="42">
        <f>'Revenue Requirement'!AQ26+'Revenue Requirement'!AR26</f>
        <v>25246.916717600005</v>
      </c>
      <c r="P6" s="42">
        <f>'Revenue Requirement'!AW26+'Revenue Requirement'!AX26</f>
        <v>22006.408319200011</v>
      </c>
      <c r="Q6" s="42">
        <f>'Revenue Requirement'!AZ26+'Revenue Requirement'!BA26</f>
        <v>18765.89992080001</v>
      </c>
      <c r="R6" s="42">
        <f>'Revenue Requirement'!BC26+'Revenue Requirement'!BD26</f>
        <v>15525.391522400008</v>
      </c>
      <c r="S6" s="42">
        <f>'Revenue Requirement'!BF26+'Revenue Requirement'!BG26</f>
        <v>12284.883124000013</v>
      </c>
    </row>
    <row r="7" spans="1:19" x14ac:dyDescent="0.25">
      <c r="A7" s="50"/>
      <c r="B7" s="53" t="s">
        <v>67</v>
      </c>
      <c r="C7" s="42">
        <v>766.23</v>
      </c>
      <c r="D7" s="42">
        <v>4476.28</v>
      </c>
      <c r="E7" s="42">
        <v>13032.12</v>
      </c>
      <c r="F7" s="42">
        <v>24185.64</v>
      </c>
      <c r="G7" s="42">
        <v>34414</v>
      </c>
      <c r="H7" s="42">
        <v>45017.909999999996</v>
      </c>
      <c r="I7" s="42">
        <v>56770.31</v>
      </c>
      <c r="J7" s="42">
        <v>68823.34</v>
      </c>
      <c r="K7" s="42">
        <v>82452.469999999972</v>
      </c>
      <c r="L7" s="42">
        <v>90616.989999999991</v>
      </c>
      <c r="M7" s="42">
        <f>-'Avg NFA'!G109</f>
        <v>90719.744999999995</v>
      </c>
      <c r="N7" s="42">
        <f>-'Avg NFA'!G120</f>
        <v>90719.744999999995</v>
      </c>
      <c r="O7" s="42">
        <f>-'Avg NFA'!G131</f>
        <v>90719.72</v>
      </c>
      <c r="P7" s="42">
        <f>-'Avg NFA'!G142</f>
        <v>90719.719999999987</v>
      </c>
      <c r="Q7" s="42">
        <f>-'Avg NFA'!G153</f>
        <v>90719.719999999987</v>
      </c>
      <c r="R7" s="42">
        <f>-'Avg NFA'!G164</f>
        <v>90719.719999999987</v>
      </c>
      <c r="S7" s="42">
        <f>-'Avg NFA'!G175</f>
        <v>90719.719999999987</v>
      </c>
    </row>
    <row r="8" spans="1:19" x14ac:dyDescent="0.25">
      <c r="A8" s="50"/>
      <c r="B8" s="53" t="s">
        <v>62</v>
      </c>
      <c r="C8" s="42">
        <f>-CCA!D13</f>
        <v>-2451.8627999999999</v>
      </c>
      <c r="D8" s="42">
        <f>-CCA!E13</f>
        <v>-12604.097775999999</v>
      </c>
      <c r="E8" s="42">
        <f>-CCA!F13</f>
        <v>-25101.448353920001</v>
      </c>
      <c r="F8" s="42">
        <f>-CCA!G13</f>
        <v>-33073.6132856064</v>
      </c>
      <c r="G8" s="42">
        <f>-CCA!H13</f>
        <v>-38279.847822757889</v>
      </c>
      <c r="H8" s="42">
        <f>-CCA!I13</f>
        <v>-48201.341996937255</v>
      </c>
      <c r="I8" s="42">
        <f>-CCA!J13</f>
        <v>-60325.967037182272</v>
      </c>
      <c r="J8" s="42">
        <f>-CCA!K13</f>
        <v>-72003.431274207687</v>
      </c>
      <c r="K8" s="42">
        <f>-CCA!L13</f>
        <v>-80514.608772271065</v>
      </c>
      <c r="L8" s="42">
        <f>-CCA!M13</f>
        <v>-80556.426870489362</v>
      </c>
      <c r="M8" s="42">
        <f>-CCA!N13</f>
        <v>-76348.870320850168</v>
      </c>
      <c r="N8" s="42">
        <f>-CCA!O13</f>
        <v>-70240.692295182162</v>
      </c>
      <c r="O8" s="42">
        <f>-CCA!P13</f>
        <v>-64621.436911567587</v>
      </c>
      <c r="P8" s="42">
        <f>-CCA!Q13</f>
        <v>-59451.721958642185</v>
      </c>
      <c r="Q8" s="42">
        <f>-CCA!R13</f>
        <v>-54695.584201950805</v>
      </c>
      <c r="R8" s="42">
        <f>-CCA!S13</f>
        <v>-50319.937465794741</v>
      </c>
      <c r="S8" s="42">
        <f>-CCA!T13</f>
        <v>-46294.342468531162</v>
      </c>
    </row>
    <row r="9" spans="1:19" x14ac:dyDescent="0.25">
      <c r="A9" s="50"/>
      <c r="B9" s="53" t="s">
        <v>68</v>
      </c>
      <c r="C9" s="45">
        <f t="shared" ref="C9:H9" si="0">SUM(C6:C8)</f>
        <v>-1304.7698305999968</v>
      </c>
      <c r="D9" s="45">
        <f t="shared" si="0"/>
        <v>-5929.1049177999921</v>
      </c>
      <c r="E9" s="45">
        <f t="shared" si="0"/>
        <v>-5771.2922587199937</v>
      </c>
      <c r="F9" s="45">
        <f t="shared" si="0"/>
        <v>3100.734243593608</v>
      </c>
      <c r="G9" s="45">
        <f>SUM(G6:G8)</f>
        <v>12555.16215424212</v>
      </c>
      <c r="H9" s="45">
        <f t="shared" si="0"/>
        <v>17597.511013108749</v>
      </c>
      <c r="I9" s="45">
        <f t="shared" ref="I9:N9" si="1">SUM(I6:I8)</f>
        <v>21773.897259243735</v>
      </c>
      <c r="J9" s="45">
        <f t="shared" si="1"/>
        <v>26331.316993958317</v>
      </c>
      <c r="K9" s="45">
        <f t="shared" si="1"/>
        <v>36107.116903686911</v>
      </c>
      <c r="L9" s="45">
        <f t="shared" si="1"/>
        <v>44916.787433222635</v>
      </c>
      <c r="M9" s="45">
        <f t="shared" si="1"/>
        <v>46098.809533049833</v>
      </c>
      <c r="N9" s="45">
        <f t="shared" si="1"/>
        <v>48966.478267317842</v>
      </c>
      <c r="O9" s="45">
        <f t="shared" ref="O9:S9" si="2">SUM(O6:O8)</f>
        <v>51345.199806032419</v>
      </c>
      <c r="P9" s="45">
        <f t="shared" si="2"/>
        <v>53274.406360557812</v>
      </c>
      <c r="Q9" s="45">
        <f t="shared" si="2"/>
        <v>54790.035718849198</v>
      </c>
      <c r="R9" s="45">
        <f t="shared" si="2"/>
        <v>55925.174056605254</v>
      </c>
      <c r="S9" s="45">
        <f t="shared" si="2"/>
        <v>56710.260655468839</v>
      </c>
    </row>
    <row r="10" spans="1:19" x14ac:dyDescent="0.25">
      <c r="A10" s="50"/>
      <c r="B10" s="53" t="s">
        <v>69</v>
      </c>
      <c r="C10" s="57">
        <v>0.31</v>
      </c>
      <c r="D10" s="57">
        <v>0.28249999999999997</v>
      </c>
      <c r="E10" s="57">
        <v>0.26500000000000001</v>
      </c>
      <c r="F10" s="57">
        <v>0.26500000000000001</v>
      </c>
      <c r="G10" s="57">
        <v>0.26500000000000001</v>
      </c>
      <c r="H10" s="57">
        <v>0.26500000000000001</v>
      </c>
      <c r="I10" s="57">
        <v>0.26500000000000001</v>
      </c>
      <c r="J10" s="57">
        <v>0.26500000000000001</v>
      </c>
      <c r="K10" s="57">
        <v>0.26500000000000001</v>
      </c>
      <c r="L10" s="57">
        <v>0.26500000000000001</v>
      </c>
      <c r="M10" s="57">
        <v>0.26500000000000001</v>
      </c>
      <c r="N10" s="57">
        <v>0.26500000000000001</v>
      </c>
      <c r="O10" s="57">
        <v>0.26500000000000001</v>
      </c>
      <c r="P10" s="57">
        <v>0.26500000000000001</v>
      </c>
      <c r="Q10" s="57">
        <v>0.26500000000000001</v>
      </c>
      <c r="R10" s="57">
        <v>0.26500000000000001</v>
      </c>
      <c r="S10" s="57">
        <v>0.26500000000000001</v>
      </c>
    </row>
    <row r="11" spans="1:19" x14ac:dyDescent="0.25">
      <c r="A11" s="50"/>
      <c r="B11" s="53" t="s">
        <v>70</v>
      </c>
      <c r="C11" s="45">
        <f t="shared" ref="C11:H11" si="3">C9*C10</f>
        <v>-404.47864748599898</v>
      </c>
      <c r="D11" s="45">
        <f t="shared" si="3"/>
        <v>-1674.9721392784977</v>
      </c>
      <c r="E11" s="45">
        <f t="shared" si="3"/>
        <v>-1529.3924485607984</v>
      </c>
      <c r="F11" s="45">
        <f t="shared" si="3"/>
        <v>821.69457455230611</v>
      </c>
      <c r="G11" s="45">
        <f>G9*G10</f>
        <v>3327.117970874162</v>
      </c>
      <c r="H11" s="45">
        <f t="shared" si="3"/>
        <v>4663.3404184738192</v>
      </c>
      <c r="I11" s="45">
        <f t="shared" ref="I11:N11" si="4">I9*I10</f>
        <v>5770.0827736995898</v>
      </c>
      <c r="J11" s="45">
        <f t="shared" si="4"/>
        <v>6977.7990033989545</v>
      </c>
      <c r="K11" s="45">
        <f t="shared" si="4"/>
        <v>9568.3859794770324</v>
      </c>
      <c r="L11" s="45">
        <f t="shared" si="4"/>
        <v>11902.948669803998</v>
      </c>
      <c r="M11" s="45">
        <f t="shared" si="4"/>
        <v>12216.184526258206</v>
      </c>
      <c r="N11" s="45">
        <f t="shared" si="4"/>
        <v>12976.116740839228</v>
      </c>
      <c r="O11" s="45">
        <f t="shared" ref="O11:S11" si="5">O9*O10</f>
        <v>13606.477948598591</v>
      </c>
      <c r="P11" s="45">
        <f t="shared" si="5"/>
        <v>14117.717685547821</v>
      </c>
      <c r="Q11" s="45">
        <f t="shared" si="5"/>
        <v>14519.359465495038</v>
      </c>
      <c r="R11" s="45">
        <f t="shared" si="5"/>
        <v>14820.171125000394</v>
      </c>
      <c r="S11" s="45">
        <f t="shared" si="5"/>
        <v>15028.219073699243</v>
      </c>
    </row>
    <row r="12" spans="1:19" x14ac:dyDescent="0.25">
      <c r="A12" s="50"/>
      <c r="B12" s="53"/>
      <c r="C12" s="53"/>
      <c r="D12" s="58"/>
      <c r="E12" s="58"/>
      <c r="F12" s="58"/>
      <c r="G12" s="58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 x14ac:dyDescent="0.25">
      <c r="A13" s="50"/>
      <c r="B13" s="53"/>
      <c r="C13" s="53"/>
      <c r="D13" s="5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50"/>
      <c r="B14" s="60" t="s">
        <v>71</v>
      </c>
      <c r="C14" s="53"/>
      <c r="D14" s="5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50"/>
      <c r="B15" s="53"/>
      <c r="C15" s="54" t="s">
        <v>72</v>
      </c>
      <c r="D15" s="54" t="s">
        <v>72</v>
      </c>
      <c r="E15" s="54" t="s">
        <v>72</v>
      </c>
      <c r="F15" s="54" t="s">
        <v>72</v>
      </c>
      <c r="G15" s="54" t="s">
        <v>72</v>
      </c>
      <c r="H15" s="54" t="s">
        <v>72</v>
      </c>
      <c r="I15" s="54" t="s">
        <v>72</v>
      </c>
      <c r="J15" s="54" t="s">
        <v>72</v>
      </c>
      <c r="K15" s="54" t="s">
        <v>72</v>
      </c>
      <c r="L15" s="54" t="s">
        <v>72</v>
      </c>
      <c r="M15" s="54" t="s">
        <v>72</v>
      </c>
      <c r="N15" s="54" t="s">
        <v>72</v>
      </c>
      <c r="O15" s="54" t="s">
        <v>72</v>
      </c>
      <c r="P15" s="54" t="s">
        <v>72</v>
      </c>
      <c r="Q15" s="54" t="s">
        <v>72</v>
      </c>
      <c r="R15" s="54" t="s">
        <v>72</v>
      </c>
      <c r="S15" s="54" t="s">
        <v>72</v>
      </c>
    </row>
    <row r="16" spans="1:19" x14ac:dyDescent="0.25">
      <c r="A16" s="50"/>
      <c r="B16" s="53" t="s">
        <v>73</v>
      </c>
      <c r="C16" s="42">
        <f t="shared" ref="C16:H16" si="6">C11</f>
        <v>-404.47864748599898</v>
      </c>
      <c r="D16" s="42">
        <f t="shared" si="6"/>
        <v>-1674.9721392784977</v>
      </c>
      <c r="E16" s="42">
        <f t="shared" si="6"/>
        <v>-1529.3924485607984</v>
      </c>
      <c r="F16" s="42">
        <f t="shared" si="6"/>
        <v>821.69457455230611</v>
      </c>
      <c r="G16" s="42">
        <f>G11</f>
        <v>3327.117970874162</v>
      </c>
      <c r="H16" s="42">
        <f t="shared" si="6"/>
        <v>4663.3404184738192</v>
      </c>
      <c r="I16" s="42">
        <f t="shared" ref="I16:N16" si="7">I11</f>
        <v>5770.0827736995898</v>
      </c>
      <c r="J16" s="42">
        <f t="shared" si="7"/>
        <v>6977.7990033989545</v>
      </c>
      <c r="K16" s="42">
        <f t="shared" si="7"/>
        <v>9568.3859794770324</v>
      </c>
      <c r="L16" s="42">
        <f t="shared" si="7"/>
        <v>11902.948669803998</v>
      </c>
      <c r="M16" s="42">
        <f t="shared" si="7"/>
        <v>12216.184526258206</v>
      </c>
      <c r="N16" s="42">
        <f t="shared" si="7"/>
        <v>12976.116740839228</v>
      </c>
      <c r="O16" s="42">
        <f t="shared" ref="O16:S16" si="8">O11</f>
        <v>13606.477948598591</v>
      </c>
      <c r="P16" s="42">
        <f t="shared" si="8"/>
        <v>14117.717685547821</v>
      </c>
      <c r="Q16" s="42">
        <f t="shared" si="8"/>
        <v>14519.359465495038</v>
      </c>
      <c r="R16" s="42">
        <f t="shared" si="8"/>
        <v>14820.171125000394</v>
      </c>
      <c r="S16" s="42">
        <f t="shared" si="8"/>
        <v>15028.219073699243</v>
      </c>
    </row>
    <row r="17" spans="1:19" x14ac:dyDescent="0.25">
      <c r="A17" s="50"/>
      <c r="B17" s="53" t="s">
        <v>74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</row>
    <row r="18" spans="1:19" x14ac:dyDescent="0.25">
      <c r="A18" s="50"/>
      <c r="B18" s="53" t="s">
        <v>75</v>
      </c>
      <c r="C18" s="45">
        <f t="shared" ref="C18:H18" si="9">SUM(C16:C17)</f>
        <v>-404.47864748599898</v>
      </c>
      <c r="D18" s="45">
        <f t="shared" si="9"/>
        <v>-1674.9721392784977</v>
      </c>
      <c r="E18" s="45">
        <f t="shared" si="9"/>
        <v>-1529.3924485607984</v>
      </c>
      <c r="F18" s="45">
        <f t="shared" si="9"/>
        <v>821.69457455230611</v>
      </c>
      <c r="G18" s="45">
        <f>SUM(G16:G17)</f>
        <v>3327.117970874162</v>
      </c>
      <c r="H18" s="45">
        <f t="shared" si="9"/>
        <v>4663.3404184738192</v>
      </c>
      <c r="I18" s="45">
        <f t="shared" ref="I18:N18" si="10">SUM(I16:I17)</f>
        <v>5770.0827736995898</v>
      </c>
      <c r="J18" s="45">
        <f t="shared" si="10"/>
        <v>6977.7990033989545</v>
      </c>
      <c r="K18" s="45">
        <f t="shared" si="10"/>
        <v>9568.3859794770324</v>
      </c>
      <c r="L18" s="45">
        <f t="shared" si="10"/>
        <v>11902.948669803998</v>
      </c>
      <c r="M18" s="45">
        <f t="shared" si="10"/>
        <v>12216.184526258206</v>
      </c>
      <c r="N18" s="45">
        <f t="shared" si="10"/>
        <v>12976.116740839228</v>
      </c>
      <c r="O18" s="45">
        <f t="shared" ref="O18:S18" si="11">SUM(O16:O17)</f>
        <v>13606.477948598591</v>
      </c>
      <c r="P18" s="45">
        <f t="shared" si="11"/>
        <v>14117.717685547821</v>
      </c>
      <c r="Q18" s="45">
        <f t="shared" si="11"/>
        <v>14519.359465495038</v>
      </c>
      <c r="R18" s="45">
        <f t="shared" si="11"/>
        <v>14820.171125000394</v>
      </c>
      <c r="S18" s="45">
        <f t="shared" si="11"/>
        <v>15028.219073699243</v>
      </c>
    </row>
    <row r="19" spans="1:19" x14ac:dyDescent="0.25">
      <c r="A19" s="52"/>
      <c r="B19" s="58"/>
      <c r="C19" s="58"/>
      <c r="D19" s="5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52"/>
      <c r="B20" s="58"/>
      <c r="C20" s="54"/>
      <c r="D20" s="5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52"/>
      <c r="B21" s="58"/>
      <c r="C21" s="61"/>
      <c r="D21" s="6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52"/>
      <c r="B22" s="58"/>
      <c r="C22" s="55">
        <v>2010</v>
      </c>
      <c r="D22" s="55">
        <v>2011</v>
      </c>
      <c r="E22" s="55">
        <v>2012</v>
      </c>
      <c r="F22" s="55">
        <v>2013</v>
      </c>
      <c r="G22" s="55">
        <v>2014</v>
      </c>
      <c r="H22" s="55">
        <v>2015</v>
      </c>
      <c r="I22" s="55">
        <v>2016</v>
      </c>
      <c r="J22" s="55">
        <v>2017</v>
      </c>
      <c r="K22" s="55">
        <v>2018</v>
      </c>
      <c r="L22" s="55">
        <v>2019</v>
      </c>
      <c r="M22" s="55">
        <v>2020</v>
      </c>
      <c r="N22" s="55">
        <v>2021</v>
      </c>
      <c r="O22" s="55">
        <v>2021</v>
      </c>
      <c r="P22" s="55">
        <v>2021</v>
      </c>
      <c r="Q22" s="55">
        <v>2021</v>
      </c>
      <c r="R22" s="55">
        <v>2021</v>
      </c>
      <c r="S22" s="55">
        <v>2021</v>
      </c>
    </row>
    <row r="23" spans="1:19" ht="30" x14ac:dyDescent="0.25">
      <c r="A23" s="52"/>
      <c r="B23" s="58"/>
      <c r="C23" s="62" t="s">
        <v>76</v>
      </c>
      <c r="D23" s="62" t="s">
        <v>76</v>
      </c>
      <c r="E23" s="62" t="s">
        <v>76</v>
      </c>
      <c r="F23" s="62" t="s">
        <v>76</v>
      </c>
      <c r="G23" s="62" t="s">
        <v>76</v>
      </c>
      <c r="H23" s="62" t="s">
        <v>76</v>
      </c>
      <c r="I23" s="62" t="s">
        <v>76</v>
      </c>
      <c r="J23" s="62" t="s">
        <v>76</v>
      </c>
      <c r="K23" s="62" t="s">
        <v>76</v>
      </c>
      <c r="L23" s="62" t="s">
        <v>76</v>
      </c>
      <c r="M23" s="62" t="s">
        <v>76</v>
      </c>
      <c r="N23" s="62" t="s">
        <v>76</v>
      </c>
      <c r="O23" s="62" t="s">
        <v>76</v>
      </c>
      <c r="P23" s="62" t="s">
        <v>76</v>
      </c>
      <c r="Q23" s="62" t="s">
        <v>76</v>
      </c>
      <c r="R23" s="62" t="s">
        <v>76</v>
      </c>
      <c r="S23" s="62" t="s">
        <v>76</v>
      </c>
    </row>
    <row r="24" spans="1:19" x14ac:dyDescent="0.25">
      <c r="A24" s="52"/>
      <c r="B24" s="53" t="s">
        <v>73</v>
      </c>
      <c r="C24" s="42">
        <f t="shared" ref="C24:H24" si="12">C16/(1-C10)</f>
        <v>-586.20093838550576</v>
      </c>
      <c r="D24" s="42">
        <f t="shared" si="12"/>
        <v>-2334.4559432452929</v>
      </c>
      <c r="E24" s="42">
        <f t="shared" si="12"/>
        <v>-2080.8060524636712</v>
      </c>
      <c r="F24" s="42">
        <f t="shared" si="12"/>
        <v>1117.9518021119811</v>
      </c>
      <c r="G24" s="42">
        <f>G16/(1-G10)</f>
        <v>4526.6911168355946</v>
      </c>
      <c r="H24" s="42">
        <f t="shared" si="12"/>
        <v>6344.6808414609786</v>
      </c>
      <c r="I24" s="42">
        <f t="shared" ref="I24:N24" si="13">I16/(1-I10)</f>
        <v>7850.4527533327755</v>
      </c>
      <c r="J24" s="42">
        <f t="shared" si="13"/>
        <v>9493.6040862570808</v>
      </c>
      <c r="K24" s="42">
        <f t="shared" si="13"/>
        <v>13018.212216975555</v>
      </c>
      <c r="L24" s="42">
        <f t="shared" si="13"/>
        <v>16194.48798612789</v>
      </c>
      <c r="M24" s="42">
        <f t="shared" si="13"/>
        <v>16620.65921939892</v>
      </c>
      <c r="N24" s="42">
        <f t="shared" si="13"/>
        <v>17654.580599781264</v>
      </c>
      <c r="O24" s="42">
        <f t="shared" ref="O24:S24" si="14">O16/(1-O10)</f>
        <v>18512.214896052505</v>
      </c>
      <c r="P24" s="42">
        <f t="shared" si="14"/>
        <v>19207.779164010641</v>
      </c>
      <c r="Q24" s="42">
        <f t="shared" si="14"/>
        <v>19754.230565299371</v>
      </c>
      <c r="R24" s="42">
        <f t="shared" si="14"/>
        <v>20163.498129252235</v>
      </c>
      <c r="S24" s="42">
        <f t="shared" si="14"/>
        <v>20446.556562856113</v>
      </c>
    </row>
    <row r="25" spans="1:19" x14ac:dyDescent="0.25">
      <c r="A25" s="52"/>
      <c r="B25" s="53" t="s">
        <v>74</v>
      </c>
      <c r="C25" s="63">
        <f t="shared" ref="C25:H25" si="15">C17</f>
        <v>0</v>
      </c>
      <c r="D25" s="63">
        <f t="shared" si="15"/>
        <v>0</v>
      </c>
      <c r="E25" s="63">
        <f t="shared" si="15"/>
        <v>0</v>
      </c>
      <c r="F25" s="63">
        <f t="shared" si="15"/>
        <v>0</v>
      </c>
      <c r="G25" s="63">
        <f>G17</f>
        <v>0</v>
      </c>
      <c r="H25" s="63">
        <f t="shared" si="15"/>
        <v>0</v>
      </c>
      <c r="I25" s="63">
        <f t="shared" ref="I25:N25" si="16">I17</f>
        <v>0</v>
      </c>
      <c r="J25" s="63">
        <f t="shared" si="16"/>
        <v>0</v>
      </c>
      <c r="K25" s="63">
        <f t="shared" si="16"/>
        <v>0</v>
      </c>
      <c r="L25" s="63">
        <f t="shared" si="16"/>
        <v>0</v>
      </c>
      <c r="M25" s="63">
        <f t="shared" si="16"/>
        <v>0</v>
      </c>
      <c r="N25" s="63">
        <f t="shared" si="16"/>
        <v>0</v>
      </c>
      <c r="O25" s="63">
        <f t="shared" ref="O25:S25" si="17">O17</f>
        <v>0</v>
      </c>
      <c r="P25" s="63">
        <f t="shared" si="17"/>
        <v>0</v>
      </c>
      <c r="Q25" s="63">
        <f t="shared" si="17"/>
        <v>0</v>
      </c>
      <c r="R25" s="63">
        <f t="shared" si="17"/>
        <v>0</v>
      </c>
      <c r="S25" s="63">
        <f t="shared" si="17"/>
        <v>0</v>
      </c>
    </row>
    <row r="26" spans="1:19" x14ac:dyDescent="0.25">
      <c r="A26" s="52"/>
      <c r="B26" s="53" t="s">
        <v>75</v>
      </c>
      <c r="C26" s="64">
        <f t="shared" ref="C26:H26" si="18">SUM(C24:C25)</f>
        <v>-586.20093838550576</v>
      </c>
      <c r="D26" s="64">
        <f t="shared" si="18"/>
        <v>-2334.4559432452929</v>
      </c>
      <c r="E26" s="64">
        <f t="shared" si="18"/>
        <v>-2080.8060524636712</v>
      </c>
      <c r="F26" s="64">
        <f t="shared" si="18"/>
        <v>1117.9518021119811</v>
      </c>
      <c r="G26" s="64">
        <f>SUM(G24:G25)</f>
        <v>4526.6911168355946</v>
      </c>
      <c r="H26" s="64">
        <f t="shared" si="18"/>
        <v>6344.6808414609786</v>
      </c>
      <c r="I26" s="64">
        <f t="shared" ref="I26:N26" si="19">SUM(I24:I25)</f>
        <v>7850.4527533327755</v>
      </c>
      <c r="J26" s="64">
        <f t="shared" si="19"/>
        <v>9493.6040862570808</v>
      </c>
      <c r="K26" s="64">
        <f t="shared" si="19"/>
        <v>13018.212216975555</v>
      </c>
      <c r="L26" s="64">
        <f t="shared" si="19"/>
        <v>16194.48798612789</v>
      </c>
      <c r="M26" s="64">
        <f t="shared" si="19"/>
        <v>16620.65921939892</v>
      </c>
      <c r="N26" s="64">
        <f t="shared" si="19"/>
        <v>17654.580599781264</v>
      </c>
      <c r="O26" s="64">
        <f t="shared" ref="O26:S26" si="20">SUM(O24:O25)</f>
        <v>18512.214896052505</v>
      </c>
      <c r="P26" s="64">
        <f t="shared" si="20"/>
        <v>19207.779164010641</v>
      </c>
      <c r="Q26" s="64">
        <f t="shared" si="20"/>
        <v>19754.230565299371</v>
      </c>
      <c r="R26" s="64">
        <f t="shared" si="20"/>
        <v>20163.498129252235</v>
      </c>
      <c r="S26" s="64">
        <f t="shared" si="20"/>
        <v>20446.556562856113</v>
      </c>
    </row>
    <row r="27" spans="1:19" x14ac:dyDescent="0.25">
      <c r="B27" s="3"/>
      <c r="C27" s="3"/>
      <c r="D27" s="3"/>
      <c r="E27" s="3"/>
      <c r="F27" s="3"/>
      <c r="G27" s="3"/>
      <c r="H27" s="3"/>
      <c r="I27" s="3"/>
      <c r="J27" s="65"/>
      <c r="K27" s="65"/>
      <c r="L27" s="65"/>
    </row>
    <row r="28" spans="1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9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9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9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9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Q33"/>
  <sheetViews>
    <sheetView topLeftCell="B19" workbookViewId="0">
      <selection activeCell="C37" sqref="C37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06" t="s">
        <v>124</v>
      </c>
      <c r="C2" s="207"/>
      <c r="D2" s="207"/>
      <c r="E2" s="207"/>
      <c r="F2" s="207"/>
      <c r="G2" s="207"/>
      <c r="H2" s="206" t="s">
        <v>120</v>
      </c>
      <c r="I2" s="207"/>
      <c r="J2" s="207"/>
      <c r="K2" s="207"/>
      <c r="L2" s="207"/>
      <c r="M2" s="208"/>
    </row>
    <row r="3" spans="1:17" ht="15.75" thickBot="1" x14ac:dyDescent="0.3">
      <c r="B3" s="196">
        <v>2020</v>
      </c>
      <c r="C3" s="197">
        <v>2016</v>
      </c>
      <c r="D3" s="198"/>
      <c r="E3" s="196">
        <v>2021</v>
      </c>
      <c r="F3" s="197">
        <v>2016</v>
      </c>
      <c r="G3" s="198"/>
      <c r="H3" s="196">
        <v>2020</v>
      </c>
      <c r="I3" s="197">
        <v>2016</v>
      </c>
      <c r="J3" s="198"/>
      <c r="K3" s="196">
        <v>2021</v>
      </c>
      <c r="L3" s="197">
        <v>2016</v>
      </c>
      <c r="M3" s="198"/>
      <c r="N3" s="203" t="s">
        <v>121</v>
      </c>
      <c r="O3" s="204">
        <v>2016</v>
      </c>
      <c r="P3" s="205"/>
    </row>
    <row r="4" spans="1:17" x14ac:dyDescent="0.25">
      <c r="B4" s="154"/>
      <c r="C4" s="69" t="s">
        <v>88</v>
      </c>
      <c r="D4" s="77" t="s">
        <v>89</v>
      </c>
      <c r="E4" s="154"/>
      <c r="F4" s="69" t="s">
        <v>88</v>
      </c>
      <c r="G4" s="77" t="s">
        <v>89</v>
      </c>
      <c r="H4" s="154"/>
      <c r="I4" s="69" t="s">
        <v>88</v>
      </c>
      <c r="J4" s="77" t="s">
        <v>89</v>
      </c>
      <c r="K4" s="154"/>
      <c r="L4" s="69" t="s">
        <v>88</v>
      </c>
      <c r="M4" s="77" t="s">
        <v>89</v>
      </c>
      <c r="N4" s="154"/>
      <c r="O4" s="69" t="s">
        <v>88</v>
      </c>
      <c r="P4" s="77" t="s">
        <v>89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90</v>
      </c>
      <c r="B6" s="135">
        <f>'Revenue Requirement'!AG13</f>
        <v>888240.05750000023</v>
      </c>
      <c r="C6" s="135">
        <f>B6*C5</f>
        <v>53294.403450000013</v>
      </c>
      <c r="D6" s="136">
        <f>B6*D5</f>
        <v>834945.65405000013</v>
      </c>
      <c r="E6" s="135">
        <f>'Revenue Requirement'!AJ13</f>
        <v>797520.31250000023</v>
      </c>
      <c r="F6" s="135">
        <f>E6*F5</f>
        <v>47851.218750000015</v>
      </c>
      <c r="G6" s="136">
        <f>E6*G5</f>
        <v>749669.09375000023</v>
      </c>
      <c r="H6" s="135">
        <v>888240.0700000003</v>
      </c>
      <c r="I6" s="135">
        <f>H6*I5</f>
        <v>53294.404200000019</v>
      </c>
      <c r="J6" s="136">
        <f>H6*J5</f>
        <v>834945.66580000019</v>
      </c>
      <c r="K6" s="135">
        <v>797520.35000000021</v>
      </c>
      <c r="L6" s="135">
        <f>K6*L5</f>
        <v>47851.221000000012</v>
      </c>
      <c r="M6" s="136">
        <f>K6*M5</f>
        <v>749669.12900000019</v>
      </c>
      <c r="N6" s="135">
        <f>B6+E6-K6-H6</f>
        <v>-4.9999999930150807E-2</v>
      </c>
      <c r="O6" s="135">
        <f>N6*O5</f>
        <v>-2.9999999958090482E-3</v>
      </c>
      <c r="P6" s="136">
        <f>N6*P5</f>
        <v>-4.6999999934341757E-2</v>
      </c>
      <c r="Q6" s="1"/>
    </row>
    <row r="7" spans="1:17" x14ac:dyDescent="0.25">
      <c r="A7" s="175" t="s">
        <v>91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75" t="s">
        <v>92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0</v>
      </c>
      <c r="I8" s="138">
        <f>H8*I5</f>
        <v>0</v>
      </c>
      <c r="J8" s="138">
        <f>H8*J5</f>
        <v>0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0</v>
      </c>
      <c r="O8" s="138">
        <f>N8*O5</f>
        <v>0</v>
      </c>
      <c r="P8" s="138">
        <f>N8*P5</f>
        <v>0</v>
      </c>
      <c r="Q8" s="1"/>
    </row>
    <row r="9" spans="1:17" x14ac:dyDescent="0.25">
      <c r="A9" s="175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0</v>
      </c>
      <c r="J9" s="178">
        <f>(J7+J8)*'Revenue Requirement'!$B$16</f>
        <v>0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0</v>
      </c>
      <c r="P9" s="178">
        <f>(P7+P8)*'Revenue Requirement'!$B$16</f>
        <v>0</v>
      </c>
      <c r="Q9" s="1"/>
    </row>
    <row r="10" spans="1:17" x14ac:dyDescent="0.25">
      <c r="A10" s="69" t="s">
        <v>2</v>
      </c>
      <c r="B10" s="130"/>
      <c r="C10" s="138">
        <f>SUM(C6+C9)</f>
        <v>53294.403450000013</v>
      </c>
      <c r="D10" s="138">
        <f>SUM(D6+D9)</f>
        <v>834945.65405000013</v>
      </c>
      <c r="E10" s="130"/>
      <c r="F10" s="138">
        <f>SUM(F6+F9)</f>
        <v>47851.218750000015</v>
      </c>
      <c r="G10" s="138">
        <f>SUM(G6+G9)</f>
        <v>749669.09375000023</v>
      </c>
      <c r="H10" s="130"/>
      <c r="I10" s="138">
        <f>SUM(I6+I9)</f>
        <v>53294.404200000019</v>
      </c>
      <c r="J10" s="138">
        <f>SUM(J6+J9)</f>
        <v>834945.66580000019</v>
      </c>
      <c r="K10" s="130"/>
      <c r="L10" s="138">
        <f>SUM(L6+L9)</f>
        <v>47851.221000000012</v>
      </c>
      <c r="M10" s="138">
        <f>SUM(M6+M9)</f>
        <v>749669.12900000019</v>
      </c>
      <c r="N10" s="130"/>
      <c r="O10" s="138">
        <f>SUM(O6+O9)</f>
        <v>-2.9999999958090482E-3</v>
      </c>
      <c r="P10" s="138">
        <f>SUM(P6+P9)</f>
        <v>-4.6999999934341757E-2</v>
      </c>
      <c r="Q10" s="1"/>
    </row>
    <row r="11" spans="1:17" x14ac:dyDescent="0.25">
      <c r="A11" s="175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75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75" t="s">
        <v>3</v>
      </c>
      <c r="B13" s="180"/>
      <c r="C13" s="138">
        <f>'Revenue Requirement'!AH20</f>
        <v>2131.7761380000006</v>
      </c>
      <c r="D13" s="138">
        <f>'Revenue Requirement'!AI20</f>
        <v>33397.826162000005</v>
      </c>
      <c r="E13" s="180"/>
      <c r="F13" s="138">
        <f>'Revenue Requirement'!AK20</f>
        <v>1914.0487500000006</v>
      </c>
      <c r="G13" s="138">
        <f>'Revenue Requirement'!AL20</f>
        <v>29986.763750000009</v>
      </c>
      <c r="H13" s="180"/>
      <c r="I13" s="138">
        <v>2131.7761680000008</v>
      </c>
      <c r="J13" s="138">
        <v>33397.826632000011</v>
      </c>
      <c r="K13" s="180"/>
      <c r="L13" s="138">
        <v>1914.0488400000006</v>
      </c>
      <c r="M13" s="138">
        <v>29986.76516000001</v>
      </c>
      <c r="N13" s="180"/>
      <c r="O13" s="138">
        <f>$O$10*'Revenue Requirement'!$C20</f>
        <v>-1.1999999983236194E-4</v>
      </c>
      <c r="P13" s="138">
        <f>$P$10*'Revenue Requirement'!$C20</f>
        <v>-1.8799999973736702E-3</v>
      </c>
      <c r="Q13" s="1"/>
    </row>
    <row r="14" spans="1:17" x14ac:dyDescent="0.25">
      <c r="A14" s="175" t="s">
        <v>4</v>
      </c>
      <c r="B14" s="181"/>
      <c r="C14" s="138">
        <f>'Revenue Requirement'!AH21</f>
        <v>29844.865932000012</v>
      </c>
      <c r="D14" s="138">
        <f>'Revenue Requirement'!AI21</f>
        <v>467569.56626800011</v>
      </c>
      <c r="E14" s="181"/>
      <c r="F14" s="138">
        <f>'Revenue Requirement'!AK21</f>
        <v>26796.68250000001</v>
      </c>
      <c r="G14" s="138">
        <f>'Revenue Requirement'!AL21</f>
        <v>419814.69250000018</v>
      </c>
      <c r="H14" s="181"/>
      <c r="I14" s="138">
        <v>29844.866352000012</v>
      </c>
      <c r="J14" s="138">
        <v>467569.57284800016</v>
      </c>
      <c r="K14" s="181"/>
      <c r="L14" s="138">
        <v>26796.683760000011</v>
      </c>
      <c r="M14" s="138">
        <v>419814.71224000014</v>
      </c>
      <c r="N14" s="181"/>
      <c r="O14" s="138">
        <f>$O$10*'Revenue Requirement'!$C21</f>
        <v>-1.6799999976530671E-3</v>
      </c>
      <c r="P14" s="138">
        <f>$P$10*'Revenue Requirement'!$C21</f>
        <v>-2.6319999963231387E-2</v>
      </c>
      <c r="Q14" s="1"/>
    </row>
    <row r="15" spans="1:17" x14ac:dyDescent="0.25">
      <c r="A15" s="175" t="s">
        <v>5</v>
      </c>
      <c r="B15" s="181"/>
      <c r="C15" s="138">
        <f>'Revenue Requirement'!AH22</f>
        <v>21317.761380000007</v>
      </c>
      <c r="D15" s="138">
        <f>'Revenue Requirement'!AI22</f>
        <v>333978.26162000006</v>
      </c>
      <c r="E15" s="181"/>
      <c r="F15" s="138">
        <f>'Revenue Requirement'!AK22</f>
        <v>19140.487500000007</v>
      </c>
      <c r="G15" s="138">
        <f>'Revenue Requirement'!AL22</f>
        <v>299867.63750000013</v>
      </c>
      <c r="H15" s="181"/>
      <c r="I15" s="138">
        <v>21317.761680000011</v>
      </c>
      <c r="J15" s="138">
        <v>333978.26632000011</v>
      </c>
      <c r="K15" s="181"/>
      <c r="L15" s="138">
        <v>19140.488400000006</v>
      </c>
      <c r="M15" s="138">
        <v>299867.6516000001</v>
      </c>
      <c r="N15" s="181"/>
      <c r="O15" s="138">
        <f>$O$10*'Revenue Requirement'!$C22</f>
        <v>-1.1999999983236193E-3</v>
      </c>
      <c r="P15" s="138">
        <f>$P$10*'Revenue Requirement'!$C22</f>
        <v>-1.8799999973736704E-2</v>
      </c>
      <c r="Q15" s="1"/>
    </row>
    <row r="16" spans="1:17" x14ac:dyDescent="0.25">
      <c r="A16" s="175"/>
      <c r="B16" s="130"/>
      <c r="C16" s="182"/>
      <c r="D16" s="130"/>
      <c r="E16" s="130"/>
      <c r="F16" s="182"/>
      <c r="G16" s="130"/>
      <c r="H16" s="130"/>
      <c r="I16" s="138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75" t="s">
        <v>6</v>
      </c>
      <c r="B17" s="159"/>
      <c r="C17" s="138">
        <f>'Revenue Requirement'!AH24</f>
        <v>44.340943670400009</v>
      </c>
      <c r="D17" s="138">
        <f>'Revenue Requirement'!AI24</f>
        <v>694.67478416960012</v>
      </c>
      <c r="E17" s="159"/>
      <c r="F17" s="138">
        <f>'Revenue Requirement'!AK24</f>
        <v>39.812214000000012</v>
      </c>
      <c r="G17" s="138">
        <f>'Revenue Requirement'!AL24</f>
        <v>623.72468600000013</v>
      </c>
      <c r="H17" s="159"/>
      <c r="I17" s="138">
        <v>44.340944294400018</v>
      </c>
      <c r="J17" s="138">
        <v>694.67479394560019</v>
      </c>
      <c r="K17" s="159"/>
      <c r="L17" s="138">
        <v>39.81221587200001</v>
      </c>
      <c r="M17" s="138">
        <v>623.72471532800023</v>
      </c>
      <c r="N17" s="159"/>
      <c r="O17" s="138">
        <f>O13*'Revenue Requirement'!C24</f>
        <v>-2.4959999965131282E-6</v>
      </c>
      <c r="P17" s="138">
        <f>P13*'Revenue Requirement'!C24</f>
        <v>-3.9103999945372342E-5</v>
      </c>
      <c r="Q17" s="1"/>
    </row>
    <row r="18" spans="1:17" x14ac:dyDescent="0.25">
      <c r="A18" s="175" t="s">
        <v>7</v>
      </c>
      <c r="B18" s="159"/>
      <c r="C18" s="138">
        <f>'Revenue Requirement'!AH25</f>
        <v>1519.1036759388005</v>
      </c>
      <c r="D18" s="138">
        <f>'Revenue Requirement'!AI25</f>
        <v>23799.290923041208</v>
      </c>
      <c r="E18" s="159"/>
      <c r="F18" s="138">
        <f>'Revenue Requirement'!AK25</f>
        <v>1363.9511392500006</v>
      </c>
      <c r="G18" s="138">
        <f>'Revenue Requirement'!AL25</f>
        <v>21368.567848250008</v>
      </c>
      <c r="H18" s="159"/>
      <c r="I18" s="138">
        <v>1519.1036973168007</v>
      </c>
      <c r="J18" s="138">
        <v>23799.291257963207</v>
      </c>
      <c r="K18" s="159"/>
      <c r="L18" s="138">
        <v>1363.9512033840006</v>
      </c>
      <c r="M18" s="138">
        <v>21368.568853016008</v>
      </c>
      <c r="N18" s="159"/>
      <c r="O18" s="138">
        <f>O14*'Revenue Requirement'!C25</f>
        <v>-8.5511999880541118E-5</v>
      </c>
      <c r="P18" s="138">
        <f>P14*'Revenue Requirement'!C25</f>
        <v>-1.3396879981284777E-3</v>
      </c>
      <c r="Q18" s="1"/>
    </row>
    <row r="19" spans="1:17" x14ac:dyDescent="0.25">
      <c r="A19" s="175" t="s">
        <v>8</v>
      </c>
      <c r="B19" s="159"/>
      <c r="C19" s="138">
        <f>'Revenue Requirement'!AH26</f>
        <v>1903.6760912340008</v>
      </c>
      <c r="D19" s="138">
        <f>'Revenue Requirement'!AI26</f>
        <v>29824.258762666006</v>
      </c>
      <c r="E19" s="159"/>
      <c r="F19" s="138">
        <f>'Revenue Requirement'!AK26</f>
        <v>1709.2455337500007</v>
      </c>
      <c r="G19" s="138">
        <f>'Revenue Requirement'!AL26</f>
        <v>26778.180028750012</v>
      </c>
      <c r="H19" s="159"/>
      <c r="I19" s="138">
        <v>1903.676118024001</v>
      </c>
      <c r="J19" s="138">
        <v>29824.259182376012</v>
      </c>
      <c r="K19" s="159"/>
      <c r="L19" s="138">
        <v>1709.2456141200005</v>
      </c>
      <c r="M19" s="138">
        <v>26778.181287880012</v>
      </c>
      <c r="N19" s="159"/>
      <c r="O19" s="138">
        <f>O15*'Revenue Requirement'!C26</f>
        <v>-1.071599998502992E-4</v>
      </c>
      <c r="P19" s="138">
        <f>P15*'Revenue Requirement'!C26</f>
        <v>-1.6788399976546877E-3</v>
      </c>
      <c r="Q19" s="1"/>
    </row>
    <row r="20" spans="1:17" x14ac:dyDescent="0.25">
      <c r="A20" s="176" t="s">
        <v>95</v>
      </c>
      <c r="B20" s="130"/>
      <c r="C20" s="183">
        <f>SUM(C17:C19)</f>
        <v>3467.1207108432013</v>
      </c>
      <c r="D20" s="183">
        <f>SUM(D17:D19)</f>
        <v>54318.224469876819</v>
      </c>
      <c r="E20" s="130"/>
      <c r="F20" s="183">
        <f>SUM(F17:F19)</f>
        <v>3113.0088870000013</v>
      </c>
      <c r="G20" s="183">
        <f>SUM(G17:G19)</f>
        <v>48770.472563000018</v>
      </c>
      <c r="H20" s="130"/>
      <c r="I20" s="183">
        <f>SUM(I17:I19)</f>
        <v>3467.1207596352015</v>
      </c>
      <c r="J20" s="183">
        <f>SUM(J17:J19)</f>
        <v>54318.225234284822</v>
      </c>
      <c r="K20" s="130"/>
      <c r="L20" s="183">
        <f>SUM(L17:L19)</f>
        <v>3113.0090333760008</v>
      </c>
      <c r="M20" s="183">
        <f>SUM(M17:M19)</f>
        <v>48770.47485622402</v>
      </c>
      <c r="N20" s="130"/>
      <c r="O20" s="183">
        <f>SUM(O17:O19)</f>
        <v>-1.9516799972735344E-4</v>
      </c>
      <c r="P20" s="183">
        <f>SUM(P17:P19)</f>
        <v>-3.0576319957285377E-3</v>
      </c>
      <c r="Q20" s="1"/>
    </row>
    <row r="21" spans="1:17" x14ac:dyDescent="0.25">
      <c r="A21" s="17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75" t="s">
        <v>0</v>
      </c>
      <c r="B22" s="130"/>
      <c r="C22" s="138">
        <f>'Revenue Requirement'!AH29</f>
        <v>0</v>
      </c>
      <c r="D22" s="138">
        <f>'Revenue Requirement'!AI29</f>
        <v>0</v>
      </c>
      <c r="E22" s="130"/>
      <c r="F22" s="138">
        <f>'Revenue Requirement'!AK29</f>
        <v>0</v>
      </c>
      <c r="G22" s="138">
        <f>'Revenue Requirement'!AL29</f>
        <v>0</v>
      </c>
      <c r="H22" s="130"/>
      <c r="I22" s="138">
        <v>0</v>
      </c>
      <c r="J22" s="138">
        <v>0</v>
      </c>
      <c r="K22" s="130"/>
      <c r="L22" s="138">
        <v>0</v>
      </c>
      <c r="M22" s="138">
        <v>0</v>
      </c>
      <c r="N22" s="130"/>
      <c r="O22" s="138">
        <f>N8</f>
        <v>0</v>
      </c>
      <c r="P22" s="138"/>
      <c r="Q22" s="1"/>
    </row>
    <row r="23" spans="1:17" x14ac:dyDescent="0.25">
      <c r="A23" s="175" t="s">
        <v>9</v>
      </c>
      <c r="B23" s="140">
        <f>'Revenue Requirement'!AG30</f>
        <v>90719.719999999987</v>
      </c>
      <c r="C23" s="138">
        <f>'Revenue Requirement'!AH30</f>
        <v>5443.1831999999986</v>
      </c>
      <c r="D23" s="138">
        <f>'Revenue Requirement'!AI30</f>
        <v>85276.536799999987</v>
      </c>
      <c r="E23" s="140">
        <f>'Revenue Requirement'!AG30</f>
        <v>90719.719999999987</v>
      </c>
      <c r="F23" s="138">
        <f>'Revenue Requirement'!AK30</f>
        <v>5443.1846999999998</v>
      </c>
      <c r="G23" s="138">
        <f>'Revenue Requirement'!AL30</f>
        <v>85276.560299999997</v>
      </c>
      <c r="H23" s="140">
        <v>90719.719999999987</v>
      </c>
      <c r="I23" s="138">
        <v>5443.1831999999986</v>
      </c>
      <c r="J23" s="138">
        <v>85276.536799999987</v>
      </c>
      <c r="K23" s="140">
        <v>90719.719999999987</v>
      </c>
      <c r="L23" s="138">
        <v>5443.1831999999986</v>
      </c>
      <c r="M23" s="138">
        <v>85276.536799999987</v>
      </c>
      <c r="N23" s="138">
        <f>B23+E23-H23-K23</f>
        <v>0</v>
      </c>
      <c r="O23" s="138">
        <f>N23*O5</f>
        <v>0</v>
      </c>
      <c r="P23" s="138">
        <f>N23*P5</f>
        <v>0</v>
      </c>
      <c r="Q23" s="1"/>
    </row>
    <row r="24" spans="1:17" x14ac:dyDescent="0.25">
      <c r="A24" s="175" t="s">
        <v>10</v>
      </c>
      <c r="B24" s="184"/>
      <c r="C24" s="138">
        <f>'Revenue Requirement'!AH31</f>
        <v>997.23901234760842</v>
      </c>
      <c r="D24" s="138">
        <f>'Revenue Requirement'!AI31</f>
        <v>15623.411193445871</v>
      </c>
      <c r="E24" s="184"/>
      <c r="F24" s="138">
        <f>'Revenue Requirement'!AK31</f>
        <v>1059.2748359868758</v>
      </c>
      <c r="G24" s="138">
        <f>'Revenue Requirement'!AL31</f>
        <v>16595.305763794393</v>
      </c>
      <c r="H24" s="184"/>
      <c r="I24" s="138">
        <v>964.96793204740425</v>
      </c>
      <c r="J24" s="138">
        <v>15117.830935409336</v>
      </c>
      <c r="K24" s="184"/>
      <c r="L24" s="138">
        <v>997.31383142585526</v>
      </c>
      <c r="M24" s="138">
        <v>15624.58335900507</v>
      </c>
      <c r="N24" s="184"/>
      <c r="O24" s="135">
        <f>C24+F24-I24-L24</f>
        <v>94.232084861224962</v>
      </c>
      <c r="P24" s="135">
        <f>D24+G24-J24-M24</f>
        <v>1476.3026628258576</v>
      </c>
      <c r="Q24" s="1"/>
    </row>
    <row r="25" spans="1:17" x14ac:dyDescent="0.25">
      <c r="A25" s="175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9907.5429231908092</v>
      </c>
      <c r="D26" s="185">
        <f>SUM(D20:D24)</f>
        <v>155218.17246332267</v>
      </c>
      <c r="E26" s="130"/>
      <c r="F26" s="185">
        <f>SUM(F20:F24)</f>
        <v>9615.4684229868781</v>
      </c>
      <c r="G26" s="185">
        <f>SUM(G20:G24)</f>
        <v>150642.3386267944</v>
      </c>
      <c r="H26" s="130"/>
      <c r="I26" s="185">
        <f>SUM(I20:I24)</f>
        <v>9875.2718916826034</v>
      </c>
      <c r="J26" s="185">
        <f>SUM(J20:J24)</f>
        <v>154712.59296969417</v>
      </c>
      <c r="K26" s="130"/>
      <c r="L26" s="185">
        <f>SUM(L20:L24)</f>
        <v>9553.5060648018552</v>
      </c>
      <c r="M26" s="185">
        <f>SUM(M20:M24)</f>
        <v>149671.59501522908</v>
      </c>
      <c r="N26" s="130"/>
      <c r="O26" s="185">
        <f>SUM(O20:O24)</f>
        <v>94.231889693225241</v>
      </c>
      <c r="P26" s="185">
        <f>SUM(P20:P24)</f>
        <v>1476.2996051938619</v>
      </c>
      <c r="Q26" s="1"/>
    </row>
    <row r="27" spans="1:17" x14ac:dyDescent="0.25">
      <c r="A27" s="175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75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75" t="s">
        <v>12</v>
      </c>
      <c r="B29" s="138"/>
      <c r="C29" s="130"/>
      <c r="D29" s="183">
        <f>D26</f>
        <v>155218.17246332267</v>
      </c>
      <c r="E29" s="138"/>
      <c r="F29" s="130"/>
      <c r="G29" s="183">
        <f>G26</f>
        <v>150642.3386267944</v>
      </c>
      <c r="H29" s="138"/>
      <c r="I29" s="130"/>
      <c r="J29" s="183">
        <f>J26</f>
        <v>154712.59296969417</v>
      </c>
      <c r="K29" s="138"/>
      <c r="L29" s="130"/>
      <c r="M29" s="183">
        <f>M26</f>
        <v>149671.59501522908</v>
      </c>
      <c r="N29" s="138"/>
      <c r="O29" s="130"/>
      <c r="P29" s="183">
        <f>P26</f>
        <v>1476.2996051938619</v>
      </c>
      <c r="Q29" s="1"/>
    </row>
    <row r="30" spans="1:17" x14ac:dyDescent="0.25">
      <c r="A30" s="175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75" t="s">
        <v>96</v>
      </c>
      <c r="B31" s="135"/>
      <c r="C31" s="130"/>
      <c r="D31" s="183">
        <f>D29/12</f>
        <v>12934.847705276889</v>
      </c>
      <c r="E31" s="135"/>
      <c r="F31" s="130"/>
      <c r="G31" s="183">
        <f>G29/12</f>
        <v>12553.528218899533</v>
      </c>
      <c r="H31" s="135"/>
      <c r="I31" s="130"/>
      <c r="J31" s="183">
        <f>J29/12</f>
        <v>12892.716080807848</v>
      </c>
      <c r="K31" s="135"/>
      <c r="L31" s="130"/>
      <c r="M31" s="183">
        <f>M29/12</f>
        <v>12472.632917935756</v>
      </c>
      <c r="N31" s="135"/>
      <c r="O31" s="130"/>
      <c r="P31" s="183">
        <f>P29/12</f>
        <v>123.02496709948849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9:P12 C6:D6 A20:P21 A13:B19 K13:K19 A26:P31 A22:B22 A7:E7 G7:P7 I6:J6 A8:G8 I8:P8 N13:P19 N22:P24 A24:B24 A23 L6:P6 E16:H16 A25:B25 E25:P25 E22 E24 E23 F6:G6 E13 H13 E14 H14 E15 H15 E19 E17 H17 E18 H18 H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 Requirement</vt:lpstr>
      <vt:lpstr>Avg NFA</vt:lpstr>
      <vt:lpstr>CCA</vt:lpstr>
      <vt:lpstr>PILs</vt:lpstr>
      <vt:lpstr>Trueup Calculation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cp:lastPrinted>2020-11-30T17:00:49Z</cp:lastPrinted>
  <dcterms:created xsi:type="dcterms:W3CDTF">2018-05-23T20:10:03Z</dcterms:created>
  <dcterms:modified xsi:type="dcterms:W3CDTF">2021-08-05T18:24:30Z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