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C:\Users\v_lphin\Documents\2022 Rates Update\Excels to File\"/>
    </mc:Choice>
  </mc:AlternateContent>
  <xr:revisionPtr revIDLastSave="0" documentId="8_{D2CD69B6-6CFA-4CD0-931A-E1EC5CDE8739}" xr6:coauthVersionLast="36" xr6:coauthVersionMax="36" xr10:uidLastSave="{00000000-0000-0000-0000-000000000000}"/>
  <bookViews>
    <workbookView xWindow="0" yWindow="0" windowWidth="23040" windowHeight="7900" xr2:uid="{CF12764E-7E4F-464C-848A-C6F46FB08B39}"/>
  </bookViews>
  <sheets>
    <sheet name="Summary of Changes" sheetId="4" r:id="rId1"/>
    <sheet name="Instructions" sheetId="1" r:id="rId2"/>
    <sheet name="1. Information Sheet" sheetId="5" r:id="rId3"/>
    <sheet name="3. Continuity Schedule" sheetId="6" r:id="rId4"/>
    <sheet name="4. Billing Det. for Def-Var" sheetId="8" r:id="rId5"/>
    <sheet name="5. Allocating Def-Var Balances" sheetId="9" r:id="rId6"/>
    <sheet name="7. Calculation of Def-Var RR" sheetId="15" r:id="rId7"/>
    <sheet name="10. RTSR Current Rates" sheetId="18" r:id="rId8"/>
    <sheet name="11. RTSR - UTRs &amp; Sub-Tx" sheetId="19" r:id="rId9"/>
    <sheet name="12. RTSR - Historical Wholesale" sheetId="20" r:id="rId10"/>
    <sheet name="13. RTSR - Current Wholesale" sheetId="21" r:id="rId11"/>
    <sheet name="14. RTSR - Forecast Wholesale" sheetId="22" r:id="rId12"/>
    <sheet name="15. RTSR Rates to Forecast" sheetId="23" r:id="rId13"/>
    <sheet name="16. Rev2Cost_GDPIPI" sheetId="24" r:id="rId14"/>
  </sheets>
  <externalReferences>
    <externalReference r:id="rId15"/>
    <externalReference r:id="rId16"/>
    <externalReference r:id="rId17"/>
  </externalReferences>
  <definedNames>
    <definedName name="COS_RES_CUSTOMERS">'[1]16. Rev2Cost_GDPIPI'!$F$12</definedName>
    <definedName name="COS_RES_KWH">'[1]16. Rev2Cost_GDPIPI'!$F$13</definedName>
    <definedName name="ERTH_SA">'[2]2016 List'!$C$9:$C$10</definedName>
    <definedName name="forecast_wholesale_lineplus">'14. RTSR - Forecast Wholesale'!$P$113</definedName>
    <definedName name="forecast_wholesale_network">'14. RTSR - Forecast Wholesale'!$F$109</definedName>
    <definedName name="G1LD">'[1]6. Class A Consumption data'!$C$14</definedName>
    <definedName name="LDCList">OFFSET('[3]2016 List'!$A$1,0,0,COUNTA('[3]2016 List'!$A:$A),1)</definedName>
    <definedName name="LDCNAME1">'[1]1. Information Sheet'!$F$14</definedName>
    <definedName name="listdata">'[1]4. Billing Det. for Def-Var'!$A$17:$A$25</definedName>
    <definedName name="_xlnm.Print_Area" localSheetId="2">'1. Information Sheet'!$A$1:$S$82</definedName>
    <definedName name="_xlnm.Print_Area" localSheetId="7">'10. RTSR Current Rates'!$A$13:$H$32</definedName>
    <definedName name="_xlnm.Print_Area" localSheetId="8">'11. RTSR - UTRs &amp; Sub-Tx'!$B$1:$L$74</definedName>
    <definedName name="_xlnm.Print_Area" localSheetId="9">'12. RTSR - Historical Wholesale'!$A$1:$P$112</definedName>
    <definedName name="_xlnm.Print_Area" localSheetId="10">'13. RTSR - Current Wholesale'!$A$1:$P$113</definedName>
    <definedName name="_xlnm.Print_Area" localSheetId="11">'14. RTSR - Forecast Wholesale'!$A$1:$P$113</definedName>
    <definedName name="_xlnm.Print_Area" localSheetId="12">'15. RTSR Rates to Forecast'!$A$1:$J$60</definedName>
    <definedName name="_xlnm.Print_Area" localSheetId="13">'16. Rev2Cost_GDPIPI'!$A$1:$K$42</definedName>
    <definedName name="_xlnm.Print_Area" localSheetId="3">'3. Continuity Schedule'!$A$1:$CD$58</definedName>
    <definedName name="_xlnm.Print_Area" localSheetId="4">'4. Billing Det. for Def-Var'!$A$1:$Q$37</definedName>
    <definedName name="_xlnm.Print_Area" localSheetId="0">'Summary of Changes'!$B$1:$E$23</definedName>
    <definedName name="_xlnm.Print_Titles" localSheetId="3">'3. Continuity Schedule'!$C:$D</definedName>
    <definedName name="_xlnm.Print_Titles" localSheetId="1">Instructions!$15:$15</definedName>
    <definedName name="RateRiderName">OFFSET('[2]Rate Rider Database'!$C$1,1,0,COUNTA('[2]Rate Rider Database'!$C:$C)-1,1)</definedName>
    <definedName name="Total_Current_Wholesale_Lineplus">'13. RTSR - Current Wholesale'!$P$113</definedName>
    <definedName name="total_current_wholesale_network">'13. RTSR - Current Wholesale'!$F$109</definedName>
    <definedName name="YRS_LEFT">'[1]16. Rev2Cost_GDPIPI'!$F$14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9" l="1"/>
  <c r="H25" i="9"/>
  <c r="S24" i="9"/>
  <c r="H24" i="9"/>
  <c r="S23" i="9"/>
  <c r="H23" i="9"/>
  <c r="S22" i="9"/>
  <c r="H22" i="9"/>
  <c r="S21" i="9"/>
  <c r="H21" i="9"/>
  <c r="S20" i="9"/>
  <c r="H20" i="9"/>
  <c r="S19" i="9"/>
  <c r="H19" i="9"/>
  <c r="S18" i="9"/>
  <c r="H18" i="9"/>
  <c r="S17" i="9"/>
  <c r="H17" i="9"/>
  <c r="BV37" i="6" l="1"/>
  <c r="K17" i="15" l="1"/>
  <c r="K25" i="15"/>
  <c r="K24" i="15"/>
  <c r="K23" i="15"/>
  <c r="K22" i="15"/>
  <c r="K21" i="15"/>
  <c r="K20" i="15"/>
  <c r="K19" i="15"/>
  <c r="J25" i="15"/>
  <c r="J24" i="15"/>
  <c r="J23" i="15"/>
  <c r="J19" i="15"/>
  <c r="J17" i="15"/>
  <c r="W25" i="9"/>
  <c r="W24" i="9"/>
  <c r="W23" i="9"/>
  <c r="W22" i="9"/>
  <c r="W21" i="9"/>
  <c r="W20" i="9"/>
  <c r="W19" i="9"/>
  <c r="W18" i="9"/>
  <c r="W17" i="9"/>
  <c r="D17" i="15"/>
  <c r="D18" i="15"/>
  <c r="D19" i="15"/>
  <c r="D20" i="15"/>
  <c r="D21" i="15"/>
  <c r="D22" i="15"/>
  <c r="D23" i="15"/>
  <c r="D24" i="15"/>
  <c r="D25" i="15"/>
  <c r="C25" i="15"/>
  <c r="C24" i="15"/>
  <c r="C23" i="15"/>
  <c r="C22" i="15"/>
  <c r="C21" i="15"/>
  <c r="C20" i="15"/>
  <c r="C19" i="15"/>
  <c r="C18" i="15"/>
  <c r="K18" i="15" s="1"/>
  <c r="C17" i="15"/>
  <c r="E60" i="23" l="1"/>
  <c r="F59" i="23"/>
  <c r="E58" i="23"/>
  <c r="E57" i="23"/>
  <c r="E56" i="23"/>
  <c r="F55" i="23"/>
  <c r="F54" i="23"/>
  <c r="F53" i="23"/>
  <c r="F47" i="23"/>
  <c r="F43" i="23"/>
  <c r="F42" i="23"/>
  <c r="F41" i="23"/>
  <c r="E48" i="23"/>
  <c r="E46" i="23"/>
  <c r="E45" i="23"/>
  <c r="E44" i="23"/>
  <c r="F36" i="23"/>
  <c r="F60" i="23" s="1"/>
  <c r="D36" i="23"/>
  <c r="D35" i="23"/>
  <c r="D34" i="23"/>
  <c r="D33" i="23"/>
  <c r="D32" i="23"/>
  <c r="D31" i="23"/>
  <c r="D30" i="23"/>
  <c r="D29" i="23"/>
  <c r="D24" i="23"/>
  <c r="D23" i="23"/>
  <c r="D22" i="23"/>
  <c r="D21" i="23"/>
  <c r="D20" i="23"/>
  <c r="D19" i="23"/>
  <c r="D18" i="23"/>
  <c r="D17" i="23"/>
  <c r="P110" i="20"/>
  <c r="L74" i="19"/>
  <c r="P111" i="22" s="1"/>
  <c r="H74" i="19"/>
  <c r="P111" i="21" s="1"/>
  <c r="F31" i="18"/>
  <c r="F24" i="23" s="1"/>
  <c r="F32" i="18"/>
  <c r="F23" i="18"/>
  <c r="F20" i="23" s="1"/>
  <c r="F24" i="18"/>
  <c r="F32" i="23" s="1"/>
  <c r="F25" i="18"/>
  <c r="F21" i="23" s="1"/>
  <c r="F26" i="18"/>
  <c r="F33" i="23" s="1"/>
  <c r="F27" i="18"/>
  <c r="F22" i="23" s="1"/>
  <c r="F28" i="18"/>
  <c r="F34" i="23" s="1"/>
  <c r="E32" i="18"/>
  <c r="E31" i="18"/>
  <c r="E28" i="18"/>
  <c r="E27" i="18"/>
  <c r="E26" i="18"/>
  <c r="E25" i="18"/>
  <c r="E24" i="18"/>
  <c r="E23" i="18"/>
  <c r="E30" i="18"/>
  <c r="H30" i="18" s="1"/>
  <c r="E35" i="23" s="1"/>
  <c r="E59" i="23" s="1"/>
  <c r="E29" i="18"/>
  <c r="E22" i="18"/>
  <c r="E21" i="18"/>
  <c r="E20" i="18"/>
  <c r="H20" i="18" s="1"/>
  <c r="E30" i="23" s="1"/>
  <c r="E54" i="23" s="1"/>
  <c r="E19" i="18"/>
  <c r="E18" i="18"/>
  <c r="E17" i="18"/>
  <c r="B34" i="24"/>
  <c r="C34" i="24" s="1"/>
  <c r="C33" i="24"/>
  <c r="B33" i="24"/>
  <c r="G30" i="24"/>
  <c r="B14" i="24"/>
  <c r="D13" i="24" s="1"/>
  <c r="L88" i="22"/>
  <c r="H88" i="22"/>
  <c r="D88" i="22"/>
  <c r="L87" i="22"/>
  <c r="H87" i="22"/>
  <c r="D87" i="22"/>
  <c r="L86" i="22"/>
  <c r="H86" i="22"/>
  <c r="D86" i="22"/>
  <c r="L85" i="22"/>
  <c r="H85" i="22"/>
  <c r="D85" i="22"/>
  <c r="L84" i="22"/>
  <c r="H84" i="22"/>
  <c r="D84" i="22"/>
  <c r="L83" i="22"/>
  <c r="H83" i="22"/>
  <c r="D83" i="22"/>
  <c r="L82" i="22"/>
  <c r="H82" i="22"/>
  <c r="D82" i="22"/>
  <c r="L81" i="22"/>
  <c r="H81" i="22"/>
  <c r="D81" i="22"/>
  <c r="L80" i="22"/>
  <c r="H80" i="22"/>
  <c r="D80" i="22"/>
  <c r="L79" i="22"/>
  <c r="H79" i="22"/>
  <c r="D79" i="22"/>
  <c r="L78" i="22"/>
  <c r="H78" i="22"/>
  <c r="D78" i="22"/>
  <c r="M77" i="22"/>
  <c r="L77" i="22"/>
  <c r="N77" i="22" s="1"/>
  <c r="I77" i="22"/>
  <c r="H77" i="22"/>
  <c r="E77" i="22"/>
  <c r="D77" i="22"/>
  <c r="F77" i="22" s="1"/>
  <c r="B73" i="22"/>
  <c r="L69" i="22"/>
  <c r="H69" i="22"/>
  <c r="D69" i="22"/>
  <c r="L68" i="22"/>
  <c r="H68" i="22"/>
  <c r="D68" i="22"/>
  <c r="L67" i="22"/>
  <c r="H67" i="22"/>
  <c r="D67" i="22"/>
  <c r="L66" i="22"/>
  <c r="H66" i="22"/>
  <c r="D66" i="22"/>
  <c r="L65" i="22"/>
  <c r="H65" i="22"/>
  <c r="D65" i="22"/>
  <c r="L64" i="22"/>
  <c r="H64" i="22"/>
  <c r="D64" i="22"/>
  <c r="L63" i="22"/>
  <c r="H63" i="22"/>
  <c r="D63" i="22"/>
  <c r="L62" i="22"/>
  <c r="H62" i="22"/>
  <c r="D62" i="22"/>
  <c r="L61" i="22"/>
  <c r="H61" i="22"/>
  <c r="D61" i="22"/>
  <c r="L60" i="22"/>
  <c r="H60" i="22"/>
  <c r="D60" i="22"/>
  <c r="L59" i="22"/>
  <c r="H59" i="22"/>
  <c r="D59" i="22"/>
  <c r="M58" i="22"/>
  <c r="L58" i="22"/>
  <c r="N58" i="22" s="1"/>
  <c r="I58" i="22"/>
  <c r="H58" i="22"/>
  <c r="E58" i="22"/>
  <c r="D58" i="22"/>
  <c r="B54" i="22"/>
  <c r="L50" i="22"/>
  <c r="H50" i="22"/>
  <c r="D50" i="22"/>
  <c r="L49" i="22"/>
  <c r="H49" i="22"/>
  <c r="D49" i="22"/>
  <c r="L48" i="22"/>
  <c r="H48" i="22"/>
  <c r="D48" i="22"/>
  <c r="L47" i="22"/>
  <c r="H47" i="22"/>
  <c r="D47" i="22"/>
  <c r="L46" i="22"/>
  <c r="H46" i="22"/>
  <c r="D46" i="22"/>
  <c r="L45" i="22"/>
  <c r="H45" i="22"/>
  <c r="D45" i="22"/>
  <c r="L44" i="22"/>
  <c r="H44" i="22"/>
  <c r="D44" i="22"/>
  <c r="L43" i="22"/>
  <c r="H43" i="22"/>
  <c r="D43" i="22"/>
  <c r="L42" i="22"/>
  <c r="H42" i="22"/>
  <c r="D42" i="22"/>
  <c r="L41" i="22"/>
  <c r="H41" i="22"/>
  <c r="D41" i="22"/>
  <c r="L40" i="22"/>
  <c r="N40" i="22" s="1"/>
  <c r="H40" i="22"/>
  <c r="D40" i="22"/>
  <c r="M39" i="22"/>
  <c r="L39" i="22"/>
  <c r="N39" i="22" s="1"/>
  <c r="I39" i="22"/>
  <c r="H39" i="22"/>
  <c r="E39" i="22"/>
  <c r="D39" i="22"/>
  <c r="F39" i="22" s="1"/>
  <c r="L31" i="22"/>
  <c r="L107" i="22" s="1"/>
  <c r="H31" i="22"/>
  <c r="D31" i="22"/>
  <c r="D107" i="22" s="1"/>
  <c r="L30" i="22"/>
  <c r="H30" i="22"/>
  <c r="D30" i="22"/>
  <c r="L29" i="22"/>
  <c r="H29" i="22"/>
  <c r="D29" i="22"/>
  <c r="L28" i="22"/>
  <c r="H28" i="22"/>
  <c r="D28" i="22"/>
  <c r="D104" i="22" s="1"/>
  <c r="L27" i="22"/>
  <c r="L103" i="22" s="1"/>
  <c r="H27" i="22"/>
  <c r="D27" i="22"/>
  <c r="L26" i="22"/>
  <c r="H26" i="22"/>
  <c r="D26" i="22"/>
  <c r="D102" i="22" s="1"/>
  <c r="L25" i="22"/>
  <c r="H25" i="22"/>
  <c r="D25" i="22"/>
  <c r="L24" i="22"/>
  <c r="H24" i="22"/>
  <c r="D24" i="22"/>
  <c r="D100" i="22" s="1"/>
  <c r="L23" i="22"/>
  <c r="H23" i="22"/>
  <c r="D23" i="22"/>
  <c r="L22" i="22"/>
  <c r="H22" i="22"/>
  <c r="D22" i="22"/>
  <c r="D98" i="22" s="1"/>
  <c r="L21" i="22"/>
  <c r="H21" i="22"/>
  <c r="H97" i="22" s="1"/>
  <c r="D21" i="22"/>
  <c r="M20" i="22"/>
  <c r="L20" i="22"/>
  <c r="I20" i="22"/>
  <c r="I21" i="22" s="1"/>
  <c r="I22" i="22" s="1"/>
  <c r="I23" i="22" s="1"/>
  <c r="H20" i="22"/>
  <c r="E20" i="22"/>
  <c r="D20" i="22"/>
  <c r="I78" i="22"/>
  <c r="I79" i="22" s="1"/>
  <c r="J79" i="22" s="1"/>
  <c r="M78" i="22"/>
  <c r="J77" i="22"/>
  <c r="E78" i="22"/>
  <c r="E79" i="22" s="1"/>
  <c r="E80" i="22" s="1"/>
  <c r="E81" i="22" s="1"/>
  <c r="E82" i="22" s="1"/>
  <c r="E83" i="22" s="1"/>
  <c r="M59" i="22"/>
  <c r="I59" i="22"/>
  <c r="I60" i="22" s="1"/>
  <c r="I61" i="22" s="1"/>
  <c r="I62" i="22" s="1"/>
  <c r="I63" i="22" s="1"/>
  <c r="I64" i="22" s="1"/>
  <c r="I65" i="22" s="1"/>
  <c r="I66" i="22" s="1"/>
  <c r="I67" i="22" s="1"/>
  <c r="I68" i="22" s="1"/>
  <c r="I69" i="22" s="1"/>
  <c r="J69" i="22" s="1"/>
  <c r="J58" i="22"/>
  <c r="D71" i="22"/>
  <c r="E71" i="22" s="1"/>
  <c r="M40" i="22"/>
  <c r="M41" i="22" s="1"/>
  <c r="M42" i="22" s="1"/>
  <c r="M43" i="22" s="1"/>
  <c r="M44" i="22" s="1"/>
  <c r="M45" i="22" s="1"/>
  <c r="M46" i="22" s="1"/>
  <c r="M47" i="22" s="1"/>
  <c r="M48" i="22" s="1"/>
  <c r="M49" i="22" s="1"/>
  <c r="M50" i="22" s="1"/>
  <c r="I40" i="22"/>
  <c r="I41" i="22" s="1"/>
  <c r="E40" i="22"/>
  <c r="F40" i="22" s="1"/>
  <c r="D106" i="22"/>
  <c r="L99" i="22"/>
  <c r="M21" i="22"/>
  <c r="N21" i="22" s="1"/>
  <c r="J20" i="22"/>
  <c r="H96" i="22"/>
  <c r="E21" i="22"/>
  <c r="E22" i="22" s="1"/>
  <c r="L88" i="21"/>
  <c r="H88" i="21"/>
  <c r="D88" i="21"/>
  <c r="L87" i="21"/>
  <c r="H87" i="21"/>
  <c r="D87" i="21"/>
  <c r="L86" i="21"/>
  <c r="H86" i="21"/>
  <c r="D86" i="21"/>
  <c r="L85" i="21"/>
  <c r="H85" i="21"/>
  <c r="D85" i="21"/>
  <c r="L84" i="21"/>
  <c r="H84" i="21"/>
  <c r="D84" i="21"/>
  <c r="L83" i="21"/>
  <c r="H83" i="21"/>
  <c r="D83" i="21"/>
  <c r="L82" i="21"/>
  <c r="H82" i="21"/>
  <c r="D82" i="21"/>
  <c r="L81" i="21"/>
  <c r="H81" i="21"/>
  <c r="D81" i="21"/>
  <c r="L80" i="21"/>
  <c r="H80" i="21"/>
  <c r="D80" i="21"/>
  <c r="L79" i="21"/>
  <c r="H79" i="21"/>
  <c r="D79" i="21"/>
  <c r="L78" i="21"/>
  <c r="N78" i="21" s="1"/>
  <c r="H78" i="21"/>
  <c r="D78" i="21"/>
  <c r="M77" i="21"/>
  <c r="L77" i="21"/>
  <c r="N77" i="21" s="1"/>
  <c r="I77" i="21"/>
  <c r="H77" i="21"/>
  <c r="E77" i="21"/>
  <c r="D77" i="21"/>
  <c r="B73" i="21"/>
  <c r="L69" i="21"/>
  <c r="H69" i="21"/>
  <c r="D69" i="21"/>
  <c r="L68" i="21"/>
  <c r="H68" i="21"/>
  <c r="D68" i="21"/>
  <c r="L67" i="21"/>
  <c r="H67" i="21"/>
  <c r="D67" i="21"/>
  <c r="L66" i="21"/>
  <c r="H66" i="21"/>
  <c r="J66" i="21" s="1"/>
  <c r="D66" i="21"/>
  <c r="L65" i="21"/>
  <c r="H65" i="21"/>
  <c r="D65" i="21"/>
  <c r="L64" i="21"/>
  <c r="H64" i="21"/>
  <c r="D64" i="21"/>
  <c r="L63" i="21"/>
  <c r="H63" i="21"/>
  <c r="D63" i="21"/>
  <c r="L62" i="21"/>
  <c r="H62" i="21"/>
  <c r="J62" i="21" s="1"/>
  <c r="D62" i="21"/>
  <c r="L61" i="21"/>
  <c r="H61" i="21"/>
  <c r="D61" i="21"/>
  <c r="L60" i="21"/>
  <c r="H60" i="21"/>
  <c r="D60" i="21"/>
  <c r="L59" i="21"/>
  <c r="H59" i="21"/>
  <c r="D59" i="21"/>
  <c r="M58" i="21"/>
  <c r="L58" i="21"/>
  <c r="N58" i="21" s="1"/>
  <c r="I58" i="21"/>
  <c r="H58" i="21"/>
  <c r="E58" i="21"/>
  <c r="D58" i="21"/>
  <c r="F58" i="21" s="1"/>
  <c r="B54" i="21"/>
  <c r="L50" i="21"/>
  <c r="H50" i="21"/>
  <c r="D50" i="21"/>
  <c r="L49" i="21"/>
  <c r="H49" i="21"/>
  <c r="D49" i="21"/>
  <c r="L48" i="21"/>
  <c r="H48" i="21"/>
  <c r="D48" i="21"/>
  <c r="L47" i="21"/>
  <c r="H47" i="21"/>
  <c r="D47" i="21"/>
  <c r="L46" i="21"/>
  <c r="H46" i="21"/>
  <c r="D46" i="21"/>
  <c r="L45" i="21"/>
  <c r="H45" i="21"/>
  <c r="D45" i="21"/>
  <c r="L44" i="21"/>
  <c r="H44" i="21"/>
  <c r="D44" i="21"/>
  <c r="L43" i="21"/>
  <c r="H43" i="21"/>
  <c r="D43" i="21"/>
  <c r="L42" i="21"/>
  <c r="H42" i="21"/>
  <c r="D42" i="21"/>
  <c r="L41" i="21"/>
  <c r="H41" i="21"/>
  <c r="D41" i="21"/>
  <c r="L40" i="21"/>
  <c r="H40" i="21"/>
  <c r="D40" i="21"/>
  <c r="M39" i="21"/>
  <c r="L39" i="21"/>
  <c r="I39" i="21"/>
  <c r="H39" i="21"/>
  <c r="E39" i="21"/>
  <c r="D39" i="21"/>
  <c r="F39" i="21" s="1"/>
  <c r="L31" i="21"/>
  <c r="H31" i="21"/>
  <c r="D31" i="21"/>
  <c r="L30" i="21"/>
  <c r="H30" i="21"/>
  <c r="D30" i="21"/>
  <c r="L29" i="21"/>
  <c r="H29" i="21"/>
  <c r="H105" i="21" s="1"/>
  <c r="D29" i="21"/>
  <c r="L28" i="21"/>
  <c r="H28" i="21"/>
  <c r="D28" i="21"/>
  <c r="L27" i="21"/>
  <c r="H27" i="21"/>
  <c r="D27" i="21"/>
  <c r="M26" i="21"/>
  <c r="L26" i="21"/>
  <c r="I26" i="21"/>
  <c r="H26" i="21"/>
  <c r="E26" i="21"/>
  <c r="E27" i="21" s="1"/>
  <c r="F27" i="21" s="1"/>
  <c r="D26" i="21"/>
  <c r="L25" i="21"/>
  <c r="H25" i="21"/>
  <c r="D25" i="21"/>
  <c r="L24" i="21"/>
  <c r="H24" i="21"/>
  <c r="D24" i="21"/>
  <c r="D23" i="21"/>
  <c r="L22" i="21"/>
  <c r="H22" i="21"/>
  <c r="D22" i="21"/>
  <c r="L21" i="21"/>
  <c r="H21" i="21"/>
  <c r="H97" i="21" s="1"/>
  <c r="D21" i="21"/>
  <c r="M20" i="21"/>
  <c r="L20" i="21"/>
  <c r="I20" i="21"/>
  <c r="H20" i="21"/>
  <c r="E20" i="21"/>
  <c r="D20" i="21"/>
  <c r="L23" i="21"/>
  <c r="H23" i="21"/>
  <c r="I78" i="21"/>
  <c r="I79" i="21" s="1"/>
  <c r="I80" i="21" s="1"/>
  <c r="I81" i="21" s="1"/>
  <c r="I82" i="21" s="1"/>
  <c r="I83" i="21" s="1"/>
  <c r="I84" i="21" s="1"/>
  <c r="M78" i="21"/>
  <c r="M79" i="21" s="1"/>
  <c r="M80" i="21" s="1"/>
  <c r="J77" i="21"/>
  <c r="M59" i="21"/>
  <c r="M60" i="21" s="1"/>
  <c r="N60" i="21" s="1"/>
  <c r="N59" i="21"/>
  <c r="I59" i="21"/>
  <c r="I60" i="21" s="1"/>
  <c r="I61" i="21" s="1"/>
  <c r="I62" i="21" s="1"/>
  <c r="I63" i="21" s="1"/>
  <c r="I64" i="21" s="1"/>
  <c r="I65" i="21" s="1"/>
  <c r="I66" i="21" s="1"/>
  <c r="I67" i="21" s="1"/>
  <c r="I68" i="21" s="1"/>
  <c r="I69" i="21" s="1"/>
  <c r="H71" i="21"/>
  <c r="I71" i="21" s="1"/>
  <c r="E59" i="21"/>
  <c r="F59" i="21" s="1"/>
  <c r="M40" i="21"/>
  <c r="M41" i="21" s="1"/>
  <c r="M42" i="21" s="1"/>
  <c r="I40" i="21"/>
  <c r="I41" i="21" s="1"/>
  <c r="I42" i="21" s="1"/>
  <c r="I43" i="21" s="1"/>
  <c r="I44" i="21" s="1"/>
  <c r="I45" i="21" s="1"/>
  <c r="I46" i="21" s="1"/>
  <c r="I47" i="21" s="1"/>
  <c r="I48" i="21" s="1"/>
  <c r="J40" i="21"/>
  <c r="E40" i="21"/>
  <c r="E41" i="21" s="1"/>
  <c r="E42" i="21" s="1"/>
  <c r="E43" i="21" s="1"/>
  <c r="J27" i="21"/>
  <c r="I27" i="21"/>
  <c r="I28" i="21" s="1"/>
  <c r="I29" i="21" s="1"/>
  <c r="I30" i="21" s="1"/>
  <c r="H101" i="21"/>
  <c r="M21" i="21"/>
  <c r="M22" i="21" s="1"/>
  <c r="J20" i="21"/>
  <c r="I21" i="21"/>
  <c r="I22" i="21" s="1"/>
  <c r="E21" i="21"/>
  <c r="N106" i="20"/>
  <c r="L106" i="20"/>
  <c r="M106" i="20" s="1"/>
  <c r="J106" i="20"/>
  <c r="P106" i="20" s="1"/>
  <c r="H106" i="20"/>
  <c r="I106" i="20" s="1"/>
  <c r="F106" i="20"/>
  <c r="D106" i="20"/>
  <c r="E106" i="20" s="1"/>
  <c r="N105" i="20"/>
  <c r="L105" i="20"/>
  <c r="M105" i="20" s="1"/>
  <c r="J105" i="20"/>
  <c r="I105" i="20"/>
  <c r="H105" i="20"/>
  <c r="F105" i="20"/>
  <c r="D105" i="20"/>
  <c r="E105" i="20" s="1"/>
  <c r="N104" i="20"/>
  <c r="L104" i="20"/>
  <c r="M104" i="20" s="1"/>
  <c r="J104" i="20"/>
  <c r="H104" i="20"/>
  <c r="I104" i="20" s="1"/>
  <c r="F104" i="20"/>
  <c r="D104" i="20"/>
  <c r="E104" i="20" s="1"/>
  <c r="N103" i="20"/>
  <c r="L103" i="20"/>
  <c r="M103" i="20" s="1"/>
  <c r="J103" i="20"/>
  <c r="P103" i="20" s="1"/>
  <c r="H103" i="20"/>
  <c r="I103" i="20" s="1"/>
  <c r="F103" i="20"/>
  <c r="D103" i="20"/>
  <c r="E103" i="20" s="1"/>
  <c r="N102" i="20"/>
  <c r="L102" i="20"/>
  <c r="M102" i="20" s="1"/>
  <c r="J102" i="20"/>
  <c r="H102" i="20"/>
  <c r="I102" i="20" s="1"/>
  <c r="F102" i="20"/>
  <c r="D102" i="20"/>
  <c r="E102" i="20" s="1"/>
  <c r="N101" i="20"/>
  <c r="L101" i="20"/>
  <c r="M101" i="20" s="1"/>
  <c r="J101" i="20"/>
  <c r="I101" i="20"/>
  <c r="H101" i="20"/>
  <c r="F101" i="20"/>
  <c r="D101" i="20"/>
  <c r="E101" i="20" s="1"/>
  <c r="N100" i="20"/>
  <c r="L100" i="20"/>
  <c r="M100" i="20" s="1"/>
  <c r="J100" i="20"/>
  <c r="H100" i="20"/>
  <c r="I100" i="20" s="1"/>
  <c r="F100" i="20"/>
  <c r="D100" i="20"/>
  <c r="E100" i="20" s="1"/>
  <c r="N99" i="20"/>
  <c r="L99" i="20"/>
  <c r="M99" i="20" s="1"/>
  <c r="J99" i="20"/>
  <c r="P99" i="20" s="1"/>
  <c r="H99" i="20"/>
  <c r="I99" i="20" s="1"/>
  <c r="F99" i="20"/>
  <c r="D99" i="20"/>
  <c r="E99" i="20" s="1"/>
  <c r="N98" i="20"/>
  <c r="L98" i="20"/>
  <c r="M98" i="20" s="1"/>
  <c r="J98" i="20"/>
  <c r="H98" i="20"/>
  <c r="I98" i="20" s="1"/>
  <c r="F98" i="20"/>
  <c r="D98" i="20"/>
  <c r="E98" i="20" s="1"/>
  <c r="N97" i="20"/>
  <c r="L97" i="20"/>
  <c r="M97" i="20" s="1"/>
  <c r="J97" i="20"/>
  <c r="P97" i="20" s="1"/>
  <c r="I97" i="20"/>
  <c r="H97" i="20"/>
  <c r="F97" i="20"/>
  <c r="D97" i="20"/>
  <c r="E97" i="20" s="1"/>
  <c r="N96" i="20"/>
  <c r="L96" i="20"/>
  <c r="M96" i="20" s="1"/>
  <c r="J96" i="20"/>
  <c r="H96" i="20"/>
  <c r="I96" i="20" s="1"/>
  <c r="F96" i="20"/>
  <c r="D96" i="20"/>
  <c r="E96" i="20" s="1"/>
  <c r="N95" i="20"/>
  <c r="L95" i="20"/>
  <c r="M95" i="20" s="1"/>
  <c r="J95" i="20"/>
  <c r="H95" i="20"/>
  <c r="F95" i="20"/>
  <c r="F108" i="20" s="1"/>
  <c r="D95" i="20"/>
  <c r="E95" i="20" s="1"/>
  <c r="N89" i="20"/>
  <c r="L89" i="20"/>
  <c r="M89" i="20" s="1"/>
  <c r="J89" i="20"/>
  <c r="I89" i="20"/>
  <c r="H89" i="20"/>
  <c r="F89" i="20"/>
  <c r="D89" i="20"/>
  <c r="E89" i="20" s="1"/>
  <c r="P87" i="20"/>
  <c r="M87" i="20"/>
  <c r="I87" i="20"/>
  <c r="E87" i="20"/>
  <c r="P86" i="20"/>
  <c r="M86" i="20"/>
  <c r="I86" i="20"/>
  <c r="E86" i="20"/>
  <c r="P85" i="20"/>
  <c r="M85" i="20"/>
  <c r="I85" i="20"/>
  <c r="E85" i="20"/>
  <c r="P84" i="20"/>
  <c r="M84" i="20"/>
  <c r="I84" i="20"/>
  <c r="E84" i="20"/>
  <c r="P83" i="20"/>
  <c r="M83" i="20"/>
  <c r="I83" i="20"/>
  <c r="E83" i="20"/>
  <c r="P82" i="20"/>
  <c r="M82" i="20"/>
  <c r="I82" i="20"/>
  <c r="E82" i="20"/>
  <c r="P81" i="20"/>
  <c r="M81" i="20"/>
  <c r="I81" i="20"/>
  <c r="E81" i="20"/>
  <c r="P80" i="20"/>
  <c r="M80" i="20"/>
  <c r="I80" i="20"/>
  <c r="E80" i="20"/>
  <c r="P79" i="20"/>
  <c r="M79" i="20"/>
  <c r="I79" i="20"/>
  <c r="E79" i="20"/>
  <c r="P78" i="20"/>
  <c r="M78" i="20"/>
  <c r="I78" i="20"/>
  <c r="E78" i="20"/>
  <c r="P77" i="20"/>
  <c r="M77" i="20"/>
  <c r="I77" i="20"/>
  <c r="E77" i="20"/>
  <c r="P76" i="20"/>
  <c r="P89" i="20" s="1"/>
  <c r="M76" i="20"/>
  <c r="I76" i="20"/>
  <c r="E76" i="20"/>
  <c r="N70" i="20"/>
  <c r="L70" i="20"/>
  <c r="M70" i="20" s="1"/>
  <c r="J70" i="20"/>
  <c r="I70" i="20"/>
  <c r="H70" i="20"/>
  <c r="F70" i="20"/>
  <c r="D70" i="20"/>
  <c r="E70" i="20" s="1"/>
  <c r="P68" i="20"/>
  <c r="M68" i="20"/>
  <c r="I68" i="20"/>
  <c r="E68" i="20"/>
  <c r="P67" i="20"/>
  <c r="M67" i="20"/>
  <c r="I67" i="20"/>
  <c r="E67" i="20"/>
  <c r="P66" i="20"/>
  <c r="M66" i="20"/>
  <c r="I66" i="20"/>
  <c r="E66" i="20"/>
  <c r="P65" i="20"/>
  <c r="M65" i="20"/>
  <c r="I65" i="20"/>
  <c r="E65" i="20"/>
  <c r="P64" i="20"/>
  <c r="M64" i="20"/>
  <c r="I64" i="20"/>
  <c r="E64" i="20"/>
  <c r="P63" i="20"/>
  <c r="M63" i="20"/>
  <c r="I63" i="20"/>
  <c r="E63" i="20"/>
  <c r="P62" i="20"/>
  <c r="M62" i="20"/>
  <c r="I62" i="20"/>
  <c r="E62" i="20"/>
  <c r="P61" i="20"/>
  <c r="M61" i="20"/>
  <c r="I61" i="20"/>
  <c r="E61" i="20"/>
  <c r="P60" i="20"/>
  <c r="M60" i="20"/>
  <c r="I60" i="20"/>
  <c r="E60" i="20"/>
  <c r="P59" i="20"/>
  <c r="M59" i="20"/>
  <c r="I59" i="20"/>
  <c r="E59" i="20"/>
  <c r="P58" i="20"/>
  <c r="M58" i="20"/>
  <c r="I58" i="20"/>
  <c r="E58" i="20"/>
  <c r="P57" i="20"/>
  <c r="P70" i="20" s="1"/>
  <c r="M57" i="20"/>
  <c r="I57" i="20"/>
  <c r="E57" i="20"/>
  <c r="N51" i="20"/>
  <c r="L51" i="20"/>
  <c r="M51" i="20" s="1"/>
  <c r="J51" i="20"/>
  <c r="I51" i="20"/>
  <c r="H51" i="20"/>
  <c r="F51" i="20"/>
  <c r="D51" i="20"/>
  <c r="E51" i="20" s="1"/>
  <c r="P49" i="20"/>
  <c r="M49" i="20"/>
  <c r="I49" i="20"/>
  <c r="E49" i="20"/>
  <c r="P48" i="20"/>
  <c r="M48" i="20"/>
  <c r="I48" i="20"/>
  <c r="E48" i="20"/>
  <c r="P47" i="20"/>
  <c r="M47" i="20"/>
  <c r="I47" i="20"/>
  <c r="E47" i="20"/>
  <c r="P46" i="20"/>
  <c r="M46" i="20"/>
  <c r="I46" i="20"/>
  <c r="E46" i="20"/>
  <c r="P45" i="20"/>
  <c r="M45" i="20"/>
  <c r="I45" i="20"/>
  <c r="E45" i="20"/>
  <c r="P44" i="20"/>
  <c r="M44" i="20"/>
  <c r="I44" i="20"/>
  <c r="E44" i="20"/>
  <c r="P43" i="20"/>
  <c r="M43" i="20"/>
  <c r="I43" i="20"/>
  <c r="E43" i="20"/>
  <c r="P42" i="20"/>
  <c r="M42" i="20"/>
  <c r="I42" i="20"/>
  <c r="E42" i="20"/>
  <c r="P41" i="20"/>
  <c r="M41" i="20"/>
  <c r="I41" i="20"/>
  <c r="E41" i="20"/>
  <c r="P40" i="20"/>
  <c r="M40" i="20"/>
  <c r="I40" i="20"/>
  <c r="E40" i="20"/>
  <c r="P39" i="20"/>
  <c r="M39" i="20"/>
  <c r="I39" i="20"/>
  <c r="E39" i="20"/>
  <c r="P38" i="20"/>
  <c r="P51" i="20" s="1"/>
  <c r="M38" i="20"/>
  <c r="I38" i="20"/>
  <c r="E38" i="20"/>
  <c r="N32" i="20"/>
  <c r="L32" i="20"/>
  <c r="M32" i="20" s="1"/>
  <c r="J32" i="20"/>
  <c r="H32" i="20"/>
  <c r="I32" i="20" s="1"/>
  <c r="F32" i="20"/>
  <c r="D32" i="20"/>
  <c r="E32" i="20" s="1"/>
  <c r="P30" i="20"/>
  <c r="M30" i="20"/>
  <c r="I30" i="20"/>
  <c r="E30" i="20"/>
  <c r="P29" i="20"/>
  <c r="M29" i="20"/>
  <c r="I29" i="20"/>
  <c r="E29" i="20"/>
  <c r="P28" i="20"/>
  <c r="M28" i="20"/>
  <c r="I28" i="20"/>
  <c r="E28" i="20"/>
  <c r="P27" i="20"/>
  <c r="M27" i="20"/>
  <c r="I27" i="20"/>
  <c r="E27" i="20"/>
  <c r="P26" i="20"/>
  <c r="M26" i="20"/>
  <c r="I26" i="20"/>
  <c r="E26" i="20"/>
  <c r="P25" i="20"/>
  <c r="M25" i="20"/>
  <c r="I25" i="20"/>
  <c r="E25" i="20"/>
  <c r="P24" i="20"/>
  <c r="M24" i="20"/>
  <c r="I24" i="20"/>
  <c r="E24" i="20"/>
  <c r="P23" i="20"/>
  <c r="M23" i="20"/>
  <c r="I23" i="20"/>
  <c r="E23" i="20"/>
  <c r="P22" i="20"/>
  <c r="M22" i="20"/>
  <c r="I22" i="20"/>
  <c r="E22" i="20"/>
  <c r="P21" i="20"/>
  <c r="M21" i="20"/>
  <c r="I21" i="20"/>
  <c r="E21" i="20"/>
  <c r="P20" i="20"/>
  <c r="M20" i="20"/>
  <c r="I20" i="20"/>
  <c r="E20" i="20"/>
  <c r="P19" i="20"/>
  <c r="P32" i="20" s="1"/>
  <c r="M19" i="20"/>
  <c r="I19" i="20"/>
  <c r="E19" i="20"/>
  <c r="L71" i="19"/>
  <c r="H71" i="19"/>
  <c r="F71" i="19"/>
  <c r="E71" i="19"/>
  <c r="L56" i="19"/>
  <c r="H56" i="19"/>
  <c r="F56" i="19"/>
  <c r="E56" i="19"/>
  <c r="F41" i="19"/>
  <c r="L39" i="19"/>
  <c r="L37" i="19"/>
  <c r="L41" i="19" s="1"/>
  <c r="L35" i="19"/>
  <c r="L26" i="19"/>
  <c r="L24" i="19"/>
  <c r="L22" i="19"/>
  <c r="H29" i="18"/>
  <c r="E23" i="23" s="1"/>
  <c r="E47" i="23" s="1"/>
  <c r="H22" i="18"/>
  <c r="E31" i="23" s="1"/>
  <c r="H21" i="18"/>
  <c r="E19" i="23" s="1"/>
  <c r="H19" i="18"/>
  <c r="E18" i="23" s="1"/>
  <c r="H18" i="18"/>
  <c r="E29" i="23" s="1"/>
  <c r="E53" i="23" s="1"/>
  <c r="H17" i="18"/>
  <c r="E17" i="23" s="1"/>
  <c r="D14" i="15"/>
  <c r="D13" i="15"/>
  <c r="J54" i="5"/>
  <c r="S53" i="5"/>
  <c r="I53" i="5"/>
  <c r="A53" i="5"/>
  <c r="F26" i="24" l="1"/>
  <c r="F25" i="24"/>
  <c r="F24" i="24"/>
  <c r="F28" i="24"/>
  <c r="H27" i="24"/>
  <c r="H24" i="24"/>
  <c r="H21" i="24"/>
  <c r="H19" i="24"/>
  <c r="H29" i="24"/>
  <c r="G27" i="24"/>
  <c r="G23" i="24"/>
  <c r="G21" i="24"/>
  <c r="G19" i="24"/>
  <c r="G29" i="24"/>
  <c r="H26" i="24"/>
  <c r="H22" i="24"/>
  <c r="H20" i="24"/>
  <c r="G18" i="24"/>
  <c r="G28" i="24"/>
  <c r="H25" i="24"/>
  <c r="G22" i="24"/>
  <c r="G20" i="24"/>
  <c r="G17" i="24"/>
  <c r="E55" i="23"/>
  <c r="G31" i="23"/>
  <c r="G21" i="23"/>
  <c r="F45" i="23"/>
  <c r="G24" i="23"/>
  <c r="F48" i="23"/>
  <c r="E41" i="23"/>
  <c r="G17" i="23"/>
  <c r="F57" i="23"/>
  <c r="G33" i="23"/>
  <c r="E42" i="23"/>
  <c r="G18" i="23"/>
  <c r="G34" i="23"/>
  <c r="F58" i="23"/>
  <c r="F56" i="23"/>
  <c r="G32" i="23"/>
  <c r="G19" i="23"/>
  <c r="E43" i="23"/>
  <c r="F46" i="23"/>
  <c r="G22" i="23"/>
  <c r="H22" i="23" s="1"/>
  <c r="F44" i="23"/>
  <c r="G20" i="23"/>
  <c r="G36" i="23"/>
  <c r="G29" i="23"/>
  <c r="G30" i="23"/>
  <c r="H30" i="23" s="1"/>
  <c r="I30" i="23" s="1"/>
  <c r="J30" i="23" s="1"/>
  <c r="D54" i="23" s="1"/>
  <c r="G54" i="23" s="1"/>
  <c r="C35" i="24"/>
  <c r="G35" i="23"/>
  <c r="G23" i="23"/>
  <c r="L101" i="22"/>
  <c r="L105" i="22"/>
  <c r="N22" i="21"/>
  <c r="N108" i="20"/>
  <c r="P96" i="20"/>
  <c r="P101" i="20"/>
  <c r="P98" i="20"/>
  <c r="P100" i="20"/>
  <c r="P105" i="20"/>
  <c r="P102" i="20"/>
  <c r="P104" i="20"/>
  <c r="H108" i="20"/>
  <c r="I108" i="20" s="1"/>
  <c r="I95" i="20"/>
  <c r="J108" i="20"/>
  <c r="D108" i="20"/>
  <c r="E108" i="20" s="1"/>
  <c r="F29" i="24"/>
  <c r="F23" i="24"/>
  <c r="F19" i="24"/>
  <c r="F27" i="24"/>
  <c r="F22" i="24"/>
  <c r="F18" i="24"/>
  <c r="F20" i="24"/>
  <c r="F21" i="24"/>
  <c r="F17" i="24"/>
  <c r="D34" i="24"/>
  <c r="D33" i="24"/>
  <c r="E33" i="24" s="1"/>
  <c r="E41" i="22"/>
  <c r="E42" i="22" s="1"/>
  <c r="E43" i="22" s="1"/>
  <c r="P58" i="22"/>
  <c r="J65" i="22"/>
  <c r="J64" i="22"/>
  <c r="N41" i="22"/>
  <c r="J60" i="22"/>
  <c r="J68" i="22"/>
  <c r="F79" i="22"/>
  <c r="J59" i="22"/>
  <c r="J61" i="22"/>
  <c r="F81" i="22"/>
  <c r="N45" i="22"/>
  <c r="E23" i="22"/>
  <c r="F22" i="22"/>
  <c r="J23" i="22"/>
  <c r="I24" i="22"/>
  <c r="I25" i="22" s="1"/>
  <c r="N44" i="22"/>
  <c r="N48" i="22"/>
  <c r="I42" i="22"/>
  <c r="I43" i="22" s="1"/>
  <c r="J41" i="22"/>
  <c r="P41" i="22" s="1"/>
  <c r="E44" i="22"/>
  <c r="E45" i="22" s="1"/>
  <c r="F43" i="22"/>
  <c r="N43" i="22"/>
  <c r="N47" i="22"/>
  <c r="N42" i="22"/>
  <c r="F44" i="22"/>
  <c r="N46" i="22"/>
  <c r="N50" i="22"/>
  <c r="M22" i="22"/>
  <c r="L52" i="22"/>
  <c r="M52" i="22" s="1"/>
  <c r="F20" i="22"/>
  <c r="L96" i="22"/>
  <c r="D97" i="22"/>
  <c r="H98" i="22"/>
  <c r="J22" i="22"/>
  <c r="H100" i="22"/>
  <c r="J24" i="22"/>
  <c r="H102" i="22"/>
  <c r="H104" i="22"/>
  <c r="H106" i="22"/>
  <c r="H33" i="22"/>
  <c r="F41" i="22"/>
  <c r="N49" i="22"/>
  <c r="M60" i="22"/>
  <c r="M61" i="22" s="1"/>
  <c r="N59" i="22"/>
  <c r="N60" i="22"/>
  <c r="P60" i="22" s="1"/>
  <c r="E84" i="22"/>
  <c r="E85" i="22" s="1"/>
  <c r="F83" i="22"/>
  <c r="I80" i="22"/>
  <c r="I81" i="22" s="1"/>
  <c r="I82" i="22" s="1"/>
  <c r="I83" i="22" s="1"/>
  <c r="I84" i="22" s="1"/>
  <c r="I85" i="22" s="1"/>
  <c r="I86" i="22" s="1"/>
  <c r="I87" i="22" s="1"/>
  <c r="J21" i="22"/>
  <c r="D99" i="22"/>
  <c r="D101" i="22"/>
  <c r="D103" i="22"/>
  <c r="D105" i="22"/>
  <c r="D52" i="22"/>
  <c r="E52" i="22" s="1"/>
  <c r="J40" i="22"/>
  <c r="P40" i="22" s="1"/>
  <c r="P59" i="22"/>
  <c r="M79" i="22"/>
  <c r="M80" i="22" s="1"/>
  <c r="N78" i="22"/>
  <c r="L90" i="22"/>
  <c r="M90" i="22" s="1"/>
  <c r="D96" i="22"/>
  <c r="N20" i="22"/>
  <c r="F21" i="22"/>
  <c r="L97" i="22"/>
  <c r="L98" i="22"/>
  <c r="L100" i="22"/>
  <c r="L102" i="22"/>
  <c r="L104" i="22"/>
  <c r="L106" i="22"/>
  <c r="D33" i="22"/>
  <c r="L33" i="22"/>
  <c r="J39" i="22"/>
  <c r="E59" i="22"/>
  <c r="E60" i="22" s="1"/>
  <c r="F58" i="22"/>
  <c r="F82" i="22"/>
  <c r="J85" i="22"/>
  <c r="H99" i="22"/>
  <c r="H101" i="22"/>
  <c r="H103" i="22"/>
  <c r="H105" i="22"/>
  <c r="H107" i="22"/>
  <c r="H52" i="22"/>
  <c r="I52" i="22" s="1"/>
  <c r="H71" i="22"/>
  <c r="I71" i="22" s="1"/>
  <c r="J62" i="22"/>
  <c r="J63" i="22"/>
  <c r="J66" i="22"/>
  <c r="J67" i="22"/>
  <c r="P77" i="22"/>
  <c r="F78" i="22"/>
  <c r="N79" i="22"/>
  <c r="P79" i="22" s="1"/>
  <c r="J81" i="22"/>
  <c r="J84" i="22"/>
  <c r="D90" i="22"/>
  <c r="E90" i="22" s="1"/>
  <c r="J78" i="22"/>
  <c r="P78" i="22" s="1"/>
  <c r="F80" i="22"/>
  <c r="J83" i="22"/>
  <c r="J86" i="22"/>
  <c r="L71" i="22"/>
  <c r="M71" i="22" s="1"/>
  <c r="H90" i="22"/>
  <c r="I90" i="22" s="1"/>
  <c r="I23" i="21"/>
  <c r="I24" i="21" s="1"/>
  <c r="I25" i="21" s="1"/>
  <c r="J22" i="21"/>
  <c r="P77" i="21"/>
  <c r="J28" i="21"/>
  <c r="M61" i="21"/>
  <c r="M62" i="21" s="1"/>
  <c r="M63" i="21" s="1"/>
  <c r="M64" i="21" s="1"/>
  <c r="M65" i="21" s="1"/>
  <c r="M66" i="21" s="1"/>
  <c r="M67" i="21" s="1"/>
  <c r="M68" i="21" s="1"/>
  <c r="M69" i="21" s="1"/>
  <c r="N69" i="21" s="1"/>
  <c r="J64" i="21"/>
  <c r="F41" i="21"/>
  <c r="J43" i="21"/>
  <c r="E60" i="21"/>
  <c r="E61" i="21" s="1"/>
  <c r="M23" i="21"/>
  <c r="M24" i="21" s="1"/>
  <c r="I31" i="21"/>
  <c r="J30" i="21"/>
  <c r="N24" i="21"/>
  <c r="M25" i="21"/>
  <c r="E44" i="21"/>
  <c r="E45" i="21" s="1"/>
  <c r="F43" i="21"/>
  <c r="M43" i="21"/>
  <c r="M44" i="21" s="1"/>
  <c r="N42" i="21"/>
  <c r="M81" i="21"/>
  <c r="M82" i="21" s="1"/>
  <c r="N80" i="21"/>
  <c r="I49" i="21"/>
  <c r="J48" i="21"/>
  <c r="L101" i="21"/>
  <c r="N25" i="21"/>
  <c r="F21" i="21"/>
  <c r="E22" i="21"/>
  <c r="E23" i="21" s="1"/>
  <c r="F22" i="21"/>
  <c r="D98" i="21"/>
  <c r="D104" i="21"/>
  <c r="J29" i="21"/>
  <c r="H107" i="21"/>
  <c r="J31" i="21"/>
  <c r="H33" i="21"/>
  <c r="J45" i="21"/>
  <c r="F60" i="21"/>
  <c r="N68" i="21"/>
  <c r="L71" i="21"/>
  <c r="M71" i="21" s="1"/>
  <c r="I85" i="21"/>
  <c r="I86" i="21" s="1"/>
  <c r="J84" i="21"/>
  <c r="J79" i="21"/>
  <c r="H90" i="21"/>
  <c r="I90" i="21" s="1"/>
  <c r="J83" i="21"/>
  <c r="F42" i="21"/>
  <c r="D52" i="21"/>
  <c r="E52" i="21" s="1"/>
  <c r="J46" i="21"/>
  <c r="J21" i="21"/>
  <c r="H99" i="21"/>
  <c r="J23" i="21"/>
  <c r="E28" i="21"/>
  <c r="E29" i="21" s="1"/>
  <c r="L52" i="21"/>
  <c r="M52" i="21" s="1"/>
  <c r="N39" i="21"/>
  <c r="N40" i="21"/>
  <c r="P40" i="21" s="1"/>
  <c r="N61" i="21"/>
  <c r="L99" i="21"/>
  <c r="F20" i="21"/>
  <c r="D96" i="21"/>
  <c r="D33" i="21"/>
  <c r="J26" i="21"/>
  <c r="H102" i="21"/>
  <c r="L103" i="21"/>
  <c r="D106" i="21"/>
  <c r="H52" i="21"/>
  <c r="I52" i="21" s="1"/>
  <c r="J39" i="21"/>
  <c r="E78" i="21"/>
  <c r="E79" i="21" s="1"/>
  <c r="F77" i="21"/>
  <c r="P22" i="21"/>
  <c r="H100" i="21"/>
  <c r="J24" i="21"/>
  <c r="M27" i="21"/>
  <c r="M28" i="21" s="1"/>
  <c r="N26" i="21"/>
  <c r="H96" i="21"/>
  <c r="N21" i="21"/>
  <c r="N97" i="21" s="1"/>
  <c r="L97" i="21"/>
  <c r="M97" i="21" s="1"/>
  <c r="D100" i="21"/>
  <c r="H104" i="21"/>
  <c r="L105" i="21"/>
  <c r="J41" i="21"/>
  <c r="J42" i="21"/>
  <c r="P42" i="21" s="1"/>
  <c r="F44" i="21"/>
  <c r="N64" i="21"/>
  <c r="P64" i="21" s="1"/>
  <c r="N65" i="21"/>
  <c r="J78" i="21"/>
  <c r="P78" i="21" s="1"/>
  <c r="N81" i="21"/>
  <c r="J82" i="21"/>
  <c r="N66" i="21"/>
  <c r="P66" i="21" s="1"/>
  <c r="N67" i="21"/>
  <c r="J80" i="21"/>
  <c r="J81" i="21"/>
  <c r="P81" i="21" s="1"/>
  <c r="N20" i="21"/>
  <c r="P20" i="21" s="1"/>
  <c r="H98" i="21"/>
  <c r="N23" i="21"/>
  <c r="J25" i="21"/>
  <c r="D102" i="21"/>
  <c r="F26" i="21"/>
  <c r="H103" i="21"/>
  <c r="H106" i="21"/>
  <c r="L107" i="21"/>
  <c r="F40" i="21"/>
  <c r="N41" i="21"/>
  <c r="N98" i="21" s="1"/>
  <c r="J44" i="21"/>
  <c r="J47" i="21"/>
  <c r="D71" i="21"/>
  <c r="E71" i="21" s="1"/>
  <c r="J60" i="21"/>
  <c r="P60" i="21" s="1"/>
  <c r="N62" i="21"/>
  <c r="P62" i="21" s="1"/>
  <c r="N63" i="21"/>
  <c r="J68" i="21"/>
  <c r="P68" i="21" s="1"/>
  <c r="D90" i="21"/>
  <c r="E90" i="21" s="1"/>
  <c r="F78" i="21"/>
  <c r="J59" i="21"/>
  <c r="P59" i="21" s="1"/>
  <c r="J61" i="21"/>
  <c r="J63" i="21"/>
  <c r="P63" i="21" s="1"/>
  <c r="J65" i="21"/>
  <c r="P65" i="21" s="1"/>
  <c r="J67" i="21"/>
  <c r="J69" i="21"/>
  <c r="P69" i="21" s="1"/>
  <c r="L96" i="21"/>
  <c r="D97" i="21"/>
  <c r="L98" i="21"/>
  <c r="M98" i="21" s="1"/>
  <c r="D99" i="21"/>
  <c r="L100" i="21"/>
  <c r="D101" i="21"/>
  <c r="L102" i="21"/>
  <c r="D103" i="21"/>
  <c r="L104" i="21"/>
  <c r="D105" i="21"/>
  <c r="L106" i="21"/>
  <c r="D107" i="21"/>
  <c r="L33" i="21"/>
  <c r="J58" i="21"/>
  <c r="N79" i="21"/>
  <c r="L90" i="21"/>
  <c r="M90" i="21" s="1"/>
  <c r="P95" i="20"/>
  <c r="L108" i="20"/>
  <c r="M108" i="20" s="1"/>
  <c r="W27" i="9"/>
  <c r="V27" i="9"/>
  <c r="U27" i="9"/>
  <c r="T27" i="9"/>
  <c r="R27" i="9"/>
  <c r="Q27" i="9"/>
  <c r="P27" i="9"/>
  <c r="O27" i="9"/>
  <c r="K27" i="9"/>
  <c r="J27" i="9"/>
  <c r="D27" i="9"/>
  <c r="Q26" i="8"/>
  <c r="P26" i="8"/>
  <c r="O26" i="8"/>
  <c r="O27" i="8" s="1"/>
  <c r="N26" i="8"/>
  <c r="N27" i="8" s="1"/>
  <c r="M26" i="8"/>
  <c r="M27" i="8" s="1"/>
  <c r="L26" i="8"/>
  <c r="L27" i="8" s="1"/>
  <c r="K26" i="8"/>
  <c r="H26" i="8"/>
  <c r="G26" i="8"/>
  <c r="F26" i="8"/>
  <c r="E26" i="8"/>
  <c r="D26" i="8"/>
  <c r="C26" i="8"/>
  <c r="J25" i="8"/>
  <c r="F25" i="15" s="1"/>
  <c r="I25" i="8"/>
  <c r="J24" i="8"/>
  <c r="F24" i="15" s="1"/>
  <c r="I24" i="8"/>
  <c r="J23" i="8"/>
  <c r="F23" i="15" s="1"/>
  <c r="I23" i="8"/>
  <c r="J22" i="8"/>
  <c r="F22" i="15" s="1"/>
  <c r="I22" i="8"/>
  <c r="J21" i="8"/>
  <c r="F21" i="15" s="1"/>
  <c r="I21" i="8"/>
  <c r="J20" i="8"/>
  <c r="F20" i="15" s="1"/>
  <c r="I20" i="8"/>
  <c r="J19" i="8"/>
  <c r="F19" i="15" s="1"/>
  <c r="I19" i="8"/>
  <c r="J18" i="8"/>
  <c r="I18" i="8"/>
  <c r="J17" i="8"/>
  <c r="I17" i="8"/>
  <c r="B2" i="8"/>
  <c r="AU48" i="6"/>
  <c r="K48" i="6"/>
  <c r="Y46" i="6"/>
  <c r="AC46" i="6" s="1"/>
  <c r="AI46" i="6" s="1"/>
  <c r="AM46" i="6" s="1"/>
  <c r="AS46" i="6" s="1"/>
  <c r="AW46" i="6" s="1"/>
  <c r="BC46" i="6" s="1"/>
  <c r="BG46" i="6" s="1"/>
  <c r="X46" i="6"/>
  <c r="AD46" i="6" s="1"/>
  <c r="AH46" i="6" s="1"/>
  <c r="AN46" i="6" s="1"/>
  <c r="AR46" i="6" s="1"/>
  <c r="AX46" i="6" s="1"/>
  <c r="BB46" i="6" s="1"/>
  <c r="BH46" i="6" s="1"/>
  <c r="BL46" i="6" s="1"/>
  <c r="BP46" i="6" s="1"/>
  <c r="BS46" i="6" s="1"/>
  <c r="S46" i="6"/>
  <c r="BK45" i="6"/>
  <c r="AU45" i="6"/>
  <c r="AQ45" i="6"/>
  <c r="AA45" i="6"/>
  <c r="W45" i="6"/>
  <c r="K45" i="6"/>
  <c r="G45" i="6"/>
  <c r="BR44" i="6"/>
  <c r="BQ44" i="6"/>
  <c r="BN44" i="6"/>
  <c r="BM44" i="6"/>
  <c r="BK44" i="6"/>
  <c r="BJ44" i="6"/>
  <c r="BI44" i="6"/>
  <c r="BF44" i="6"/>
  <c r="BE44" i="6"/>
  <c r="BD44" i="6"/>
  <c r="BA44" i="6"/>
  <c r="AZ44" i="6"/>
  <c r="AY44" i="6"/>
  <c r="AY45" i="6" s="1"/>
  <c r="AV44" i="6"/>
  <c r="AU44" i="6"/>
  <c r="AT44" i="6"/>
  <c r="AQ44" i="6"/>
  <c r="AP44" i="6"/>
  <c r="AO44" i="6"/>
  <c r="AL44" i="6"/>
  <c r="AK44" i="6"/>
  <c r="AJ44" i="6"/>
  <c r="AG44" i="6"/>
  <c r="AF44" i="6"/>
  <c r="AE44" i="6"/>
  <c r="AE45" i="6" s="1"/>
  <c r="AB44" i="6"/>
  <c r="AA44" i="6"/>
  <c r="Z44" i="6"/>
  <c r="W44" i="6"/>
  <c r="V44" i="6"/>
  <c r="U44" i="6"/>
  <c r="R44" i="6"/>
  <c r="Q44" i="6"/>
  <c r="P44" i="6"/>
  <c r="M44" i="6"/>
  <c r="L44" i="6"/>
  <c r="K44" i="6"/>
  <c r="J44" i="6"/>
  <c r="H44" i="6"/>
  <c r="G44" i="6"/>
  <c r="F44" i="6"/>
  <c r="E44" i="6"/>
  <c r="BR43" i="6"/>
  <c r="BQ43" i="6"/>
  <c r="BN43" i="6"/>
  <c r="BN45" i="6" s="1"/>
  <c r="BM43" i="6"/>
  <c r="BK43" i="6"/>
  <c r="BJ43" i="6"/>
  <c r="BI43" i="6"/>
  <c r="BF43" i="6"/>
  <c r="BF45" i="6" s="1"/>
  <c r="BE43" i="6"/>
  <c r="BD43" i="6"/>
  <c r="BD45" i="6" s="1"/>
  <c r="BA43" i="6"/>
  <c r="AZ43" i="6"/>
  <c r="AZ45" i="6" s="1"/>
  <c r="AY43" i="6"/>
  <c r="AV43" i="6"/>
  <c r="AU43" i="6"/>
  <c r="AT43" i="6"/>
  <c r="AQ43" i="6"/>
  <c r="AP43" i="6"/>
  <c r="AP45" i="6" s="1"/>
  <c r="AO43" i="6"/>
  <c r="AL43" i="6"/>
  <c r="AL45" i="6" s="1"/>
  <c r="AK43" i="6"/>
  <c r="AK45" i="6" s="1"/>
  <c r="AJ43" i="6"/>
  <c r="AJ45" i="6" s="1"/>
  <c r="AG43" i="6"/>
  <c r="AG45" i="6" s="1"/>
  <c r="AF43" i="6"/>
  <c r="AE43" i="6"/>
  <c r="AB43" i="6"/>
  <c r="AB45" i="6" s="1"/>
  <c r="AA43" i="6"/>
  <c r="Z43" i="6"/>
  <c r="Z45" i="6" s="1"/>
  <c r="W43" i="6"/>
  <c r="V43" i="6"/>
  <c r="U43" i="6"/>
  <c r="R43" i="6"/>
  <c r="R45" i="6" s="1"/>
  <c r="Q43" i="6"/>
  <c r="Q45" i="6" s="1"/>
  <c r="P43" i="6"/>
  <c r="M43" i="6"/>
  <c r="M45" i="6" s="1"/>
  <c r="L43" i="6"/>
  <c r="L45" i="6" s="1"/>
  <c r="K43" i="6"/>
  <c r="J43" i="6"/>
  <c r="J45" i="6" s="1"/>
  <c r="I43" i="6"/>
  <c r="H43" i="6"/>
  <c r="H45" i="6" s="1"/>
  <c r="G43" i="6"/>
  <c r="F43" i="6"/>
  <c r="F45" i="6" s="1"/>
  <c r="E43" i="6"/>
  <c r="E45" i="6" s="1"/>
  <c r="BK41" i="6"/>
  <c r="BK48" i="6" s="1"/>
  <c r="AU41" i="6"/>
  <c r="AA41" i="6"/>
  <c r="AA48" i="6" s="1"/>
  <c r="K41" i="6"/>
  <c r="BV40" i="6"/>
  <c r="BR40" i="6"/>
  <c r="BQ40" i="6"/>
  <c r="BN40" i="6"/>
  <c r="BM40" i="6"/>
  <c r="BK40" i="6"/>
  <c r="BJ40" i="6"/>
  <c r="BI40" i="6"/>
  <c r="BF40" i="6"/>
  <c r="BE40" i="6"/>
  <c r="BD40" i="6"/>
  <c r="BA40" i="6"/>
  <c r="AZ40" i="6"/>
  <c r="AY40" i="6"/>
  <c r="AV40" i="6"/>
  <c r="AU40" i="6"/>
  <c r="AT40" i="6"/>
  <c r="AQ40" i="6"/>
  <c r="AP40" i="6"/>
  <c r="AO40" i="6"/>
  <c r="AL40" i="6"/>
  <c r="AK40" i="6"/>
  <c r="AJ40" i="6"/>
  <c r="AG40" i="6"/>
  <c r="AF40" i="6"/>
  <c r="AE40" i="6"/>
  <c r="AE41" i="6" s="1"/>
  <c r="AE48" i="6" s="1"/>
  <c r="AB40" i="6"/>
  <c r="AA40" i="6"/>
  <c r="Z40" i="6"/>
  <c r="W40" i="6"/>
  <c r="V40" i="6"/>
  <c r="U40" i="6"/>
  <c r="R40" i="6"/>
  <c r="Q40" i="6"/>
  <c r="P40" i="6"/>
  <c r="M40" i="6"/>
  <c r="L40" i="6"/>
  <c r="K40" i="6"/>
  <c r="J40" i="6"/>
  <c r="H40" i="6"/>
  <c r="G40" i="6"/>
  <c r="F40" i="6"/>
  <c r="E40" i="6"/>
  <c r="BV39" i="6"/>
  <c r="BR39" i="6"/>
  <c r="BQ39" i="6"/>
  <c r="BN39" i="6"/>
  <c r="BM39" i="6"/>
  <c r="BM41" i="6" s="1"/>
  <c r="BM48" i="6" s="1"/>
  <c r="BK39" i="6"/>
  <c r="BJ39" i="6"/>
  <c r="BJ41" i="6" s="1"/>
  <c r="BJ48" i="6" s="1"/>
  <c r="BI39" i="6"/>
  <c r="BF39" i="6"/>
  <c r="BE39" i="6"/>
  <c r="BD39" i="6"/>
  <c r="BA39" i="6"/>
  <c r="AZ39" i="6"/>
  <c r="AZ41" i="6" s="1"/>
  <c r="AZ48" i="6" s="1"/>
  <c r="AY39" i="6"/>
  <c r="AV39" i="6"/>
  <c r="AV41" i="6" s="1"/>
  <c r="AV48" i="6" s="1"/>
  <c r="AU39" i="6"/>
  <c r="AT39" i="6"/>
  <c r="AQ39" i="6"/>
  <c r="AQ41" i="6" s="1"/>
  <c r="AQ48" i="6" s="1"/>
  <c r="AP39" i="6"/>
  <c r="AP41" i="6" s="1"/>
  <c r="AP48" i="6" s="1"/>
  <c r="AO39" i="6"/>
  <c r="AL39" i="6"/>
  <c r="AL41" i="6" s="1"/>
  <c r="AL48" i="6" s="1"/>
  <c r="AK39" i="6"/>
  <c r="AK41" i="6" s="1"/>
  <c r="AK48" i="6" s="1"/>
  <c r="AJ39" i="6"/>
  <c r="AG39" i="6"/>
  <c r="AF39" i="6"/>
  <c r="AF41" i="6" s="1"/>
  <c r="AF48" i="6" s="1"/>
  <c r="AE39" i="6"/>
  <c r="AB39" i="6"/>
  <c r="AB41" i="6" s="1"/>
  <c r="AB48" i="6" s="1"/>
  <c r="AA39" i="6"/>
  <c r="Z39" i="6"/>
  <c r="W39" i="6"/>
  <c r="W41" i="6" s="1"/>
  <c r="W48" i="6" s="1"/>
  <c r="V39" i="6"/>
  <c r="U39" i="6"/>
  <c r="R39" i="6"/>
  <c r="R41" i="6" s="1"/>
  <c r="R48" i="6" s="1"/>
  <c r="Q39" i="6"/>
  <c r="P39" i="6"/>
  <c r="P41" i="6" s="1"/>
  <c r="P48" i="6" s="1"/>
  <c r="O39" i="6"/>
  <c r="M39" i="6"/>
  <c r="M41" i="6" s="1"/>
  <c r="M48" i="6" s="1"/>
  <c r="L39" i="6"/>
  <c r="L41" i="6" s="1"/>
  <c r="L48" i="6" s="1"/>
  <c r="K39" i="6"/>
  <c r="J39" i="6"/>
  <c r="J41" i="6" s="1"/>
  <c r="J48" i="6" s="1"/>
  <c r="H39" i="6"/>
  <c r="H41" i="6" s="1"/>
  <c r="H48" i="6" s="1"/>
  <c r="G39" i="6"/>
  <c r="G41" i="6" s="1"/>
  <c r="G48" i="6" s="1"/>
  <c r="F39" i="6"/>
  <c r="F41" i="6" s="1"/>
  <c r="F48" i="6" s="1"/>
  <c r="E39" i="6"/>
  <c r="E41" i="6" s="1"/>
  <c r="E48" i="6" s="1"/>
  <c r="BX38" i="6"/>
  <c r="BT37" i="6"/>
  <c r="O37" i="6"/>
  <c r="S37" i="6" s="1"/>
  <c r="Y37" i="6" s="1"/>
  <c r="AC37" i="6" s="1"/>
  <c r="AI37" i="6" s="1"/>
  <c r="AM37" i="6" s="1"/>
  <c r="AS37" i="6" s="1"/>
  <c r="AW37" i="6" s="1"/>
  <c r="BC37" i="6" s="1"/>
  <c r="BG37" i="6" s="1"/>
  <c r="N37" i="6"/>
  <c r="T37" i="6" s="1"/>
  <c r="X37" i="6" s="1"/>
  <c r="AD37" i="6" s="1"/>
  <c r="AH37" i="6" s="1"/>
  <c r="AN37" i="6" s="1"/>
  <c r="AR37" i="6" s="1"/>
  <c r="AX37" i="6" s="1"/>
  <c r="BB37" i="6" s="1"/>
  <c r="BH37" i="6" s="1"/>
  <c r="BL37" i="6" s="1"/>
  <c r="BP37" i="6" s="1"/>
  <c r="BS37" i="6" s="1"/>
  <c r="I37" i="6"/>
  <c r="BT36" i="6"/>
  <c r="O36" i="6"/>
  <c r="S36" i="6" s="1"/>
  <c r="Y36" i="6" s="1"/>
  <c r="AC36" i="6" s="1"/>
  <c r="AI36" i="6" s="1"/>
  <c r="AM36" i="6" s="1"/>
  <c r="AS36" i="6" s="1"/>
  <c r="AW36" i="6" s="1"/>
  <c r="BC36" i="6" s="1"/>
  <c r="BG36" i="6" s="1"/>
  <c r="N36" i="6"/>
  <c r="T36" i="6" s="1"/>
  <c r="X36" i="6" s="1"/>
  <c r="AD36" i="6" s="1"/>
  <c r="AH36" i="6" s="1"/>
  <c r="AN36" i="6" s="1"/>
  <c r="AR36" i="6" s="1"/>
  <c r="AX36" i="6" s="1"/>
  <c r="BB36" i="6" s="1"/>
  <c r="BH36" i="6" s="1"/>
  <c r="BL36" i="6" s="1"/>
  <c r="BP36" i="6" s="1"/>
  <c r="BS36" i="6" s="1"/>
  <c r="I36" i="6"/>
  <c r="BT35" i="6"/>
  <c r="S35" i="6"/>
  <c r="Y35" i="6" s="1"/>
  <c r="AC35" i="6" s="1"/>
  <c r="AI35" i="6" s="1"/>
  <c r="AM35" i="6" s="1"/>
  <c r="AS35" i="6" s="1"/>
  <c r="AW35" i="6" s="1"/>
  <c r="BC35" i="6" s="1"/>
  <c r="BG35" i="6" s="1"/>
  <c r="O35" i="6"/>
  <c r="N35" i="6"/>
  <c r="T35" i="6" s="1"/>
  <c r="X35" i="6" s="1"/>
  <c r="AD35" i="6" s="1"/>
  <c r="AH35" i="6" s="1"/>
  <c r="AN35" i="6" s="1"/>
  <c r="AR35" i="6" s="1"/>
  <c r="AX35" i="6" s="1"/>
  <c r="BB35" i="6" s="1"/>
  <c r="BH35" i="6" s="1"/>
  <c r="BL35" i="6" s="1"/>
  <c r="BP35" i="6" s="1"/>
  <c r="BS35" i="6" s="1"/>
  <c r="I35" i="6"/>
  <c r="S34" i="6"/>
  <c r="Y34" i="6" s="1"/>
  <c r="AC34" i="6" s="1"/>
  <c r="AI34" i="6" s="1"/>
  <c r="AM34" i="6" s="1"/>
  <c r="AS34" i="6" s="1"/>
  <c r="AW34" i="6" s="1"/>
  <c r="BC34" i="6" s="1"/>
  <c r="BG34" i="6" s="1"/>
  <c r="O34" i="6"/>
  <c r="N34" i="6"/>
  <c r="T34" i="6" s="1"/>
  <c r="X34" i="6" s="1"/>
  <c r="AD34" i="6" s="1"/>
  <c r="AH34" i="6" s="1"/>
  <c r="AN34" i="6" s="1"/>
  <c r="AR34" i="6" s="1"/>
  <c r="AX34" i="6" s="1"/>
  <c r="BB34" i="6" s="1"/>
  <c r="BH34" i="6" s="1"/>
  <c r="BL34" i="6" s="1"/>
  <c r="BP34" i="6" s="1"/>
  <c r="BS34" i="6" s="1"/>
  <c r="I34" i="6"/>
  <c r="BT33" i="6"/>
  <c r="O33" i="6"/>
  <c r="S33" i="6" s="1"/>
  <c r="Y33" i="6" s="1"/>
  <c r="AC33" i="6" s="1"/>
  <c r="AI33" i="6" s="1"/>
  <c r="AM33" i="6" s="1"/>
  <c r="AS33" i="6" s="1"/>
  <c r="AW33" i="6" s="1"/>
  <c r="BC33" i="6" s="1"/>
  <c r="BG33" i="6" s="1"/>
  <c r="N33" i="6"/>
  <c r="T33" i="6" s="1"/>
  <c r="X33" i="6" s="1"/>
  <c r="AD33" i="6" s="1"/>
  <c r="AH33" i="6" s="1"/>
  <c r="AN33" i="6" s="1"/>
  <c r="AR33" i="6" s="1"/>
  <c r="AX33" i="6" s="1"/>
  <c r="BB33" i="6" s="1"/>
  <c r="BH33" i="6" s="1"/>
  <c r="BL33" i="6" s="1"/>
  <c r="BP33" i="6" s="1"/>
  <c r="BS33" i="6" s="1"/>
  <c r="I33" i="6"/>
  <c r="BT32" i="6"/>
  <c r="O32" i="6"/>
  <c r="S32" i="6" s="1"/>
  <c r="Y32" i="6" s="1"/>
  <c r="AC32" i="6" s="1"/>
  <c r="AI32" i="6" s="1"/>
  <c r="AM32" i="6" s="1"/>
  <c r="AS32" i="6" s="1"/>
  <c r="AW32" i="6" s="1"/>
  <c r="BC32" i="6" s="1"/>
  <c r="BG32" i="6" s="1"/>
  <c r="N32" i="6"/>
  <c r="T32" i="6" s="1"/>
  <c r="X32" i="6" s="1"/>
  <c r="AD32" i="6" s="1"/>
  <c r="AH32" i="6" s="1"/>
  <c r="AN32" i="6" s="1"/>
  <c r="AR32" i="6" s="1"/>
  <c r="AX32" i="6" s="1"/>
  <c r="BB32" i="6" s="1"/>
  <c r="BH32" i="6" s="1"/>
  <c r="BL32" i="6" s="1"/>
  <c r="BP32" i="6" s="1"/>
  <c r="BS32" i="6" s="1"/>
  <c r="I32" i="6"/>
  <c r="BT31" i="6"/>
  <c r="O31" i="6"/>
  <c r="S31" i="6" s="1"/>
  <c r="Y31" i="6" s="1"/>
  <c r="AC31" i="6" s="1"/>
  <c r="AI31" i="6" s="1"/>
  <c r="AM31" i="6" s="1"/>
  <c r="AS31" i="6" s="1"/>
  <c r="AW31" i="6" s="1"/>
  <c r="BC31" i="6" s="1"/>
  <c r="BG31" i="6" s="1"/>
  <c r="N31" i="6"/>
  <c r="T31" i="6" s="1"/>
  <c r="X31" i="6" s="1"/>
  <c r="AD31" i="6" s="1"/>
  <c r="AH31" i="6" s="1"/>
  <c r="AN31" i="6" s="1"/>
  <c r="AR31" i="6" s="1"/>
  <c r="AX31" i="6" s="1"/>
  <c r="BB31" i="6" s="1"/>
  <c r="BH31" i="6" s="1"/>
  <c r="BL31" i="6" s="1"/>
  <c r="BP31" i="6" s="1"/>
  <c r="BS31" i="6" s="1"/>
  <c r="I31" i="6"/>
  <c r="BT30" i="6"/>
  <c r="S30" i="6"/>
  <c r="Y30" i="6" s="1"/>
  <c r="AC30" i="6" s="1"/>
  <c r="AI30" i="6" s="1"/>
  <c r="AM30" i="6" s="1"/>
  <c r="AS30" i="6" s="1"/>
  <c r="AW30" i="6" s="1"/>
  <c r="BC30" i="6" s="1"/>
  <c r="BG30" i="6" s="1"/>
  <c r="O30" i="6"/>
  <c r="N30" i="6"/>
  <c r="T30" i="6" s="1"/>
  <c r="X30" i="6" s="1"/>
  <c r="AD30" i="6" s="1"/>
  <c r="AH30" i="6" s="1"/>
  <c r="AN30" i="6" s="1"/>
  <c r="AR30" i="6" s="1"/>
  <c r="AX30" i="6" s="1"/>
  <c r="BB30" i="6" s="1"/>
  <c r="BH30" i="6" s="1"/>
  <c r="BL30" i="6" s="1"/>
  <c r="BP30" i="6" s="1"/>
  <c r="BS30" i="6" s="1"/>
  <c r="I30" i="6"/>
  <c r="S29" i="6"/>
  <c r="S39" i="6" s="1"/>
  <c r="O29" i="6"/>
  <c r="N29" i="6"/>
  <c r="T29" i="6" s="1"/>
  <c r="I29" i="6"/>
  <c r="S28" i="6"/>
  <c r="Y28" i="6" s="1"/>
  <c r="AC28" i="6" s="1"/>
  <c r="AI28" i="6" s="1"/>
  <c r="AM28" i="6" s="1"/>
  <c r="AS28" i="6" s="1"/>
  <c r="AW28" i="6" s="1"/>
  <c r="BC28" i="6" s="1"/>
  <c r="BG28" i="6" s="1"/>
  <c r="O28" i="6"/>
  <c r="N28" i="6"/>
  <c r="T28" i="6" s="1"/>
  <c r="X28" i="6" s="1"/>
  <c r="AD28" i="6" s="1"/>
  <c r="AH28" i="6" s="1"/>
  <c r="AN28" i="6" s="1"/>
  <c r="AR28" i="6" s="1"/>
  <c r="AX28" i="6" s="1"/>
  <c r="BB28" i="6" s="1"/>
  <c r="BH28" i="6" s="1"/>
  <c r="BL28" i="6" s="1"/>
  <c r="BP28" i="6" s="1"/>
  <c r="BS28" i="6" s="1"/>
  <c r="I28" i="6"/>
  <c r="S27" i="6"/>
  <c r="Y27" i="6" s="1"/>
  <c r="AC27" i="6" s="1"/>
  <c r="AI27" i="6" s="1"/>
  <c r="AM27" i="6" s="1"/>
  <c r="AS27" i="6" s="1"/>
  <c r="AW27" i="6" s="1"/>
  <c r="BC27" i="6" s="1"/>
  <c r="BG27" i="6" s="1"/>
  <c r="O27" i="6"/>
  <c r="N27" i="6"/>
  <c r="T27" i="6" s="1"/>
  <c r="X27" i="6" s="1"/>
  <c r="AD27" i="6" s="1"/>
  <c r="AH27" i="6" s="1"/>
  <c r="AN27" i="6" s="1"/>
  <c r="AR27" i="6" s="1"/>
  <c r="AX27" i="6" s="1"/>
  <c r="BB27" i="6" s="1"/>
  <c r="BH27" i="6" s="1"/>
  <c r="BL27" i="6" s="1"/>
  <c r="BP27" i="6" s="1"/>
  <c r="BS27" i="6" s="1"/>
  <c r="I27" i="6"/>
  <c r="S26" i="6"/>
  <c r="Y26" i="6" s="1"/>
  <c r="AC26" i="6" s="1"/>
  <c r="AI26" i="6" s="1"/>
  <c r="AM26" i="6" s="1"/>
  <c r="AS26" i="6" s="1"/>
  <c r="AW26" i="6" s="1"/>
  <c r="BC26" i="6" s="1"/>
  <c r="BG26" i="6" s="1"/>
  <c r="O26" i="6"/>
  <c r="N26" i="6"/>
  <c r="T26" i="6" s="1"/>
  <c r="X26" i="6" s="1"/>
  <c r="AD26" i="6" s="1"/>
  <c r="AH26" i="6" s="1"/>
  <c r="AN26" i="6" s="1"/>
  <c r="AR26" i="6" s="1"/>
  <c r="AX26" i="6" s="1"/>
  <c r="BB26" i="6" s="1"/>
  <c r="BH26" i="6" s="1"/>
  <c r="BL26" i="6" s="1"/>
  <c r="BP26" i="6" s="1"/>
  <c r="BS26" i="6" s="1"/>
  <c r="I26" i="6"/>
  <c r="O25" i="6"/>
  <c r="S25" i="6" s="1"/>
  <c r="Y25" i="6" s="1"/>
  <c r="AC25" i="6" s="1"/>
  <c r="AI25" i="6" s="1"/>
  <c r="AM25" i="6" s="1"/>
  <c r="AS25" i="6" s="1"/>
  <c r="AW25" i="6" s="1"/>
  <c r="BC25" i="6" s="1"/>
  <c r="BG25" i="6" s="1"/>
  <c r="N25" i="6"/>
  <c r="T25" i="6" s="1"/>
  <c r="X25" i="6" s="1"/>
  <c r="AD25" i="6" s="1"/>
  <c r="AH25" i="6" s="1"/>
  <c r="AN25" i="6" s="1"/>
  <c r="AR25" i="6" s="1"/>
  <c r="AX25" i="6" s="1"/>
  <c r="BB25" i="6" s="1"/>
  <c r="BH25" i="6" s="1"/>
  <c r="BL25" i="6" s="1"/>
  <c r="BP25" i="6" s="1"/>
  <c r="BS25" i="6" s="1"/>
  <c r="I25" i="6"/>
  <c r="BT24" i="6"/>
  <c r="S24" i="6"/>
  <c r="Y24" i="6" s="1"/>
  <c r="O24" i="6"/>
  <c r="N24" i="6"/>
  <c r="I24" i="6"/>
  <c r="I40" i="6" s="1"/>
  <c r="O23" i="6"/>
  <c r="S23" i="6" s="1"/>
  <c r="Y23" i="6" s="1"/>
  <c r="AC23" i="6" s="1"/>
  <c r="AI23" i="6" s="1"/>
  <c r="AM23" i="6" s="1"/>
  <c r="AS23" i="6" s="1"/>
  <c r="AW23" i="6" s="1"/>
  <c r="BC23" i="6" s="1"/>
  <c r="BG23" i="6" s="1"/>
  <c r="N23" i="6"/>
  <c r="T23" i="6" s="1"/>
  <c r="X23" i="6" s="1"/>
  <c r="AD23" i="6" s="1"/>
  <c r="AH23" i="6" s="1"/>
  <c r="AN23" i="6" s="1"/>
  <c r="AR23" i="6" s="1"/>
  <c r="AX23" i="6" s="1"/>
  <c r="BB23" i="6" s="1"/>
  <c r="BH23" i="6" s="1"/>
  <c r="BL23" i="6" s="1"/>
  <c r="BP23" i="6" s="1"/>
  <c r="BS23" i="6" s="1"/>
  <c r="I23" i="6"/>
  <c r="AH22" i="6"/>
  <c r="AN22" i="6" s="1"/>
  <c r="AR22" i="6" s="1"/>
  <c r="AX22" i="6" s="1"/>
  <c r="BB22" i="6" s="1"/>
  <c r="BH22" i="6" s="1"/>
  <c r="BL22" i="6" s="1"/>
  <c r="BP22" i="6" s="1"/>
  <c r="BS22" i="6" s="1"/>
  <c r="X22" i="6"/>
  <c r="AD22" i="6" s="1"/>
  <c r="S22" i="6"/>
  <c r="Y22" i="6" s="1"/>
  <c r="AC22" i="6" s="1"/>
  <c r="AI22" i="6" s="1"/>
  <c r="AM22" i="6" s="1"/>
  <c r="AS22" i="6" s="1"/>
  <c r="AW22" i="6" s="1"/>
  <c r="BC22" i="6" s="1"/>
  <c r="BG22" i="6" s="1"/>
  <c r="O22" i="6"/>
  <c r="N22" i="6"/>
  <c r="T22" i="6" s="1"/>
  <c r="I22" i="6"/>
  <c r="O21" i="6"/>
  <c r="S21" i="6" s="1"/>
  <c r="Y21" i="6" s="1"/>
  <c r="AC21" i="6" s="1"/>
  <c r="AI21" i="6" s="1"/>
  <c r="AM21" i="6" s="1"/>
  <c r="AS21" i="6" s="1"/>
  <c r="AW21" i="6" s="1"/>
  <c r="BC21" i="6" s="1"/>
  <c r="BG21" i="6" s="1"/>
  <c r="N21" i="6"/>
  <c r="T21" i="6" s="1"/>
  <c r="X21" i="6" s="1"/>
  <c r="AD21" i="6" s="1"/>
  <c r="AH21" i="6" s="1"/>
  <c r="AN21" i="6" s="1"/>
  <c r="AR21" i="6" s="1"/>
  <c r="AX21" i="6" s="1"/>
  <c r="BB21" i="6" s="1"/>
  <c r="BH21" i="6" s="1"/>
  <c r="BL21" i="6" s="1"/>
  <c r="BP21" i="6" s="1"/>
  <c r="BS21" i="6" s="1"/>
  <c r="I21" i="6"/>
  <c r="AS16" i="6"/>
  <c r="BC16" i="6" s="1"/>
  <c r="BM16" i="6" s="1"/>
  <c r="Y16" i="6"/>
  <c r="AI16" i="6" s="1"/>
  <c r="O16" i="6"/>
  <c r="F18" i="15" l="1"/>
  <c r="H17" i="23"/>
  <c r="BN41" i="6"/>
  <c r="BN48" i="6" s="1"/>
  <c r="BM45" i="6"/>
  <c r="BD41" i="6"/>
  <c r="BD48" i="6" s="1"/>
  <c r="BE45" i="6"/>
  <c r="AY41" i="6"/>
  <c r="AY48" i="6" s="1"/>
  <c r="AT41" i="6"/>
  <c r="AT48" i="6" s="1"/>
  <c r="AO45" i="6"/>
  <c r="AJ41" i="6"/>
  <c r="AJ48" i="6" s="1"/>
  <c r="AF45" i="6"/>
  <c r="Z41" i="6"/>
  <c r="Z48" i="6" s="1"/>
  <c r="U45" i="6"/>
  <c r="U41" i="6"/>
  <c r="U48" i="6" s="1"/>
  <c r="V41" i="6"/>
  <c r="V48" i="6" s="1"/>
  <c r="V45" i="6"/>
  <c r="P45" i="6"/>
  <c r="BJ45" i="6"/>
  <c r="BA41" i="6"/>
  <c r="BA48" i="6" s="1"/>
  <c r="BA45" i="6"/>
  <c r="AV45" i="6"/>
  <c r="BF41" i="6"/>
  <c r="BF48" i="6" s="1"/>
  <c r="BI41" i="6"/>
  <c r="BI48" i="6" s="1"/>
  <c r="BI45" i="6"/>
  <c r="E18" i="15"/>
  <c r="J18" i="15" s="1"/>
  <c r="E24" i="15"/>
  <c r="C23" i="9"/>
  <c r="C19" i="9"/>
  <c r="C22" i="9"/>
  <c r="C18" i="9"/>
  <c r="C24" i="9"/>
  <c r="C25" i="9"/>
  <c r="C21" i="9"/>
  <c r="C17" i="9"/>
  <c r="C20" i="9"/>
  <c r="E22" i="9"/>
  <c r="E18" i="9"/>
  <c r="E23" i="9"/>
  <c r="E25" i="9"/>
  <c r="E21" i="9"/>
  <c r="E17" i="9"/>
  <c r="E24" i="9"/>
  <c r="E20" i="9"/>
  <c r="E19" i="9"/>
  <c r="H23" i="23"/>
  <c r="H32" i="23"/>
  <c r="I32" i="23" s="1"/>
  <c r="J32" i="23" s="1"/>
  <c r="D56" i="23" s="1"/>
  <c r="G56" i="23" s="1"/>
  <c r="H19" i="23"/>
  <c r="H35" i="23"/>
  <c r="I35" i="23" s="1"/>
  <c r="J35" i="23" s="1"/>
  <c r="D59" i="23" s="1"/>
  <c r="G59" i="23" s="1"/>
  <c r="H36" i="23"/>
  <c r="I36" i="23" s="1"/>
  <c r="J36" i="23" s="1"/>
  <c r="D60" i="23" s="1"/>
  <c r="G60" i="23" s="1"/>
  <c r="E22" i="15"/>
  <c r="H18" i="23"/>
  <c r="E17" i="15"/>
  <c r="E19" i="15"/>
  <c r="E21" i="15"/>
  <c r="E23" i="15"/>
  <c r="E25" i="15"/>
  <c r="H24" i="23"/>
  <c r="H33" i="23"/>
  <c r="I33" i="23" s="1"/>
  <c r="J33" i="23" s="1"/>
  <c r="D57" i="23" s="1"/>
  <c r="G57" i="23" s="1"/>
  <c r="H31" i="23"/>
  <c r="I31" i="23" s="1"/>
  <c r="J31" i="23" s="1"/>
  <c r="D55" i="23" s="1"/>
  <c r="G55" i="23" s="1"/>
  <c r="E20" i="15"/>
  <c r="H21" i="23"/>
  <c r="J26" i="8"/>
  <c r="F17" i="15"/>
  <c r="M25" i="15"/>
  <c r="H20" i="23"/>
  <c r="H29" i="23"/>
  <c r="I29" i="23" s="1"/>
  <c r="J29" i="23" s="1"/>
  <c r="D53" i="23" s="1"/>
  <c r="G53" i="23" s="1"/>
  <c r="H34" i="23"/>
  <c r="I34" i="23" s="1"/>
  <c r="J34" i="23" s="1"/>
  <c r="D58" i="23" s="1"/>
  <c r="G58" i="23" s="1"/>
  <c r="BQ45" i="6"/>
  <c r="M97" i="22"/>
  <c r="P108" i="20"/>
  <c r="P112" i="20" s="1"/>
  <c r="I99" i="22"/>
  <c r="I33" i="21"/>
  <c r="I26" i="8"/>
  <c r="F20" i="9" s="1"/>
  <c r="BR41" i="6"/>
  <c r="BR48" i="6" s="1"/>
  <c r="F33" i="24"/>
  <c r="G33" i="24"/>
  <c r="F84" i="22"/>
  <c r="J42" i="22"/>
  <c r="P42" i="22" s="1"/>
  <c r="N97" i="22"/>
  <c r="N52" i="22"/>
  <c r="F42" i="22"/>
  <c r="N96" i="22"/>
  <c r="M96" i="22" s="1"/>
  <c r="J97" i="22"/>
  <c r="P21" i="22"/>
  <c r="J87" i="22"/>
  <c r="I88" i="22"/>
  <c r="J88" i="22" s="1"/>
  <c r="E86" i="22"/>
  <c r="F85" i="22"/>
  <c r="M23" i="22"/>
  <c r="N22" i="22"/>
  <c r="N98" i="22" s="1"/>
  <c r="M98" i="22" s="1"/>
  <c r="I44" i="22"/>
  <c r="J43" i="22"/>
  <c r="P43" i="22" s="1"/>
  <c r="E61" i="22"/>
  <c r="F60" i="22"/>
  <c r="F98" i="22" s="1"/>
  <c r="E98" i="22" s="1"/>
  <c r="D109" i="22"/>
  <c r="J71" i="22"/>
  <c r="J82" i="22"/>
  <c r="P20" i="22"/>
  <c r="P39" i="22"/>
  <c r="M81" i="22"/>
  <c r="N80" i="22"/>
  <c r="H109" i="22"/>
  <c r="M62" i="22"/>
  <c r="N61" i="22"/>
  <c r="L109" i="22"/>
  <c r="J80" i="22"/>
  <c r="J99" i="22" s="1"/>
  <c r="E46" i="22"/>
  <c r="F45" i="22"/>
  <c r="E24" i="22"/>
  <c r="F23" i="22"/>
  <c r="F59" i="22"/>
  <c r="F97" i="22" s="1"/>
  <c r="E97" i="22" s="1"/>
  <c r="J98" i="22"/>
  <c r="P22" i="22"/>
  <c r="F96" i="22"/>
  <c r="E96" i="22" s="1"/>
  <c r="J96" i="22"/>
  <c r="I96" i="22" s="1"/>
  <c r="J25" i="22"/>
  <c r="I26" i="22"/>
  <c r="N99" i="21"/>
  <c r="M99" i="21" s="1"/>
  <c r="J96" i="21"/>
  <c r="J85" i="21"/>
  <c r="J104" i="21" s="1"/>
  <c r="I104" i="21" s="1"/>
  <c r="N71" i="21"/>
  <c r="P80" i="21"/>
  <c r="P61" i="21"/>
  <c r="P67" i="21"/>
  <c r="E62" i="21"/>
  <c r="F61" i="21"/>
  <c r="J99" i="21"/>
  <c r="P23" i="21"/>
  <c r="L109" i="21"/>
  <c r="J101" i="21"/>
  <c r="I101" i="21" s="1"/>
  <c r="P25" i="21"/>
  <c r="M29" i="21"/>
  <c r="N28" i="21"/>
  <c r="N27" i="21"/>
  <c r="I87" i="21"/>
  <c r="J86" i="21"/>
  <c r="N96" i="21"/>
  <c r="M96" i="21" s="1"/>
  <c r="J102" i="21"/>
  <c r="I102" i="21" s="1"/>
  <c r="P26" i="21"/>
  <c r="P41" i="21"/>
  <c r="H109" i="21"/>
  <c r="I96" i="21"/>
  <c r="J100" i="21"/>
  <c r="I100" i="21" s="1"/>
  <c r="P24" i="21"/>
  <c r="D109" i="21"/>
  <c r="J97" i="21"/>
  <c r="P21" i="21"/>
  <c r="J98" i="21"/>
  <c r="P98" i="21" s="1"/>
  <c r="F28" i="21"/>
  <c r="E24" i="21"/>
  <c r="F23" i="21"/>
  <c r="M83" i="21"/>
  <c r="N82" i="21"/>
  <c r="E46" i="21"/>
  <c r="F45" i="21"/>
  <c r="P39" i="21"/>
  <c r="J105" i="21"/>
  <c r="I105" i="21" s="1"/>
  <c r="M45" i="21"/>
  <c r="N44" i="21"/>
  <c r="J71" i="21"/>
  <c r="P58" i="21"/>
  <c r="P71" i="21" s="1"/>
  <c r="J103" i="21"/>
  <c r="I103" i="21" s="1"/>
  <c r="E80" i="21"/>
  <c r="F79" i="21"/>
  <c r="F98" i="21" s="1"/>
  <c r="E98" i="21" s="1"/>
  <c r="N43" i="21"/>
  <c r="P43" i="21" s="1"/>
  <c r="F96" i="21"/>
  <c r="E96" i="21" s="1"/>
  <c r="F29" i="21"/>
  <c r="E30" i="21"/>
  <c r="J33" i="21"/>
  <c r="P79" i="21"/>
  <c r="F97" i="21"/>
  <c r="E97" i="21" s="1"/>
  <c r="I50" i="21"/>
  <c r="J50" i="21" s="1"/>
  <c r="J49" i="21"/>
  <c r="BW21" i="6"/>
  <c r="BX21" i="6" s="1"/>
  <c r="BO21" i="6"/>
  <c r="BT21" i="6" s="1"/>
  <c r="BO22" i="6"/>
  <c r="BT22" i="6" s="1"/>
  <c r="BW22" i="6"/>
  <c r="BX22" i="6" s="1"/>
  <c r="BW25" i="6"/>
  <c r="BX25" i="6" s="1"/>
  <c r="BO25" i="6"/>
  <c r="BT25" i="6" s="1"/>
  <c r="BW26" i="6"/>
  <c r="BX26" i="6" s="1"/>
  <c r="BO26" i="6"/>
  <c r="BT26" i="6" s="1"/>
  <c r="BW27" i="6"/>
  <c r="BX27" i="6" s="1"/>
  <c r="BO27" i="6"/>
  <c r="BT27" i="6" s="1"/>
  <c r="BW28" i="6"/>
  <c r="BX28" i="6" s="1"/>
  <c r="BO28" i="6"/>
  <c r="BT28" i="6" s="1"/>
  <c r="BO30" i="6"/>
  <c r="BW30" i="6"/>
  <c r="BX30" i="6" s="1"/>
  <c r="BO31" i="6"/>
  <c r="BW31" i="6"/>
  <c r="BX31" i="6" s="1"/>
  <c r="BW33" i="6"/>
  <c r="BX33" i="6" s="1"/>
  <c r="BO33" i="6"/>
  <c r="BW46" i="6"/>
  <c r="BX46" i="6" s="1"/>
  <c r="BO46" i="6"/>
  <c r="BT46" i="6" s="1"/>
  <c r="BW34" i="6"/>
  <c r="BX34" i="6" s="1"/>
  <c r="BO34" i="6"/>
  <c r="BT34" i="6" s="1"/>
  <c r="BW36" i="6"/>
  <c r="BX36" i="6" s="1"/>
  <c r="BO36" i="6"/>
  <c r="BO37" i="6"/>
  <c r="BW37" i="6"/>
  <c r="BX37" i="6" s="1"/>
  <c r="BW23" i="6"/>
  <c r="BX23" i="6" s="1"/>
  <c r="BO23" i="6"/>
  <c r="BT23" i="6" s="1"/>
  <c r="AC24" i="6"/>
  <c r="BO32" i="6"/>
  <c r="BW32" i="6"/>
  <c r="BX32" i="6" s="1"/>
  <c r="BO35" i="6"/>
  <c r="BW35" i="6"/>
  <c r="BX35" i="6" s="1"/>
  <c r="N40" i="6"/>
  <c r="T24" i="6"/>
  <c r="T43" i="6"/>
  <c r="X29" i="6"/>
  <c r="T39" i="6"/>
  <c r="S40" i="6"/>
  <c r="S41" i="6" s="1"/>
  <c r="S48" i="6" s="1"/>
  <c r="S43" i="6"/>
  <c r="S44" i="6"/>
  <c r="Y29" i="6"/>
  <c r="O40" i="6"/>
  <c r="O41" i="6" s="1"/>
  <c r="O48" i="6" s="1"/>
  <c r="O43" i="6"/>
  <c r="O44" i="6"/>
  <c r="I44" i="6"/>
  <c r="I45" i="6" s="1"/>
  <c r="Q41" i="6"/>
  <c r="Q48" i="6" s="1"/>
  <c r="AO41" i="6"/>
  <c r="AO48" i="6" s="1"/>
  <c r="BE41" i="6"/>
  <c r="BE48" i="6" s="1"/>
  <c r="BQ41" i="6"/>
  <c r="BQ48" i="6" s="1"/>
  <c r="AT45" i="6"/>
  <c r="BR45" i="6"/>
  <c r="N39" i="6"/>
  <c r="N41" i="6" s="1"/>
  <c r="N48" i="6" s="1"/>
  <c r="N43" i="6"/>
  <c r="I39" i="6"/>
  <c r="I41" i="6" s="1"/>
  <c r="I48" i="6" s="1"/>
  <c r="AG41" i="6"/>
  <c r="AG48" i="6" s="1"/>
  <c r="N44" i="6"/>
  <c r="BV41" i="6"/>
  <c r="C22" i="4"/>
  <c r="C23" i="4" s="1"/>
  <c r="E20" i="4"/>
  <c r="B5" i="4"/>
  <c r="B6" i="4" s="1"/>
  <c r="B7" i="4" s="1"/>
  <c r="B8" i="4" s="1"/>
  <c r="M25" i="9" l="1"/>
  <c r="G25" i="9"/>
  <c r="L25" i="9"/>
  <c r="L19" i="9"/>
  <c r="M19" i="9"/>
  <c r="G19" i="9"/>
  <c r="M21" i="9"/>
  <c r="G21" i="9"/>
  <c r="L21" i="9"/>
  <c r="M22" i="9"/>
  <c r="G22" i="9"/>
  <c r="L22" i="9"/>
  <c r="I20" i="9"/>
  <c r="N20" i="9"/>
  <c r="M20" i="9"/>
  <c r="G20" i="9"/>
  <c r="L20" i="9"/>
  <c r="M24" i="9"/>
  <c r="G24" i="9"/>
  <c r="L24" i="9"/>
  <c r="L23" i="9"/>
  <c r="M23" i="9"/>
  <c r="G23" i="9"/>
  <c r="M17" i="9"/>
  <c r="G17" i="9"/>
  <c r="L17" i="9"/>
  <c r="M18" i="9"/>
  <c r="G18" i="9"/>
  <c r="L18" i="9"/>
  <c r="F22" i="9"/>
  <c r="F25" i="9"/>
  <c r="F21" i="9"/>
  <c r="F17" i="9"/>
  <c r="F18" i="9"/>
  <c r="F23" i="9"/>
  <c r="F19" i="9"/>
  <c r="B9" i="4"/>
  <c r="B10" i="4" s="1"/>
  <c r="B11" i="4" s="1"/>
  <c r="B12" i="4" s="1"/>
  <c r="B13" i="4" s="1"/>
  <c r="B14" i="4" s="1"/>
  <c r="H53" i="23"/>
  <c r="I53" i="23" s="1"/>
  <c r="J53" i="23" s="1"/>
  <c r="H54" i="23"/>
  <c r="I54" i="23" s="1"/>
  <c r="J54" i="23" s="1"/>
  <c r="H55" i="23"/>
  <c r="I55" i="23" s="1"/>
  <c r="J55" i="23" s="1"/>
  <c r="H59" i="23"/>
  <c r="I59" i="23" s="1"/>
  <c r="J59" i="23" s="1"/>
  <c r="I56" i="23"/>
  <c r="J56" i="23" s="1"/>
  <c r="H56" i="23"/>
  <c r="H60" i="23"/>
  <c r="I60" i="23" s="1"/>
  <c r="J60" i="23" s="1"/>
  <c r="M18" i="15"/>
  <c r="H57" i="23"/>
  <c r="I57" i="23" s="1"/>
  <c r="J57" i="23" s="1"/>
  <c r="C27" i="9"/>
  <c r="F24" i="9"/>
  <c r="H58" i="23"/>
  <c r="I58" i="23" s="1"/>
  <c r="J58" i="23" s="1"/>
  <c r="M17" i="15"/>
  <c r="M23" i="15"/>
  <c r="M19" i="15"/>
  <c r="E27" i="9"/>
  <c r="M24" i="15"/>
  <c r="H20" i="15"/>
  <c r="P99" i="21"/>
  <c r="P98" i="22"/>
  <c r="P97" i="21"/>
  <c r="I97" i="21"/>
  <c r="I99" i="21"/>
  <c r="P97" i="22"/>
  <c r="I97" i="22"/>
  <c r="I98" i="22"/>
  <c r="I98" i="21"/>
  <c r="G34" i="24"/>
  <c r="H34" i="24" s="1"/>
  <c r="I34" i="24" s="1"/>
  <c r="H33" i="24"/>
  <c r="E47" i="22"/>
  <c r="F46" i="22"/>
  <c r="I27" i="22"/>
  <c r="J26" i="22"/>
  <c r="F99" i="22"/>
  <c r="E99" i="22" s="1"/>
  <c r="P61" i="22"/>
  <c r="M82" i="22"/>
  <c r="N81" i="22"/>
  <c r="P81" i="22" s="1"/>
  <c r="E62" i="22"/>
  <c r="F61" i="22"/>
  <c r="M24" i="22"/>
  <c r="N23" i="22"/>
  <c r="E87" i="22"/>
  <c r="F86" i="22"/>
  <c r="E25" i="22"/>
  <c r="F24" i="22"/>
  <c r="P80" i="22"/>
  <c r="J90" i="22"/>
  <c r="M63" i="22"/>
  <c r="N62" i="22"/>
  <c r="P62" i="22" s="1"/>
  <c r="P96" i="22"/>
  <c r="I45" i="22"/>
  <c r="J44" i="22"/>
  <c r="J101" i="22" s="1"/>
  <c r="I101" i="22" s="1"/>
  <c r="J100" i="22"/>
  <c r="I100" i="22" s="1"/>
  <c r="E63" i="21"/>
  <c r="F62" i="21"/>
  <c r="N101" i="21"/>
  <c r="E31" i="21"/>
  <c r="F31" i="21" s="1"/>
  <c r="F30" i="21"/>
  <c r="P44" i="21"/>
  <c r="E47" i="21"/>
  <c r="F46" i="21"/>
  <c r="I88" i="21"/>
  <c r="J88" i="21" s="1"/>
  <c r="J87" i="21"/>
  <c r="P28" i="21"/>
  <c r="E25" i="21"/>
  <c r="F25" i="21" s="1"/>
  <c r="F24" i="21"/>
  <c r="E81" i="21"/>
  <c r="F80" i="21"/>
  <c r="J52" i="21"/>
  <c r="M84" i="21"/>
  <c r="N83" i="21"/>
  <c r="P83" i="21" s="1"/>
  <c r="P82" i="21"/>
  <c r="F99" i="21"/>
  <c r="E99" i="21" s="1"/>
  <c r="M46" i="21"/>
  <c r="N45" i="21"/>
  <c r="M30" i="21"/>
  <c r="N29" i="21"/>
  <c r="P27" i="21"/>
  <c r="N100" i="21"/>
  <c r="M100" i="21" s="1"/>
  <c r="P96" i="21"/>
  <c r="X43" i="6"/>
  <c r="AD29" i="6"/>
  <c r="X39" i="6"/>
  <c r="AI24" i="6"/>
  <c r="Y44" i="6"/>
  <c r="Y39" i="6"/>
  <c r="Y43" i="6"/>
  <c r="AC29" i="6"/>
  <c r="T41" i="6"/>
  <c r="T48" i="6" s="1"/>
  <c r="T40" i="6"/>
  <c r="X24" i="6"/>
  <c r="Y40" i="6"/>
  <c r="BV48" i="6"/>
  <c r="BV45" i="6"/>
  <c r="N45" i="6"/>
  <c r="O45" i="6"/>
  <c r="S45" i="6"/>
  <c r="T44" i="6"/>
  <c r="T45" i="6" s="1"/>
  <c r="N24" i="9" l="1"/>
  <c r="I24" i="9"/>
  <c r="I18" i="9"/>
  <c r="N18" i="9"/>
  <c r="G18" i="15" s="1"/>
  <c r="I18" i="15" s="1"/>
  <c r="I25" i="9"/>
  <c r="N25" i="9"/>
  <c r="I17" i="9"/>
  <c r="N17" i="9"/>
  <c r="I22" i="9"/>
  <c r="N22" i="9"/>
  <c r="I23" i="9"/>
  <c r="N23" i="9"/>
  <c r="G23" i="15" s="1"/>
  <c r="I23" i="15" s="1"/>
  <c r="I19" i="9"/>
  <c r="N19" i="9"/>
  <c r="N21" i="9"/>
  <c r="I21" i="9"/>
  <c r="I27" i="9" s="1"/>
  <c r="B15" i="4"/>
  <c r="B16" i="4" s="1"/>
  <c r="B17" i="4" s="1"/>
  <c r="B18" i="4" s="1"/>
  <c r="B19" i="4" s="1"/>
  <c r="B20" i="4" s="1"/>
  <c r="B21" i="4" s="1"/>
  <c r="B22" i="4" s="1"/>
  <c r="B23" i="4" s="1"/>
  <c r="H22" i="15"/>
  <c r="J22" i="15" s="1"/>
  <c r="S27" i="9"/>
  <c r="H27" i="9"/>
  <c r="G20" i="15"/>
  <c r="I20" i="15" s="1"/>
  <c r="J20" i="15"/>
  <c r="G24" i="15"/>
  <c r="I24" i="15" s="1"/>
  <c r="G19" i="15"/>
  <c r="I19" i="15" s="1"/>
  <c r="G25" i="15"/>
  <c r="I25" i="15" s="1"/>
  <c r="M27" i="9"/>
  <c r="G27" i="9"/>
  <c r="L27" i="9"/>
  <c r="F27" i="9"/>
  <c r="P101" i="21"/>
  <c r="M101" i="21"/>
  <c r="A38" i="24"/>
  <c r="I33" i="24"/>
  <c r="I35" i="24" s="1"/>
  <c r="N99" i="22"/>
  <c r="M99" i="22" s="1"/>
  <c r="P23" i="22"/>
  <c r="M25" i="22"/>
  <c r="N24" i="22"/>
  <c r="M83" i="22"/>
  <c r="N82" i="22"/>
  <c r="P82" i="22" s="1"/>
  <c r="P44" i="22"/>
  <c r="I46" i="22"/>
  <c r="J45" i="22"/>
  <c r="P45" i="22" s="1"/>
  <c r="M64" i="22"/>
  <c r="N63" i="22"/>
  <c r="P63" i="22" s="1"/>
  <c r="E26" i="22"/>
  <c r="F25" i="22"/>
  <c r="E88" i="22"/>
  <c r="F88" i="22" s="1"/>
  <c r="F87" i="22"/>
  <c r="F90" i="22" s="1"/>
  <c r="E63" i="22"/>
  <c r="F62" i="22"/>
  <c r="J27" i="22"/>
  <c r="I28" i="22"/>
  <c r="E48" i="22"/>
  <c r="F47" i="22"/>
  <c r="F33" i="21"/>
  <c r="E33" i="21" s="1"/>
  <c r="E64" i="21"/>
  <c r="F63" i="21"/>
  <c r="E82" i="21"/>
  <c r="F81" i="21"/>
  <c r="F100" i="21" s="1"/>
  <c r="E100" i="21" s="1"/>
  <c r="N102" i="21"/>
  <c r="P45" i="21"/>
  <c r="P100" i="21"/>
  <c r="M85" i="21"/>
  <c r="N84" i="21"/>
  <c r="P84" i="21" s="1"/>
  <c r="M31" i="21"/>
  <c r="N31" i="21" s="1"/>
  <c r="N30" i="21"/>
  <c r="N33" i="21" s="1"/>
  <c r="M33" i="21" s="1"/>
  <c r="M47" i="21"/>
  <c r="N46" i="21"/>
  <c r="E48" i="21"/>
  <c r="F47" i="21"/>
  <c r="J107" i="21"/>
  <c r="I107" i="21" s="1"/>
  <c r="P29" i="21"/>
  <c r="J90" i="21"/>
  <c r="J106" i="21"/>
  <c r="I106" i="21" s="1"/>
  <c r="AC44" i="6"/>
  <c r="AC39" i="6"/>
  <c r="AC43" i="6"/>
  <c r="AC45" i="6" s="1"/>
  <c r="AI29" i="6"/>
  <c r="AM24" i="6"/>
  <c r="AD39" i="6"/>
  <c r="AD43" i="6"/>
  <c r="AH29" i="6"/>
  <c r="X40" i="6"/>
  <c r="X41" i="6" s="1"/>
  <c r="X48" i="6" s="1"/>
  <c r="AD24" i="6"/>
  <c r="Y45" i="6"/>
  <c r="AC40" i="6"/>
  <c r="X44" i="6"/>
  <c r="X45" i="6" s="1"/>
  <c r="Y41" i="6"/>
  <c r="Y48" i="6" s="1"/>
  <c r="N27" i="9" l="1"/>
  <c r="G17" i="15"/>
  <c r="I17" i="15" s="1"/>
  <c r="L17" i="15" s="1"/>
  <c r="G22" i="15"/>
  <c r="I22" i="15" s="1"/>
  <c r="H21" i="15"/>
  <c r="G21" i="15" s="1"/>
  <c r="I21" i="15" s="1"/>
  <c r="L25" i="15"/>
  <c r="L24" i="15"/>
  <c r="L19" i="15"/>
  <c r="L21" i="15"/>
  <c r="L23" i="15"/>
  <c r="M22" i="15"/>
  <c r="M20" i="15"/>
  <c r="L18" i="15"/>
  <c r="L22" i="15"/>
  <c r="L20" i="15"/>
  <c r="P102" i="21"/>
  <c r="M102" i="21"/>
  <c r="E49" i="22"/>
  <c r="F48" i="22"/>
  <c r="M26" i="22"/>
  <c r="N25" i="22"/>
  <c r="I29" i="22"/>
  <c r="J28" i="22"/>
  <c r="E64" i="22"/>
  <c r="F63" i="22"/>
  <c r="F101" i="22" s="1"/>
  <c r="E101" i="22" s="1"/>
  <c r="E27" i="22"/>
  <c r="F26" i="22"/>
  <c r="J102" i="22"/>
  <c r="I102" i="22" s="1"/>
  <c r="F100" i="22"/>
  <c r="E100" i="22" s="1"/>
  <c r="I47" i="22"/>
  <c r="J46" i="22"/>
  <c r="P46" i="22" s="1"/>
  <c r="M84" i="22"/>
  <c r="N83" i="22"/>
  <c r="P83" i="22" s="1"/>
  <c r="P99" i="22"/>
  <c r="M65" i="22"/>
  <c r="N64" i="22"/>
  <c r="N100" i="22"/>
  <c r="P24" i="22"/>
  <c r="F64" i="21"/>
  <c r="E65" i="21"/>
  <c r="P46" i="21"/>
  <c r="N103" i="21"/>
  <c r="P31" i="21"/>
  <c r="M86" i="21"/>
  <c r="N85" i="21"/>
  <c r="P85" i="21" s="1"/>
  <c r="J109" i="21"/>
  <c r="I109" i="21" s="1"/>
  <c r="M48" i="21"/>
  <c r="N47" i="21"/>
  <c r="E83" i="21"/>
  <c r="F82" i="21"/>
  <c r="F101" i="21" s="1"/>
  <c r="E101" i="21" s="1"/>
  <c r="P30" i="21"/>
  <c r="F48" i="21"/>
  <c r="E49" i="21"/>
  <c r="AS24" i="6"/>
  <c r="AC41" i="6"/>
  <c r="AC48" i="6" s="1"/>
  <c r="AD40" i="6"/>
  <c r="AD41" i="6" s="1"/>
  <c r="AD48" i="6" s="1"/>
  <c r="AH24" i="6"/>
  <c r="AI43" i="6"/>
  <c r="AI44" i="6"/>
  <c r="AM29" i="6"/>
  <c r="AI39" i="6"/>
  <c r="AD44" i="6"/>
  <c r="AD45" i="6" s="1"/>
  <c r="AH39" i="6"/>
  <c r="AH43" i="6"/>
  <c r="AN29" i="6"/>
  <c r="AH44" i="6"/>
  <c r="AI40" i="6"/>
  <c r="J21" i="15" l="1"/>
  <c r="M21" i="15" s="1"/>
  <c r="M26" i="15" s="1"/>
  <c r="L26" i="15"/>
  <c r="P103" i="21"/>
  <c r="M103" i="21"/>
  <c r="P100" i="22"/>
  <c r="M100" i="22"/>
  <c r="J103" i="22"/>
  <c r="I103" i="22" s="1"/>
  <c r="E65" i="22"/>
  <c r="F64" i="22"/>
  <c r="F102" i="22" s="1"/>
  <c r="E102" i="22" s="1"/>
  <c r="M27" i="22"/>
  <c r="N26" i="22"/>
  <c r="M66" i="22"/>
  <c r="N65" i="22"/>
  <c r="P65" i="22" s="1"/>
  <c r="M85" i="22"/>
  <c r="N84" i="22"/>
  <c r="P84" i="22" s="1"/>
  <c r="P64" i="22"/>
  <c r="E28" i="22"/>
  <c r="F27" i="22"/>
  <c r="J29" i="22"/>
  <c r="I30" i="22"/>
  <c r="E50" i="22"/>
  <c r="F50" i="22" s="1"/>
  <c r="F49" i="22"/>
  <c r="I48" i="22"/>
  <c r="J47" i="22"/>
  <c r="J104" i="22" s="1"/>
  <c r="I104" i="22" s="1"/>
  <c r="N101" i="22"/>
  <c r="P25" i="22"/>
  <c r="E66" i="21"/>
  <c r="F65" i="21"/>
  <c r="M49" i="21"/>
  <c r="N48" i="21"/>
  <c r="M87" i="21"/>
  <c r="N86" i="21"/>
  <c r="P86" i="21" s="1"/>
  <c r="P33" i="21"/>
  <c r="E50" i="21"/>
  <c r="F50" i="21" s="1"/>
  <c r="F49" i="21"/>
  <c r="P47" i="21"/>
  <c r="N104" i="21"/>
  <c r="F83" i="21"/>
  <c r="F102" i="21" s="1"/>
  <c r="E102" i="21" s="1"/>
  <c r="E84" i="21"/>
  <c r="AN43" i="6"/>
  <c r="AR29" i="6"/>
  <c r="AN39" i="6"/>
  <c r="AI41" i="6"/>
  <c r="AI48" i="6" s="1"/>
  <c r="AW24" i="6"/>
  <c r="AS40" i="6"/>
  <c r="AI45" i="6"/>
  <c r="AH45" i="6"/>
  <c r="AM43" i="6"/>
  <c r="AM44" i="6"/>
  <c r="AM39" i="6"/>
  <c r="AS29" i="6"/>
  <c r="AH40" i="6"/>
  <c r="AH41" i="6" s="1"/>
  <c r="AH48" i="6" s="1"/>
  <c r="AN24" i="6"/>
  <c r="AN44" i="6" s="1"/>
  <c r="AM40" i="6"/>
  <c r="N26" i="15" l="1"/>
  <c r="P104" i="21"/>
  <c r="M104" i="21"/>
  <c r="P101" i="22"/>
  <c r="M101" i="22"/>
  <c r="I49" i="22"/>
  <c r="J48" i="22"/>
  <c r="P48" i="22" s="1"/>
  <c r="E29" i="22"/>
  <c r="F28" i="22"/>
  <c r="N102" i="22"/>
  <c r="P26" i="22"/>
  <c r="I31" i="22"/>
  <c r="J31" i="22" s="1"/>
  <c r="J30" i="22"/>
  <c r="M86" i="22"/>
  <c r="N85" i="22"/>
  <c r="P85" i="22" s="1"/>
  <c r="M28" i="22"/>
  <c r="N27" i="22"/>
  <c r="P47" i="22"/>
  <c r="F52" i="22"/>
  <c r="M67" i="22"/>
  <c r="N66" i="22"/>
  <c r="P66" i="22" s="1"/>
  <c r="E66" i="22"/>
  <c r="F65" i="22"/>
  <c r="F103" i="22" s="1"/>
  <c r="E103" i="22" s="1"/>
  <c r="F66" i="21"/>
  <c r="E67" i="21"/>
  <c r="P48" i="21"/>
  <c r="N105" i="21"/>
  <c r="E85" i="21"/>
  <c r="F84" i="21"/>
  <c r="F103" i="21" s="1"/>
  <c r="E103" i="21" s="1"/>
  <c r="M50" i="21"/>
  <c r="N50" i="21" s="1"/>
  <c r="N49" i="21"/>
  <c r="F52" i="21"/>
  <c r="M88" i="21"/>
  <c r="N88" i="21" s="1"/>
  <c r="N87" i="21"/>
  <c r="P87" i="21" s="1"/>
  <c r="AR43" i="6"/>
  <c r="AX29" i="6"/>
  <c r="AR39" i="6"/>
  <c r="AM45" i="6"/>
  <c r="BC24" i="6"/>
  <c r="AW40" i="6"/>
  <c r="AM41" i="6"/>
  <c r="AM48" i="6" s="1"/>
  <c r="AN40" i="6"/>
  <c r="AN41" i="6" s="1"/>
  <c r="AN48" i="6" s="1"/>
  <c r="AR24" i="6"/>
  <c r="AS44" i="6"/>
  <c r="AS39" i="6"/>
  <c r="AS41" i="6" s="1"/>
  <c r="AS48" i="6" s="1"/>
  <c r="AW29" i="6"/>
  <c r="AS43" i="6"/>
  <c r="AN45" i="6"/>
  <c r="P105" i="21" l="1"/>
  <c r="M105" i="21"/>
  <c r="P102" i="22"/>
  <c r="M102" i="22"/>
  <c r="J105" i="22"/>
  <c r="I105" i="22" s="1"/>
  <c r="N103" i="22"/>
  <c r="P27" i="22"/>
  <c r="I50" i="22"/>
  <c r="J50" i="22" s="1"/>
  <c r="P50" i="22" s="1"/>
  <c r="J49" i="22"/>
  <c r="M68" i="22"/>
  <c r="N67" i="22"/>
  <c r="P67" i="22" s="1"/>
  <c r="M29" i="22"/>
  <c r="N28" i="22"/>
  <c r="J106" i="22"/>
  <c r="I106" i="22" s="1"/>
  <c r="J33" i="22"/>
  <c r="I33" i="22" s="1"/>
  <c r="E30" i="22"/>
  <c r="F29" i="22"/>
  <c r="E67" i="22"/>
  <c r="F66" i="22"/>
  <c r="F104" i="22" s="1"/>
  <c r="E104" i="22" s="1"/>
  <c r="M87" i="22"/>
  <c r="N86" i="22"/>
  <c r="P86" i="22" s="1"/>
  <c r="F67" i="21"/>
  <c r="E68" i="21"/>
  <c r="N90" i="21"/>
  <c r="P88" i="21"/>
  <c r="P90" i="21" s="1"/>
  <c r="F85" i="21"/>
  <c r="F104" i="21" s="1"/>
  <c r="E104" i="21" s="1"/>
  <c r="E86" i="21"/>
  <c r="P49" i="21"/>
  <c r="N106" i="21"/>
  <c r="P50" i="21"/>
  <c r="N107" i="21"/>
  <c r="M107" i="21" s="1"/>
  <c r="N52" i="21"/>
  <c r="AX39" i="6"/>
  <c r="AX43" i="6"/>
  <c r="BB29" i="6"/>
  <c r="AS45" i="6"/>
  <c r="AR40" i="6"/>
  <c r="AR41" i="6" s="1"/>
  <c r="AR48" i="6" s="1"/>
  <c r="AX24" i="6"/>
  <c r="BG24" i="6"/>
  <c r="AR44" i="6"/>
  <c r="AR45" i="6" s="1"/>
  <c r="AW44" i="6"/>
  <c r="AW39" i="6"/>
  <c r="AW41" i="6" s="1"/>
  <c r="AW48" i="6" s="1"/>
  <c r="BC29" i="6"/>
  <c r="BC40" i="6" s="1"/>
  <c r="AW43" i="6"/>
  <c r="AW45" i="6" l="1"/>
  <c r="P103" i="22"/>
  <c r="M103" i="22"/>
  <c r="P106" i="21"/>
  <c r="M106" i="21"/>
  <c r="M30" i="22"/>
  <c r="N29" i="22"/>
  <c r="E68" i="22"/>
  <c r="F67" i="22"/>
  <c r="F105" i="22" s="1"/>
  <c r="E105" i="22" s="1"/>
  <c r="M88" i="22"/>
  <c r="N88" i="22" s="1"/>
  <c r="N87" i="22"/>
  <c r="P87" i="22" s="1"/>
  <c r="J107" i="22"/>
  <c r="M69" i="22"/>
  <c r="N69" i="22" s="1"/>
  <c r="N68" i="22"/>
  <c r="P68" i="22" s="1"/>
  <c r="E31" i="22"/>
  <c r="F31" i="22" s="1"/>
  <c r="F30" i="22"/>
  <c r="N104" i="22"/>
  <c r="P28" i="22"/>
  <c r="P49" i="22"/>
  <c r="P52" i="22" s="1"/>
  <c r="J52" i="22"/>
  <c r="F68" i="21"/>
  <c r="E69" i="21"/>
  <c r="F69" i="21" s="1"/>
  <c r="F71" i="21" s="1"/>
  <c r="P52" i="21"/>
  <c r="P107" i="21"/>
  <c r="P109" i="21" s="1"/>
  <c r="P113" i="21" s="1"/>
  <c r="N109" i="21"/>
  <c r="M109" i="21" s="1"/>
  <c r="E87" i="21"/>
  <c r="F86" i="21"/>
  <c r="F105" i="21" s="1"/>
  <c r="E105" i="21" s="1"/>
  <c r="BB39" i="6"/>
  <c r="BB43" i="6"/>
  <c r="BH29" i="6"/>
  <c r="AX40" i="6"/>
  <c r="AX41" i="6" s="1"/>
  <c r="AX48" i="6" s="1"/>
  <c r="BB24" i="6"/>
  <c r="BB44" i="6" s="1"/>
  <c r="AX44" i="6"/>
  <c r="AX45" i="6" s="1"/>
  <c r="BC43" i="6"/>
  <c r="BC44" i="6"/>
  <c r="BC39" i="6"/>
  <c r="BC41" i="6" s="1"/>
  <c r="BC48" i="6" s="1"/>
  <c r="BG29" i="6"/>
  <c r="BO24" i="6"/>
  <c r="BC45" i="6" l="1"/>
  <c r="P104" i="22"/>
  <c r="M104" i="22"/>
  <c r="J109" i="22"/>
  <c r="I109" i="22" s="1"/>
  <c r="I107" i="22"/>
  <c r="P69" i="22"/>
  <c r="P71" i="22" s="1"/>
  <c r="N71" i="22"/>
  <c r="E69" i="22"/>
  <c r="F69" i="22" s="1"/>
  <c r="F68" i="22"/>
  <c r="F106" i="22" s="1"/>
  <c r="E106" i="22" s="1"/>
  <c r="F33" i="22"/>
  <c r="E33" i="22" s="1"/>
  <c r="N90" i="22"/>
  <c r="P88" i="22"/>
  <c r="P90" i="22" s="1"/>
  <c r="N105" i="22"/>
  <c r="P29" i="22"/>
  <c r="M31" i="22"/>
  <c r="N31" i="22" s="1"/>
  <c r="N30" i="22"/>
  <c r="F87" i="21"/>
  <c r="F106" i="21" s="1"/>
  <c r="E106" i="21" s="1"/>
  <c r="E88" i="21"/>
  <c r="F88" i="21" s="1"/>
  <c r="BH43" i="6"/>
  <c r="BL29" i="6"/>
  <c r="BW29" i="6" s="1"/>
  <c r="BX29" i="6" s="1"/>
  <c r="BH39" i="6"/>
  <c r="BB40" i="6"/>
  <c r="BB41" i="6" s="1"/>
  <c r="BB48" i="6" s="1"/>
  <c r="BH24" i="6"/>
  <c r="BB45" i="6"/>
  <c r="BG43" i="6"/>
  <c r="BG44" i="6"/>
  <c r="BG39" i="6"/>
  <c r="BO29" i="6"/>
  <c r="BG40" i="6"/>
  <c r="P105" i="22" l="1"/>
  <c r="M105" i="22"/>
  <c r="F71" i="22"/>
  <c r="F107" i="22"/>
  <c r="N106" i="22"/>
  <c r="P30" i="22"/>
  <c r="N107" i="22"/>
  <c r="M107" i="22" s="1"/>
  <c r="P31" i="22"/>
  <c r="N33" i="22"/>
  <c r="M33" i="22" s="1"/>
  <c r="F90" i="21"/>
  <c r="F107" i="21"/>
  <c r="BH40" i="6"/>
  <c r="BH41" i="6" s="1"/>
  <c r="BH48" i="6" s="1"/>
  <c r="BL24" i="6"/>
  <c r="BL43" i="6"/>
  <c r="BL39" i="6"/>
  <c r="BW39" i="6" s="1"/>
  <c r="BP29" i="6"/>
  <c r="BT29" i="6" s="1"/>
  <c r="BH44" i="6"/>
  <c r="BH45" i="6" s="1"/>
  <c r="BG41" i="6"/>
  <c r="BO43" i="6"/>
  <c r="BO44" i="6"/>
  <c r="BO39" i="6"/>
  <c r="BG45" i="6"/>
  <c r="BO40" i="6"/>
  <c r="BO45" i="6" l="1"/>
  <c r="P106" i="22"/>
  <c r="M106" i="22"/>
  <c r="P33" i="22"/>
  <c r="F109" i="22"/>
  <c r="E109" i="22" s="1"/>
  <c r="E107" i="22"/>
  <c r="F109" i="21"/>
  <c r="E107" i="21"/>
  <c r="N109" i="22"/>
  <c r="M109" i="22" s="1"/>
  <c r="P107" i="22"/>
  <c r="P109" i="22" s="1"/>
  <c r="P113" i="22" s="1"/>
  <c r="BO41" i="6"/>
  <c r="BO48" i="6" s="1"/>
  <c r="BP43" i="6"/>
  <c r="BS29" i="6"/>
  <c r="BP39" i="6"/>
  <c r="BL40" i="6"/>
  <c r="BW40" i="6" s="1"/>
  <c r="BP24" i="6"/>
  <c r="BW24" i="6"/>
  <c r="BX24" i="6" s="1"/>
  <c r="BT40" i="6"/>
  <c r="BT39" i="6"/>
  <c r="BG48" i="6"/>
  <c r="BL44" i="6"/>
  <c r="BL45" i="6" s="1"/>
  <c r="E109" i="21" l="1"/>
  <c r="I22" i="23"/>
  <c r="J22" i="23" s="1"/>
  <c r="D46" i="23" s="1"/>
  <c r="G46" i="23" s="1"/>
  <c r="I17" i="23"/>
  <c r="J17" i="23" s="1"/>
  <c r="D41" i="23" s="1"/>
  <c r="G41" i="23" s="1"/>
  <c r="I20" i="23"/>
  <c r="J20" i="23" s="1"/>
  <c r="D44" i="23" s="1"/>
  <c r="G44" i="23" s="1"/>
  <c r="I19" i="23"/>
  <c r="J19" i="23" s="1"/>
  <c r="D43" i="23" s="1"/>
  <c r="G43" i="23" s="1"/>
  <c r="I23" i="23"/>
  <c r="J23" i="23" s="1"/>
  <c r="D47" i="23" s="1"/>
  <c r="G47" i="23" s="1"/>
  <c r="I24" i="23"/>
  <c r="J24" i="23" s="1"/>
  <c r="D48" i="23" s="1"/>
  <c r="G48" i="23" s="1"/>
  <c r="I21" i="23"/>
  <c r="J21" i="23" s="1"/>
  <c r="D45" i="23" s="1"/>
  <c r="G45" i="23" s="1"/>
  <c r="I18" i="23"/>
  <c r="J18" i="23" s="1"/>
  <c r="D42" i="23" s="1"/>
  <c r="G42" i="23" s="1"/>
  <c r="BT41" i="6"/>
  <c r="BT48" i="6" s="1"/>
  <c r="C29" i="8" s="1"/>
  <c r="BL41" i="6"/>
  <c r="BP40" i="6"/>
  <c r="BP41" i="6" s="1"/>
  <c r="BP48" i="6" s="1"/>
  <c r="BS24" i="6"/>
  <c r="BS40" i="6" s="1"/>
  <c r="BP44" i="6"/>
  <c r="BP45" i="6" s="1"/>
  <c r="BS43" i="6"/>
  <c r="BS39" i="6"/>
  <c r="H42" i="23" l="1"/>
  <c r="I42" i="23" s="1"/>
  <c r="J42" i="23" s="1"/>
  <c r="H43" i="23"/>
  <c r="I43" i="23" s="1"/>
  <c r="J43" i="23" s="1"/>
  <c r="H45" i="23"/>
  <c r="I45" i="23" s="1"/>
  <c r="J45" i="23" s="1"/>
  <c r="H44" i="23"/>
  <c r="I44" i="23" s="1"/>
  <c r="J44" i="23" s="1"/>
  <c r="H48" i="23"/>
  <c r="I48" i="23" s="1"/>
  <c r="J48" i="23" s="1"/>
  <c r="H41" i="23"/>
  <c r="I41" i="23" s="1"/>
  <c r="J41" i="23" s="1"/>
  <c r="H47" i="23"/>
  <c r="I47" i="23" s="1"/>
  <c r="J47" i="23" s="1"/>
  <c r="H46" i="23"/>
  <c r="I46" i="23" s="1"/>
  <c r="J46" i="23" s="1"/>
  <c r="BS44" i="6"/>
  <c r="BS45" i="6" s="1"/>
  <c r="C30" i="8"/>
  <c r="C31" i="8" s="1"/>
  <c r="BS41" i="6"/>
  <c r="BS48" i="6" s="1"/>
  <c r="BL48" i="6"/>
  <c r="BW41" i="6"/>
  <c r="BW48" i="6" s="1"/>
</calcChain>
</file>

<file path=xl/sharedStrings.xml><?xml version="1.0" encoding="utf-8"?>
<sst xmlns="http://schemas.openxmlformats.org/spreadsheetml/2006/main" count="1172" uniqueCount="460">
  <si>
    <t>Instructions for Tabs 1, 3 to 7</t>
  </si>
  <si>
    <t>Summary of Changes from the Prior Year</t>
  </si>
  <si>
    <t xml:space="preserve">Group 1 continuity schedule in tab 3 now shows total of Group 1 accounts, as well as total of Group 1 accounts requested for disposition. </t>
  </si>
  <si>
    <t>The table in tab 6, 3a for transition customer consumption has been revised to show the periods "July to December" then "January to June", instead of "January to June" then "July to December" for each year.</t>
  </si>
  <si>
    <t>The Incentive Rate-setting Application checklist now includes a check to ensure that the opening principal and interest amounts for Group 1 and 2 balances shown in the DVA Continuity Schedule, agree with the last applicable approved closing balances.</t>
  </si>
  <si>
    <t>Detailed Instructions for Each Tab</t>
  </si>
  <si>
    <t>Tab</t>
  </si>
  <si>
    <t>Tab Details</t>
  </si>
  <si>
    <t xml:space="preserve">Step </t>
  </si>
  <si>
    <t>Details</t>
  </si>
  <si>
    <t>1 - Information Sheet</t>
  </si>
  <si>
    <t xml:space="preserve">This tab shows some information pertaining to the utility and the application. </t>
  </si>
  <si>
    <t>Complete the information sheet.</t>
  </si>
  <si>
    <r>
      <rPr>
        <sz val="12"/>
        <color theme="1"/>
        <rFont val="Calibri"/>
        <family val="2"/>
      </rPr>
      <t xml:space="preserve">a) </t>
    </r>
    <r>
      <rPr>
        <u/>
        <sz val="11"/>
        <color theme="1"/>
        <rFont val="Calibri"/>
        <family val="2"/>
        <scheme val="minor"/>
      </rPr>
      <t>Questions 2 to 4</t>
    </r>
  </si>
  <si>
    <t>Responses to questions 2 to 4 will open the DVA continuity schedule in tab 3 to the appropriate year that DVA balances should first be inputted.</t>
  </si>
  <si>
    <t>The continuity schedule will open starting from the year balances were last approved for disposition, unless the last approved dipsosition was on an interim basis and there are changes to those balances. If that is the case, the continuity schedule will open from the year of last approved disposition on a final basis. A distributor must also provide an explanation for the change in the previously approved balance.</t>
  </si>
  <si>
    <r>
      <t xml:space="preserve">b) </t>
    </r>
    <r>
      <rPr>
        <u/>
        <sz val="11"/>
        <color theme="1"/>
        <rFont val="Calibri"/>
        <family val="2"/>
        <scheme val="minor"/>
      </rPr>
      <t>Questions 5 and 6</t>
    </r>
  </si>
  <si>
    <t>If the response to question 5 (GA) or 6 (CBR Class B) is yes, tab 6 relating to Class A customers' consumption will be generated.</t>
  </si>
  <si>
    <t>If the response to question 6 is yes, then  tab 6.2  will also be generated. This tab will allocate and dispose the balance in Account 1580, sub-account CBR Class B  through a separate rate rider using information inputted in tab 6, unless a rate rider is not produced.</t>
  </si>
  <si>
    <t>If the response to question 6 is no, then the balance in the Account 1580, sub-account CBR Class B will be allocated and disposed with Account 1580 WMS, as part of the general DVA rate rider</t>
  </si>
  <si>
    <t>3 - Continuity Schedule</t>
  </si>
  <si>
    <t>This tab is the continuity schedule that shows  all the accounts and the accumulation of the balances a utility has.</t>
  </si>
  <si>
    <t>Complete the DVA continuity schedule.</t>
  </si>
  <si>
    <r>
      <t xml:space="preserve">a) </t>
    </r>
    <r>
      <rPr>
        <u/>
        <sz val="11"/>
        <color theme="1"/>
        <rFont val="Calibri"/>
        <family val="2"/>
        <scheme val="minor"/>
      </rPr>
      <t>For all Group 1 accounts, except Account 1595:</t>
    </r>
    <r>
      <rPr>
        <sz val="12"/>
        <color theme="1"/>
        <rFont val="Calibri"/>
        <family val="2"/>
      </rPr>
      <t xml:space="preserve">
The continuity schedule will open from the year the GL balance was last disposed.  Start inputting the approved ending balances in the Adjustments column of that year.
</t>
    </r>
    <r>
      <rPr>
        <i/>
        <sz val="11"/>
        <color theme="1"/>
        <rFont val="Calibri"/>
        <family val="2"/>
        <scheme val="minor"/>
      </rPr>
      <t>For example, if in the 2021 rate application, DVA balances as at December 13, 2019 were approved for disposition, the continuity schedule will commence from 2019.  Start by inputting the approved closing 2019 balances in the Adjustments column under 2019.</t>
    </r>
  </si>
  <si>
    <r>
      <t>b)</t>
    </r>
    <r>
      <rPr>
        <u/>
        <sz val="11"/>
        <color theme="1"/>
        <rFont val="Calibri"/>
        <family val="2"/>
        <scheme val="minor"/>
      </rPr>
      <t xml:space="preserve"> For all Account 1595 sub-accounts: </t>
    </r>
    <r>
      <rPr>
        <sz val="12"/>
        <color theme="1"/>
        <rFont val="Calibri"/>
        <family val="2"/>
      </rPr>
      <t xml:space="preserve">
Complete the DVA continuity schedule for each Account 1595 vintage year that has a GL balance as at December 31, 2020, regardless of whether the account is being requested for disposition in the current application. 
The continuity schedule will open in the year of the earliest Account 1595 vintage year that has a balance. For each Account 1595 sub-account, start inputting data from the year the sub-account started to accumulate a balance (i.e. the vintage year). 
</t>
    </r>
    <r>
      <rPr>
        <i/>
        <sz val="11"/>
        <color theme="1"/>
        <rFont val="Calibri"/>
        <family val="2"/>
        <scheme val="minor"/>
      </rPr>
      <t>For example, Account 1595 (2016) would accumulate a balance starting in 2016, when the relevant balances approved for disposition were first transferred into Account 1595 (2016). Input the amount approved for disposition in the OEB Approved Disposition column.
Note that the DVA continuity schedule can currently start from 2015. If a utility has residual balance in an Account 1595 with a vintage year prior to 2015, include residual balances for years up to 2015 in the row for Account 1595 (2015 and pre-2015) and provide a separate schedule with amounts broken down by vintage year.</t>
    </r>
  </si>
  <si>
    <t>Review any balance variance between the DVA continuity schedule and the RRR in column BW.  Provide an explanation, if necessary.</t>
  </si>
  <si>
    <t>4 - Billing Determinant</t>
  </si>
  <si>
    <t>This tab shows the billing determinants that will be used to allocate account balances and calculate rate riders.</t>
  </si>
  <si>
    <t>Confirm the accuracy of the RRR data used to populate the tab.</t>
  </si>
  <si>
    <t>Review the disposition threshold calculation. Select whether disposition is being requested or not in the drop down box.</t>
  </si>
  <si>
    <t>6 - Class A Data Consumption</t>
  </si>
  <si>
    <t>This tab is to be completed if there were any Class A customers at any point during the period the GA balance or CBR Class B accumulated. The data on this tab is used for the purposes of determining the GA rate rider, CBR Class B rate rider (if applicable), as well as customer specific GA and CBR charges for transition customers (if applicable).</t>
  </si>
  <si>
    <t xml:space="preserve">This tab is generated when the utility selects yes to questions 5 or 6 in tab 1, indicating  they had Class A customers during the period that the GA or CBR balance accumulated. </t>
  </si>
  <si>
    <t>Under #2a, indicate whether the utility had any customers that transitioned between Class A and B  during the period the Account 1589 GA balance accumulated. If yes, tab 6.1a will be generated.</t>
  </si>
  <si>
    <t xml:space="preserve">Under #2b, indicate whether the utility had any customers that transitioned between Class A and B during the period the Account 1580, sub-account CBR Class B balance accumulated. If yes, tab 6.2a will be generated. </t>
  </si>
  <si>
    <t xml:space="preserve">Under #3a, enter the number of transition customers the utility had during the period the Account 1589 GA or Account 1580 CBR B balances accumulated.  A table will be generated based on the number of customers. 
Complete the table accordingly for each transition customer identified (i.e. kWh/kW for half year periods, and the customer class during the half year). This data will automatically be used in the GA balance and CBR Class B balance allocation to transition customers in tabs 6.1a and 6.2a respectively.  This data will also be used in the calculation of billing determinants for GA and CBR Class B balances, as applicable.
Note that each transition customer identified in tab 6, table 3a will be assigned a customer number and the number will correspond to the same transition customer populated in tabs 6.1a and 6.2a.  
Also note that the transition customers identified for the GA may be different than those for CBR Class B. This would depend on the period in which the GA and CBR Class B balances accumulated. </t>
  </si>
  <si>
    <t>Under #3b, enter the number of rate classes in which there were full year Class A customers during the period the Account 1589 GA balance  or Account 1580 CBR Class B balance accumulated. A table will be generated based on the number of rate classes. 
Complete the table accordingly for each rate class identified (i.e. total Class A consumption in the rate class identified for each year). This data will be used in the calculation of billing determinants for GA and CBR Class B, as applicable.</t>
  </si>
  <si>
    <t>6.1a - GA Allocation</t>
  </si>
  <si>
    <t xml:space="preserve">This tab allocates the GA balance to each transition customer for the period in which these customers were Class B customers and contributed to the GA balance (i.e. former Class B customers but are now Class A customers and former Class A customers who are now Class B customers). </t>
  </si>
  <si>
    <t>This tab is generated when the utility indicates that they had transition customers in tab 6, #2a during the period the Account 1589 GA balance accumulated.</t>
  </si>
  <si>
    <r>
      <t>In row 20, enter the Non-RPP consumption</t>
    </r>
    <r>
      <rPr>
        <sz val="11"/>
        <rFont val="Calibri"/>
        <family val="2"/>
        <scheme val="minor"/>
      </rPr>
      <t xml:space="preserve"> less </t>
    </r>
    <r>
      <rPr>
        <sz val="12"/>
        <color theme="1"/>
        <rFont val="Calibri"/>
        <family val="2"/>
      </rPr>
      <t>WMP consumption.</t>
    </r>
  </si>
  <si>
    <t>The rest of the information in this tab will be auto-populated and will calculate the customer specific allocation of the GA balance to transition customers in the bottom table. All transition customers who are allocated a specific GA amount are not to be charged the general Non-RPP Class B GA rate rider as calculated in tab 6.1.</t>
  </si>
  <si>
    <t>6.1 - GA</t>
  </si>
  <si>
    <t>This tab calculates the GA rate rider to be applied to all non-RPP Class B customers (except for the transition customers allocated a customer specific balance in tab 6.1a).</t>
  </si>
  <si>
    <t>Enter the proposed rate rider recovery period if different than the default 12 month period. The rest of the information in the tab is auto-populated and the GA rate riders are calculated accordingly based on whether there were any transition customers during the period that the GA balance accumulated.</t>
  </si>
  <si>
    <t>6.2a - CBR_B Allocation</t>
  </si>
  <si>
    <t xml:space="preserve">This tab allocates the CBR Class B balance to each transition customer for the period in which these customers were Class B customers and contributed to the CBR Class B balance (i.e. former Class B customers but are now Class A customers and former Class A customers who are now Class B). </t>
  </si>
  <si>
    <t>This tab is generated when the utility indicates that they had transition customers in tab 6, #2b during the period where the CBR Class B balance accumulated.</t>
  </si>
  <si>
    <t>In row 19, enter the total Class B consumption less WMP consumption.</t>
  </si>
  <si>
    <t>The rest of the information in this tab will be auto-populated and will calculate the customer specific allocation of the CBR Class B balance to transition customers in the bottom table. All transition customers who are allocated a specific CBR Class B amount are not to be charged the general CBR Class B rate rider.</t>
  </si>
  <si>
    <t xml:space="preserve">6.2 - CBR </t>
  </si>
  <si>
    <t>This tab calculates the CBR Class B rate rider if there were Class A customers  at any point during the period that the CBR Class B balance accumulated.</t>
  </si>
  <si>
    <t>This tab is generated when the response to question 6 in tab 1 is "yes", indicating that they had Class A customers during the period that Account 1580, sub-account CBR Class B balance accumulated.</t>
  </si>
  <si>
    <t>No input is required in this tab. The information in the tab is auto-populated and the CBR Class B rate riders are calculated accordingly. 
If a rate rider is not produced, the entire Account 1580 CBR Class B balance, including the amount allocated to transition customers will be transferred to Account 1580 WMS, to be disposed through the general Group 1 DVA rate rider.</t>
  </si>
  <si>
    <t>5 - Allocating Def-Var Balances</t>
  </si>
  <si>
    <t>This tab allocates the Group 1 balances, except GA and CBR Class B (if Class A customers exist).</t>
  </si>
  <si>
    <t>Review the allocated balances to ensure the allocation is appropriate. Note that the final allocation for Account 1580, sub-account CBR Class B is calculated after the completion of tabs 6 to 6.2a.</t>
  </si>
  <si>
    <t>7 - Calculation of Def-Var RR</t>
  </si>
  <si>
    <t>This tab calculates the Group 1 rate riders, except for GA and CBR Class B (if Class A customers exist)</t>
  </si>
  <si>
    <t>Enter the proposed rate rider recovery period if different than the default 12 month period. The rest of the information in the tab is auto-populated and the rate riders are calculated accordingly .</t>
  </si>
  <si>
    <t>Description</t>
  </si>
  <si>
    <t>4. Billing Det. for Def-Var</t>
  </si>
  <si>
    <t>RESIDENTIAL SERVICE CLASSIFICATION</t>
  </si>
  <si>
    <t>$/kWh</t>
  </si>
  <si>
    <t>COMPETITIVE SECTOR MULTI-UNIT RESIDENTIAL SERVICE CLASSIFICATION</t>
  </si>
  <si>
    <t>LARGE USE SERVICE CLASSIFICATION</t>
  </si>
  <si>
    <t>STANDBY POWER SERVICE CLASSIFICATION</t>
  </si>
  <si>
    <t xml:space="preserve"> </t>
  </si>
  <si>
    <t>UNMETERED SCATTERED LOAD SERVICE CLASSIFICATION</t>
  </si>
  <si>
    <t>STREET LIGHTING SERVICE CLASSIFICATION</t>
  </si>
  <si>
    <t>Rate Class</t>
  </si>
  <si>
    <t>Summary of changes in the IRM Model</t>
  </si>
  <si>
    <t>No.</t>
  </si>
  <si>
    <t>Cell Reference</t>
  </si>
  <si>
    <t>6.1a GA Allocation</t>
  </si>
  <si>
    <t>C19 : C23, D19:D20</t>
  </si>
  <si>
    <t xml:space="preserve">Formula is used, since no macro is used in the model. </t>
  </si>
  <si>
    <t>6.1 GA</t>
  </si>
  <si>
    <t>C17 : C25</t>
  </si>
  <si>
    <t>6.2a CBR B Allocation</t>
  </si>
  <si>
    <t>C19 : C23, D19 : D20</t>
  </si>
  <si>
    <t>6.2 CBR B</t>
  </si>
  <si>
    <t>C17 : D25</t>
  </si>
  <si>
    <t>M17 : M25</t>
  </si>
  <si>
    <t>7. Calculation of Def-Var RR</t>
  </si>
  <si>
    <t xml:space="preserve">I17 : K19, I24 : K24 </t>
  </si>
  <si>
    <t>Rounding off to five decimal instead of four decimal.</t>
  </si>
  <si>
    <t>I20 : K22, I25 : K25</t>
  </si>
  <si>
    <t>Modified to change to rate per 30 days.</t>
  </si>
  <si>
    <t>D17 : D22, D29, D30</t>
  </si>
  <si>
    <t>Changed the rate from four decimal to five decimal.</t>
  </si>
  <si>
    <t>15. RTSR Rates to Forecast</t>
  </si>
  <si>
    <t>G20 : G22, G24, G32 : G34, G36, G44 : G46, G48, G56 : G58, G60
J20 : J22, J24, J32 : J34, J36, J44 : J46, J48, J56 : J58, J60</t>
  </si>
  <si>
    <t>Modified since Toronto Hydro rates are per 30 days.</t>
  </si>
  <si>
    <t>16. Rev2Cost_GDPIPI</t>
  </si>
  <si>
    <t>G17 : H29</t>
  </si>
  <si>
    <t>Modified to add rounding off.</t>
  </si>
  <si>
    <t>D13</t>
  </si>
  <si>
    <t>Formula modified as per the Toronto Hydro CIR formula.</t>
  </si>
  <si>
    <t>D19, D27</t>
  </si>
  <si>
    <t>H12 : K14</t>
  </si>
  <si>
    <t>Add the data point to accommodate the Torotno Hydro CIR formula.</t>
  </si>
  <si>
    <t>A28 : H28</t>
  </si>
  <si>
    <t>The row is added since Toronto Hydro Unmetered Scattered Load class has three tier rates (Connection, Customer, kWh).</t>
  </si>
  <si>
    <t>A24 : H26</t>
  </si>
  <si>
    <t>The three rows are added to include variable charges related to standby charges.</t>
  </si>
  <si>
    <t>a</t>
  </si>
  <si>
    <t>Version</t>
  </si>
  <si>
    <t xml:space="preserve">Utility Name   </t>
  </si>
  <si>
    <t>Toronto Hydro-Electric System Limited</t>
  </si>
  <si>
    <t>Service Territory</t>
  </si>
  <si>
    <t>Assigned EB Number</t>
  </si>
  <si>
    <t>Name of Contact and Title</t>
  </si>
  <si>
    <t xml:space="preserve">Phone Number   </t>
  </si>
  <si>
    <t xml:space="preserve">Email Address   </t>
  </si>
  <si>
    <t xml:space="preserve">We are applying for rates effective   </t>
  </si>
  <si>
    <t>Rate-Setting Method</t>
  </si>
  <si>
    <t>Price Cap IR</t>
  </si>
  <si>
    <t>1. Select the last Cost of Service rebasing year.</t>
  </si>
  <si>
    <t xml:space="preserve">b) If the accounts were last approved on an interim basis, and </t>
  </si>
  <si>
    <t>4. Select the earliest vintage year in which there is a balance in Account 1595.</t>
  </si>
  <si>
    <t>(e.g. If 2016 is the earliest vintage year in which there is a balance in a 1595 sub-account, select 2016.)</t>
  </si>
  <si>
    <t>5. Did you have any Class A customers at any point during the period that the Account 1589 balance accumulated (i.e. from the year the balance selected in #2 above to the year requested for disposition)?</t>
  </si>
  <si>
    <t>Yes</t>
  </si>
  <si>
    <t>6. Did you have any Class A customers at any point during the period where the balance in Account 1580, Sub-account CBR Class B accumulated (i.e. from the year selected in #3 above to the year requested for disposition)?</t>
  </si>
  <si>
    <t>Transmission Connected</t>
  </si>
  <si>
    <t>8. Have you transitioned to fully fixed rates?</t>
  </si>
  <si>
    <t>Legend</t>
  </si>
  <si>
    <t>Pale green cells represent input cells.</t>
  </si>
  <si>
    <t>Pale blue cells represent drop-down lists.  The applicant should select the appropriate item from the drop-down list.</t>
  </si>
  <si>
    <t>Red cells represent flags to identify either non-matching values or incorrect user selections.</t>
  </si>
  <si>
    <t>Pale grey cells represent auto-populated RRR data.</t>
  </si>
  <si>
    <t xml:space="preserve">White cells contain fixed values, automatically generated values or formulae. </t>
  </si>
  <si>
    <t>Please complete the following continuity schedule for the following Deferral/Variance Accounts.  Enter information into green cells only. Please see instructions tab for detailed instructions on how to complete tabs 3 to 7. Column BV has been prepopulated from the latest 2.1.7 RRR filing.
Please refer to the footnotes for further instructions.</t>
  </si>
  <si>
    <t>Projected Interest on Dec-31-2020 Balances</t>
  </si>
  <si>
    <r>
      <t>2.1.7 RRR</t>
    </r>
    <r>
      <rPr>
        <vertAlign val="superscript"/>
        <sz val="22"/>
        <rFont val="Book Antiqua"/>
        <family val="1"/>
      </rPr>
      <t>5</t>
    </r>
  </si>
  <si>
    <t>Account Descriptions</t>
  </si>
  <si>
    <t>Account Number</t>
  </si>
  <si>
    <t>Opening Principal Amounts as of Jan 1, 2015</t>
  </si>
  <si>
    <t>Transactions Debit / (Credit) during 2015</t>
  </si>
  <si>
    <t>OEB-Approved Disposition during 2015</t>
  </si>
  <si>
    <r>
      <t>Principal Adjustments</t>
    </r>
    <r>
      <rPr>
        <b/>
        <vertAlign val="superscript"/>
        <sz val="10"/>
        <rFont val="Book Antiqua"/>
        <family val="1"/>
      </rPr>
      <t>1</t>
    </r>
    <r>
      <rPr>
        <b/>
        <sz val="10"/>
        <rFont val="Book Antiqua"/>
        <family val="1"/>
      </rPr>
      <t xml:space="preserve"> during 2015</t>
    </r>
  </si>
  <si>
    <t>Closing Principal Balance as of Dec 31, 2015</t>
  </si>
  <si>
    <t>Opening Interest Amounts as of Jan 1, 2015</t>
  </si>
  <si>
    <t>Interest Jan 1 to Dec 31, 2015</t>
  </si>
  <si>
    <r>
      <t>Interest Adjustments</t>
    </r>
    <r>
      <rPr>
        <b/>
        <vertAlign val="superscript"/>
        <sz val="10"/>
        <rFont val="Book Antiqua"/>
        <family val="1"/>
      </rPr>
      <t>1</t>
    </r>
    <r>
      <rPr>
        <b/>
        <sz val="10"/>
        <rFont val="Book Antiqua"/>
        <family val="1"/>
      </rPr>
      <t xml:space="preserve"> during 2015</t>
    </r>
  </si>
  <si>
    <t>Closing Interest Amounts as of Dec 31, 2015</t>
  </si>
  <si>
    <t>Opening Principal Amounts as of Jan 1, 2016</t>
  </si>
  <si>
    <t>Transactions Debit / (Credit) during 2016</t>
  </si>
  <si>
    <t>OEB-Approved Disposition during 2016</t>
  </si>
  <si>
    <t>Principal Adjustments1 during 2016</t>
  </si>
  <si>
    <t>Closing Principal Balance as of Dec 31, 2016</t>
  </si>
  <si>
    <t>Opening Interest Amounts as of Jan 1, 2016</t>
  </si>
  <si>
    <t>Interest Jan 1 to Dec 31, 2016</t>
  </si>
  <si>
    <t>Interest Adjustments1 during 2016</t>
  </si>
  <si>
    <t>Closing Interest Amounts as of Dec 31, 2016</t>
  </si>
  <si>
    <t>Opening Principal Amounts as of Jan 1, 2017</t>
  </si>
  <si>
    <t>Transactions Debit / (Credit) during 2017</t>
  </si>
  <si>
    <t>OEB-Approved Disposition during 2017</t>
  </si>
  <si>
    <t>Principal Adjustments1 during 2017</t>
  </si>
  <si>
    <t>Closing Principal Balance as of Dec 31, 2017</t>
  </si>
  <si>
    <t>Opening Interest Amounts as of Jan 1, 2017</t>
  </si>
  <si>
    <t>Interest Jan 1 to Dec 31, 2017</t>
  </si>
  <si>
    <t>Interest Adjustments1 during 2017</t>
  </si>
  <si>
    <t>Closing Interest Amounts as of Dec 31, 2017</t>
  </si>
  <si>
    <t>Opening Principal Amounts as of Jan 1, 2018</t>
  </si>
  <si>
    <t>Transactions Debit / (Credit) during 2018</t>
  </si>
  <si>
    <t>OEB-Approved Disposition during 2018</t>
  </si>
  <si>
    <t>Principal Adjustments1 during 2018</t>
  </si>
  <si>
    <t>Closing Principal Balance as of Dec 31, 2018</t>
  </si>
  <si>
    <t>Opening Interest Amounts as of Jan 1, 2018</t>
  </si>
  <si>
    <t>Interest Jan 1 to Dec 31, 2018</t>
  </si>
  <si>
    <t>Interest Adjustments1 during 2018</t>
  </si>
  <si>
    <t>Closing Interest Amounts as of Dec 31, 2018</t>
  </si>
  <si>
    <t>Opening Principal Amounts as of Jan 1, 2019</t>
  </si>
  <si>
    <t>Transactions Debit / (Credit) during 2019</t>
  </si>
  <si>
    <t>OEB-Approved Disposition during 2019</t>
  </si>
  <si>
    <t>Principal Adjustments1 during 2019</t>
  </si>
  <si>
    <t>Closing Principal Balance as of Dec 31, 2019</t>
  </si>
  <si>
    <t>Opening Interest Amounts as of Jan 1, 2019</t>
  </si>
  <si>
    <t>Interest Jan 1 to Dec 31, 2019</t>
  </si>
  <si>
    <t>Interest Adjustments1 during 2019</t>
  </si>
  <si>
    <t>Closing Interest Amounts as of Dec 31, 2019</t>
  </si>
  <si>
    <t>Opening Principal Amounts as of Jan 1, 2020</t>
  </si>
  <si>
    <t>Transactions Debit / (Credit) during 2020</t>
  </si>
  <si>
    <t>OEB-Approved Disposition during 2020</t>
  </si>
  <si>
    <t>Principal Adjustments1 during 2020</t>
  </si>
  <si>
    <t>Closing Principal Balance as of Dec 31, 2020</t>
  </si>
  <si>
    <t>Opening Interest Amounts as of Jan 1, 2020</t>
  </si>
  <si>
    <t>Interest Jan 1 to Dec 31, 2020</t>
  </si>
  <si>
    <t>Interest Adjustments1 during 2020</t>
  </si>
  <si>
    <t>Closing Interest Amounts as of Dec 31, 2020</t>
  </si>
  <si>
    <t>Principal Disposition during 2021 - instructed by OEB</t>
  </si>
  <si>
    <t>Interest Disposition during 2021 - instructed by OEB</t>
  </si>
  <si>
    <t>Closing Principal Balances as of Dec 31, 2020 Adjusted for Disposition during 2021</t>
  </si>
  <si>
    <t>Closing Interest Balances as of Dec 31, 2020 Adjusted for Disposition during 2021</t>
  </si>
  <si>
    <r>
      <t xml:space="preserve">Projected Interest from Jan 1, 2021 to Dec 31, 2021 on Dec 31, 2020 balance adjusted for disposition during 2021 </t>
    </r>
    <r>
      <rPr>
        <b/>
        <vertAlign val="superscript"/>
        <sz val="10"/>
        <rFont val="Book Antiqua"/>
        <family val="1"/>
      </rPr>
      <t>2</t>
    </r>
  </si>
  <si>
    <r>
      <t xml:space="preserve">Projected Interest from Jan 1, 2022 to Apr 30, 2022 on Dec 31, 2020 balance adjusted for disposition during 2021 </t>
    </r>
    <r>
      <rPr>
        <b/>
        <vertAlign val="superscript"/>
        <sz val="11"/>
        <rFont val="Book Antiqua"/>
        <family val="1"/>
      </rPr>
      <t>2</t>
    </r>
  </si>
  <si>
    <t>Total Interest</t>
  </si>
  <si>
    <t>Total Claim</t>
  </si>
  <si>
    <t>Account Disposition: Yes/No?</t>
  </si>
  <si>
    <t>As of Dec 31, 2020</t>
  </si>
  <si>
    <t>Variance                           RRR vs. 2020 Balance                        (Principal + Interest)</t>
  </si>
  <si>
    <t>Claim before Forecasted Transactions</t>
  </si>
  <si>
    <t>Group 1 Accounts</t>
  </si>
  <si>
    <t>LV Variance Account</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</si>
  <si>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</si>
  <si>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</si>
  <si>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</si>
  <si>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r>
      <t>Variance WMS – Sub-account CBR Class B</t>
    </r>
    <r>
      <rPr>
        <vertAlign val="superscript"/>
        <sz val="11"/>
        <rFont val="Arial"/>
        <family val="2"/>
      </rPr>
      <t>5</t>
    </r>
  </si>
  <si>
    <t>RSVA - Retail Transmission Network Charge</t>
  </si>
  <si>
    <t>RSVA - Retail Transmission Connection Charge</t>
  </si>
  <si>
    <r>
      <t>RSVA - Power</t>
    </r>
    <r>
      <rPr>
        <vertAlign val="superscript"/>
        <sz val="11"/>
        <rFont val="Arial"/>
        <family val="2"/>
      </rPr>
      <t>4</t>
    </r>
  </si>
  <si>
    <r>
      <t>RSVA - Global Adjustment</t>
    </r>
    <r>
      <rPr>
        <vertAlign val="superscript"/>
        <sz val="11"/>
        <rFont val="Arial"/>
        <family val="2"/>
      </rPr>
      <t>4</t>
    </r>
  </si>
  <si>
    <r>
      <t>Disposition and Recovery/Refund of Regulatory Balances (2009)</t>
    </r>
    <r>
      <rPr>
        <vertAlign val="superscript"/>
        <sz val="11"/>
        <rFont val="Arial"/>
        <family val="2"/>
      </rPr>
      <t>3</t>
    </r>
  </si>
  <si>
    <r>
      <t>Disposition and Recovery/Refund of Regulatory Balances (2015 and pre-2015)</t>
    </r>
    <r>
      <rPr>
        <vertAlign val="superscript"/>
        <sz val="11"/>
        <rFont val="Arial"/>
        <family val="2"/>
      </rPr>
      <t>3</t>
    </r>
  </si>
  <si>
    <t>No</t>
  </si>
  <si>
    <r>
      <t>Disposition and Recovery/Refund of Regulatory Balances (2016)</t>
    </r>
    <r>
      <rPr>
        <vertAlign val="superscript"/>
        <sz val="11"/>
        <rFont val="Arial"/>
        <family val="2"/>
      </rPr>
      <t>3</t>
    </r>
  </si>
  <si>
    <r>
      <t>Disposition and Recovery/Refund of Regulatory Balances (2017)</t>
    </r>
    <r>
      <rPr>
        <vertAlign val="superscript"/>
        <sz val="11"/>
        <rFont val="Arial"/>
        <family val="2"/>
      </rPr>
      <t>3</t>
    </r>
  </si>
  <si>
    <r>
      <t>Disposition and Recovery/Refund of Regulatory Balances (2018)</t>
    </r>
    <r>
      <rPr>
        <vertAlign val="superscript"/>
        <sz val="11"/>
        <rFont val="Arial"/>
        <family val="2"/>
      </rPr>
      <t>3</t>
    </r>
  </si>
  <si>
    <r>
      <t>Disposition and Recovery/Refund of Regulatory Balances (2019)</t>
    </r>
    <r>
      <rPr>
        <vertAlign val="superscript"/>
        <sz val="11"/>
        <rFont val="Arial"/>
        <family val="2"/>
      </rPr>
      <t>3</t>
    </r>
  </si>
  <si>
    <r>
      <t>Disposition and Recovery/Refund of Regulatory Balances (2020)</t>
    </r>
    <r>
      <rPr>
        <vertAlign val="superscript"/>
        <sz val="11"/>
        <rFont val="Arial"/>
        <family val="2"/>
      </rPr>
      <t>3</t>
    </r>
  </si>
  <si>
    <r>
      <t>Disposition and Recovery/Refund of Regulatory Balances (2021)</t>
    </r>
    <r>
      <rPr>
        <vertAlign val="superscript"/>
        <sz val="11"/>
        <rFont val="Arial"/>
        <family val="2"/>
      </rPr>
      <t xml:space="preserve">3
</t>
    </r>
    <r>
      <rPr>
        <i/>
        <sz val="11"/>
        <color rgb="FFFF0000"/>
        <rFont val="Arial"/>
        <family val="2"/>
      </rPr>
      <t>Not to be disposed of until two years after rate rider has expired and that balance has been audited. Refer to the Filing Requirements for disposition eligibility.</t>
    </r>
  </si>
  <si>
    <t>RSVA - Global Adjustment requested for disposition</t>
  </si>
  <si>
    <t>Total Group 1 Balance excluding Account 1589 - Global Adjustment requested for disposition</t>
  </si>
  <si>
    <t>Total Group 1 Balance requested for disposition</t>
  </si>
  <si>
    <t>RSVA - Global Adjustment</t>
  </si>
  <si>
    <t>Total Group 1 Balance excluding Account 1589 - Global Adjustment</t>
  </si>
  <si>
    <t>Total Group 1 Balance</t>
  </si>
  <si>
    <t>LRAM Variance Account (only input amounts if applying for disposition of this account)</t>
  </si>
  <si>
    <t>Total Group 1 Balance including Account 1568 - LRAMVA requested for disposition</t>
  </si>
  <si>
    <t>For all OEB-Approved dispositions, please ensure that the disposition amount has the same sign (e.g: debit balances are to have a positive figure and credit balance are to have a negative figure) as per the related OEB decision.</t>
  </si>
  <si>
    <t>Please provide explanations for the nature of the adjustments.  If the adjustment relates to previously OEB-Approved disposed balances, please provide amounts for adjustments and include supporting documentations.</t>
  </si>
  <si>
    <t>If the LDC’s rate year begins on January 1, 2022, the projected interest is recorded from January 1, 2021 to December 31, 2021 on the December 31, 2020 balances adjusted to remove balances approved for disposition in the 2021 rate decision. 
 2) If the LDC’s rate year begins on May 1, 2022, the projected interest is recorded from January 1, 2021 to April 30, 2022 on the December 31, 2020 balances adjusted to remove balances approved for disposition in the 2021 rate decision.</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</si>
  <si>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(2019), (2020) and (2021) will not be eligilble for disposition in the 2022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</si>
  <si>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</si>
  <si>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RRR balance for Account 1580 RSVA - Wholesale Market Service Charge should equal to the control account as reported in the RRR. This would include the balance for Account 1580,Variance WMS – Sub-account CBR Class B.</t>
  </si>
  <si>
    <t>$</t>
  </si>
  <si>
    <t>Retail Transmission Rate - Network Service Rate</t>
  </si>
  <si>
    <t>Retail Transmission Rate - Line and Transformation Connection Service Rate</t>
  </si>
  <si>
    <t>GENERAL SERVICE LESS THAN 50 KW SERVICE CLASSIFICATION</t>
  </si>
  <si>
    <t>GENERAL SERVICE 50 TO 999 KW SERVICE CLASSIFICATION</t>
  </si>
  <si>
    <t>$/kW</t>
  </si>
  <si>
    <t>GENERAL SERVICE 1,000 TO 4,999 KW SERVICE CLASSIFICATION</t>
  </si>
  <si>
    <t>microFIT SERVICE CLASSIFICATION</t>
  </si>
  <si>
    <t xml:space="preserve">Data on this worksheet has been populated using your most recent RRR filing.
</t>
  </si>
  <si>
    <t>If you have identified any issues, please contact the OEB.</t>
  </si>
  <si>
    <t>Have you confirmed the accuracy of the data below?</t>
  </si>
  <si>
    <t xml:space="preserve">If a distributor uses the actual GA price to bill non-RPP Class B customers for an entire rate class, it must exclude these customers from the allocation of the GA balance and the calculation of the resulting rate riders. These rate classes are not to be charged/refunded the general GA rate rider as they did not contribute to the GA balance. 
</t>
  </si>
  <si>
    <t xml:space="preserve">Please contact the OEB to make adjustments to the IRM rate generator for this situation.  
</t>
  </si>
  <si>
    <r>
      <t xml:space="preserve">Total Metered </t>
    </r>
    <r>
      <rPr>
        <b/>
        <sz val="10"/>
        <color rgb="FFFF0000"/>
        <rFont val="Arial"/>
        <family val="2"/>
      </rPr>
      <t>kWh</t>
    </r>
  </si>
  <si>
    <r>
      <t xml:space="preserve">Total Metered </t>
    </r>
    <r>
      <rPr>
        <b/>
        <sz val="10"/>
        <color rgb="FFFF0000"/>
        <rFont val="Arial"/>
        <family val="2"/>
      </rPr>
      <t>kW</t>
    </r>
  </si>
  <si>
    <r>
      <t xml:space="preserve">Metered </t>
    </r>
    <r>
      <rPr>
        <b/>
        <sz val="10"/>
        <color rgb="FFFF0000"/>
        <rFont val="Arial"/>
        <family val="2"/>
      </rPr>
      <t>kWh</t>
    </r>
    <r>
      <rPr>
        <b/>
        <sz val="10"/>
        <rFont val="Arial"/>
        <family val="2"/>
      </rPr>
      <t xml:space="preserve"> for Non-RPP Customers (excluding WMP)</t>
    </r>
  </si>
  <si>
    <r>
      <t xml:space="preserve">Metered </t>
    </r>
    <r>
      <rPr>
        <b/>
        <sz val="10"/>
        <color rgb="FFFF0000"/>
        <rFont val="Arial"/>
        <family val="2"/>
      </rPr>
      <t>kW</t>
    </r>
    <r>
      <rPr>
        <b/>
        <sz val="10"/>
        <rFont val="Arial"/>
        <family val="2"/>
      </rPr>
      <t xml:space="preserve"> for Non-RPP Customers (excluding WMP)</t>
    </r>
  </si>
  <si>
    <r>
      <t xml:space="preserve">Metered </t>
    </r>
    <r>
      <rPr>
        <b/>
        <sz val="11"/>
        <color rgb="FFFF0000"/>
        <rFont val="Arial"/>
        <family val="2"/>
      </rPr>
      <t>kWh</t>
    </r>
    <r>
      <rPr>
        <b/>
        <sz val="10"/>
        <rFont val="Arial"/>
        <family val="2"/>
      </rPr>
      <t xml:space="preserve"> for Wholesale Market Participants (WMP)</t>
    </r>
  </si>
  <si>
    <r>
      <t xml:space="preserve">Metered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</si>
  <si>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kWh </t>
    </r>
    <r>
      <rPr>
        <b/>
        <sz val="10"/>
        <rFont val="Arial"/>
        <family val="2"/>
      </rPr>
      <t xml:space="preserve">less WMP consumption
</t>
    </r>
    <r>
      <rPr>
        <b/>
        <i/>
        <sz val="10"/>
        <rFont val="Arial"/>
        <family val="2"/>
      </rPr>
      <t>(if applicable)</t>
    </r>
  </si>
  <si>
    <r>
      <t xml:space="preserve">Total Metered </t>
    </r>
    <r>
      <rPr>
        <b/>
        <sz val="10"/>
        <color rgb="FFFF0000"/>
        <rFont val="Arial"/>
        <family val="2"/>
      </rPr>
      <t xml:space="preserve">kW </t>
    </r>
    <r>
      <rPr>
        <b/>
        <sz val="10"/>
        <rFont val="Arial"/>
        <family val="2"/>
      </rPr>
      <t xml:space="preserve">less WMP consumption 
</t>
    </r>
    <r>
      <rPr>
        <b/>
        <i/>
        <sz val="10"/>
        <rFont val="Arial"/>
        <family val="2"/>
      </rPr>
      <t>(if applicable)</t>
    </r>
  </si>
  <si>
    <r>
      <t xml:space="preserve">1595 Recovery Proportion (2009) </t>
    </r>
    <r>
      <rPr>
        <b/>
        <vertAlign val="superscript"/>
        <sz val="10"/>
        <rFont val="Arial"/>
        <family val="2"/>
      </rPr>
      <t>1</t>
    </r>
  </si>
  <si>
    <r>
      <t xml:space="preserve">1595 Recovery Proportion (2015 and pre-2015) </t>
    </r>
    <r>
      <rPr>
        <b/>
        <vertAlign val="superscript"/>
        <sz val="10"/>
        <rFont val="Arial"/>
        <family val="2"/>
      </rPr>
      <t>1</t>
    </r>
  </si>
  <si>
    <r>
      <t xml:space="preserve">1595 Recovery Proportion (2016) </t>
    </r>
    <r>
      <rPr>
        <b/>
        <vertAlign val="superscript"/>
        <sz val="10"/>
        <rFont val="Arial"/>
        <family val="2"/>
      </rPr>
      <t>1</t>
    </r>
  </si>
  <si>
    <r>
      <t xml:space="preserve">1595 Recovery Proportion (2017) </t>
    </r>
    <r>
      <rPr>
        <b/>
        <vertAlign val="superscript"/>
        <sz val="10"/>
        <rFont val="Arial"/>
        <family val="2"/>
      </rPr>
      <t>1</t>
    </r>
  </si>
  <si>
    <r>
      <t xml:space="preserve">1595 Recovery Proportion (2018) </t>
    </r>
    <r>
      <rPr>
        <b/>
        <vertAlign val="superscript"/>
        <sz val="10"/>
        <rFont val="Arial"/>
        <family val="2"/>
      </rPr>
      <t>1</t>
    </r>
  </si>
  <si>
    <r>
      <t xml:space="preserve">1568 LRAM Variance Account Class Allocation                           </t>
    </r>
    <r>
      <rPr>
        <b/>
        <sz val="10"/>
        <color rgb="FFFF0000"/>
        <rFont val="Arial"/>
        <family val="2"/>
      </rPr>
      <t>($ amounts)</t>
    </r>
  </si>
  <si>
    <r>
      <t>Number of Customers for Residential and GS&lt;50 classes</t>
    </r>
    <r>
      <rPr>
        <b/>
        <vertAlign val="superscript"/>
        <sz val="11"/>
        <color theme="1"/>
        <rFont val="Calibri"/>
        <family val="2"/>
        <scheme val="minor"/>
      </rPr>
      <t>3</t>
    </r>
  </si>
  <si>
    <t>Unit</t>
  </si>
  <si>
    <t>kWh</t>
  </si>
  <si>
    <t>kVA</t>
  </si>
  <si>
    <t>Total</t>
  </si>
  <si>
    <t>Threshold Test</t>
  </si>
  <si>
    <t>Total Claim (including Account 1568)</t>
  </si>
  <si>
    <t>Total Claim for Threshold Test (All Group 1 Accounts)</t>
  </si>
  <si>
    <r>
      <t xml:space="preserve">Threshold Test (Total claim per kWh) </t>
    </r>
    <r>
      <rPr>
        <b/>
        <vertAlign val="superscript"/>
        <sz val="10"/>
        <color theme="1"/>
        <rFont val="Arial"/>
        <family val="2"/>
      </rPr>
      <t>2</t>
    </r>
  </si>
  <si>
    <r>
      <t>1</t>
    </r>
    <r>
      <rPr>
        <sz val="12"/>
        <color theme="1"/>
        <rFont val="Calibri"/>
        <family val="2"/>
      </rPr>
      <t xml:space="preserve"> Residual Account balance to be allocated to rate classes in proportion to the recovery share as established when rate riders were implemented.</t>
    </r>
  </si>
  <si>
    <r>
      <t>2</t>
    </r>
    <r>
      <rPr>
        <sz val="12"/>
        <color theme="1"/>
        <rFont val="Calibri"/>
        <family val="2"/>
      </rPr>
      <t xml:space="preserve"> The Threshold Test does not include the amount in 1568.</t>
    </r>
  </si>
  <si>
    <r>
      <t>3</t>
    </r>
    <r>
      <rPr>
        <sz val="12"/>
        <color theme="1"/>
        <rFont val="Calibri"/>
        <family val="2"/>
      </rPr>
      <t xml:space="preserve"> The proportion of customers for the Residential and GS&lt;50 Classes will be used to allocate Account 1551.</t>
    </r>
  </si>
  <si>
    <t>No input required.  This workshseet allocates the deferral/variance account balances (Group 1 and Account 1568) to the appropriate classes as per EDDVAR dated July 31, 2009.</t>
  </si>
  <si>
    <t>Allocation of Group 1 Accounts (including Account 1568)</t>
  </si>
  <si>
    <r>
      <t xml:space="preserve">% of  Total </t>
    </r>
    <r>
      <rPr>
        <b/>
        <sz val="10"/>
        <color theme="3"/>
        <rFont val="Arial"/>
        <family val="2"/>
      </rPr>
      <t>kWh</t>
    </r>
  </si>
  <si>
    <r>
      <t xml:space="preserve">% of  Total </t>
    </r>
    <r>
      <rPr>
        <b/>
        <sz val="10"/>
        <color theme="3"/>
        <rFont val="Arial"/>
        <family val="2"/>
      </rPr>
      <t>non-RPP kWh</t>
    </r>
  </si>
  <si>
    <t>% of Customer Numbers **</t>
  </si>
  <si>
    <r>
      <t xml:space="preserve">% of  Total </t>
    </r>
    <r>
      <rPr>
        <b/>
        <sz val="10"/>
        <color theme="3"/>
        <rFont val="Arial"/>
        <family val="2"/>
      </rPr>
      <t xml:space="preserve">kWh </t>
    </r>
    <r>
      <rPr>
        <b/>
        <sz val="10"/>
        <rFont val="Arial"/>
        <family val="2"/>
      </rPr>
      <t>adjusted for WMP</t>
    </r>
  </si>
  <si>
    <t>allocated based on Total less WMP</t>
  </si>
  <si>
    <t>1595_(2009)</t>
  </si>
  <si>
    <t>1595_(2015 and pre-2015)</t>
  </si>
  <si>
    <t>1595_(2016)</t>
  </si>
  <si>
    <t>1595_(2017)</t>
  </si>
  <si>
    <t>1595_(2018)</t>
  </si>
  <si>
    <t>1595_(2019)</t>
  </si>
  <si>
    <t>1595_(2020)</t>
  </si>
  <si>
    <t>1595_(2021)</t>
  </si>
  <si>
    <t>1580 (Class A)</t>
  </si>
  <si>
    <t>1580 (Class B)</t>
  </si>
  <si>
    <t>** Used to allocate Account 1551 as this account records the variances arising from the Smart Metering Entity Charges to Residential and GS&lt;50 customers.</t>
  </si>
  <si>
    <t>kW</t>
  </si>
  <si>
    <t>Main Rate Zone</t>
  </si>
  <si>
    <t xml:space="preserve">To determine the first year the continuity schedules in tab 3 will be generated for input, answer the following questions:
For all the the responses below, when selecting a year, select the year relating to the account balance. For example, if the 2019 balances that were reviewed in the 2021 rate application were to be selected, select 2019.
</t>
  </si>
  <si>
    <t>2. For Accounts 1588 and 1589, please indicate the year of the account balances that the accounts were last disposed on a final basis for information purposes.</t>
  </si>
  <si>
    <t xml:space="preserve">
Determine whether scenario a or b below applies, then select the appropriate year. 
a) If the account balances were last approved on a final basis, select the year of the year-end balances that were last approved for disposition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</si>
  <si>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</si>
  <si>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ii) there are changes to the previously approved interim balances, select the year of the year-end balances that were last approved for disposition on a final basis.</t>
  </si>
  <si>
    <t>3. For the remaining Group 1 DVAs, please indicate the year of the account balances that were last disposed on a final basis</t>
  </si>
  <si>
    <t xml:space="preserve">Determine whether scenario a or b below applies, then select the appropriate year. </t>
  </si>
  <si>
    <t xml:space="preserve">a) If the account balances were last approved on a final basis, select the year of the year-end balances that the balance was were last approved on a final basis. </t>
  </si>
  <si>
    <t>i) there are no changes to the previously approved interim balances, select the year of the year-end balances that were last approved for diposition on an interim basis.</t>
  </si>
  <si>
    <t>ii) If there are changes to the previously approved interim balances, select the year of the year-end balances that were last approved for disposition on a final basis.</t>
  </si>
  <si>
    <t>Default Rate Rider Recovery Period (in months)</t>
  </si>
  <si>
    <r>
      <rPr>
        <b/>
        <sz val="11"/>
        <color theme="1"/>
        <rFont val="Arial"/>
        <family val="2"/>
      </rPr>
      <t>Input required at cells C13 and C14.</t>
    </r>
    <r>
      <rPr>
        <sz val="11"/>
        <color theme="1"/>
        <rFont val="Arial"/>
        <family val="2"/>
      </rPr>
      <t xml:space="preserve">  This workshseet calculates rate riders related to the Deferral/Variance Account Disposition (if applicable) and rate riders for Account 1568.  Rate Riders will not be generated for the microFIT class.</t>
    </r>
  </si>
  <si>
    <t>DVA Proposed Rate Rider Recovery Period (in months)</t>
  </si>
  <si>
    <t>LRAM Proposed Rate Rider Recovery Period (in months)</t>
  </si>
  <si>
    <t>Total Metered kWh</t>
  </si>
  <si>
    <t>Metered kW 
or kVA</t>
  </si>
  <si>
    <r>
      <t xml:space="preserve">Total Metered </t>
    </r>
    <r>
      <rPr>
        <b/>
        <sz val="10"/>
        <color rgb="FFFF0000"/>
        <rFont val="Arial"/>
        <family val="2"/>
      </rPr>
      <t xml:space="preserve">kWh </t>
    </r>
    <r>
      <rPr>
        <b/>
        <sz val="10"/>
        <rFont val="Arial"/>
        <family val="2"/>
      </rPr>
      <t xml:space="preserve">less WMP consumption </t>
    </r>
  </si>
  <si>
    <r>
      <t xml:space="preserve">Total Metered </t>
    </r>
    <r>
      <rPr>
        <b/>
        <sz val="10"/>
        <color rgb="FFFF0000"/>
        <rFont val="Arial"/>
        <family val="2"/>
      </rPr>
      <t xml:space="preserve">kW </t>
    </r>
    <r>
      <rPr>
        <b/>
        <sz val="10"/>
        <rFont val="Arial"/>
        <family val="2"/>
      </rPr>
      <t xml:space="preserve">less WMP consumption </t>
    </r>
  </si>
  <si>
    <r>
      <t xml:space="preserve">Allocation of Group 1 Account Balances to All Classes </t>
    </r>
    <r>
      <rPr>
        <b/>
        <vertAlign val="superscript"/>
        <sz val="10"/>
        <rFont val="Arial"/>
        <family val="2"/>
      </rPr>
      <t>2</t>
    </r>
  </si>
  <si>
    <r>
      <t xml:space="preserve">Allocation of Group 1 Account Balances to Non-WMP Classes Only (If Applicable) </t>
    </r>
    <r>
      <rPr>
        <b/>
        <vertAlign val="superscript"/>
        <sz val="10"/>
        <rFont val="Arial"/>
        <family val="2"/>
      </rPr>
      <t>2</t>
    </r>
  </si>
  <si>
    <r>
      <t xml:space="preserve">Deferral/Variance Account Rate Rider </t>
    </r>
    <r>
      <rPr>
        <b/>
        <vertAlign val="superscript"/>
        <sz val="10"/>
        <rFont val="Arial"/>
        <family val="2"/>
      </rPr>
      <t>2</t>
    </r>
  </si>
  <si>
    <r>
      <t xml:space="preserve">Deferral/Variance Account Rate Rider for Non-WMP 
(if applicable) </t>
    </r>
    <r>
      <rPr>
        <b/>
        <vertAlign val="superscript"/>
        <sz val="10"/>
        <rFont val="Arial"/>
        <family val="2"/>
      </rPr>
      <t>2</t>
    </r>
  </si>
  <si>
    <t>Account 1568 Rate Rider</t>
  </si>
  <si>
    <t>Revenue Reconciliation:</t>
  </si>
  <si>
    <r>
      <t xml:space="preserve">Revenue Reconcilation </t>
    </r>
    <r>
      <rPr>
        <b/>
        <vertAlign val="superscript"/>
        <sz val="11"/>
        <color theme="1"/>
        <rFont val="Calibri"/>
        <family val="2"/>
        <scheme val="minor"/>
      </rPr>
      <t>1</t>
    </r>
  </si>
  <si>
    <r>
      <t>1</t>
    </r>
    <r>
      <rPr>
        <sz val="12"/>
        <color theme="1"/>
        <rFont val="Calibri"/>
        <family val="2"/>
      </rPr>
      <t xml:space="preserve"> When calculating the revenue reconciliation for distributors with Class A customers, the balances of sub-account 1580-CBR Class B will not be taken into consideration if there are Class A customers since the rate riders, if any, are calculated separately.</t>
    </r>
  </si>
  <si>
    <r>
      <t>2</t>
    </r>
    <r>
      <rPr>
        <sz val="12"/>
        <color theme="1"/>
        <rFont val="Calibri"/>
        <family val="2"/>
      </rPr>
      <t xml:space="preserve"> Only for rate classes with WMP customers are the Deferral/Variance Account Rate Riders for Non-WMP (column H and J) calculated separately. For all rate classes without WMP customers, balances in account 1580 and 1588 are included in column G and disposed through a combined Deferral/Variance Account and Rate Rider.</t>
    </r>
  </si>
  <si>
    <t>Columns E and F have been populated with data from the most recent RRR filing. Rate classes that have more than one Network or Connection charge will notice that the cells are highlighted in green and unlocked.  
If the data needs to be modified, please make the necessary adjustments and note the changes in your manager's summary. As well, the Loss Factor has been imported from Tab 2.</t>
  </si>
  <si>
    <t>Rate Description</t>
  </si>
  <si>
    <t>Rate</t>
  </si>
  <si>
    <t>Non-Loss Adjusted Metered kWh</t>
  </si>
  <si>
    <t>Non-Loss Adjusted Metered kW</t>
  </si>
  <si>
    <t>Applicable Loss Factor</t>
  </si>
  <si>
    <t>Loss Adjusted Billed kWh</t>
  </si>
  <si>
    <t>Residential Service Classification</t>
  </si>
  <si>
    <t>Competitive Sector Multi-unit 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</si>
  <si>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</si>
  <si>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</si>
  <si>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</si>
  <si>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</si>
  <si>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</si>
  <si>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Street Lighting Service Classification</t>
  </si>
  <si>
    <t>Uniform Transmission Rates</t>
  </si>
  <si>
    <t>2020
Jan to Jun</t>
  </si>
  <si>
    <t>2021
Jan to Jun</t>
  </si>
  <si>
    <t>2021
Jul to Dec</t>
  </si>
  <si>
    <t>Network Service Rate</t>
  </si>
  <si>
    <t>Line Connection Service Rate</t>
  </si>
  <si>
    <t>Transformation Connection Service Rate</t>
  </si>
  <si>
    <t>Hydro One Sub-Transmission Rates</t>
  </si>
  <si>
    <t>Both Line and Transformation Connection Service Rate</t>
  </si>
  <si>
    <t>If needed, add extra host here. (I)</t>
  </si>
  <si>
    <t>If needed, add extra host here. (II)</t>
  </si>
  <si>
    <t>Historical 2020</t>
  </si>
  <si>
    <t>Current 2021</t>
  </si>
  <si>
    <t>Forecast 2022</t>
  </si>
  <si>
    <t>Low Voltage Switchgear Credit (if applicable, enter as a negative value)</t>
  </si>
  <si>
    <t xml:space="preserve">In the green shaded cells, enter billing detail for wholesale transmission for the same reporting period as the billing determinants on Tab 10. For Hydro One Sub-transmission Rates, if you are charged a combined Line and Transformer connection rate, please ensure that both the Line Connection and Transformation Connection columns are completed. 
If any of the Hydro One Sub-transmission rates (column E, I and M) are highlighted in red, please double check the billing data entered in "Units Billed" and "Amount" columns. The highlighted rates do not match the Hydro One Sub-transmission rates approved for that time period. If data has been entered correctly, please provide explanation for the discrepancy in rates.
</t>
  </si>
  <si>
    <t>IESO</t>
  </si>
  <si>
    <t>Network</t>
  </si>
  <si>
    <t>Line Connection</t>
  </si>
  <si>
    <t>Transformation Connection</t>
  </si>
  <si>
    <t>Total Connection</t>
  </si>
  <si>
    <t>Month</t>
  </si>
  <si>
    <t>Units Billed</t>
  </si>
  <si>
    <t>Amount</t>
  </si>
  <si>
    <t>January</t>
  </si>
  <si>
    <t>February</t>
  </si>
  <si>
    <t>March</t>
  </si>
  <si>
    <t>April</t>
  </si>
  <si>
    <t>May</t>
  </si>
  <si>
    <t>June</t>
  </si>
  <si>
    <t>July</t>
  </si>
  <si>
    <t>August</t>
  </si>
  <si>
    <t>September</t>
  </si>
  <si>
    <t>October</t>
  </si>
  <si>
    <t>November</t>
  </si>
  <si>
    <t>December</t>
  </si>
  <si>
    <t>Hydro One</t>
  </si>
  <si>
    <t>Add Extra Host Here (I)</t>
  </si>
  <si>
    <t>(if needed)</t>
  </si>
  <si>
    <t>Add Extra Host Here (II)</t>
  </si>
  <si>
    <t>Low Voltage Switchgear Credit (if applicable)</t>
  </si>
  <si>
    <t>Total including deduction for Low Voltage Switchgear Credit</t>
  </si>
  <si>
    <t>The purpose of this sheet is to calculate the expected billing when current 2021 Uniform Transmission Rates are applied against historical 2020 transmission units.</t>
  </si>
  <si>
    <t>The purpose of this sheet is to calculate the expected billing when forecasted 2022 Uniform Transmission Rates are applied against historical 2020 transmission units.</t>
  </si>
  <si>
    <t>The purpose of this table is to re-align the current RTS Network Rates to recover current wholesale network costs.</t>
  </si>
  <si>
    <t>Current RTSR-Network</t>
  </si>
  <si>
    <t>Billed kW</t>
  </si>
  <si>
    <t>Billed Amount</t>
  </si>
  <si>
    <t>Billed Amount %</t>
  </si>
  <si>
    <t>Current Wholesale Billing</t>
  </si>
  <si>
    <t>Adjusted RTSR Network</t>
  </si>
  <si>
    <t>The purpose of this table is to re-align the current RTS Connection Rates to recover current wholesale connection costs.</t>
  </si>
  <si>
    <t>Current RTSR-Connection</t>
  </si>
  <si>
    <t>Adjusted RTSR-Connection</t>
  </si>
  <si>
    <t>The purpose of this table is to update the re-aligned RTS Network Rates to recover future wholesale network costs.</t>
  </si>
  <si>
    <t>Adjusted RTSR-Network</t>
  </si>
  <si>
    <t>Forecast Wholesale Billing</t>
  </si>
  <si>
    <t>Proposed RTSR-Network</t>
  </si>
  <si>
    <t>The purpose of this table is to update the re-aligned RTS Connection Rates to recover future wholesale connection costs.</t>
  </si>
  <si>
    <t>Proposed RTSR-Connection</t>
  </si>
  <si>
    <t>NO</t>
  </si>
  <si>
    <t>If applicable, please enter any adjustments related to the revenue to cost ratio model into columns C and E.  The Price Escalator has been set at the 2021 value and will be updated by OEB staff at a later date.</t>
  </si>
  <si>
    <t>Price Escalator</t>
  </si>
  <si>
    <t>Productivity Factor</t>
  </si>
  <si>
    <t xml:space="preserve"># of Residential Customers
(approved in the last CoS)
</t>
  </si>
  <si>
    <t>Effective Year of Residential Rate Design Transition (yyyy)</t>
  </si>
  <si>
    <t>Choose Stretch Factor Group</t>
  </si>
  <si>
    <t>Price Cap Index</t>
  </si>
  <si>
    <t xml:space="preserve">Billed kWh for Residential Class
(approved in the last CoS)
</t>
  </si>
  <si>
    <t>OEB-approved # of Transition Years</t>
  </si>
  <si>
    <t>Associated Stretch Factor Value</t>
  </si>
  <si>
    <t>Rate Design Transition Years Left</t>
  </si>
  <si>
    <t>Current MFC</t>
  </si>
  <si>
    <t>MFC Adjustment from R/C Model</t>
  </si>
  <si>
    <t>Current  Volumetric Charge</t>
  </si>
  <si>
    <t>DVR Adjustment from R/C Model</t>
  </si>
  <si>
    <t>Price Cap Index to be Applied to MFC and DVR</t>
  </si>
  <si>
    <t>Proposed MFC</t>
  </si>
  <si>
    <t>Proposed Volumetric Charge</t>
  </si>
  <si>
    <t>Rate Design Transition</t>
  </si>
  <si>
    <t>Revenue from Rates</t>
  </si>
  <si>
    <t>Current F/V Split</t>
  </si>
  <si>
    <t>Decoupling MFC Split</t>
  </si>
  <si>
    <t>Incremental Fixed Charge ($/month/year)</t>
  </si>
  <si>
    <t>New F/V Split</t>
  </si>
  <si>
    <r>
      <t>Adjusted Rates</t>
    </r>
    <r>
      <rPr>
        <b/>
        <vertAlign val="superscript"/>
        <sz val="10"/>
        <color theme="1"/>
        <rFont val="Arial"/>
        <family val="2"/>
      </rPr>
      <t>1</t>
    </r>
  </si>
  <si>
    <t xml:space="preserve">Revenue at New F/V Split </t>
  </si>
  <si>
    <t>Current Residential Fixed Rate (inclusive of R/C adj.)</t>
  </si>
  <si>
    <t>Current Residential Variable Rate (inclusive of R/C adj.)</t>
  </si>
  <si>
    <t xml:space="preserve"> If applicable, Wheeling Service Rate will be adjusted for PCI on Sheet 19.</t>
  </si>
  <si>
    <r>
      <t xml:space="preserve"> </t>
    </r>
    <r>
      <rPr>
        <sz val="12"/>
        <color theme="1"/>
        <rFont val="Calibri"/>
        <family val="2"/>
      </rPr>
      <t>**Please note Standby rates will be adjusted for PCI on Sheet 19.</t>
    </r>
  </si>
  <si>
    <t>Cn Factor</t>
  </si>
  <si>
    <r>
      <t>X</t>
    </r>
    <r>
      <rPr>
        <vertAlign val="subscript"/>
        <sz val="11"/>
        <color theme="1"/>
        <rFont val="Calibri"/>
        <family val="2"/>
        <scheme val="minor"/>
      </rPr>
      <t>cap</t>
    </r>
  </si>
  <si>
    <r>
      <t>S</t>
    </r>
    <r>
      <rPr>
        <vertAlign val="subscript"/>
        <sz val="11"/>
        <rFont val="Calibri"/>
        <family val="2"/>
        <scheme val="minor"/>
      </rPr>
      <t>cap</t>
    </r>
  </si>
  <si>
    <t>Growth Factor</t>
  </si>
  <si>
    <t>V</t>
  </si>
  <si>
    <t>STANDBY GENERAL SERVICE 50 to 999 kW SERVICE CLASSIFICATION</t>
  </si>
  <si>
    <t>STANDBY GENERAL SERVICE 1,000 to 4,999 kW SERVICE CLASSIFICATION</t>
  </si>
  <si>
    <t xml:space="preserve">STANDBY LARGE USE SERVICE CLASSIFICATION </t>
  </si>
  <si>
    <t>UNMETERED SCATTERED LOAD SERVICE CLASSIFICATION (Connection)</t>
  </si>
  <si>
    <t>LV Variance</t>
  </si>
  <si>
    <t>Smart Meter Entity Charge</t>
  </si>
  <si>
    <t>WMS</t>
  </si>
  <si>
    <t>Transmission Network</t>
  </si>
  <si>
    <t>Transmission Connection</t>
  </si>
  <si>
    <t>POWER</t>
  </si>
  <si>
    <t>Residual Reg balances</t>
  </si>
  <si>
    <t>LRAM</t>
  </si>
  <si>
    <t>Changed to reflect the correct usage and number of customers in the rate class.</t>
  </si>
  <si>
    <t>M18</t>
  </si>
  <si>
    <t>Formula is used to calculate the rate. It was missing.</t>
  </si>
  <si>
    <t>10. RTSR Current Rates</t>
  </si>
  <si>
    <t>12. RTSR - Historical Wholesale</t>
  </si>
  <si>
    <t>P110</t>
  </si>
  <si>
    <t>Modified the formula to pick the correct value.</t>
  </si>
  <si>
    <t>D17:D19, D23, D29:D31, D35, D41:D43, D47, D53:D55, D59
J41 : J43, J47, J53 : J55,  J59</t>
  </si>
  <si>
    <t>As per Section 3.2.5 of the 2019 Filing Requirements for Electricity Distribution Rate Applications, an applicant may elect to dispose of the Group 1 account balances below the threshold. If doing so, please select YES from the adjacent drop-down cell and also indicate so in the Manager's Summary.  If not, please select NO.</t>
  </si>
  <si>
    <t>Q17, Q18, G22</t>
  </si>
  <si>
    <t>EB-2021-0060</t>
  </si>
  <si>
    <t>Anila Dumont, Manager, Regulatory Services</t>
  </si>
  <si>
    <t>416-542-2831</t>
  </si>
  <si>
    <t>regulatoryaffairs@torontohydro.com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</si>
</sst>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quot;$&quot;* #,##0.00_-;_-&quot;$&quot;* &quot;-&quot;??_-;_-@_-"/>
    <numFmt numFmtId="43" formatCode="_-* #,##0.00_-;\-* #,##0.00_-;_-* &quot;-&quot;??_-;_-@_-"/>
    <numFmt numFmtId="164" formatCode="#,##0.00000"/>
    <numFmt numFmtId="165" formatCode="0.0000"/>
    <numFmt numFmtId="166" formatCode="#,##0.0000"/>
    <numFmt numFmtId="167" formatCode="0.00000"/>
    <numFmt numFmtId="168" formatCode="0.0"/>
    <numFmt numFmtId="169" formatCode="[$-F800]dddd\,\ mmmm\ dd\,\ yyyy"/>
    <numFmt numFmtId="170" formatCode="&quot;$&quot;#,##0.00_);[Red]\(&quot;$&quot;#,##0.00\)"/>
    <numFmt numFmtId="171" formatCode="_ #,##0;[Red]\(#,##0\)"/>
    <numFmt numFmtId="172" formatCode="&quot;$&quot;#,##0_);[Red]\(&quot;$&quot;#,##0\)"/>
    <numFmt numFmtId="173" formatCode="&quot;$&quot;#,##0;[Red]\(&quot;$&quot;#,##0\)"/>
    <numFmt numFmtId="174" formatCode="#,##0;[Red]\(#,##0\)"/>
    <numFmt numFmtId="175" formatCode="&quot;$&quot;#,##0.0000;[Red]\(&quot;$&quot;#,##0.0000\)"/>
    <numFmt numFmtId="176" formatCode="0.0%"/>
    <numFmt numFmtId="177" formatCode="_(* #,##0.00_);_(* \(#,##0.00\);_(* &quot;-&quot;??_);_(@_)"/>
    <numFmt numFmtId="178" formatCode="_-* #,##0_-;\-* #,##0_-;_-* &quot;-&quot;??_-;_-@_-"/>
    <numFmt numFmtId="179" formatCode="_(&quot;$&quot;* #,##0.00_);_(&quot;$&quot;* \(#,##0.00\);_(&quot;$&quot;* &quot;-&quot;??_);_(@_)"/>
    <numFmt numFmtId="180" formatCode="_-&quot;$&quot;* #,##0_-;\-&quot;$&quot;* #,##0_-;_-&quot;$&quot;* &quot;-&quot;??_-;_-@_-"/>
    <numFmt numFmtId="181" formatCode="_ #,##0.00000;[Red]\(#,##0.00000\)"/>
    <numFmt numFmtId="182" formatCode="_ #,##0.0000;[Red]\(#,##0.0000\)"/>
    <numFmt numFmtId="183" formatCode="_ #,##0.00;[Red]\(#,##0.00\)"/>
    <numFmt numFmtId="184" formatCode="_-&quot;$&quot;* #,##0.0000_-;\-&quot;$&quot;* #,##0.0000_-;_-&quot;$&quot;* &quot;-&quot;??_-;_-@_-"/>
    <numFmt numFmtId="185" formatCode="&quot;$&quot;#,##0.00_);\(&quot;$&quot;#,##0.00\)"/>
    <numFmt numFmtId="186" formatCode="&quot;$&quot;#,##0.0000_);\(&quot;$&quot;#,##0.0000\)"/>
    <numFmt numFmtId="187" formatCode="_(&quot;$&quot;* #,##0.0000_);_(&quot;$&quot;* \(#,##0.0000\);_(&quot;$&quot;* &quot;-&quot;??_);_(@_)"/>
    <numFmt numFmtId="188" formatCode="#,##0_ ;\-#,##0\ "/>
    <numFmt numFmtId="189" formatCode="0.0000%"/>
  </numFmts>
  <fonts count="83" x14ac:knownFonts="1">
    <font>
      <sz val="12"/>
      <color theme="1"/>
      <name val="Calibri"/>
      <family val="2"/>
    </font>
    <font>
      <sz val="12"/>
      <color theme="1"/>
      <name val="Calibri"/>
      <family val="2"/>
    </font>
    <font>
      <b/>
      <u/>
      <sz val="14"/>
      <color theme="1"/>
      <name val="Calibri"/>
      <family val="2"/>
      <scheme val="minor"/>
    </font>
    <font>
      <b/>
      <sz val="14"/>
      <color theme="1"/>
      <name val="Calibri"/>
      <family val="2"/>
      <scheme val="minor"/>
    </font>
    <font>
      <b/>
      <u/>
      <sz val="12"/>
      <color theme="1"/>
      <name val="Calibri"/>
      <family val="2"/>
      <scheme val="minor"/>
    </font>
    <font>
      <sz val="12"/>
      <color theme="1"/>
      <name val="Calibri"/>
      <family val="2"/>
      <scheme val="minor"/>
    </font>
    <font>
      <sz val="10"/>
      <name val="Arial"/>
      <family val="2"/>
    </font>
    <font>
      <b/>
      <sz val="11"/>
      <color theme="1"/>
      <name val="Calibri"/>
      <family val="2"/>
      <scheme val="minor"/>
    </font>
    <font>
      <u/>
      <sz val="11"/>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b/>
      <sz val="10"/>
      <name val="Arial"/>
      <family val="2"/>
    </font>
    <font>
      <b/>
      <sz val="11"/>
      <name val="Arial"/>
      <family val="2"/>
    </font>
    <font>
      <b/>
      <sz val="11"/>
      <name val="Calibri"/>
      <family val="2"/>
      <scheme val="minor"/>
    </font>
    <font>
      <sz val="10"/>
      <color theme="1"/>
      <name val="Calibri"/>
      <family val="2"/>
      <scheme val="minor"/>
    </font>
    <font>
      <b/>
      <sz val="12"/>
      <name val="Arial"/>
      <family val="2"/>
    </font>
    <font>
      <b/>
      <sz val="12"/>
      <color theme="1"/>
      <name val="Arial"/>
      <family val="2"/>
    </font>
    <font>
      <b/>
      <sz val="12"/>
      <color theme="0"/>
      <name val="Arial"/>
      <family val="2"/>
    </font>
    <font>
      <sz val="11"/>
      <color theme="0"/>
      <name val="Calibri"/>
      <family val="2"/>
      <scheme val="minor"/>
    </font>
    <font>
      <b/>
      <sz val="11"/>
      <color theme="3"/>
      <name val="Calibri"/>
      <family val="2"/>
      <scheme val="minor"/>
    </font>
    <font>
      <b/>
      <sz val="11"/>
      <color theme="1"/>
      <name val="Arial"/>
      <family val="2"/>
    </font>
    <font>
      <sz val="11"/>
      <color theme="1"/>
      <name val="Arial"/>
      <family val="2"/>
    </font>
    <font>
      <b/>
      <i/>
      <sz val="10"/>
      <color theme="1"/>
      <name val="Arial"/>
      <family val="2"/>
    </font>
    <font>
      <b/>
      <u/>
      <sz val="10"/>
      <name val="Arial"/>
      <family val="2"/>
    </font>
    <font>
      <sz val="10"/>
      <color theme="1"/>
      <name val="Arial"/>
      <family val="2"/>
    </font>
    <font>
      <sz val="10"/>
      <color rgb="FFFF0000"/>
      <name val="Arial"/>
      <family val="2"/>
    </font>
    <font>
      <sz val="10"/>
      <color theme="0"/>
      <name val="Arial"/>
      <family val="2"/>
    </font>
    <font>
      <b/>
      <vertAlign val="superscript"/>
      <sz val="11"/>
      <name val="Arial"/>
      <family val="2"/>
    </font>
    <font>
      <b/>
      <sz val="22"/>
      <name val="Book Antiqua"/>
      <family val="1"/>
    </font>
    <font>
      <sz val="22"/>
      <name val="Book Antiqua"/>
      <family val="1"/>
    </font>
    <font>
      <vertAlign val="superscript"/>
      <sz val="22"/>
      <name val="Book Antiqua"/>
      <family val="1"/>
    </font>
    <font>
      <b/>
      <sz val="16"/>
      <name val="Book Antiqua"/>
      <family val="1"/>
    </font>
    <font>
      <b/>
      <sz val="10"/>
      <name val="Book Antiqua"/>
      <family val="1"/>
    </font>
    <font>
      <b/>
      <vertAlign val="superscript"/>
      <sz val="10"/>
      <name val="Book Antiqua"/>
      <family val="1"/>
    </font>
    <font>
      <b/>
      <vertAlign val="superscript"/>
      <sz val="11"/>
      <name val="Book Antiqua"/>
      <family val="1"/>
    </font>
    <font>
      <sz val="10"/>
      <name val="Book Antiqua"/>
      <family val="1"/>
    </font>
    <font>
      <b/>
      <sz val="18"/>
      <name val="Arial"/>
      <family val="2"/>
    </font>
    <font>
      <sz val="11"/>
      <name val="Arial"/>
      <family val="2"/>
    </font>
    <font>
      <vertAlign val="superscript"/>
      <sz val="11"/>
      <name val="Arial"/>
      <family val="2"/>
    </font>
    <font>
      <b/>
      <sz val="11"/>
      <color theme="0"/>
      <name val="Arial"/>
      <family val="2"/>
    </font>
    <font>
      <i/>
      <sz val="11"/>
      <color rgb="FFFF0000"/>
      <name val="Arial"/>
      <family val="2"/>
    </font>
    <font>
      <sz val="11"/>
      <color rgb="FFFF0000"/>
      <name val="Arial"/>
      <family val="2"/>
    </font>
    <font>
      <b/>
      <sz val="11"/>
      <color indexed="12"/>
      <name val="Arial"/>
      <family val="2"/>
    </font>
    <font>
      <sz val="11"/>
      <color rgb="FFFF0000"/>
      <name val="Calibri"/>
      <family val="2"/>
      <scheme val="minor"/>
    </font>
    <font>
      <strike/>
      <sz val="10"/>
      <name val="Arial"/>
      <family val="2"/>
    </font>
    <font>
      <sz val="9"/>
      <name val="Arial"/>
      <family val="2"/>
    </font>
    <font>
      <sz val="12"/>
      <color theme="1"/>
      <name val="Arial"/>
      <family val="2"/>
    </font>
    <font>
      <b/>
      <sz val="10"/>
      <color theme="1"/>
      <name val="Arial"/>
      <family val="2"/>
    </font>
    <font>
      <b/>
      <i/>
      <sz val="11"/>
      <color theme="1"/>
      <name val="Arial"/>
      <family val="2"/>
    </font>
    <font>
      <b/>
      <sz val="10"/>
      <color rgb="FFFF0000"/>
      <name val="Arial"/>
      <family val="2"/>
    </font>
    <font>
      <b/>
      <sz val="11"/>
      <color rgb="FFFF0000"/>
      <name val="Arial"/>
      <family val="2"/>
    </font>
    <font>
      <b/>
      <i/>
      <sz val="10"/>
      <name val="Arial"/>
      <family val="2"/>
    </font>
    <font>
      <b/>
      <vertAlign val="superscript"/>
      <sz val="10"/>
      <name val="Arial"/>
      <family val="2"/>
    </font>
    <font>
      <b/>
      <vertAlign val="superscript"/>
      <sz val="11"/>
      <color theme="1"/>
      <name val="Calibri"/>
      <family val="2"/>
      <scheme val="minor"/>
    </font>
    <font>
      <b/>
      <sz val="11"/>
      <color rgb="FFFF0000"/>
      <name val="Calibri"/>
      <family val="2"/>
      <scheme val="minor"/>
    </font>
    <font>
      <b/>
      <u/>
      <sz val="10"/>
      <color theme="1"/>
      <name val="Arial"/>
      <family val="2"/>
    </font>
    <font>
      <b/>
      <vertAlign val="superscript"/>
      <sz val="10"/>
      <color theme="1"/>
      <name val="Arial"/>
      <family val="2"/>
    </font>
    <font>
      <vertAlign val="superscript"/>
      <sz val="11"/>
      <color theme="1"/>
      <name val="Calibri"/>
      <family val="2"/>
      <scheme val="minor"/>
    </font>
    <font>
      <b/>
      <sz val="14"/>
      <color indexed="10"/>
      <name val="Arial"/>
      <family val="2"/>
    </font>
    <font>
      <sz val="12"/>
      <name val="Arial"/>
      <family val="2"/>
    </font>
    <font>
      <b/>
      <sz val="10"/>
      <color theme="3"/>
      <name val="Arial"/>
      <family val="2"/>
    </font>
    <font>
      <sz val="8"/>
      <name val="Arial"/>
      <family val="2"/>
    </font>
    <font>
      <b/>
      <sz val="10"/>
      <color theme="0"/>
      <name val="Arial"/>
      <family val="2"/>
    </font>
    <font>
      <sz val="12"/>
      <color indexed="8"/>
      <name val="Arial"/>
      <family val="2"/>
    </font>
    <font>
      <sz val="13"/>
      <color indexed="8"/>
      <name val="Arial"/>
      <family val="2"/>
    </font>
    <font>
      <sz val="13"/>
      <name val="Arial"/>
      <family val="2"/>
    </font>
    <font>
      <b/>
      <sz val="12"/>
      <color indexed="8"/>
      <name val="Arial"/>
      <family val="2"/>
    </font>
    <font>
      <b/>
      <sz val="10"/>
      <color rgb="FF000000"/>
      <name val="Arial"/>
      <family val="2"/>
    </font>
    <font>
      <b/>
      <sz val="11"/>
      <color theme="0"/>
      <name val="Calibri"/>
      <family val="2"/>
      <scheme val="minor"/>
    </font>
    <font>
      <b/>
      <sz val="11"/>
      <color rgb="FFFFFFFF"/>
      <name val="Calibri"/>
      <family val="2"/>
      <scheme val="minor"/>
    </font>
    <font>
      <sz val="11"/>
      <color rgb="FFFFFFFF"/>
      <name val="Calibri"/>
      <family val="2"/>
      <scheme val="minor"/>
    </font>
    <font>
      <b/>
      <u/>
      <sz val="12"/>
      <color theme="1"/>
      <name val="Arial"/>
      <family val="2"/>
    </font>
    <font>
      <b/>
      <vertAlign val="superscript"/>
      <sz val="12"/>
      <color theme="1"/>
      <name val="Calibri"/>
      <family val="2"/>
      <scheme val="minor"/>
    </font>
    <font>
      <vertAlign val="subscript"/>
      <sz val="11"/>
      <name val="Calibri"/>
      <family val="2"/>
      <scheme val="minor"/>
    </font>
    <font>
      <vertAlign val="subscript"/>
      <sz val="11"/>
      <color theme="1"/>
      <name val="Calibri"/>
      <family val="2"/>
      <scheme val="minor"/>
    </font>
    <font>
      <sz val="9"/>
      <color theme="1"/>
      <name val="Calibri"/>
      <family val="2"/>
    </font>
    <font>
      <b/>
      <sz val="15"/>
      <color theme="3"/>
      <name val="Calibri"/>
      <family val="2"/>
      <scheme val="minor"/>
    </font>
    <font>
      <b/>
      <sz val="13"/>
      <color theme="3"/>
      <name val="Calibri"/>
      <family val="2"/>
      <scheme val="minor"/>
    </font>
    <font>
      <b/>
      <sz val="11"/>
      <color rgb="FF3F3F3F"/>
      <name val="Calibri"/>
      <family val="2"/>
      <scheme val="minor"/>
    </font>
    <font>
      <b/>
      <sz val="11"/>
      <color rgb="FFFA7D00"/>
      <name val="Calibri"/>
      <family val="2"/>
      <scheme val="minor"/>
    </font>
    <font>
      <sz val="11"/>
      <color rgb="FF000000"/>
      <name val="Calibri"/>
      <family val="2"/>
    </font>
    <font>
      <u/>
      <sz val="12"/>
      <color theme="10"/>
      <name val="Calibri"/>
      <family val="2"/>
    </font>
  </fonts>
  <fills count="25">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2F2F2"/>
      </patternFill>
    </fill>
    <fill>
      <patternFill patternType="solid">
        <fgColor rgb="FFA6A6A6"/>
        <bgColor indexed="64"/>
      </patternFill>
    </fill>
    <fill>
      <patternFill patternType="solid">
        <fgColor indexed="9"/>
        <bgColor indexed="64"/>
      </patternFill>
    </fill>
    <fill>
      <patternFill patternType="solid">
        <fgColor rgb="FFEBF1DE"/>
        <bgColor indexed="64"/>
      </patternFill>
    </fill>
    <fill>
      <patternFill patternType="solid">
        <fgColor indexed="22"/>
        <bgColor indexed="64"/>
      </patternFill>
    </fill>
    <fill>
      <patternFill patternType="solid">
        <fgColor indexed="13"/>
        <bgColor indexed="64"/>
      </patternFill>
    </fill>
    <fill>
      <patternFill patternType="solid">
        <fgColor rgb="FFF2F2F2"/>
        <bgColor indexed="64"/>
      </patternFill>
    </fill>
    <fill>
      <patternFill patternType="solid">
        <fgColor rgb="FFFFFFFF"/>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rgb="FFFFFF00"/>
        <bgColor indexed="64"/>
      </patternFill>
    </fill>
    <fill>
      <patternFill patternType="solid">
        <fgColor theme="2"/>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9" tint="0.79995117038483843"/>
        <bgColor indexed="64"/>
      </patternFill>
    </fill>
  </fills>
  <borders count="10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auto="1"/>
      </right>
      <top/>
      <bottom/>
      <diagonal/>
    </border>
    <border>
      <left style="medium">
        <color auto="1"/>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34998626667073579"/>
      </left>
      <right style="thick">
        <color theme="0" tint="-0.34998626667073579"/>
      </right>
      <top style="thick">
        <color theme="0" tint="-0.34998626667073579"/>
      </top>
      <bottom/>
      <diagonal/>
    </border>
    <border>
      <left style="thick">
        <color theme="0" tint="-0.34998626667073579"/>
      </left>
      <right style="thick">
        <color theme="0" tint="-0.34998626667073579"/>
      </right>
      <top/>
      <bottom/>
      <diagonal/>
    </border>
    <border>
      <left style="thick">
        <color theme="0" tint="-0.34998626667073579"/>
      </left>
      <right style="thick">
        <color theme="0" tint="-0.34998626667073579"/>
      </right>
      <top/>
      <bottom style="thick">
        <color theme="0" tint="-0.34998626667073579"/>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right style="medium">
        <color indexed="64"/>
      </right>
      <top/>
      <bottom style="medium">
        <color indexed="39"/>
      </bottom>
      <diagonal/>
    </border>
    <border>
      <left/>
      <right/>
      <top style="medium">
        <color indexed="12"/>
      </top>
      <bottom/>
      <diagonal/>
    </border>
    <border>
      <left style="medium">
        <color indexed="64"/>
      </left>
      <right/>
      <top style="medium">
        <color indexed="12"/>
      </top>
      <bottom/>
      <diagonal/>
    </border>
    <border>
      <left/>
      <right style="medium">
        <color indexed="64"/>
      </right>
      <top style="medium">
        <color indexed="12"/>
      </top>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top style="medium">
        <color indexed="9"/>
      </top>
      <bottom/>
      <diagonal/>
    </border>
    <border>
      <left style="medium">
        <color indexed="9"/>
      </left>
      <right style="medium">
        <color indexed="9"/>
      </right>
      <top/>
      <bottom/>
      <diagonal/>
    </border>
    <border>
      <left style="medium">
        <color indexed="9"/>
      </left>
      <right/>
      <top style="medium">
        <color indexed="9"/>
      </top>
      <bottom style="medium">
        <color indexed="9"/>
      </bottom>
      <diagonal/>
    </border>
    <border>
      <left style="medium">
        <color auto="1"/>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right/>
      <top style="medium">
        <color theme="0"/>
      </top>
      <bottom style="medium">
        <color theme="0"/>
      </bottom>
      <diagonal/>
    </border>
    <border>
      <left style="medium">
        <color indexed="9"/>
      </left>
      <right/>
      <top/>
      <bottom style="medium">
        <color indexed="9"/>
      </bottom>
      <diagonal/>
    </border>
    <border>
      <left style="thin">
        <color theme="0"/>
      </left>
      <right style="thin">
        <color theme="0"/>
      </right>
      <top style="thin">
        <color theme="0"/>
      </top>
      <bottom style="thin">
        <color theme="0"/>
      </bottom>
      <diagonal/>
    </border>
    <border>
      <left style="medium">
        <color indexed="64"/>
      </left>
      <right/>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9"/>
      </right>
      <top/>
      <bottom/>
      <diagonal/>
    </border>
    <border>
      <left style="medium">
        <color indexed="9"/>
      </left>
      <right/>
      <top/>
      <bottom/>
      <diagonal/>
    </border>
    <border>
      <left style="medium">
        <color indexed="9"/>
      </left>
      <right style="medium">
        <color indexed="64"/>
      </right>
      <top style="medium">
        <color indexed="9"/>
      </top>
      <bottom style="medium">
        <color indexed="9"/>
      </bottom>
      <diagonal/>
    </border>
    <border>
      <left/>
      <right style="medium">
        <color indexed="9"/>
      </right>
      <top/>
      <bottom/>
      <diagonal/>
    </border>
    <border>
      <left/>
      <right/>
      <top/>
      <bottom style="medium">
        <color auto="1"/>
      </bottom>
      <diagonal/>
    </border>
    <border>
      <left style="thick">
        <color theme="0" tint="-0.34998626667073579"/>
      </left>
      <right style="medium">
        <color indexed="64"/>
      </right>
      <top style="thick">
        <color theme="0" tint="-0.34998626667073579"/>
      </top>
      <bottom/>
      <diagonal/>
    </border>
    <border>
      <left style="medium">
        <color theme="0"/>
      </left>
      <right/>
      <top style="medium">
        <color theme="0"/>
      </top>
      <bottom/>
      <diagonal/>
    </border>
    <border>
      <left/>
      <right/>
      <top style="medium">
        <color theme="0"/>
      </top>
      <bottom/>
      <diagonal/>
    </border>
    <border>
      <left style="medium">
        <color indexed="64"/>
      </left>
      <right/>
      <top style="medium">
        <color theme="0"/>
      </top>
      <bottom/>
      <diagonal/>
    </border>
    <border>
      <left/>
      <right style="medium">
        <color indexed="64"/>
      </right>
      <top style="medium">
        <color theme="0"/>
      </top>
      <bottom/>
      <diagonal/>
    </border>
    <border>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theme="0"/>
      </right>
      <top style="medium">
        <color theme="0"/>
      </top>
      <bottom/>
      <diagonal/>
    </border>
    <border>
      <left/>
      <right style="medium">
        <color theme="0"/>
      </right>
      <top/>
      <bottom/>
      <diagonal/>
    </border>
    <border>
      <left/>
      <right style="medium">
        <color theme="0"/>
      </right>
      <top style="medium">
        <color theme="0"/>
      </top>
      <bottom style="medium">
        <color theme="0"/>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right/>
      <top/>
      <bottom style="thin">
        <color rgb="FFC00000"/>
      </bottom>
      <diagonal/>
    </border>
    <border>
      <left style="thin">
        <color indexed="9"/>
      </left>
      <right style="thin">
        <color indexed="9"/>
      </right>
      <top style="thin">
        <color indexed="9"/>
      </top>
      <bottom style="thin">
        <color indexed="9"/>
      </bottom>
      <diagonal/>
    </border>
    <border>
      <left/>
      <right/>
      <top style="thin">
        <color indexed="64"/>
      </top>
      <bottom style="medium">
        <color indexed="64"/>
      </bottom>
      <diagonal/>
    </border>
    <border>
      <left/>
      <right/>
      <top/>
      <bottom style="medium">
        <color theme="0"/>
      </bottom>
      <diagonal/>
    </border>
    <border>
      <left/>
      <right/>
      <top style="thin">
        <color theme="0"/>
      </top>
      <bottom/>
      <diagonal/>
    </border>
    <border>
      <left/>
      <right/>
      <top style="thin">
        <color theme="0"/>
      </top>
      <bottom style="thin">
        <color theme="0"/>
      </bottom>
      <diagonal/>
    </border>
  </borders>
  <cellStyleXfs count="38">
    <xf numFmtId="0" fontId="0" fillId="0" borderId="0"/>
    <xf numFmtId="0" fontId="6" fillId="0" borderId="0"/>
    <xf numFmtId="0" fontId="11" fillId="0" borderId="0"/>
    <xf numFmtId="0" fontId="6" fillId="0" borderId="0"/>
    <xf numFmtId="0" fontId="6"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6" fillId="0" borderId="0"/>
    <xf numFmtId="0" fontId="6" fillId="0" borderId="0"/>
    <xf numFmtId="177"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177"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79" fontId="11" fillId="0" borderId="0" applyFont="0" applyFill="0" applyBorder="0" applyAlignment="0" applyProtection="0"/>
    <xf numFmtId="179" fontId="6" fillId="0" borderId="0" applyFont="0" applyFill="0" applyBorder="0" applyAlignment="0" applyProtection="0"/>
    <xf numFmtId="177" fontId="6" fillId="0" borderId="0" applyFont="0" applyFill="0" applyBorder="0" applyAlignment="0" applyProtection="0"/>
    <xf numFmtId="9" fontId="6"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1" fillId="0" borderId="0"/>
    <xf numFmtId="0" fontId="77" fillId="0" borderId="47" applyNumberFormat="0" applyFill="0" applyAlignment="0" applyProtection="0"/>
    <xf numFmtId="0" fontId="78" fillId="0" borderId="48" applyNumberFormat="0" applyFill="0" applyAlignment="0" applyProtection="0"/>
    <xf numFmtId="0" fontId="20" fillId="0" borderId="49" applyNumberFormat="0" applyFill="0" applyAlignment="0" applyProtection="0"/>
    <xf numFmtId="0" fontId="79" fillId="10" borderId="51" applyNumberFormat="0" applyAlignment="0" applyProtection="0"/>
    <xf numFmtId="0" fontId="80" fillId="10" borderId="50" applyNumberFormat="0" applyAlignment="0" applyProtection="0"/>
    <xf numFmtId="0" fontId="82" fillId="0" borderId="0" applyNumberFormat="0" applyFill="0" applyBorder="0" applyAlignment="0" applyProtection="0"/>
  </cellStyleXfs>
  <cellXfs count="720">
    <xf numFmtId="0" fontId="0" fillId="0" borderId="0" xfId="0"/>
    <xf numFmtId="0" fontId="2" fillId="0" borderId="0" xfId="0" applyFont="1"/>
    <xf numFmtId="0" fontId="0" fillId="0" borderId="0" xfId="0" applyAlignment="1">
      <alignment vertical="top" wrapText="1"/>
    </xf>
    <xf numFmtId="0" fontId="0" fillId="0" borderId="4" xfId="0" applyBorder="1" applyAlignment="1">
      <alignment horizontal="right" vertical="top"/>
    </xf>
    <xf numFmtId="0" fontId="4" fillId="0" borderId="5" xfId="0" applyFont="1" applyBorder="1"/>
    <xf numFmtId="0" fontId="5" fillId="0" borderId="0" xfId="0" applyFont="1"/>
    <xf numFmtId="0" fontId="5" fillId="0" borderId="6" xfId="0" applyFont="1" applyBorder="1" applyAlignment="1">
      <alignment vertical="top" wrapText="1"/>
    </xf>
    <xf numFmtId="0" fontId="5" fillId="0" borderId="4" xfId="0" applyFont="1" applyBorder="1" applyAlignment="1">
      <alignment horizontal="right" vertical="top"/>
    </xf>
    <xf numFmtId="0" fontId="5" fillId="0" borderId="0" xfId="1" applyFont="1" applyAlignment="1">
      <alignment wrapText="1"/>
    </xf>
    <xf numFmtId="0" fontId="5" fillId="0" borderId="5" xfId="0" applyFont="1" applyBorder="1"/>
    <xf numFmtId="0" fontId="5" fillId="0" borderId="7" xfId="0" applyFont="1" applyBorder="1" applyAlignment="1">
      <alignment horizontal="right" vertical="top"/>
    </xf>
    <xf numFmtId="0" fontId="0" fillId="0" borderId="11" xfId="0" applyBorder="1" applyAlignment="1">
      <alignment horizontal="right" vertical="top"/>
    </xf>
    <xf numFmtId="0" fontId="5" fillId="0" borderId="0" xfId="0" applyFont="1" applyAlignment="1">
      <alignment vertical="top" wrapText="1"/>
    </xf>
    <xf numFmtId="0" fontId="2" fillId="0" borderId="8" xfId="0" applyFont="1" applyBorder="1"/>
    <xf numFmtId="0" fontId="2" fillId="0" borderId="9" xfId="0" applyFont="1" applyBorder="1"/>
    <xf numFmtId="0" fontId="0" fillId="0" borderId="9" xfId="0" applyBorder="1"/>
    <xf numFmtId="0" fontId="0" fillId="0" borderId="9" xfId="0" applyBorder="1" applyAlignment="1">
      <alignment vertical="top"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top"/>
    </xf>
    <xf numFmtId="0" fontId="7" fillId="3" borderId="3" xfId="0" applyFont="1" applyFill="1" applyBorder="1" applyAlignment="1">
      <alignment vertical="top" wrapText="1"/>
    </xf>
    <xf numFmtId="0" fontId="0" fillId="0" borderId="19" xfId="0" applyBorder="1" applyAlignment="1">
      <alignment horizontal="center" vertical="top"/>
    </xf>
    <xf numFmtId="0" fontId="0" fillId="0" borderId="6" xfId="0" applyBorder="1" applyAlignment="1">
      <alignment vertical="top" wrapText="1"/>
    </xf>
    <xf numFmtId="0" fontId="8" fillId="0" borderId="6" xfId="0" applyFont="1" applyBorder="1" applyAlignment="1">
      <alignment vertical="top" wrapText="1"/>
    </xf>
    <xf numFmtId="0" fontId="0" fillId="0" borderId="23" xfId="0" applyBorder="1" applyAlignment="1">
      <alignment horizontal="center" vertical="top"/>
    </xf>
    <xf numFmtId="0" fontId="0" fillId="0" borderId="24" xfId="0" applyBorder="1" applyAlignment="1">
      <alignment vertical="top" wrapText="1"/>
    </xf>
    <xf numFmtId="0" fontId="0" fillId="0" borderId="6" xfId="0" applyBorder="1" applyAlignment="1">
      <alignment horizontal="left" vertical="top" wrapText="1"/>
    </xf>
    <xf numFmtId="0" fontId="0" fillId="0" borderId="28" xfId="0" applyBorder="1" applyAlignment="1">
      <alignment horizontal="center" vertical="top"/>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vertical="top" wrapText="1"/>
    </xf>
    <xf numFmtId="0" fontId="10" fillId="0" borderId="6" xfId="0" applyFont="1" applyBorder="1" applyAlignment="1">
      <alignment vertical="top" wrapText="1"/>
    </xf>
    <xf numFmtId="0" fontId="10" fillId="0" borderId="6" xfId="0" applyFont="1" applyBorder="1" applyAlignment="1">
      <alignment horizontal="left" vertical="top" wrapText="1"/>
    </xf>
    <xf numFmtId="0" fontId="0" fillId="0" borderId="31" xfId="0" applyBorder="1" applyAlignment="1">
      <alignment horizontal="left" vertical="top" wrapText="1"/>
    </xf>
    <xf numFmtId="0" fontId="10" fillId="0" borderId="31" xfId="0" applyFont="1" applyBorder="1" applyAlignment="1">
      <alignment horizontal="left" vertical="top" wrapText="1"/>
    </xf>
    <xf numFmtId="0" fontId="0" fillId="0" borderId="35" xfId="0" applyBorder="1" applyAlignment="1">
      <alignment horizontal="center" vertical="top"/>
    </xf>
    <xf numFmtId="0" fontId="0" fillId="0" borderId="10" xfId="0" applyBorder="1" applyAlignment="1">
      <alignment vertical="top" wrapText="1"/>
    </xf>
    <xf numFmtId="0" fontId="17" fillId="4" borderId="0" xfId="6" applyFont="1" applyFill="1" applyBorder="1" applyAlignment="1">
      <alignment horizontal="left" vertical="center"/>
    </xf>
    <xf numFmtId="0" fontId="1" fillId="4" borderId="0" xfId="6" applyFill="1"/>
    <xf numFmtId="0" fontId="18" fillId="5" borderId="36" xfId="6" applyFont="1" applyFill="1" applyBorder="1" applyAlignment="1">
      <alignment horizontal="center"/>
    </xf>
    <xf numFmtId="0" fontId="18" fillId="5" borderId="36" xfId="6" applyFont="1" applyFill="1" applyBorder="1" applyAlignment="1">
      <alignment horizontal="center" wrapText="1"/>
    </xf>
    <xf numFmtId="0" fontId="17" fillId="4" borderId="0" xfId="6" applyFont="1" applyFill="1" applyAlignment="1">
      <alignment horizontal="center"/>
    </xf>
    <xf numFmtId="0" fontId="1" fillId="6" borderId="36" xfId="6" applyFill="1" applyBorder="1" applyAlignment="1">
      <alignment horizontal="left" vertical="center" wrapText="1"/>
    </xf>
    <xf numFmtId="0" fontId="1" fillId="7" borderId="36" xfId="6" applyFill="1" applyBorder="1" applyAlignment="1">
      <alignment horizontal="left" vertical="center" wrapText="1"/>
    </xf>
    <xf numFmtId="0" fontId="1" fillId="4" borderId="36" xfId="6" applyFill="1" applyBorder="1" applyAlignment="1">
      <alignment horizontal="center" vertical="center"/>
    </xf>
    <xf numFmtId="0" fontId="1" fillId="7" borderId="36" xfId="6" applyFont="1" applyFill="1" applyBorder="1" applyAlignment="1">
      <alignment horizontal="left" vertical="center" wrapText="1"/>
    </xf>
    <xf numFmtId="0" fontId="1" fillId="7" borderId="36" xfId="6" applyFill="1" applyBorder="1" applyAlignment="1">
      <alignment vertical="center" wrapText="1"/>
    </xf>
    <xf numFmtId="0" fontId="1" fillId="6" borderId="36" xfId="6" applyFill="1" applyBorder="1" applyAlignment="1">
      <alignment vertical="center" wrapText="1"/>
    </xf>
    <xf numFmtId="0" fontId="1" fillId="7" borderId="36" xfId="6" applyFont="1" applyFill="1" applyBorder="1" applyAlignment="1">
      <alignment vertical="center" wrapText="1"/>
    </xf>
    <xf numFmtId="0" fontId="0" fillId="0" borderId="0" xfId="0" applyProtection="1"/>
    <xf numFmtId="0" fontId="19" fillId="0" borderId="0" xfId="0" applyFont="1" applyAlignment="1" applyProtection="1">
      <alignment horizontal="center" vertical="center"/>
    </xf>
    <xf numFmtId="0" fontId="0" fillId="0" borderId="0" xfId="0" applyFill="1" applyProtection="1"/>
    <xf numFmtId="0" fontId="0" fillId="4" borderId="0" xfId="0" applyFill="1" applyAlignment="1" applyProtection="1">
      <alignment horizontal="left"/>
    </xf>
    <xf numFmtId="0" fontId="7" fillId="0" borderId="0" xfId="0" applyFont="1" applyProtection="1"/>
    <xf numFmtId="168" fontId="20" fillId="0" borderId="0" xfId="0" applyNumberFormat="1" applyFont="1" applyAlignment="1" applyProtection="1">
      <alignment horizontal="left"/>
    </xf>
    <xf numFmtId="0" fontId="21"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21" fillId="0" borderId="0" xfId="0" applyFont="1" applyAlignment="1" applyProtection="1">
      <alignment horizontal="right" vertical="center" indent="1"/>
    </xf>
    <xf numFmtId="0" fontId="22" fillId="0" borderId="0" xfId="0" applyFont="1" applyProtection="1"/>
    <xf numFmtId="169" fontId="0" fillId="0" borderId="0" xfId="0" applyNumberFormat="1" applyProtection="1"/>
    <xf numFmtId="0" fontId="22" fillId="0" borderId="0" xfId="0" applyFont="1" applyAlignment="1" applyProtection="1">
      <alignment horizontal="right" vertical="center"/>
    </xf>
    <xf numFmtId="2" fontId="0" fillId="0" borderId="0" xfId="0" applyNumberFormat="1" applyProtection="1"/>
    <xf numFmtId="0" fontId="0" fillId="0" borderId="0" xfId="0" applyNumberFormat="1" applyProtection="1"/>
    <xf numFmtId="0" fontId="21" fillId="0" borderId="0" xfId="0" applyFont="1" applyAlignment="1" applyProtection="1">
      <alignment horizontal="right" vertical="center" indent="2"/>
    </xf>
    <xf numFmtId="0" fontId="0" fillId="0" borderId="0" xfId="0" applyAlignment="1" applyProtection="1">
      <alignment horizontal="left" indent="1"/>
    </xf>
    <xf numFmtId="0" fontId="22" fillId="0" borderId="0" xfId="0" applyFont="1" applyFill="1" applyBorder="1" applyAlignment="1" applyProtection="1">
      <alignment horizontal="left" vertical="center"/>
      <protection locked="0"/>
    </xf>
    <xf numFmtId="0" fontId="21" fillId="0" borderId="0" xfId="0" applyFont="1" applyAlignment="1" applyProtection="1">
      <alignment horizontal="left" vertical="center" wrapText="1" indent="1"/>
    </xf>
    <xf numFmtId="0" fontId="21" fillId="0" borderId="0" xfId="0" applyFont="1" applyBorder="1" applyAlignment="1" applyProtection="1">
      <alignment horizontal="left" vertical="center" wrapText="1" indent="1"/>
    </xf>
    <xf numFmtId="0" fontId="21" fillId="0" borderId="0" xfId="0" applyNumberFormat="1" applyFont="1" applyFill="1" applyBorder="1" applyAlignment="1" applyProtection="1">
      <alignment horizontal="center" vertical="center"/>
      <protection locked="0"/>
    </xf>
    <xf numFmtId="0" fontId="21" fillId="6" borderId="42" xfId="0" applyNumberFormat="1" applyFont="1" applyFill="1" applyBorder="1" applyAlignment="1" applyProtection="1">
      <alignment horizontal="center" vertical="center"/>
      <protection locked="0"/>
    </xf>
    <xf numFmtId="0" fontId="0" fillId="0" borderId="0" xfId="0" applyProtection="1">
      <protection locked="0"/>
    </xf>
    <xf numFmtId="0" fontId="9" fillId="0" borderId="0" xfId="0" applyFont="1" applyProtection="1"/>
    <xf numFmtId="0" fontId="21" fillId="0" borderId="0" xfId="0" applyFont="1" applyAlignment="1" applyProtection="1">
      <alignment horizontal="right" vertical="center" wrapText="1" indent="2"/>
    </xf>
    <xf numFmtId="0" fontId="21" fillId="0" borderId="0" xfId="0" applyFont="1" applyBorder="1" applyAlignment="1" applyProtection="1">
      <alignment horizontal="right" vertical="center" wrapText="1" indent="2"/>
    </xf>
    <xf numFmtId="0" fontId="24" fillId="0" borderId="0" xfId="0" applyFont="1" applyProtection="1"/>
    <xf numFmtId="0" fontId="0" fillId="7" borderId="46" xfId="0" applyFill="1" applyBorder="1" applyProtection="1"/>
    <xf numFmtId="0" fontId="0" fillId="0" borderId="0" xfId="0" applyAlignment="1" applyProtection="1">
      <alignment horizontal="left"/>
    </xf>
    <xf numFmtId="0" fontId="0" fillId="6" borderId="46" xfId="0" applyFill="1" applyBorder="1" applyProtection="1"/>
    <xf numFmtId="0" fontId="0" fillId="8" borderId="46" xfId="0" applyFill="1" applyBorder="1" applyProtection="1"/>
    <xf numFmtId="0" fontId="0" fillId="0" borderId="0" xfId="0" applyFill="1" applyBorder="1" applyProtection="1"/>
    <xf numFmtId="0" fontId="6" fillId="0" borderId="0" xfId="0" applyFont="1" applyBorder="1" applyAlignment="1" applyProtection="1">
      <alignment horizontal="left" vertical="top" wrapText="1"/>
    </xf>
    <xf numFmtId="0" fontId="0" fillId="9" borderId="46" xfId="0" applyFill="1" applyBorder="1" applyProtection="1"/>
    <xf numFmtId="0" fontId="0" fillId="0" borderId="0" xfId="0" applyAlignment="1" applyProtection="1">
      <alignment wrapText="1"/>
    </xf>
    <xf numFmtId="0" fontId="0" fillId="0" borderId="46" xfId="0" applyBorder="1" applyProtection="1"/>
    <xf numFmtId="0" fontId="6" fillId="0" borderId="0" xfId="2" applyFont="1" applyProtection="1"/>
    <xf numFmtId="170" fontId="0" fillId="0" borderId="0" xfId="0" applyNumberFormat="1" applyProtection="1">
      <protection locked="0"/>
    </xf>
    <xf numFmtId="0" fontId="26" fillId="0" borderId="0" xfId="2" applyFont="1" applyProtection="1">
      <protection locked="0"/>
    </xf>
    <xf numFmtId="0" fontId="6" fillId="0" borderId="0" xfId="2" applyFont="1" applyProtection="1">
      <protection locked="0"/>
    </xf>
    <xf numFmtId="0" fontId="27" fillId="0" borderId="0" xfId="2" applyFont="1" applyProtection="1">
      <protection locked="0"/>
    </xf>
    <xf numFmtId="170" fontId="0" fillId="0" borderId="0" xfId="0" applyNumberFormat="1" applyBorder="1" applyProtection="1">
      <protection locked="0"/>
    </xf>
    <xf numFmtId="170" fontId="0" fillId="0" borderId="9" xfId="0" applyNumberFormat="1" applyBorder="1" applyProtection="1">
      <protection locked="0"/>
    </xf>
    <xf numFmtId="0" fontId="13" fillId="0" borderId="9" xfId="2" applyFont="1" applyFill="1" applyBorder="1" applyAlignment="1" applyProtection="1">
      <alignment horizontal="center" vertical="center" wrapText="1"/>
      <protection locked="0"/>
    </xf>
    <xf numFmtId="0" fontId="28" fillId="0" borderId="0" xfId="0" applyNumberFormat="1" applyFont="1" applyFill="1" applyProtection="1"/>
    <xf numFmtId="0" fontId="13" fillId="0" borderId="0" xfId="0" applyNumberFormat="1" applyFont="1" applyAlignment="1" applyProtection="1">
      <alignment wrapText="1"/>
    </xf>
    <xf numFmtId="0" fontId="30" fillId="0" borderId="52" xfId="0" applyNumberFormat="1" applyFont="1" applyBorder="1" applyAlignment="1" applyProtection="1">
      <alignment horizontal="center"/>
    </xf>
    <xf numFmtId="0" fontId="30" fillId="0" borderId="3" xfId="0" applyNumberFormat="1" applyFont="1" applyBorder="1" applyAlignment="1" applyProtection="1">
      <alignment horizontal="center"/>
    </xf>
    <xf numFmtId="0" fontId="30" fillId="0" borderId="3" xfId="0" applyNumberFormat="1" applyFont="1" applyBorder="1" applyAlignment="1" applyProtection="1"/>
    <xf numFmtId="0" fontId="26" fillId="0" borderId="0" xfId="2" applyFont="1" applyProtection="1"/>
    <xf numFmtId="0" fontId="37" fillId="0" borderId="53" xfId="0" applyFont="1" applyBorder="1" applyAlignment="1" applyProtection="1">
      <alignment vertical="center"/>
    </xf>
    <xf numFmtId="0" fontId="38" fillId="0" borderId="52" xfId="0" applyFont="1" applyBorder="1" applyProtection="1"/>
    <xf numFmtId="172" fontId="38" fillId="0" borderId="59" xfId="0" applyNumberFormat="1" applyFont="1" applyBorder="1" applyProtection="1"/>
    <xf numFmtId="172" fontId="38" fillId="0" borderId="0" xfId="0" applyNumberFormat="1" applyFont="1" applyBorder="1" applyProtection="1"/>
    <xf numFmtId="171" fontId="0" fillId="0" borderId="0" xfId="0" applyNumberFormat="1" applyBorder="1" applyAlignment="1" applyProtection="1">
      <alignment wrapText="1"/>
    </xf>
    <xf numFmtId="171" fontId="13" fillId="0" borderId="6" xfId="0" applyNumberFormat="1" applyFont="1" applyBorder="1" applyAlignment="1" applyProtection="1">
      <alignment horizontal="center" vertical="center" wrapText="1"/>
    </xf>
    <xf numFmtId="171" fontId="38" fillId="0" borderId="5" xfId="0" applyNumberFormat="1" applyFont="1" applyBorder="1" applyProtection="1"/>
    <xf numFmtId="171" fontId="38" fillId="0" borderId="0" xfId="0" applyNumberFormat="1" applyFont="1" applyBorder="1" applyProtection="1"/>
    <xf numFmtId="172" fontId="0" fillId="0" borderId="0" xfId="0" applyNumberFormat="1" applyBorder="1" applyAlignment="1" applyProtection="1">
      <alignment wrapText="1"/>
    </xf>
    <xf numFmtId="172" fontId="13" fillId="0" borderId="6" xfId="0" applyNumberFormat="1" applyFont="1" applyBorder="1" applyAlignment="1" applyProtection="1">
      <alignment horizontal="center" vertical="center" wrapText="1"/>
    </xf>
    <xf numFmtId="172" fontId="38" fillId="0" borderId="5" xfId="0" applyNumberFormat="1" applyFont="1" applyBorder="1" applyProtection="1"/>
    <xf numFmtId="172" fontId="38" fillId="0" borderId="0" xfId="0" applyNumberFormat="1" applyFont="1" applyFill="1" applyBorder="1" applyProtection="1"/>
    <xf numFmtId="172" fontId="13" fillId="0" borderId="0" xfId="0" applyNumberFormat="1" applyFont="1" applyBorder="1" applyAlignment="1" applyProtection="1">
      <alignment horizontal="center" vertical="center" wrapText="1"/>
    </xf>
    <xf numFmtId="172" fontId="0" fillId="0" borderId="60" xfId="0" applyNumberFormat="1" applyBorder="1" applyAlignment="1" applyProtection="1">
      <alignment wrapText="1"/>
    </xf>
    <xf numFmtId="172" fontId="0" fillId="0" borderId="59" xfId="0" applyNumberFormat="1" applyBorder="1" applyAlignment="1" applyProtection="1">
      <alignment wrapText="1"/>
    </xf>
    <xf numFmtId="172" fontId="0" fillId="0" borderId="5" xfId="0" applyNumberFormat="1" applyBorder="1" applyProtection="1"/>
    <xf numFmtId="172" fontId="0" fillId="0" borderId="0" xfId="0" applyNumberFormat="1" applyBorder="1" applyProtection="1"/>
    <xf numFmtId="172" fontId="0" fillId="0" borderId="0" xfId="0" applyNumberFormat="1" applyFill="1" applyBorder="1" applyProtection="1"/>
    <xf numFmtId="172" fontId="0" fillId="9" borderId="6" xfId="0" applyNumberFormat="1" applyFill="1" applyBorder="1" applyProtection="1"/>
    <xf numFmtId="172" fontId="0" fillId="0" borderId="61" xfId="0" applyNumberFormat="1" applyBorder="1" applyProtection="1"/>
    <xf numFmtId="0" fontId="38" fillId="0" borderId="5" xfId="0" applyFont="1" applyBorder="1" applyProtection="1"/>
    <xf numFmtId="0" fontId="38" fillId="0" borderId="6" xfId="0" applyFont="1" applyBorder="1" applyAlignment="1" applyProtection="1">
      <alignment horizontal="center"/>
    </xf>
    <xf numFmtId="171" fontId="38" fillId="11" borderId="62" xfId="0" applyNumberFormat="1" applyFont="1" applyFill="1" applyBorder="1" applyProtection="1"/>
    <xf numFmtId="171" fontId="38" fillId="11" borderId="63" xfId="0" applyNumberFormat="1" applyFont="1" applyFill="1" applyBorder="1" applyProtection="1"/>
    <xf numFmtId="171" fontId="38" fillId="0" borderId="0" xfId="0" applyNumberFormat="1" applyFont="1" applyFill="1" applyBorder="1" applyProtection="1"/>
    <xf numFmtId="171" fontId="38" fillId="12" borderId="64" xfId="0" applyNumberFormat="1" applyFont="1" applyFill="1" applyBorder="1" applyProtection="1"/>
    <xf numFmtId="171" fontId="38" fillId="0" borderId="6" xfId="0" applyNumberFormat="1" applyFont="1" applyFill="1" applyBorder="1" applyProtection="1"/>
    <xf numFmtId="171" fontId="38" fillId="12" borderId="65" xfId="0" applyNumberFormat="1" applyFont="1" applyFill="1" applyBorder="1" applyProtection="1"/>
    <xf numFmtId="171" fontId="38" fillId="12" borderId="63" xfId="0" applyNumberFormat="1" applyFont="1" applyFill="1" applyBorder="1" applyProtection="1"/>
    <xf numFmtId="171" fontId="38" fillId="11" borderId="66" xfId="2" applyNumberFormat="1" applyFont="1" applyFill="1" applyBorder="1" applyProtection="1"/>
    <xf numFmtId="171" fontId="38" fillId="11" borderId="67" xfId="2" applyNumberFormat="1" applyFont="1" applyFill="1" applyBorder="1" applyProtection="1"/>
    <xf numFmtId="171" fontId="38" fillId="13" borderId="63" xfId="0" applyNumberFormat="1" applyFont="1" applyFill="1" applyBorder="1" applyProtection="1">
      <protection locked="0"/>
    </xf>
    <xf numFmtId="171" fontId="38" fillId="13" borderId="63" xfId="2" applyNumberFormat="1" applyFont="1" applyFill="1" applyBorder="1" applyProtection="1">
      <protection locked="0"/>
    </xf>
    <xf numFmtId="171" fontId="38" fillId="7" borderId="63" xfId="0" applyNumberFormat="1" applyFont="1" applyFill="1" applyBorder="1" applyProtection="1">
      <protection locked="0"/>
    </xf>
    <xf numFmtId="171" fontId="38" fillId="7" borderId="63" xfId="2" applyNumberFormat="1" applyFont="1" applyFill="1" applyBorder="1" applyProtection="1">
      <protection locked="0"/>
    </xf>
    <xf numFmtId="171" fontId="38" fillId="12" borderId="68" xfId="0" applyNumberFormat="1" applyFont="1" applyFill="1" applyBorder="1" applyProtection="1"/>
    <xf numFmtId="171" fontId="38" fillId="7" borderId="69" xfId="2" applyNumberFormat="1" applyFont="1" applyFill="1" applyBorder="1" applyProtection="1">
      <protection locked="0"/>
    </xf>
    <xf numFmtId="171" fontId="38" fillId="0" borderId="68" xfId="0" applyNumberFormat="1" applyFont="1" applyFill="1" applyBorder="1" applyProtection="1"/>
    <xf numFmtId="171" fontId="22" fillId="0" borderId="0" xfId="0" applyNumberFormat="1" applyFont="1" applyBorder="1" applyProtection="1"/>
    <xf numFmtId="171" fontId="22" fillId="9" borderId="6" xfId="0" applyNumberFormat="1" applyFont="1" applyFill="1" applyBorder="1" applyProtection="1"/>
    <xf numFmtId="171" fontId="22" fillId="0" borderId="6" xfId="0" applyNumberFormat="1" applyFont="1" applyBorder="1" applyProtection="1"/>
    <xf numFmtId="171" fontId="38" fillId="11" borderId="70" xfId="0" applyNumberFormat="1" applyFont="1" applyFill="1" applyBorder="1" applyProtection="1"/>
    <xf numFmtId="171" fontId="38" fillId="11" borderId="71" xfId="0" applyNumberFormat="1" applyFont="1" applyFill="1" applyBorder="1" applyProtection="1"/>
    <xf numFmtId="171" fontId="38" fillId="11" borderId="72" xfId="2" applyNumberFormat="1" applyFont="1" applyFill="1" applyBorder="1" applyProtection="1"/>
    <xf numFmtId="171" fontId="38" fillId="11" borderId="63" xfId="2" applyNumberFormat="1" applyFont="1" applyFill="1" applyBorder="1" applyProtection="1"/>
    <xf numFmtId="171" fontId="38" fillId="13" borderId="71" xfId="0" applyNumberFormat="1" applyFont="1" applyFill="1" applyBorder="1" applyProtection="1">
      <protection locked="0"/>
    </xf>
    <xf numFmtId="171" fontId="38" fillId="13" borderId="70" xfId="0" applyNumberFormat="1" applyFont="1" applyFill="1" applyBorder="1" applyProtection="1">
      <protection locked="0"/>
    </xf>
    <xf numFmtId="171" fontId="38" fillId="7" borderId="71" xfId="0" applyNumberFormat="1" applyFont="1" applyFill="1" applyBorder="1" applyProtection="1">
      <protection locked="0"/>
    </xf>
    <xf numFmtId="0" fontId="38" fillId="0" borderId="5" xfId="0" applyFont="1" applyBorder="1" applyAlignment="1" applyProtection="1"/>
    <xf numFmtId="171" fontId="38" fillId="11" borderId="73" xfId="2" applyNumberFormat="1" applyFont="1" applyFill="1" applyBorder="1" applyProtection="1"/>
    <xf numFmtId="171" fontId="38" fillId="7" borderId="65" xfId="0" applyNumberFormat="1" applyFont="1" applyFill="1" applyBorder="1" applyProtection="1">
      <protection locked="0"/>
    </xf>
    <xf numFmtId="171" fontId="38" fillId="7" borderId="69" xfId="0" applyNumberFormat="1" applyFont="1" applyFill="1" applyBorder="1" applyProtection="1">
      <protection locked="0"/>
    </xf>
    <xf numFmtId="171" fontId="38" fillId="11" borderId="68" xfId="2" applyNumberFormat="1" applyFont="1" applyFill="1" applyBorder="1" applyProtection="1"/>
    <xf numFmtId="171" fontId="38" fillId="11" borderId="70" xfId="2" applyNumberFormat="1" applyFont="1" applyFill="1" applyBorder="1" applyProtection="1"/>
    <xf numFmtId="173" fontId="38" fillId="0" borderId="5" xfId="0" applyNumberFormat="1" applyFont="1" applyBorder="1" applyAlignment="1" applyProtection="1"/>
    <xf numFmtId="0" fontId="38" fillId="0" borderId="5" xfId="0" applyFont="1" applyBorder="1" applyAlignment="1" applyProtection="1">
      <alignment horizontal="left"/>
    </xf>
    <xf numFmtId="0" fontId="40" fillId="4" borderId="74" xfId="0" applyNumberFormat="1" applyFont="1" applyFill="1" applyBorder="1" applyAlignment="1" applyProtection="1">
      <alignment horizontal="center" vertical="center"/>
    </xf>
    <xf numFmtId="171" fontId="38" fillId="7" borderId="62" xfId="0" applyNumberFormat="1" applyFont="1" applyFill="1" applyBorder="1" applyProtection="1">
      <protection locked="0"/>
    </xf>
    <xf numFmtId="171" fontId="38" fillId="7" borderId="68" xfId="2" applyNumberFormat="1" applyFont="1" applyFill="1" applyBorder="1" applyProtection="1">
      <protection locked="0"/>
    </xf>
    <xf numFmtId="0" fontId="21" fillId="6" borderId="74" xfId="0" applyNumberFormat="1" applyFont="1" applyFill="1" applyBorder="1" applyAlignment="1" applyProtection="1">
      <alignment horizontal="center" vertical="center"/>
      <protection locked="0"/>
    </xf>
    <xf numFmtId="171" fontId="38" fillId="13" borderId="68" xfId="2" applyNumberFormat="1" applyFont="1" applyFill="1" applyBorder="1" applyProtection="1">
      <protection locked="0"/>
    </xf>
    <xf numFmtId="0" fontId="21" fillId="0" borderId="74" xfId="0" applyNumberFormat="1" applyFont="1" applyFill="1" applyBorder="1" applyAlignment="1" applyProtection="1">
      <alignment horizontal="center" vertical="center"/>
    </xf>
    <xf numFmtId="0" fontId="38" fillId="0" borderId="5" xfId="0" applyFont="1" applyBorder="1" applyAlignment="1" applyProtection="1">
      <alignment horizontal="left" vertical="top" wrapText="1"/>
    </xf>
    <xf numFmtId="0" fontId="38" fillId="0" borderId="5" xfId="2" applyFont="1" applyBorder="1" applyAlignment="1" applyProtection="1">
      <alignment horizontal="left" wrapText="1"/>
    </xf>
    <xf numFmtId="0" fontId="38" fillId="0" borderId="6" xfId="0" applyFont="1" applyBorder="1" applyAlignment="1" applyProtection="1">
      <alignment horizontal="center" vertical="center"/>
    </xf>
    <xf numFmtId="172" fontId="38" fillId="0" borderId="0" xfId="0" applyNumberFormat="1" applyFont="1" applyFill="1" applyBorder="1" applyProtection="1">
      <protection locked="0"/>
    </xf>
    <xf numFmtId="172" fontId="38" fillId="0" borderId="6" xfId="0" applyNumberFormat="1" applyFont="1" applyFill="1" applyBorder="1" applyProtection="1">
      <protection locked="0"/>
    </xf>
    <xf numFmtId="172" fontId="38" fillId="0" borderId="5" xfId="0" applyNumberFormat="1" applyFont="1" applyFill="1" applyBorder="1" applyProtection="1">
      <protection locked="0"/>
    </xf>
    <xf numFmtId="171" fontId="38" fillId="0" borderId="5" xfId="0" applyNumberFormat="1" applyFont="1" applyFill="1" applyBorder="1" applyProtection="1">
      <protection locked="0"/>
    </xf>
    <xf numFmtId="171" fontId="38" fillId="0" borderId="0" xfId="0" applyNumberFormat="1" applyFont="1" applyFill="1" applyBorder="1" applyProtection="1">
      <protection locked="0"/>
    </xf>
    <xf numFmtId="171" fontId="38" fillId="0" borderId="6" xfId="0" applyNumberFormat="1" applyFont="1" applyFill="1" applyBorder="1" applyProtection="1">
      <protection locked="0"/>
    </xf>
    <xf numFmtId="172" fontId="0" fillId="0" borderId="5" xfId="0" applyNumberFormat="1" applyBorder="1" applyProtection="1">
      <protection locked="0"/>
    </xf>
    <xf numFmtId="172" fontId="0" fillId="0" borderId="0" xfId="0" applyNumberFormat="1" applyBorder="1" applyProtection="1">
      <protection locked="0"/>
    </xf>
    <xf numFmtId="171" fontId="0" fillId="0" borderId="0" xfId="0" applyNumberFormat="1" applyBorder="1" applyProtection="1"/>
    <xf numFmtId="172" fontId="22" fillId="9" borderId="6" xfId="0" applyNumberFormat="1" applyFont="1" applyFill="1" applyBorder="1" applyProtection="1"/>
    <xf numFmtId="0" fontId="13" fillId="0" borderId="5" xfId="0" applyFont="1" applyBorder="1" applyAlignment="1" applyProtection="1">
      <alignment horizontal="left"/>
    </xf>
    <xf numFmtId="0" fontId="13" fillId="0" borderId="6" xfId="0" applyFont="1" applyBorder="1" applyAlignment="1" applyProtection="1">
      <alignment horizontal="center"/>
    </xf>
    <xf numFmtId="171" fontId="38" fillId="0" borderId="5" xfId="0" applyNumberFormat="1" applyFont="1" applyFill="1" applyBorder="1" applyProtection="1"/>
    <xf numFmtId="171" fontId="38" fillId="0" borderId="75" xfId="0" applyNumberFormat="1" applyFont="1" applyFill="1" applyBorder="1" applyProtection="1"/>
    <xf numFmtId="171" fontId="38" fillId="9" borderId="6" xfId="0" applyNumberFormat="1" applyFont="1" applyFill="1" applyBorder="1" applyProtection="1"/>
    <xf numFmtId="0" fontId="13" fillId="0" borderId="5" xfId="0" applyFont="1" applyBorder="1" applyAlignment="1" applyProtection="1"/>
    <xf numFmtId="172" fontId="0" fillId="0" borderId="6" xfId="0" applyNumberFormat="1" applyBorder="1" applyProtection="1"/>
    <xf numFmtId="171" fontId="38" fillId="0" borderId="76" xfId="0" applyNumberFormat="1" applyFont="1" applyFill="1" applyBorder="1" applyProtection="1"/>
    <xf numFmtId="172" fontId="0" fillId="0" borderId="0" xfId="0" applyNumberFormat="1" applyProtection="1">
      <protection locked="0"/>
    </xf>
    <xf numFmtId="172" fontId="0" fillId="0" borderId="0" xfId="0" applyNumberFormat="1" applyProtection="1"/>
    <xf numFmtId="171" fontId="38" fillId="12" borderId="69" xfId="0" applyNumberFormat="1" applyFont="1" applyFill="1" applyBorder="1" applyProtection="1"/>
    <xf numFmtId="171" fontId="38" fillId="12" borderId="5" xfId="0" applyNumberFormat="1" applyFont="1" applyFill="1" applyBorder="1" applyProtection="1"/>
    <xf numFmtId="0" fontId="38" fillId="0" borderId="6" xfId="0" applyFont="1" applyFill="1" applyBorder="1" applyProtection="1"/>
    <xf numFmtId="172" fontId="22" fillId="0" borderId="6" xfId="0" applyNumberFormat="1" applyFont="1" applyBorder="1" applyProtection="1"/>
    <xf numFmtId="172" fontId="42" fillId="0" borderId="0" xfId="0" applyNumberFormat="1" applyFont="1" applyProtection="1">
      <protection locked="0"/>
    </xf>
    <xf numFmtId="172" fontId="22" fillId="0" borderId="0" xfId="0" applyNumberFormat="1" applyFont="1" applyProtection="1">
      <protection locked="0"/>
    </xf>
    <xf numFmtId="172" fontId="22" fillId="0" borderId="0" xfId="0" applyNumberFormat="1" applyFont="1" applyProtection="1"/>
    <xf numFmtId="0" fontId="43" fillId="0" borderId="5" xfId="2" applyFont="1" applyBorder="1" applyProtection="1"/>
    <xf numFmtId="0" fontId="43" fillId="0" borderId="6" xfId="2" applyFont="1" applyBorder="1" applyAlignment="1" applyProtection="1">
      <alignment horizontal="center"/>
    </xf>
    <xf numFmtId="172" fontId="10" fillId="14" borderId="0" xfId="0" applyNumberFormat="1" applyFont="1" applyFill="1" applyBorder="1" applyProtection="1">
      <protection locked="0"/>
    </xf>
    <xf numFmtId="172" fontId="10" fillId="14" borderId="6" xfId="0" applyNumberFormat="1" applyFont="1" applyFill="1" applyBorder="1" applyProtection="1">
      <protection locked="0"/>
    </xf>
    <xf numFmtId="171" fontId="38" fillId="7" borderId="77" xfId="0" applyNumberFormat="1" applyFont="1" applyFill="1" applyBorder="1" applyProtection="1">
      <protection locked="0"/>
    </xf>
    <xf numFmtId="171" fontId="38" fillId="7" borderId="67" xfId="0" applyNumberFormat="1" applyFont="1" applyFill="1" applyBorder="1" applyProtection="1">
      <protection locked="0"/>
    </xf>
    <xf numFmtId="171" fontId="38" fillId="12" borderId="62" xfId="0" applyNumberFormat="1" applyFont="1" applyFill="1" applyBorder="1" applyProtection="1">
      <protection locked="0"/>
    </xf>
    <xf numFmtId="171" fontId="38" fillId="12" borderId="65" xfId="0" applyNumberFormat="1" applyFont="1" applyFill="1" applyBorder="1" applyProtection="1">
      <protection locked="0"/>
    </xf>
    <xf numFmtId="171" fontId="38" fillId="7" borderId="78" xfId="2" applyNumberFormat="1" applyFont="1" applyFill="1" applyBorder="1" applyProtection="1">
      <protection locked="0"/>
    </xf>
    <xf numFmtId="171" fontId="38" fillId="12" borderId="79" xfId="0" applyNumberFormat="1" applyFont="1" applyFill="1" applyBorder="1" applyProtection="1"/>
    <xf numFmtId="171" fontId="38" fillId="7" borderId="80" xfId="0" applyNumberFormat="1" applyFont="1" applyFill="1" applyBorder="1" applyProtection="1">
      <protection locked="0"/>
    </xf>
    <xf numFmtId="172" fontId="0" fillId="0" borderId="0" xfId="0" applyNumberFormat="1" applyFont="1" applyProtection="1">
      <protection locked="0"/>
    </xf>
    <xf numFmtId="172" fontId="0" fillId="0" borderId="6" xfId="0" applyNumberFormat="1" applyFont="1" applyBorder="1" applyProtection="1">
      <protection locked="0"/>
    </xf>
    <xf numFmtId="171" fontId="0" fillId="0" borderId="0" xfId="0" applyNumberFormat="1" applyFont="1" applyProtection="1">
      <protection locked="0"/>
    </xf>
    <xf numFmtId="171" fontId="22" fillId="0" borderId="0" xfId="0" applyNumberFormat="1" applyFont="1" applyProtection="1">
      <protection locked="0"/>
    </xf>
    <xf numFmtId="171" fontId="22" fillId="0" borderId="6" xfId="0" applyNumberFormat="1" applyFont="1" applyBorder="1" applyProtection="1">
      <protection locked="0"/>
    </xf>
    <xf numFmtId="171" fontId="22" fillId="0" borderId="5" xfId="0" applyNumberFormat="1" applyFont="1" applyBorder="1" applyProtection="1">
      <protection locked="0"/>
    </xf>
    <xf numFmtId="171" fontId="22" fillId="0" borderId="0" xfId="0" applyNumberFormat="1" applyFont="1" applyBorder="1" applyProtection="1">
      <protection locked="0"/>
    </xf>
    <xf numFmtId="172" fontId="22" fillId="0" borderId="5" xfId="0" applyNumberFormat="1" applyFont="1" applyBorder="1" applyProtection="1">
      <protection locked="0"/>
    </xf>
    <xf numFmtId="172" fontId="22" fillId="0" borderId="0" xfId="0" applyNumberFormat="1" applyFont="1" applyBorder="1" applyProtection="1">
      <protection locked="0"/>
    </xf>
    <xf numFmtId="172" fontId="22" fillId="0" borderId="0" xfId="0" applyNumberFormat="1" applyFont="1" applyBorder="1" applyProtection="1"/>
    <xf numFmtId="172" fontId="44" fillId="0" borderId="0" xfId="0" applyNumberFormat="1" applyFont="1" applyProtection="1">
      <protection locked="0"/>
    </xf>
    <xf numFmtId="0" fontId="0" fillId="0" borderId="81" xfId="0" applyBorder="1" applyProtection="1"/>
    <xf numFmtId="0" fontId="13" fillId="0" borderId="8" xfId="0" applyFont="1" applyFill="1" applyBorder="1" applyProtection="1"/>
    <xf numFmtId="0" fontId="38" fillId="0" borderId="10" xfId="0" applyFont="1" applyFill="1" applyBorder="1" applyProtection="1"/>
    <xf numFmtId="171" fontId="38" fillId="0" borderId="81" xfId="0" applyNumberFormat="1" applyFont="1" applyFill="1" applyBorder="1" applyProtection="1"/>
    <xf numFmtId="171" fontId="38" fillId="0" borderId="10" xfId="0" applyNumberFormat="1" applyFont="1" applyFill="1" applyBorder="1" applyProtection="1"/>
    <xf numFmtId="171" fontId="38" fillId="0" borderId="8" xfId="0" applyNumberFormat="1" applyFont="1" applyFill="1" applyBorder="1" applyProtection="1"/>
    <xf numFmtId="171" fontId="38" fillId="9" borderId="81" xfId="0" applyNumberFormat="1" applyFont="1" applyFill="1" applyBorder="1" applyProtection="1"/>
    <xf numFmtId="171" fontId="38" fillId="0" borderId="7" xfId="0" applyNumberFormat="1" applyFont="1" applyFill="1" applyBorder="1" applyProtection="1"/>
    <xf numFmtId="172" fontId="44" fillId="0" borderId="81" xfId="0" applyNumberFormat="1" applyFont="1" applyBorder="1" applyProtection="1"/>
    <xf numFmtId="172" fontId="0" fillId="0" borderId="81" xfId="0" applyNumberFormat="1" applyBorder="1" applyProtection="1"/>
    <xf numFmtId="0" fontId="0" fillId="0" borderId="0" xfId="0" applyBorder="1" applyProtection="1"/>
    <xf numFmtId="0" fontId="13" fillId="0" borderId="0" xfId="0" applyFont="1" applyFill="1" applyBorder="1" applyProtection="1"/>
    <xf numFmtId="0" fontId="38" fillId="0" borderId="0" xfId="0" applyFont="1" applyFill="1" applyBorder="1" applyProtection="1"/>
    <xf numFmtId="172" fontId="44" fillId="0" borderId="0" xfId="0" applyNumberFormat="1" applyFont="1" applyBorder="1" applyProtection="1">
      <protection locked="0"/>
    </xf>
    <xf numFmtId="0" fontId="44" fillId="0" borderId="0" xfId="0" applyFont="1" applyProtection="1">
      <protection locked="0"/>
    </xf>
    <xf numFmtId="0" fontId="12" fillId="0" borderId="0" xfId="2" applyFont="1" applyProtection="1"/>
    <xf numFmtId="0" fontId="39" fillId="0" borderId="0" xfId="2" applyFont="1" applyProtection="1"/>
    <xf numFmtId="170" fontId="0" fillId="0" borderId="0" xfId="0" applyNumberFormat="1" applyAlignment="1" applyProtection="1">
      <alignment vertical="top"/>
      <protection locked="0"/>
    </xf>
    <xf numFmtId="0" fontId="39" fillId="0" borderId="0" xfId="2" applyFont="1" applyAlignment="1" applyProtection="1">
      <alignment horizontal="right"/>
    </xf>
    <xf numFmtId="0" fontId="45" fillId="0" borderId="0" xfId="2" applyFont="1" applyProtection="1"/>
    <xf numFmtId="0" fontId="39" fillId="0" borderId="0" xfId="2" applyFont="1" applyAlignment="1" applyProtection="1">
      <alignment vertical="top"/>
    </xf>
    <xf numFmtId="0" fontId="46" fillId="0" borderId="0" xfId="2" applyFont="1" applyAlignment="1" applyProtection="1">
      <alignment horizontal="left" vertical="top" wrapText="1"/>
    </xf>
    <xf numFmtId="0" fontId="6" fillId="0" borderId="0" xfId="0" applyFont="1" applyAlignment="1" applyProtection="1">
      <alignment horizontal="left" vertical="top" wrapText="1"/>
      <protection locked="0"/>
    </xf>
    <xf numFmtId="0" fontId="6" fillId="0" borderId="0" xfId="2" applyFont="1" applyAlignment="1" applyProtection="1">
      <alignment vertical="top" wrapText="1"/>
    </xf>
    <xf numFmtId="170" fontId="0" fillId="0" borderId="0" xfId="0" applyNumberFormat="1" applyAlignment="1" applyProtection="1">
      <protection locked="0"/>
    </xf>
    <xf numFmtId="170" fontId="0" fillId="0" borderId="0" xfId="0" applyNumberFormat="1" applyProtection="1"/>
    <xf numFmtId="0" fontId="0" fillId="0" borderId="0" xfId="0" applyAlignment="1"/>
    <xf numFmtId="0" fontId="0" fillId="4" borderId="0" xfId="0" applyFill="1" applyBorder="1" applyProtection="1"/>
    <xf numFmtId="0" fontId="0" fillId="4" borderId="0" xfId="0" applyFill="1" applyBorder="1" applyProtection="1">
      <protection locked="0"/>
    </xf>
    <xf numFmtId="0" fontId="7" fillId="4" borderId="5" xfId="0" applyFont="1" applyFill="1" applyBorder="1" applyAlignment="1" applyProtection="1">
      <alignment vertical="top" wrapText="1"/>
    </xf>
    <xf numFmtId="0" fontId="7" fillId="4" borderId="5" xfId="0" applyFont="1" applyFill="1" applyBorder="1" applyProtection="1"/>
    <xf numFmtId="0" fontId="7" fillId="4" borderId="0" xfId="0" applyFont="1" applyFill="1" applyBorder="1" applyProtection="1"/>
    <xf numFmtId="0" fontId="21" fillId="6" borderId="82" xfId="0" applyNumberFormat="1" applyFont="1" applyFill="1" applyBorder="1" applyAlignment="1" applyProtection="1">
      <alignment horizontal="center" vertical="center"/>
      <protection locked="0"/>
    </xf>
    <xf numFmtId="0" fontId="7" fillId="0" borderId="5" xfId="0" applyFont="1" applyBorder="1" applyProtection="1"/>
    <xf numFmtId="0" fontId="0" fillId="4" borderId="83" xfId="0" applyFill="1" applyBorder="1" applyProtection="1"/>
    <xf numFmtId="0" fontId="0" fillId="16" borderId="84" xfId="0" applyFill="1" applyBorder="1" applyProtection="1"/>
    <xf numFmtId="0" fontId="0" fillId="4" borderId="84" xfId="0" applyFill="1" applyBorder="1" applyProtection="1"/>
    <xf numFmtId="0" fontId="7" fillId="4" borderId="85" xfId="0" applyFont="1" applyFill="1" applyBorder="1" applyProtection="1"/>
    <xf numFmtId="0" fontId="7" fillId="4" borderId="84" xfId="0" applyFont="1" applyFill="1" applyBorder="1" applyProtection="1"/>
    <xf numFmtId="0" fontId="7" fillId="4" borderId="86" xfId="0" applyFont="1" applyFill="1" applyBorder="1" applyProtection="1"/>
    <xf numFmtId="0" fontId="0" fillId="4" borderId="87" xfId="0" applyFill="1" applyBorder="1" applyProtection="1"/>
    <xf numFmtId="0" fontId="0" fillId="0" borderId="83" xfId="0" applyFill="1" applyBorder="1" applyProtection="1"/>
    <xf numFmtId="0" fontId="0" fillId="0" borderId="84" xfId="0" applyFill="1" applyBorder="1" applyProtection="1"/>
    <xf numFmtId="0" fontId="7" fillId="0" borderId="0" xfId="0" applyFont="1" applyFill="1" applyBorder="1" applyProtection="1"/>
    <xf numFmtId="3" fontId="0" fillId="16" borderId="84" xfId="0" applyNumberFormat="1" applyFill="1" applyBorder="1" applyProtection="1"/>
    <xf numFmtId="0" fontId="0" fillId="17" borderId="0" xfId="0" applyFill="1" applyBorder="1" applyProtection="1"/>
    <xf numFmtId="0" fontId="0" fillId="17" borderId="83" xfId="0" applyFill="1" applyBorder="1" applyProtection="1"/>
    <xf numFmtId="0" fontId="0" fillId="17" borderId="84" xfId="0" applyFill="1" applyBorder="1" applyProtection="1"/>
    <xf numFmtId="0" fontId="7" fillId="17" borderId="85" xfId="0" applyFont="1" applyFill="1" applyBorder="1" applyProtection="1"/>
    <xf numFmtId="0" fontId="0" fillId="17" borderId="87" xfId="0" applyFill="1" applyBorder="1" applyProtection="1"/>
    <xf numFmtId="0" fontId="0" fillId="17" borderId="83" xfId="0" applyFill="1" applyBorder="1" applyAlignment="1" applyProtection="1">
      <alignment horizontal="center" vertical="center"/>
    </xf>
    <xf numFmtId="0" fontId="0" fillId="17" borderId="84" xfId="0" applyFill="1" applyBorder="1" applyAlignment="1" applyProtection="1">
      <alignment horizontal="left" vertical="top" wrapText="1"/>
    </xf>
    <xf numFmtId="0" fontId="7" fillId="17" borderId="85" xfId="0" applyFont="1" applyFill="1" applyBorder="1" applyAlignment="1" applyProtection="1">
      <alignment vertical="top" wrapText="1"/>
    </xf>
    <xf numFmtId="0" fontId="0" fillId="17" borderId="84" xfId="0" applyFill="1" applyBorder="1" applyAlignment="1" applyProtection="1">
      <alignment vertical="top" wrapText="1"/>
    </xf>
    <xf numFmtId="0" fontId="0" fillId="17" borderId="87" xfId="0" applyFill="1" applyBorder="1" applyAlignment="1" applyProtection="1">
      <alignment vertical="top" wrapText="1"/>
    </xf>
    <xf numFmtId="0" fontId="0" fillId="17" borderId="0" xfId="0" applyFill="1" applyProtection="1"/>
    <xf numFmtId="0" fontId="0" fillId="17" borderId="83" xfId="0" applyFill="1" applyBorder="1" applyAlignment="1" applyProtection="1">
      <alignment vertical="top" wrapText="1"/>
    </xf>
    <xf numFmtId="0" fontId="25" fillId="17" borderId="0" xfId="0" applyFont="1" applyFill="1" applyProtection="1"/>
    <xf numFmtId="0" fontId="25" fillId="17" borderId="83" xfId="0" applyFont="1" applyFill="1" applyBorder="1" applyProtection="1"/>
    <xf numFmtId="0" fontId="12" fillId="17" borderId="0" xfId="8" applyFont="1" applyFill="1" applyAlignment="1" applyProtection="1">
      <alignment horizontal="left" vertical="center"/>
    </xf>
    <xf numFmtId="0" fontId="12" fillId="17" borderId="90" xfId="8" applyFont="1" applyFill="1" applyBorder="1" applyAlignment="1" applyProtection="1">
      <alignment horizontal="center" vertical="center"/>
    </xf>
    <xf numFmtId="0" fontId="0" fillId="17" borderId="0" xfId="0" applyFill="1" applyAlignment="1" applyProtection="1">
      <alignment horizontal="center" vertical="center"/>
    </xf>
    <xf numFmtId="0" fontId="0" fillId="18" borderId="83" xfId="0" applyFill="1" applyBorder="1" applyAlignment="1" applyProtection="1">
      <alignment horizontal="center" vertical="center"/>
      <protection locked="0"/>
    </xf>
    <xf numFmtId="174" fontId="0" fillId="16" borderId="87" xfId="0" applyNumberFormat="1" applyFill="1" applyBorder="1" applyProtection="1"/>
    <xf numFmtId="174" fontId="0" fillId="16" borderId="91" xfId="0" applyNumberFormat="1" applyFill="1" applyBorder="1" applyProtection="1"/>
    <xf numFmtId="174" fontId="0" fillId="9" borderId="91" xfId="0" applyNumberFormat="1" applyFill="1" applyBorder="1" applyProtection="1"/>
    <xf numFmtId="174" fontId="0" fillId="9" borderId="91" xfId="0" applyNumberFormat="1" applyFill="1" applyBorder="1" applyProtection="1">
      <protection locked="0"/>
    </xf>
    <xf numFmtId="174" fontId="0" fillId="4" borderId="91" xfId="0" applyNumberFormat="1" applyFill="1" applyBorder="1" applyProtection="1"/>
    <xf numFmtId="9" fontId="0" fillId="19" borderId="91" xfId="7" applyFont="1" applyFill="1" applyBorder="1" applyProtection="1">
      <protection locked="0"/>
    </xf>
    <xf numFmtId="3" fontId="0" fillId="13" borderId="91" xfId="0" applyNumberFormat="1" applyFill="1" applyBorder="1" applyProtection="1">
      <protection locked="0"/>
    </xf>
    <xf numFmtId="3" fontId="0" fillId="9" borderId="92" xfId="0" applyNumberFormat="1" applyFill="1" applyBorder="1" applyProtection="1"/>
    <xf numFmtId="0" fontId="0" fillId="18" borderId="88" xfId="0" applyFill="1" applyBorder="1" applyAlignment="1" applyProtection="1">
      <alignment horizontal="center" vertical="center"/>
      <protection locked="0"/>
    </xf>
    <xf numFmtId="174" fontId="0" fillId="16" borderId="93" xfId="0" applyNumberFormat="1" applyFill="1" applyBorder="1" applyProtection="1"/>
    <xf numFmtId="174" fontId="0" fillId="16" borderId="89" xfId="0" applyNumberFormat="1" applyFill="1" applyBorder="1" applyProtection="1"/>
    <xf numFmtId="174" fontId="0" fillId="9" borderId="89" xfId="0" applyNumberFormat="1" applyFill="1" applyBorder="1" applyProtection="1"/>
    <xf numFmtId="174" fontId="0" fillId="9" borderId="89" xfId="0" applyNumberFormat="1" applyFill="1" applyBorder="1" applyProtection="1">
      <protection locked="0"/>
    </xf>
    <xf numFmtId="174" fontId="0" fillId="4" borderId="89" xfId="0" applyNumberFormat="1" applyFill="1" applyBorder="1" applyProtection="1"/>
    <xf numFmtId="9" fontId="0" fillId="19" borderId="89" xfId="7" applyFont="1" applyFill="1" applyBorder="1" applyProtection="1">
      <protection locked="0"/>
    </xf>
    <xf numFmtId="3" fontId="0" fillId="13" borderId="89" xfId="0" applyNumberFormat="1" applyFill="1" applyBorder="1" applyProtection="1">
      <protection locked="0"/>
    </xf>
    <xf numFmtId="0" fontId="0" fillId="0" borderId="81" xfId="0" applyBorder="1" applyAlignment="1" applyProtection="1">
      <alignment wrapText="1"/>
    </xf>
    <xf numFmtId="0" fontId="0" fillId="18" borderId="81" xfId="0" applyFill="1" applyBorder="1" applyAlignment="1" applyProtection="1">
      <alignment horizontal="center" vertical="center"/>
      <protection locked="0"/>
    </xf>
    <xf numFmtId="174" fontId="0" fillId="9" borderId="94" xfId="0" applyNumberFormat="1" applyFill="1" applyBorder="1" applyProtection="1"/>
    <xf numFmtId="174" fontId="0" fillId="9" borderId="95" xfId="0" applyNumberFormat="1" applyFill="1" applyBorder="1" applyProtection="1"/>
    <xf numFmtId="174" fontId="0" fillId="9" borderId="95" xfId="0" applyNumberFormat="1" applyFill="1" applyBorder="1" applyProtection="1">
      <protection locked="0"/>
    </xf>
    <xf numFmtId="174" fontId="0" fillId="4" borderId="95" xfId="0" applyNumberFormat="1" applyFill="1" applyBorder="1" applyProtection="1"/>
    <xf numFmtId="9" fontId="0" fillId="19" borderId="95" xfId="7" applyFont="1" applyFill="1" applyBorder="1" applyProtection="1">
      <protection locked="0"/>
    </xf>
    <xf numFmtId="3" fontId="0" fillId="13" borderId="95" xfId="0" applyNumberFormat="1" applyFill="1" applyBorder="1" applyProtection="1">
      <protection locked="0"/>
    </xf>
    <xf numFmtId="0" fontId="55" fillId="0" borderId="0" xfId="0" applyFont="1" applyAlignment="1" applyProtection="1">
      <alignment vertical="center"/>
    </xf>
    <xf numFmtId="3" fontId="0" fillId="0" borderId="0" xfId="0" applyNumberFormat="1" applyProtection="1"/>
    <xf numFmtId="9" fontId="0" fillId="0" borderId="0" xfId="7" applyFont="1" applyProtection="1"/>
    <xf numFmtId="3" fontId="0" fillId="0" borderId="11" xfId="0" applyNumberFormat="1" applyBorder="1" applyProtection="1"/>
    <xf numFmtId="0" fontId="55" fillId="0" borderId="0" xfId="0" applyFont="1" applyProtection="1"/>
    <xf numFmtId="0" fontId="56" fillId="0" borderId="0" xfId="0" applyFont="1" applyProtection="1"/>
    <xf numFmtId="0" fontId="48" fillId="0" borderId="0" xfId="0" applyFont="1" applyProtection="1"/>
    <xf numFmtId="173" fontId="25" fillId="0" borderId="0" xfId="0" applyNumberFormat="1" applyFont="1" applyProtection="1"/>
    <xf numFmtId="175" fontId="25" fillId="0" borderId="0" xfId="0" applyNumberFormat="1" applyFont="1" applyProtection="1"/>
    <xf numFmtId="0" fontId="58" fillId="0" borderId="0" xfId="0" applyFont="1" applyProtection="1"/>
    <xf numFmtId="0" fontId="0" fillId="0" borderId="0" xfId="0" applyAlignment="1" applyProtection="1">
      <alignment horizontal="left" vertical="top"/>
    </xf>
    <xf numFmtId="0" fontId="59" fillId="0" borderId="0" xfId="9" applyFont="1" applyAlignment="1" applyProtection="1">
      <alignment horizontal="left" vertical="top"/>
    </xf>
    <xf numFmtId="0" fontId="60" fillId="0" borderId="0" xfId="9" applyFont="1" applyBorder="1" applyAlignment="1" applyProtection="1">
      <alignment horizontal="left" vertical="top"/>
    </xf>
    <xf numFmtId="0" fontId="60" fillId="0" borderId="0" xfId="9" applyFont="1" applyBorder="1" applyProtection="1"/>
    <xf numFmtId="0" fontId="6" fillId="0" borderId="0" xfId="9" applyFont="1" applyBorder="1" applyAlignment="1" applyProtection="1">
      <alignment horizontal="right"/>
    </xf>
    <xf numFmtId="0" fontId="62" fillId="0" borderId="0" xfId="9" applyFont="1" applyBorder="1" applyAlignment="1" applyProtection="1">
      <alignment horizontal="right" wrapText="1"/>
    </xf>
    <xf numFmtId="0" fontId="5" fillId="0" borderId="0" xfId="0" applyFont="1" applyProtection="1"/>
    <xf numFmtId="0" fontId="16" fillId="0" borderId="37" xfId="9" applyFont="1" applyBorder="1" applyAlignment="1" applyProtection="1">
      <alignment horizontal="left" vertical="top"/>
    </xf>
    <xf numFmtId="0" fontId="60" fillId="0" borderId="37" xfId="9" applyFont="1" applyBorder="1" applyProtection="1"/>
    <xf numFmtId="0" fontId="12" fillId="0" borderId="37" xfId="9" applyFont="1" applyBorder="1" applyAlignment="1" applyProtection="1">
      <alignment horizontal="right"/>
    </xf>
    <xf numFmtId="0" fontId="12" fillId="20" borderId="37" xfId="9" applyFont="1" applyFill="1" applyBorder="1" applyAlignment="1" applyProtection="1">
      <alignment horizontal="right"/>
    </xf>
    <xf numFmtId="0" fontId="0" fillId="0" borderId="0" xfId="0" applyAlignment="1" applyProtection="1">
      <alignment horizontal="left" vertical="top" wrapText="1"/>
    </xf>
    <xf numFmtId="176" fontId="0" fillId="0" borderId="0" xfId="7" applyNumberFormat="1" applyFont="1" applyProtection="1"/>
    <xf numFmtId="171" fontId="0" fillId="0" borderId="0" xfId="0" applyNumberFormat="1" applyProtection="1"/>
    <xf numFmtId="0" fontId="0" fillId="0" borderId="81" xfId="0" applyBorder="1" applyAlignment="1" applyProtection="1">
      <alignment horizontal="left" vertical="top" wrapText="1"/>
    </xf>
    <xf numFmtId="176" fontId="0" fillId="0" borderId="81" xfId="7" applyNumberFormat="1" applyFont="1" applyBorder="1" applyProtection="1"/>
    <xf numFmtId="171" fontId="0" fillId="0" borderId="81" xfId="0" applyNumberFormat="1" applyBorder="1" applyProtection="1"/>
    <xf numFmtId="176" fontId="0" fillId="0" borderId="0" xfId="0" applyNumberFormat="1" applyProtection="1"/>
    <xf numFmtId="0" fontId="9" fillId="0" borderId="0" xfId="0" applyFont="1" applyAlignment="1" applyProtection="1">
      <alignment horizontal="left" vertical="top"/>
    </xf>
    <xf numFmtId="0" fontId="22" fillId="7" borderId="42" xfId="0" applyFont="1" applyFill="1" applyBorder="1" applyAlignment="1" applyProtection="1">
      <alignment horizontal="center" vertical="center"/>
      <protection locked="0"/>
    </xf>
    <xf numFmtId="0" fontId="0" fillId="0" borderId="0" xfId="0" applyAlignment="1" applyProtection="1">
      <alignment horizontal="center"/>
    </xf>
    <xf numFmtId="0" fontId="7" fillId="0" borderId="0" xfId="0" applyFont="1" applyAlignment="1" applyProtection="1">
      <alignment horizontal="center"/>
    </xf>
    <xf numFmtId="0" fontId="0" fillId="0" borderId="0" xfId="0" applyAlignment="1" applyProtection="1">
      <alignment horizontal="center" vertical="center"/>
    </xf>
    <xf numFmtId="0" fontId="0" fillId="0" borderId="0" xfId="0" applyAlignment="1" applyProtection="1">
      <alignment vertical="top"/>
    </xf>
    <xf numFmtId="0" fontId="12" fillId="0" borderId="0" xfId="3" applyFont="1" applyFill="1" applyAlignment="1" applyProtection="1">
      <alignment horizontal="center"/>
    </xf>
    <xf numFmtId="0" fontId="12" fillId="4" borderId="36" xfId="3" applyFont="1" applyFill="1" applyBorder="1" applyAlignment="1" applyProtection="1">
      <alignment horizontal="center"/>
    </xf>
    <xf numFmtId="0" fontId="22" fillId="0" borderId="0" xfId="0" applyFont="1" applyAlignment="1" applyProtection="1">
      <alignment vertical="top" wrapText="1"/>
    </xf>
    <xf numFmtId="1" fontId="12" fillId="7" borderId="36" xfId="3" applyNumberFormat="1" applyFont="1" applyFill="1" applyBorder="1" applyAlignment="1" applyProtection="1">
      <alignment horizontal="center"/>
      <protection locked="0"/>
    </xf>
    <xf numFmtId="0" fontId="0" fillId="0" borderId="0" xfId="0" applyAlignment="1" applyProtection="1"/>
    <xf numFmtId="0" fontId="15" fillId="0" borderId="0" xfId="0" applyFont="1" applyAlignment="1" applyProtection="1"/>
    <xf numFmtId="0" fontId="12" fillId="0" borderId="0" xfId="3" applyFont="1" applyAlignment="1" applyProtection="1"/>
    <xf numFmtId="0" fontId="0" fillId="0" borderId="0" xfId="0" applyAlignment="1" applyProtection="1">
      <alignment horizontal="center" vertical="top"/>
    </xf>
    <xf numFmtId="171" fontId="0" fillId="0" borderId="0" xfId="0" applyNumberFormat="1" applyAlignment="1" applyProtection="1">
      <alignment horizontal="right" vertical="top"/>
    </xf>
    <xf numFmtId="171" fontId="0" fillId="0" borderId="0" xfId="0" applyNumberFormat="1" applyAlignment="1" applyProtection="1">
      <alignment horizontal="center" vertical="center"/>
    </xf>
    <xf numFmtId="183" fontId="0" fillId="0" borderId="0" xfId="0" applyNumberFormat="1" applyAlignment="1" applyProtection="1">
      <alignment horizontal="right" vertical="center"/>
    </xf>
    <xf numFmtId="183" fontId="7" fillId="0" borderId="0" xfId="0" applyNumberFormat="1" applyFont="1" applyAlignment="1" applyProtection="1">
      <alignment horizontal="right" vertical="center"/>
    </xf>
    <xf numFmtId="0" fontId="47" fillId="0" borderId="0" xfId="0" applyFont="1" applyProtection="1"/>
    <xf numFmtId="0" fontId="16" fillId="0" borderId="0" xfId="0" applyFont="1" applyProtection="1"/>
    <xf numFmtId="3" fontId="0" fillId="0" borderId="0" xfId="0" applyNumberFormat="1" applyAlignment="1" applyProtection="1">
      <alignment horizontal="center"/>
    </xf>
    <xf numFmtId="3" fontId="0" fillId="0" borderId="81" xfId="0" applyNumberFormat="1" applyBorder="1" applyAlignment="1" applyProtection="1">
      <alignment horizontal="center"/>
    </xf>
    <xf numFmtId="176" fontId="0" fillId="0" borderId="0" xfId="0" applyNumberFormat="1" applyAlignment="1" applyProtection="1">
      <alignment horizontal="center"/>
    </xf>
    <xf numFmtId="0" fontId="48" fillId="0" borderId="0" xfId="0" applyFont="1" applyAlignment="1" applyProtection="1">
      <alignment horizontal="center" vertical="center" wrapText="1"/>
    </xf>
    <xf numFmtId="0" fontId="12" fillId="0" borderId="0" xfId="2" applyFont="1" applyAlignment="1" applyProtection="1">
      <alignment vertical="center" wrapText="1"/>
    </xf>
    <xf numFmtId="0" fontId="11" fillId="0" borderId="0" xfId="2" applyProtection="1"/>
    <xf numFmtId="0" fontId="13" fillId="0" borderId="0" xfId="2" applyFont="1" applyProtection="1"/>
    <xf numFmtId="0" fontId="13" fillId="0" borderId="0" xfId="2" applyFont="1" applyAlignment="1" applyProtection="1">
      <alignment horizontal="center" vertical="center"/>
    </xf>
    <xf numFmtId="165" fontId="13" fillId="0" borderId="0" xfId="2" applyNumberFormat="1" applyFont="1" applyAlignment="1" applyProtection="1">
      <alignment horizontal="center" vertical="center"/>
    </xf>
    <xf numFmtId="3" fontId="13" fillId="0" borderId="0" xfId="2" applyNumberFormat="1" applyFont="1" applyAlignment="1" applyProtection="1">
      <alignment horizontal="center" vertical="center" wrapText="1"/>
    </xf>
    <xf numFmtId="165" fontId="13" fillId="0" borderId="0" xfId="2" applyNumberFormat="1" applyFont="1" applyAlignment="1" applyProtection="1">
      <alignment horizontal="center" vertical="center" wrapText="1"/>
    </xf>
    <xf numFmtId="0" fontId="13" fillId="0" borderId="0" xfId="2" applyFont="1" applyAlignment="1" applyProtection="1">
      <alignment horizontal="center" vertical="center" wrapText="1"/>
    </xf>
    <xf numFmtId="165" fontId="11" fillId="0" borderId="0" xfId="2" applyNumberFormat="1" applyProtection="1"/>
    <xf numFmtId="3" fontId="11" fillId="0" borderId="0" xfId="2" applyNumberFormat="1" applyProtection="1"/>
    <xf numFmtId="0" fontId="11" fillId="0" borderId="0" xfId="2" applyAlignment="1" applyProtection="1">
      <alignment horizontal="center"/>
    </xf>
    <xf numFmtId="165" fontId="11" fillId="0" borderId="0" xfId="2" applyNumberFormat="1" applyAlignment="1" applyProtection="1">
      <alignment horizontal="center"/>
    </xf>
    <xf numFmtId="174" fontId="11" fillId="0" borderId="0" xfId="2" applyNumberFormat="1" applyProtection="1"/>
    <xf numFmtId="165" fontId="11" fillId="0" borderId="0" xfId="2" applyNumberFormat="1" applyProtection="1">
      <protection locked="0"/>
    </xf>
    <xf numFmtId="0" fontId="63" fillId="0" borderId="0" xfId="2" applyFont="1" applyFill="1" applyAlignment="1" applyProtection="1">
      <alignment horizontal="left" vertical="center"/>
    </xf>
    <xf numFmtId="0" fontId="63" fillId="0" borderId="0" xfId="2" applyFont="1" applyFill="1" applyAlignment="1" applyProtection="1">
      <alignment horizontal="center" vertical="center" wrapText="1"/>
    </xf>
    <xf numFmtId="0" fontId="11" fillId="0" borderId="0" xfId="2" applyFill="1" applyProtection="1"/>
    <xf numFmtId="0" fontId="11" fillId="12" borderId="0" xfId="2" applyFill="1" applyProtection="1"/>
    <xf numFmtId="0" fontId="11" fillId="12" borderId="0" xfId="2" applyFill="1" applyAlignment="1" applyProtection="1">
      <alignment horizontal="center"/>
    </xf>
    <xf numFmtId="0" fontId="16" fillId="12" borderId="0" xfId="2" applyFont="1" applyFill="1" applyAlignment="1" applyProtection="1">
      <alignment horizontal="center" wrapText="1"/>
    </xf>
    <xf numFmtId="0" fontId="18" fillId="22" borderId="0" xfId="0" applyFont="1" applyFill="1" applyAlignment="1" applyProtection="1">
      <alignment horizontal="left" vertical="center"/>
    </xf>
    <xf numFmtId="0" fontId="18" fillId="22" borderId="0" xfId="0" applyFont="1" applyFill="1" applyAlignment="1" applyProtection="1">
      <alignment horizontal="center" vertical="center" wrapText="1"/>
    </xf>
    <xf numFmtId="0" fontId="60" fillId="0" borderId="0" xfId="0" applyFont="1" applyProtection="1"/>
    <xf numFmtId="0" fontId="16" fillId="0" borderId="0" xfId="0" applyFont="1" applyAlignment="1" applyProtection="1">
      <alignment horizontal="center"/>
    </xf>
    <xf numFmtId="0" fontId="64" fillId="12" borderId="0" xfId="0" applyFont="1" applyFill="1" applyAlignment="1" applyProtection="1">
      <alignment horizontal="left"/>
    </xf>
    <xf numFmtId="0" fontId="60" fillId="12" borderId="0" xfId="0" applyFont="1" applyFill="1" applyAlignment="1" applyProtection="1">
      <alignment horizontal="center"/>
    </xf>
    <xf numFmtId="0" fontId="60" fillId="12" borderId="0" xfId="0" applyFont="1" applyFill="1" applyProtection="1"/>
    <xf numFmtId="179" fontId="16" fillId="12" borderId="0" xfId="18" applyFont="1" applyFill="1" applyAlignment="1" applyProtection="1">
      <alignment horizontal="center"/>
    </xf>
    <xf numFmtId="179" fontId="16" fillId="4" borderId="0" xfId="18" applyFont="1" applyFill="1" applyProtection="1">
      <protection locked="0"/>
    </xf>
    <xf numFmtId="179" fontId="16" fillId="7" borderId="0" xfId="18" applyFont="1" applyFill="1" applyProtection="1">
      <protection locked="0"/>
    </xf>
    <xf numFmtId="179" fontId="16" fillId="12" borderId="0" xfId="18" applyFont="1" applyFill="1" applyProtection="1"/>
    <xf numFmtId="179" fontId="16" fillId="0" borderId="0" xfId="18" applyFont="1" applyFill="1" applyProtection="1"/>
    <xf numFmtId="0" fontId="16" fillId="12" borderId="0" xfId="0" applyFont="1" applyFill="1" applyProtection="1"/>
    <xf numFmtId="0" fontId="47" fillId="12" borderId="0" xfId="0" applyFont="1" applyFill="1" applyAlignment="1" applyProtection="1">
      <alignment horizontal="center"/>
    </xf>
    <xf numFmtId="49" fontId="63" fillId="0" borderId="0" xfId="0" applyNumberFormat="1" applyFont="1" applyFill="1" applyBorder="1" applyAlignment="1" applyProtection="1">
      <alignment horizontal="center"/>
    </xf>
    <xf numFmtId="0" fontId="25" fillId="12" borderId="0" xfId="0" applyFont="1" applyFill="1" applyProtection="1"/>
    <xf numFmtId="0" fontId="63" fillId="0" borderId="0" xfId="0" applyFont="1" applyFill="1" applyBorder="1" applyAlignment="1" applyProtection="1">
      <alignment horizontal="center"/>
    </xf>
    <xf numFmtId="0" fontId="47" fillId="12" borderId="0" xfId="0" applyFont="1" applyFill="1" applyProtection="1"/>
    <xf numFmtId="0" fontId="16" fillId="12" borderId="0" xfId="0" applyFont="1" applyFill="1" applyAlignment="1" applyProtection="1">
      <alignment horizontal="center" wrapText="1"/>
    </xf>
    <xf numFmtId="184" fontId="16" fillId="12" borderId="0" xfId="18" applyNumberFormat="1" applyFont="1" applyFill="1" applyAlignment="1" applyProtection="1">
      <alignment horizontal="center"/>
    </xf>
    <xf numFmtId="184" fontId="16" fillId="7" borderId="0" xfId="18" applyNumberFormat="1" applyFont="1" applyFill="1" applyProtection="1">
      <protection locked="0"/>
    </xf>
    <xf numFmtId="179" fontId="16" fillId="12" borderId="0" xfId="18" applyNumberFormat="1" applyFont="1" applyFill="1" applyProtection="1"/>
    <xf numFmtId="184" fontId="16" fillId="12" borderId="0" xfId="18" applyNumberFormat="1" applyFont="1" applyFill="1" applyProtection="1"/>
    <xf numFmtId="0" fontId="0" fillId="12" borderId="0" xfId="0" applyFill="1" applyProtection="1"/>
    <xf numFmtId="0" fontId="18" fillId="23" borderId="0" xfId="0" applyFont="1" applyFill="1" applyAlignment="1" applyProtection="1">
      <alignment horizontal="left" vertical="center"/>
    </xf>
    <xf numFmtId="0" fontId="63" fillId="23" borderId="0" xfId="0" applyFont="1" applyFill="1" applyAlignment="1" applyProtection="1">
      <alignment horizontal="center" vertical="center" wrapText="1"/>
    </xf>
    <xf numFmtId="0" fontId="63" fillId="23" borderId="96" xfId="0" applyFont="1" applyFill="1" applyBorder="1" applyAlignment="1" applyProtection="1">
      <alignment horizontal="center" vertical="center" wrapText="1"/>
    </xf>
    <xf numFmtId="0" fontId="0" fillId="12" borderId="0" xfId="0" applyFill="1" applyAlignment="1" applyProtection="1">
      <alignment horizontal="center"/>
    </xf>
    <xf numFmtId="0" fontId="6" fillId="0" borderId="0" xfId="0" applyFont="1" applyProtection="1"/>
    <xf numFmtId="0" fontId="65" fillId="12" borderId="0" xfId="0" applyFont="1" applyFill="1" applyAlignment="1" applyProtection="1">
      <alignment horizontal="left"/>
    </xf>
    <xf numFmtId="0" fontId="66" fillId="12" borderId="0" xfId="0" applyFont="1" applyFill="1" applyAlignment="1" applyProtection="1">
      <alignment horizontal="center"/>
    </xf>
    <xf numFmtId="0" fontId="66" fillId="12" borderId="0" xfId="0" applyFont="1" applyFill="1" applyProtection="1"/>
    <xf numFmtId="179" fontId="16" fillId="7" borderId="0" xfId="0" applyNumberFormat="1" applyFont="1" applyFill="1" applyAlignment="1" applyProtection="1">
      <alignment horizontal="center"/>
    </xf>
    <xf numFmtId="0" fontId="22" fillId="12" borderId="0" xfId="0" applyFont="1" applyFill="1" applyProtection="1"/>
    <xf numFmtId="0" fontId="47" fillId="0" borderId="0" xfId="0" applyFont="1" applyFill="1" applyProtection="1"/>
    <xf numFmtId="0" fontId="67" fillId="0" borderId="0" xfId="0" applyFont="1" applyFill="1" applyAlignment="1" applyProtection="1">
      <alignment horizontal="center" vertical="center"/>
    </xf>
    <xf numFmtId="0" fontId="67" fillId="0" borderId="0" xfId="0" applyFont="1" applyFill="1" applyAlignment="1" applyProtection="1">
      <alignment horizontal="left" wrapText="1"/>
    </xf>
    <xf numFmtId="0" fontId="60" fillId="0" borderId="0" xfId="0" applyFont="1" applyFill="1" applyAlignment="1" applyProtection="1">
      <alignment horizontal="center"/>
    </xf>
    <xf numFmtId="180" fontId="17" fillId="7" borderId="0" xfId="0" applyNumberFormat="1" applyFont="1" applyFill="1" applyAlignment="1" applyProtection="1">
      <alignment horizontal="center"/>
    </xf>
    <xf numFmtId="184" fontId="16" fillId="0" borderId="0" xfId="18" applyNumberFormat="1" applyFont="1" applyFill="1" applyProtection="1"/>
    <xf numFmtId="180" fontId="16" fillId="7" borderId="0" xfId="18" applyNumberFormat="1" applyFont="1" applyFill="1" applyProtection="1">
      <protection locked="0"/>
    </xf>
    <xf numFmtId="0" fontId="63" fillId="22" borderId="0" xfId="2" applyFont="1" applyFill="1" applyAlignment="1" applyProtection="1">
      <alignment horizontal="center" vertical="center"/>
    </xf>
    <xf numFmtId="0" fontId="12" fillId="0" borderId="0" xfId="2" applyFont="1" applyAlignment="1" applyProtection="1">
      <alignment horizontal="center" vertical="center"/>
    </xf>
    <xf numFmtId="0" fontId="16" fillId="12" borderId="0" xfId="2" applyFont="1" applyFill="1" applyBorder="1" applyAlignment="1" applyProtection="1">
      <alignment wrapText="1"/>
    </xf>
    <xf numFmtId="0" fontId="12" fillId="0" borderId="0" xfId="2" applyFont="1" applyAlignment="1" applyProtection="1">
      <alignment horizontal="center" wrapText="1"/>
    </xf>
    <xf numFmtId="0" fontId="36" fillId="12" borderId="0" xfId="2" applyFont="1" applyFill="1" applyProtection="1"/>
    <xf numFmtId="0" fontId="33" fillId="12" borderId="0" xfId="2" applyFont="1" applyFill="1" applyAlignment="1" applyProtection="1">
      <alignment horizontal="center" wrapText="1"/>
    </xf>
    <xf numFmtId="0" fontId="6" fillId="12" borderId="0" xfId="2" applyFont="1" applyFill="1" applyProtection="1"/>
    <xf numFmtId="0" fontId="6" fillId="12" borderId="0" xfId="2" applyFont="1" applyFill="1" applyAlignment="1" applyProtection="1">
      <alignment horizontal="center"/>
    </xf>
    <xf numFmtId="178" fontId="6" fillId="7" borderId="97" xfId="19" applyNumberFormat="1" applyFont="1" applyFill="1" applyBorder="1" applyProtection="1">
      <protection locked="0"/>
    </xf>
    <xf numFmtId="185" fontId="6" fillId="7" borderId="97" xfId="18" applyNumberFormat="1" applyFont="1" applyFill="1" applyBorder="1" applyAlignment="1" applyProtection="1">
      <alignment horizontal="center"/>
      <protection locked="0"/>
    </xf>
    <xf numFmtId="180" fontId="6" fillId="7" borderId="97" xfId="18" applyNumberFormat="1" applyFont="1" applyFill="1" applyBorder="1" applyProtection="1">
      <protection locked="0"/>
    </xf>
    <xf numFmtId="180" fontId="25" fillId="7" borderId="97" xfId="18" applyNumberFormat="1" applyFont="1" applyFill="1" applyBorder="1" applyProtection="1">
      <protection locked="0"/>
    </xf>
    <xf numFmtId="180" fontId="6" fillId="12" borderId="0" xfId="18" applyNumberFormat="1" applyFont="1" applyFill="1" applyProtection="1"/>
    <xf numFmtId="178" fontId="6" fillId="12" borderId="98" xfId="19" applyNumberFormat="1" applyFont="1" applyFill="1" applyBorder="1" applyProtection="1"/>
    <xf numFmtId="179" fontId="6" fillId="12" borderId="98" xfId="18" applyFont="1" applyFill="1" applyBorder="1" applyProtection="1"/>
    <xf numFmtId="180" fontId="6" fillId="12" borderId="98" xfId="18" applyNumberFormat="1" applyFont="1" applyFill="1" applyBorder="1" applyProtection="1"/>
    <xf numFmtId="186" fontId="6" fillId="8" borderId="97" xfId="18" applyNumberFormat="1" applyFont="1" applyFill="1" applyBorder="1" applyAlignment="1" applyProtection="1">
      <alignment horizontal="center"/>
      <protection locked="0"/>
    </xf>
    <xf numFmtId="187" fontId="6" fillId="12" borderId="98" xfId="18" applyNumberFormat="1" applyFont="1" applyFill="1" applyBorder="1" applyProtection="1"/>
    <xf numFmtId="0" fontId="63" fillId="22" borderId="0" xfId="2" applyNumberFormat="1" applyFont="1" applyFill="1" applyAlignment="1" applyProtection="1">
      <alignment horizontal="center" vertical="center"/>
      <protection locked="0"/>
    </xf>
    <xf numFmtId="0" fontId="50" fillId="0" borderId="0" xfId="2" applyFont="1" applyAlignment="1" applyProtection="1">
      <alignment horizontal="center" wrapText="1"/>
    </xf>
    <xf numFmtId="184" fontId="6" fillId="7" borderId="97" xfId="18" applyNumberFormat="1" applyFont="1" applyFill="1" applyBorder="1" applyAlignment="1" applyProtection="1">
      <alignment horizontal="center"/>
      <protection locked="0"/>
    </xf>
    <xf numFmtId="180" fontId="15" fillId="7" borderId="97" xfId="18" applyNumberFormat="1" applyFont="1" applyFill="1" applyBorder="1" applyProtection="1">
      <protection locked="0"/>
    </xf>
    <xf numFmtId="0" fontId="6" fillId="12" borderId="0" xfId="2" applyFont="1" applyFill="1" applyBorder="1" applyProtection="1"/>
    <xf numFmtId="0" fontId="12" fillId="12" borderId="0" xfId="2" applyFont="1" applyFill="1" applyBorder="1" applyAlignment="1" applyProtection="1">
      <alignment horizontal="center" wrapText="1"/>
    </xf>
    <xf numFmtId="178" fontId="6" fillId="12" borderId="0" xfId="19" applyNumberFormat="1" applyFont="1" applyFill="1" applyProtection="1"/>
    <xf numFmtId="184" fontId="6" fillId="12" borderId="97" xfId="18" applyNumberFormat="1" applyFont="1" applyFill="1" applyBorder="1" applyProtection="1"/>
    <xf numFmtId="0" fontId="6" fillId="0" borderId="0" xfId="2" applyFont="1" applyAlignment="1" applyProtection="1">
      <alignment vertical="top"/>
    </xf>
    <xf numFmtId="0" fontId="12" fillId="0" borderId="0" xfId="2" applyFont="1" applyAlignment="1" applyProtection="1">
      <alignment horizontal="right" vertical="top"/>
    </xf>
    <xf numFmtId="180" fontId="6" fillId="4" borderId="0" xfId="18" applyNumberFormat="1" applyFont="1" applyFill="1" applyProtection="1"/>
    <xf numFmtId="0" fontId="12" fillId="0" borderId="0" xfId="2" applyFont="1" applyAlignment="1" applyProtection="1">
      <alignment horizontal="right"/>
    </xf>
    <xf numFmtId="0" fontId="12" fillId="12" borderId="0" xfId="2" applyFont="1" applyFill="1" applyAlignment="1" applyProtection="1">
      <alignment horizontal="center" wrapText="1"/>
    </xf>
    <xf numFmtId="178" fontId="6" fillId="12" borderId="97" xfId="19" applyNumberFormat="1" applyFont="1" applyFill="1" applyBorder="1" applyProtection="1"/>
    <xf numFmtId="180" fontId="6" fillId="12" borderId="97" xfId="18" applyNumberFormat="1" applyFont="1" applyFill="1" applyBorder="1" applyProtection="1"/>
    <xf numFmtId="179" fontId="6" fillId="12" borderId="0" xfId="18" applyFont="1" applyFill="1" applyProtection="1"/>
    <xf numFmtId="0" fontId="11" fillId="0" borderId="0" xfId="2" applyAlignment="1" applyProtection="1">
      <alignment horizontal="center" vertical="center"/>
    </xf>
    <xf numFmtId="165" fontId="11" fillId="0" borderId="0" xfId="2" applyNumberFormat="1" applyAlignment="1" applyProtection="1">
      <alignment horizontal="center" vertical="center"/>
    </xf>
    <xf numFmtId="178" fontId="11" fillId="0" borderId="0" xfId="2" applyNumberFormat="1" applyAlignment="1" applyProtection="1">
      <alignment horizontal="center" vertical="center"/>
    </xf>
    <xf numFmtId="176" fontId="11" fillId="0" borderId="0" xfId="2" applyNumberFormat="1" applyAlignment="1" applyProtection="1">
      <alignment horizontal="center" vertical="center"/>
    </xf>
    <xf numFmtId="0" fontId="16" fillId="0" borderId="0" xfId="2" applyFont="1" applyProtection="1"/>
    <xf numFmtId="0" fontId="16" fillId="0" borderId="0" xfId="2" applyFont="1" applyAlignment="1" applyProtection="1">
      <alignment horizontal="left" vertical="center" wrapText="1"/>
    </xf>
    <xf numFmtId="0" fontId="16" fillId="0" borderId="0" xfId="2" applyFont="1" applyAlignment="1" applyProtection="1">
      <alignment horizontal="center" vertical="center" wrapText="1"/>
    </xf>
    <xf numFmtId="165" fontId="16" fillId="0" borderId="0" xfId="2" applyNumberFormat="1" applyFont="1" applyAlignment="1" applyProtection="1">
      <alignment horizontal="center" vertical="center" wrapText="1"/>
    </xf>
    <xf numFmtId="178" fontId="16" fillId="0" borderId="0" xfId="2" applyNumberFormat="1" applyFont="1" applyAlignment="1" applyProtection="1">
      <alignment horizontal="center" vertical="center" wrapText="1"/>
    </xf>
    <xf numFmtId="178" fontId="16" fillId="4" borderId="0" xfId="2" applyNumberFormat="1" applyFont="1" applyFill="1" applyAlignment="1" applyProtection="1">
      <alignment horizontal="center" vertical="center" wrapText="1"/>
    </xf>
    <xf numFmtId="3" fontId="16" fillId="4" borderId="0" xfId="2" applyNumberFormat="1" applyFont="1" applyFill="1" applyAlignment="1" applyProtection="1">
      <alignment horizontal="center" vertical="center" wrapText="1"/>
    </xf>
    <xf numFmtId="176" fontId="16" fillId="4" borderId="0" xfId="2" applyNumberFormat="1" applyFont="1" applyFill="1" applyAlignment="1" applyProtection="1">
      <alignment horizontal="center" vertical="center" wrapText="1"/>
    </xf>
    <xf numFmtId="165" fontId="16" fillId="4" borderId="0" xfId="2" applyNumberFormat="1" applyFont="1" applyFill="1" applyAlignment="1" applyProtection="1">
      <alignment horizontal="center" vertical="center" wrapText="1"/>
    </xf>
    <xf numFmtId="3" fontId="11" fillId="0" borderId="0" xfId="2" applyNumberFormat="1" applyAlignment="1" applyProtection="1">
      <alignment horizontal="center" vertical="center"/>
    </xf>
    <xf numFmtId="176" fontId="6" fillId="0" borderId="0" xfId="16" applyNumberFormat="1" applyFont="1" applyAlignment="1" applyProtection="1">
      <alignment horizontal="center" vertical="center"/>
    </xf>
    <xf numFmtId="0" fontId="69" fillId="4" borderId="0" xfId="4" applyFont="1" applyFill="1" applyAlignment="1" applyProtection="1">
      <alignment horizontal="center" vertical="center"/>
    </xf>
    <xf numFmtId="0" fontId="14" fillId="0" borderId="0" xfId="3" applyFont="1" applyFill="1" applyBorder="1" applyAlignment="1" applyProtection="1">
      <alignment horizontal="center"/>
    </xf>
    <xf numFmtId="0" fontId="0" fillId="0" borderId="0" xfId="0" applyFont="1" applyProtection="1"/>
    <xf numFmtId="0" fontId="19" fillId="0" borderId="0" xfId="0" applyFont="1" applyProtection="1"/>
    <xf numFmtId="0" fontId="14" fillId="0" borderId="0" xfId="4" applyFont="1" applyBorder="1" applyAlignment="1" applyProtection="1">
      <alignment horizontal="right" vertical="center" wrapText="1"/>
    </xf>
    <xf numFmtId="10" fontId="14" fillId="0" borderId="0" xfId="16" applyNumberFormat="1" applyFont="1" applyBorder="1" applyAlignment="1" applyProtection="1">
      <alignment horizontal="center" vertical="center"/>
      <protection locked="0"/>
    </xf>
    <xf numFmtId="0" fontId="14" fillId="0" borderId="0" xfId="4" applyFont="1" applyBorder="1" applyAlignment="1" applyProtection="1">
      <alignment horizontal="center" vertical="center" wrapText="1"/>
    </xf>
    <xf numFmtId="10" fontId="14" fillId="0" borderId="0" xfId="4" applyNumberFormat="1" applyFont="1" applyFill="1" applyBorder="1" applyAlignment="1" applyProtection="1">
      <alignment horizontal="center" vertical="center" wrapText="1"/>
    </xf>
    <xf numFmtId="0" fontId="70" fillId="17" borderId="0" xfId="0" applyFont="1" applyFill="1" applyAlignment="1" applyProtection="1">
      <alignment horizontal="right" vertical="center" wrapText="1"/>
    </xf>
    <xf numFmtId="178" fontId="71" fillId="17" borderId="99" xfId="10" applyNumberFormat="1" applyFont="1" applyFill="1" applyBorder="1" applyAlignment="1" applyProtection="1">
      <alignment vertical="center"/>
      <protection locked="0"/>
    </xf>
    <xf numFmtId="0" fontId="70" fillId="17" borderId="0" xfId="0" applyFont="1" applyFill="1" applyAlignment="1" applyProtection="1">
      <alignment horizontal="center" wrapText="1"/>
    </xf>
    <xf numFmtId="0" fontId="55" fillId="0" borderId="0" xfId="4" applyFont="1" applyBorder="1" applyAlignment="1" applyProtection="1">
      <alignment horizontal="right" vertical="center" wrapText="1"/>
    </xf>
    <xf numFmtId="0" fontId="10" fillId="6" borderId="0" xfId="4" applyFont="1" applyFill="1" applyBorder="1" applyAlignment="1" applyProtection="1">
      <alignment horizontal="center" vertical="center"/>
      <protection locked="0"/>
    </xf>
    <xf numFmtId="0" fontId="70" fillId="17" borderId="0" xfId="0" applyFont="1" applyFill="1" applyAlignment="1" applyProtection="1">
      <alignment wrapText="1"/>
    </xf>
    <xf numFmtId="10" fontId="14" fillId="0" borderId="0" xfId="16" applyNumberFormat="1" applyFont="1" applyFill="1" applyBorder="1" applyAlignment="1" applyProtection="1">
      <alignment horizontal="center" vertical="center"/>
    </xf>
    <xf numFmtId="0" fontId="0" fillId="0" borderId="0" xfId="0" applyFont="1" applyBorder="1" applyProtection="1"/>
    <xf numFmtId="0" fontId="70" fillId="17" borderId="0" xfId="3" applyFont="1" applyFill="1" applyBorder="1" applyAlignment="1" applyProtection="1">
      <alignment horizontal="right" wrapText="1"/>
    </xf>
    <xf numFmtId="188" fontId="70" fillId="17" borderId="0" xfId="10" applyNumberFormat="1" applyFont="1" applyFill="1" applyBorder="1" applyAlignment="1" applyProtection="1">
      <alignment vertical="center"/>
      <protection locked="0"/>
    </xf>
    <xf numFmtId="0" fontId="71" fillId="17" borderId="0" xfId="0" applyFont="1" applyFill="1" applyProtection="1"/>
    <xf numFmtId="0" fontId="14" fillId="0" borderId="0" xfId="3" applyFont="1" applyAlignment="1" applyProtection="1"/>
    <xf numFmtId="0" fontId="12" fillId="0" borderId="0" xfId="4" applyFont="1" applyAlignment="1" applyProtection="1">
      <alignment horizontal="center" wrapText="1"/>
    </xf>
    <xf numFmtId="166" fontId="0" fillId="19" borderId="0" xfId="0" applyNumberFormat="1" applyFill="1" applyBorder="1" applyAlignment="1" applyProtection="1">
      <alignment horizontal="center"/>
      <protection locked="0"/>
    </xf>
    <xf numFmtId="10" fontId="0" fillId="0" borderId="0" xfId="0" applyNumberFormat="1" applyAlignment="1" applyProtection="1">
      <alignment horizontal="center"/>
    </xf>
    <xf numFmtId="166" fontId="0" fillId="0" borderId="0" xfId="0" applyNumberFormat="1" applyAlignment="1" applyProtection="1">
      <alignment horizontal="center"/>
    </xf>
    <xf numFmtId="166" fontId="0" fillId="19" borderId="100" xfId="0" applyNumberFormat="1" applyFill="1" applyBorder="1" applyAlignment="1" applyProtection="1">
      <alignment horizontal="center"/>
      <protection locked="0"/>
    </xf>
    <xf numFmtId="166" fontId="0" fillId="19" borderId="101" xfId="0" applyNumberFormat="1" applyFill="1" applyBorder="1" applyAlignment="1" applyProtection="1">
      <alignment horizontal="center"/>
      <protection locked="0"/>
    </xf>
    <xf numFmtId="0" fontId="0" fillId="0" borderId="0" xfId="0" applyAlignment="1" applyProtection="1">
      <alignment horizontal="center"/>
      <protection locked="0"/>
    </xf>
    <xf numFmtId="0" fontId="72" fillId="0" borderId="0" xfId="0" applyFont="1" applyProtection="1"/>
    <xf numFmtId="2" fontId="0" fillId="0" borderId="0" xfId="0" applyNumberFormat="1" applyAlignment="1" applyProtection="1">
      <alignment horizontal="center"/>
    </xf>
    <xf numFmtId="2" fontId="0" fillId="24" borderId="0" xfId="0" applyNumberFormat="1" applyFill="1" applyAlignment="1" applyProtection="1">
      <alignment horizontal="center"/>
    </xf>
    <xf numFmtId="165" fontId="0" fillId="24" borderId="0" xfId="0" applyNumberFormat="1" applyFill="1" applyAlignment="1" applyProtection="1">
      <alignment horizontal="center"/>
    </xf>
    <xf numFmtId="0" fontId="51" fillId="0" borderId="0" xfId="0" applyFont="1" applyProtection="1"/>
    <xf numFmtId="0" fontId="73" fillId="0" borderId="0" xfId="0" applyFont="1" applyProtection="1"/>
    <xf numFmtId="10" fontId="0" fillId="0" borderId="0" xfId="0" applyNumberFormat="1" applyProtection="1"/>
    <xf numFmtId="3" fontId="0" fillId="20" borderId="92" xfId="0" applyNumberFormat="1" applyFill="1" applyBorder="1" applyProtection="1"/>
    <xf numFmtId="10" fontId="0" fillId="0" borderId="0" xfId="7" applyNumberFormat="1" applyFont="1" applyProtection="1"/>
    <xf numFmtId="167" fontId="11" fillId="20" borderId="0" xfId="2" applyNumberFormat="1" applyFill="1" applyAlignment="1" applyProtection="1">
      <alignment horizontal="center"/>
    </xf>
    <xf numFmtId="180" fontId="6" fillId="20" borderId="0" xfId="18" applyNumberFormat="1" applyFont="1" applyFill="1" applyProtection="1"/>
    <xf numFmtId="167" fontId="11" fillId="20" borderId="0" xfId="2" applyNumberFormat="1" applyFill="1" applyAlignment="1" applyProtection="1">
      <alignment horizontal="center" vertical="center"/>
    </xf>
    <xf numFmtId="165" fontId="11" fillId="20" borderId="0" xfId="2" applyNumberFormat="1" applyFill="1" applyAlignment="1" applyProtection="1">
      <alignment horizontal="center" vertical="center"/>
    </xf>
    <xf numFmtId="9" fontId="11" fillId="0" borderId="0" xfId="7" applyFont="1" applyProtection="1"/>
    <xf numFmtId="44" fontId="6" fillId="0" borderId="0" xfId="2" applyNumberFormat="1" applyFont="1" applyProtection="1"/>
    <xf numFmtId="176" fontId="44" fillId="0" borderId="0" xfId="7" applyNumberFormat="1" applyFont="1" applyProtection="1"/>
    <xf numFmtId="166" fontId="0" fillId="20" borderId="0" xfId="0" applyNumberFormat="1" applyFill="1" applyAlignment="1" applyProtection="1">
      <alignment horizontal="center"/>
    </xf>
    <xf numFmtId="3" fontId="11" fillId="20" borderId="0" xfId="2" applyNumberFormat="1" applyFill="1" applyAlignment="1" applyProtection="1">
      <alignment horizontal="center" vertical="center"/>
    </xf>
    <xf numFmtId="0" fontId="44" fillId="0" borderId="0" xfId="2" applyFont="1" applyProtection="1"/>
    <xf numFmtId="176" fontId="6" fillId="0" borderId="0" xfId="16" applyNumberFormat="1" applyFont="1" applyAlignment="1" applyProtection="1">
      <alignment horizontal="center" vertical="center"/>
    </xf>
    <xf numFmtId="164" fontId="0" fillId="20" borderId="0" xfId="0" applyNumberFormat="1" applyFill="1" applyAlignment="1" applyProtection="1">
      <alignment horizontal="center"/>
    </xf>
    <xf numFmtId="189" fontId="14" fillId="20" borderId="0" xfId="4" applyNumberFormat="1" applyFont="1" applyFill="1" applyBorder="1" applyAlignment="1" applyProtection="1">
      <alignment horizontal="center" vertical="center"/>
    </xf>
    <xf numFmtId="0" fontId="46" fillId="0" borderId="0" xfId="9" applyFont="1" applyFill="1" applyBorder="1" applyAlignment="1" applyProtection="1">
      <alignment horizontal="right" wrapText="1"/>
    </xf>
    <xf numFmtId="4" fontId="0" fillId="20" borderId="0" xfId="0" applyNumberFormat="1" applyFill="1" applyAlignment="1" applyProtection="1">
      <alignment horizontal="center"/>
    </xf>
    <xf numFmtId="165" fontId="0" fillId="20" borderId="0" xfId="0" applyNumberFormat="1" applyFill="1" applyAlignment="1" applyProtection="1">
      <alignment horizontal="center"/>
    </xf>
    <xf numFmtId="1" fontId="10" fillId="20" borderId="100" xfId="11" applyNumberFormat="1" applyFont="1" applyFill="1" applyBorder="1" applyAlignment="1" applyProtection="1">
      <alignment horizontal="center" vertical="center"/>
      <protection locked="0"/>
    </xf>
    <xf numFmtId="10" fontId="10" fillId="20" borderId="0" xfId="11" applyNumberFormat="1" applyFont="1" applyFill="1" applyAlignment="1" applyProtection="1">
      <alignment vertical="center"/>
    </xf>
    <xf numFmtId="10" fontId="10" fillId="20" borderId="0" xfId="11" applyNumberFormat="1" applyFont="1" applyFill="1" applyAlignment="1" applyProtection="1">
      <alignment vertical="center" wrapText="1"/>
    </xf>
    <xf numFmtId="0" fontId="10" fillId="20" borderId="0" xfId="11" applyFont="1" applyFill="1" applyAlignment="1" applyProtection="1">
      <alignment vertical="center"/>
    </xf>
    <xf numFmtId="0" fontId="11" fillId="20" borderId="0" xfId="11" applyFill="1" applyAlignment="1" applyProtection="1">
      <alignment horizontal="right" vertical="center"/>
    </xf>
    <xf numFmtId="10" fontId="11" fillId="20" borderId="0" xfId="11" applyNumberFormat="1" applyFill="1" applyAlignment="1" applyProtection="1">
      <alignment vertical="center"/>
    </xf>
    <xf numFmtId="0" fontId="11" fillId="20" borderId="0" xfId="11" applyFill="1" applyAlignment="1" applyProtection="1">
      <alignment vertical="top" wrapText="1"/>
    </xf>
    <xf numFmtId="0" fontId="11" fillId="20" borderId="0" xfId="11" applyFont="1" applyFill="1" applyProtection="1"/>
    <xf numFmtId="1" fontId="10" fillId="20" borderId="0" xfId="11" applyNumberFormat="1" applyFont="1" applyFill="1" applyBorder="1" applyAlignment="1" applyProtection="1">
      <alignment horizontal="center" vertical="center"/>
      <protection locked="0"/>
    </xf>
    <xf numFmtId="167" fontId="0" fillId="0" borderId="0" xfId="0" applyNumberFormat="1" applyAlignment="1" applyProtection="1">
      <alignment horizontal="center"/>
    </xf>
    <xf numFmtId="0" fontId="11" fillId="20" borderId="0" xfId="11" applyFill="1" applyAlignment="1" applyProtection="1">
      <alignment horizontal="center"/>
    </xf>
    <xf numFmtId="0" fontId="11" fillId="20" borderId="0" xfId="11" applyFill="1" applyProtection="1"/>
    <xf numFmtId="10" fontId="11" fillId="20" borderId="0" xfId="11" applyNumberFormat="1" applyFill="1" applyAlignment="1" applyProtection="1">
      <alignment horizontal="center"/>
    </xf>
    <xf numFmtId="166" fontId="11" fillId="20" borderId="100" xfId="11" applyNumberFormat="1" applyFill="1" applyBorder="1" applyAlignment="1" applyProtection="1">
      <alignment horizontal="center"/>
      <protection locked="0"/>
    </xf>
    <xf numFmtId="166" fontId="11" fillId="20" borderId="101" xfId="11" applyNumberFormat="1" applyFill="1" applyBorder="1" applyAlignment="1" applyProtection="1">
      <alignment horizontal="center"/>
      <protection locked="0"/>
    </xf>
    <xf numFmtId="167" fontId="11" fillId="20" borderId="0" xfId="11" applyNumberFormat="1" applyFill="1" applyAlignment="1" applyProtection="1">
      <alignment horizontal="center"/>
    </xf>
    <xf numFmtId="4" fontId="11" fillId="20" borderId="0" xfId="11" applyNumberFormat="1" applyFill="1" applyAlignment="1" applyProtection="1">
      <alignment horizontal="center"/>
    </xf>
    <xf numFmtId="164" fontId="11" fillId="20" borderId="0" xfId="11" applyNumberFormat="1" applyFill="1" applyAlignment="1" applyProtection="1">
      <alignment horizontal="center"/>
    </xf>
    <xf numFmtId="166" fontId="11" fillId="20" borderId="0" xfId="11" applyNumberFormat="1" applyFill="1" applyAlignment="1" applyProtection="1">
      <alignment horizontal="center"/>
    </xf>
    <xf numFmtId="0" fontId="11" fillId="20" borderId="0" xfId="11" applyFill="1" applyAlignment="1" applyProtection="1">
      <alignment horizontal="center"/>
    </xf>
    <xf numFmtId="0" fontId="11" fillId="20" borderId="0" xfId="11" applyFill="1" applyProtection="1"/>
    <xf numFmtId="166" fontId="11" fillId="20" borderId="0" xfId="11" applyNumberFormat="1" applyFill="1" applyBorder="1" applyAlignment="1" applyProtection="1">
      <alignment horizontal="center"/>
      <protection locked="0"/>
    </xf>
    <xf numFmtId="10" fontId="11" fillId="20" borderId="0" xfId="11" applyNumberFormat="1" applyFill="1" applyAlignment="1" applyProtection="1">
      <alignment horizontal="center"/>
    </xf>
    <xf numFmtId="0" fontId="76" fillId="0" borderId="0" xfId="0" applyFont="1" applyFill="1" applyAlignment="1" applyProtection="1">
      <alignment horizontal="right" wrapText="1"/>
    </xf>
    <xf numFmtId="0" fontId="76" fillId="0" borderId="0" xfId="0" applyFont="1" applyFill="1" applyAlignment="1" applyProtection="1">
      <alignment horizontal="right" vertical="center"/>
    </xf>
    <xf numFmtId="0" fontId="76" fillId="0" borderId="0" xfId="0" applyFont="1" applyFill="1" applyAlignment="1" applyProtection="1">
      <alignment horizontal="right"/>
    </xf>
    <xf numFmtId="10" fontId="0" fillId="19" borderId="91" xfId="7" applyNumberFormat="1" applyFont="1" applyFill="1" applyBorder="1" applyProtection="1">
      <protection locked="0"/>
    </xf>
    <xf numFmtId="10" fontId="0" fillId="19" borderId="89" xfId="7" applyNumberFormat="1" applyFont="1" applyFill="1" applyBorder="1" applyProtection="1">
      <protection locked="0"/>
    </xf>
    <xf numFmtId="10" fontId="0" fillId="19" borderId="95" xfId="7" applyNumberFormat="1" applyFont="1" applyFill="1" applyBorder="1" applyProtection="1">
      <protection locked="0"/>
    </xf>
    <xf numFmtId="181" fontId="0" fillId="20" borderId="0" xfId="0" applyNumberFormat="1" applyFill="1" applyAlignment="1" applyProtection="1">
      <alignment horizontal="center" vertical="center"/>
    </xf>
    <xf numFmtId="182" fontId="0" fillId="20" borderId="0" xfId="0" applyNumberFormat="1" applyFill="1" applyAlignment="1" applyProtection="1">
      <alignment horizontal="center" vertical="center"/>
    </xf>
    <xf numFmtId="183" fontId="0" fillId="20" borderId="0" xfId="0" applyNumberFormat="1" applyFill="1" applyAlignment="1" applyProtection="1">
      <alignment horizontal="right" vertical="center"/>
    </xf>
    <xf numFmtId="0" fontId="0" fillId="7" borderId="36" xfId="6" applyFont="1" applyFill="1" applyBorder="1" applyAlignment="1">
      <alignment horizontal="left" vertical="center" wrapText="1"/>
    </xf>
    <xf numFmtId="0" fontId="0" fillId="7" borderId="36" xfId="6" applyFont="1" applyFill="1" applyBorder="1" applyAlignment="1">
      <alignment vertical="center" wrapText="1"/>
    </xf>
    <xf numFmtId="0" fontId="0" fillId="6" borderId="36" xfId="6" applyFont="1" applyFill="1" applyBorder="1" applyAlignment="1">
      <alignment vertical="center" wrapText="1"/>
    </xf>
    <xf numFmtId="44" fontId="11" fillId="0" borderId="0" xfId="2" applyNumberFormat="1" applyProtection="1"/>
    <xf numFmtId="9" fontId="44" fillId="0" borderId="0" xfId="7" applyFont="1" applyProtection="1"/>
    <xf numFmtId="0" fontId="48" fillId="0" borderId="0" xfId="0" applyFont="1" applyAlignment="1" applyProtection="1">
      <alignment wrapText="1"/>
    </xf>
    <xf numFmtId="0" fontId="17" fillId="18" borderId="46" xfId="0" applyFont="1" applyFill="1" applyBorder="1" applyAlignment="1" applyProtection="1">
      <alignment horizontal="center" vertical="center"/>
      <protection locked="0"/>
    </xf>
    <xf numFmtId="174" fontId="0" fillId="20" borderId="91" xfId="0" applyNumberFormat="1" applyFill="1" applyBorder="1" applyProtection="1">
      <protection locked="0"/>
    </xf>
    <xf numFmtId="2" fontId="0" fillId="20" borderId="0" xfId="0" applyNumberFormat="1" applyFill="1" applyAlignment="1" applyProtection="1">
      <alignment horizontal="center"/>
    </xf>
    <xf numFmtId="0" fontId="0" fillId="0" borderId="16" xfId="0" applyBorder="1" applyAlignment="1">
      <alignment horizontal="center" vertical="top" wrapText="1"/>
    </xf>
    <xf numFmtId="0" fontId="0" fillId="0" borderId="20"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5" fillId="0" borderId="5" xfId="1" applyFont="1" applyBorder="1" applyAlignment="1">
      <alignment horizontal="left" wrapText="1"/>
    </xf>
    <xf numFmtId="0" fontId="5" fillId="0" borderId="0" xfId="1" applyFont="1" applyAlignment="1">
      <alignment horizontal="left" wrapText="1"/>
    </xf>
    <xf numFmtId="0" fontId="5" fillId="0" borderId="6" xfId="1" applyFont="1" applyBorder="1" applyAlignment="1">
      <alignment horizontal="left" wrapText="1"/>
    </xf>
    <xf numFmtId="0" fontId="5" fillId="0" borderId="5" xfId="0" applyFont="1" applyBorder="1" applyAlignment="1">
      <alignment horizontal="left" wrapText="1"/>
    </xf>
    <xf numFmtId="0" fontId="5" fillId="0" borderId="0" xfId="0" applyFont="1" applyAlignment="1">
      <alignment horizontal="left" wrapText="1"/>
    </xf>
    <xf numFmtId="0" fontId="5" fillId="0" borderId="6" xfId="0" applyFont="1" applyBorder="1" applyAlignment="1">
      <alignment horizontal="left" wrapText="1"/>
    </xf>
    <xf numFmtId="0" fontId="5" fillId="0" borderId="8" xfId="1" applyFont="1" applyBorder="1" applyAlignment="1">
      <alignment horizontal="left" wrapText="1"/>
    </xf>
    <xf numFmtId="0" fontId="5" fillId="0" borderId="9" xfId="1" applyFont="1" applyBorder="1" applyAlignment="1">
      <alignment horizontal="left" wrapText="1"/>
    </xf>
    <xf numFmtId="0" fontId="5" fillId="0" borderId="10" xfId="1" applyFont="1" applyBorder="1" applyAlignment="1">
      <alignment horizontal="left"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0" fillId="0" borderId="25" xfId="0"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32" xfId="0" applyBorder="1" applyAlignment="1">
      <alignment horizontal="center" vertical="top"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82" fillId="7" borderId="38" xfId="37" applyNumberFormat="1" applyFill="1" applyBorder="1" applyAlignment="1" applyProtection="1">
      <alignment horizontal="left" vertical="center"/>
      <protection locked="0"/>
    </xf>
    <xf numFmtId="0" fontId="22" fillId="7" borderId="39" xfId="0" applyNumberFormat="1" applyFont="1" applyFill="1" applyBorder="1" applyAlignment="1" applyProtection="1">
      <alignment horizontal="left" vertical="center"/>
      <protection locked="0"/>
    </xf>
    <xf numFmtId="0" fontId="22" fillId="7" borderId="40" xfId="0" applyNumberFormat="1" applyFont="1" applyFill="1" applyBorder="1" applyAlignment="1" applyProtection="1">
      <alignment horizontal="left" vertical="center"/>
      <protection locked="0"/>
    </xf>
    <xf numFmtId="0" fontId="21" fillId="0" borderId="0" xfId="0" applyFont="1" applyAlignment="1" applyProtection="1">
      <alignment horizontal="left" vertical="center" wrapText="1" indent="1"/>
    </xf>
    <xf numFmtId="0" fontId="22" fillId="7" borderId="43" xfId="0" applyFont="1" applyFill="1" applyBorder="1" applyAlignment="1" applyProtection="1">
      <alignment horizontal="center" vertical="center"/>
      <protection locked="0"/>
    </xf>
    <xf numFmtId="0" fontId="22" fillId="7" borderId="45" xfId="0" applyFont="1" applyFill="1" applyBorder="1" applyAlignment="1" applyProtection="1">
      <alignment horizontal="center" vertical="center"/>
      <protection locked="0"/>
    </xf>
    <xf numFmtId="0" fontId="22" fillId="6" borderId="38" xfId="0" applyFont="1" applyFill="1" applyBorder="1" applyAlignment="1" applyProtection="1">
      <alignment horizontal="left" vertical="center" wrapText="1"/>
      <protection locked="0"/>
    </xf>
    <xf numFmtId="0" fontId="22" fillId="6" borderId="39" xfId="0" applyFont="1" applyFill="1" applyBorder="1" applyAlignment="1" applyProtection="1">
      <alignment horizontal="left" vertical="center" wrapText="1"/>
      <protection locked="0"/>
    </xf>
    <xf numFmtId="0" fontId="22" fillId="6" borderId="40" xfId="0" applyFont="1" applyFill="1" applyBorder="1" applyAlignment="1" applyProtection="1">
      <alignment horizontal="left" vertical="center" wrapText="1"/>
      <protection locked="0"/>
    </xf>
    <xf numFmtId="0" fontId="22" fillId="6" borderId="38" xfId="0" applyFont="1" applyFill="1" applyBorder="1" applyAlignment="1" applyProtection="1">
      <alignment horizontal="left" vertical="center"/>
      <protection locked="0"/>
    </xf>
    <xf numFmtId="0" fontId="22" fillId="6" borderId="39" xfId="0" applyFont="1" applyFill="1" applyBorder="1" applyAlignment="1" applyProtection="1">
      <alignment horizontal="left" vertical="center"/>
      <protection locked="0"/>
    </xf>
    <xf numFmtId="0" fontId="22" fillId="6" borderId="40" xfId="0" applyFont="1" applyFill="1" applyBorder="1" applyAlignment="1" applyProtection="1">
      <alignment horizontal="left" vertical="center"/>
      <protection locked="0"/>
    </xf>
    <xf numFmtId="0" fontId="22" fillId="7" borderId="38" xfId="0" applyFont="1" applyFill="1" applyBorder="1" applyAlignment="1" applyProtection="1">
      <alignment horizontal="left" vertical="center"/>
      <protection locked="0"/>
    </xf>
    <xf numFmtId="0" fontId="22" fillId="7" borderId="39" xfId="0" applyFont="1" applyFill="1" applyBorder="1" applyAlignment="1" applyProtection="1">
      <alignment horizontal="left" vertical="center"/>
      <protection locked="0"/>
    </xf>
    <xf numFmtId="0" fontId="21" fillId="0" borderId="0" xfId="0" applyFont="1" applyBorder="1" applyAlignment="1" applyProtection="1">
      <alignment horizontal="left" vertical="center" wrapText="1" indent="1"/>
    </xf>
    <xf numFmtId="0" fontId="21" fillId="6" borderId="43" xfId="0" applyNumberFormat="1" applyFont="1" applyFill="1" applyBorder="1" applyAlignment="1" applyProtection="1">
      <alignment horizontal="center" vertical="center"/>
      <protection locked="0"/>
    </xf>
    <xf numFmtId="0" fontId="21" fillId="6" borderId="44" xfId="0" applyNumberFormat="1" applyFont="1" applyFill="1" applyBorder="1" applyAlignment="1" applyProtection="1">
      <alignment horizontal="center" vertical="center"/>
      <protection locked="0"/>
    </xf>
    <xf numFmtId="0" fontId="21" fillId="6" borderId="45" xfId="0"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wrapText="1" indent="6"/>
    </xf>
    <xf numFmtId="169" fontId="22" fillId="6" borderId="38" xfId="0" applyNumberFormat="1" applyFont="1" applyFill="1" applyBorder="1" applyAlignment="1" applyProtection="1">
      <alignment horizontal="left" vertical="center"/>
    </xf>
    <xf numFmtId="169" fontId="22" fillId="6" borderId="39" xfId="0" applyNumberFormat="1" applyFont="1" applyFill="1" applyBorder="1" applyAlignment="1" applyProtection="1">
      <alignment horizontal="left" vertical="center"/>
    </xf>
    <xf numFmtId="0" fontId="21" fillId="6" borderId="38" xfId="0" applyNumberFormat="1" applyFont="1" applyFill="1" applyBorder="1" applyAlignment="1" applyProtection="1">
      <alignment horizontal="center" vertical="center"/>
      <protection locked="0"/>
    </xf>
    <xf numFmtId="0" fontId="21" fillId="6" borderId="39" xfId="0" applyNumberFormat="1" applyFont="1" applyFill="1" applyBorder="1" applyAlignment="1" applyProtection="1">
      <alignment horizontal="center" vertical="center"/>
      <protection locked="0"/>
    </xf>
    <xf numFmtId="0" fontId="21" fillId="6" borderId="40" xfId="0" applyNumberFormat="1" applyFont="1" applyFill="1" applyBorder="1" applyAlignment="1" applyProtection="1">
      <alignment horizontal="center" vertical="center"/>
      <protection locked="0"/>
    </xf>
    <xf numFmtId="0" fontId="21" fillId="0" borderId="41" xfId="0" applyFont="1" applyBorder="1" applyAlignment="1" applyProtection="1">
      <alignment horizontal="left" vertical="center" wrapText="1" indent="1"/>
    </xf>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23" fillId="0" borderId="0" xfId="0" applyFont="1" applyBorder="1" applyAlignment="1" applyProtection="1">
      <alignment horizontal="left" vertical="top" wrapText="1" indent="1"/>
    </xf>
    <xf numFmtId="0" fontId="0" fillId="0" borderId="0" xfId="0" applyProtection="1">
      <protection locked="0"/>
    </xf>
    <xf numFmtId="0" fontId="25" fillId="0" borderId="0" xfId="0" applyFont="1" applyAlignment="1" applyProtection="1">
      <alignment horizontal="left"/>
    </xf>
    <xf numFmtId="0" fontId="6" fillId="0" borderId="0" xfId="0" applyFont="1" applyAlignment="1" applyProtection="1">
      <alignment horizontal="left" wrapText="1"/>
    </xf>
    <xf numFmtId="0" fontId="0" fillId="0" borderId="0" xfId="0" applyAlignment="1" applyProtection="1">
      <alignment horizontal="left" wrapText="1"/>
    </xf>
    <xf numFmtId="0" fontId="25" fillId="0" borderId="0" xfId="0" applyFont="1" applyAlignment="1" applyProtection="1">
      <alignment horizontal="left" vertical="center" wrapText="1"/>
    </xf>
    <xf numFmtId="0" fontId="13" fillId="15" borderId="0" xfId="2" applyFont="1" applyFill="1" applyBorder="1" applyAlignment="1" applyProtection="1">
      <alignment horizontal="left" vertical="top" wrapText="1"/>
    </xf>
    <xf numFmtId="170" fontId="33" fillId="0" borderId="11" xfId="0" applyNumberFormat="1" applyFont="1" applyFill="1" applyBorder="1" applyAlignment="1" applyProtection="1">
      <alignment horizontal="center" vertical="center" wrapText="1"/>
    </xf>
    <xf numFmtId="170" fontId="33" fillId="0" borderId="0" xfId="0" applyNumberFormat="1" applyFont="1" applyFill="1" applyBorder="1" applyAlignment="1" applyProtection="1">
      <alignment horizontal="center" vertical="center" wrapText="1"/>
    </xf>
    <xf numFmtId="170" fontId="33" fillId="0" borderId="56" xfId="0" applyNumberFormat="1" applyFont="1" applyFill="1" applyBorder="1" applyAlignment="1" applyProtection="1">
      <alignment horizontal="center" vertical="center" wrapText="1"/>
    </xf>
    <xf numFmtId="170" fontId="33" fillId="0" borderId="54" xfId="0" applyNumberFormat="1" applyFont="1" applyFill="1" applyBorder="1" applyAlignment="1" applyProtection="1">
      <alignment horizontal="center" vertical="center" wrapText="1"/>
    </xf>
    <xf numFmtId="170" fontId="33" fillId="0" borderId="4" xfId="0" applyNumberFormat="1" applyFont="1" applyFill="1" applyBorder="1" applyAlignment="1" applyProtection="1">
      <alignment horizontal="center" vertical="center" wrapText="1"/>
    </xf>
    <xf numFmtId="170" fontId="33" fillId="0" borderId="7" xfId="0" applyNumberFormat="1" applyFont="1" applyFill="1" applyBorder="1" applyAlignment="1" applyProtection="1">
      <alignment horizontal="center" vertical="center" wrapText="1"/>
    </xf>
    <xf numFmtId="170" fontId="36" fillId="0" borderId="0" xfId="0" applyNumberFormat="1" applyFont="1" applyFill="1" applyBorder="1" applyAlignment="1" applyProtection="1">
      <alignment horizontal="center" vertical="center" wrapText="1"/>
    </xf>
    <xf numFmtId="170" fontId="36" fillId="0" borderId="56" xfId="0" applyNumberFormat="1" applyFont="1" applyFill="1" applyBorder="1" applyAlignment="1" applyProtection="1">
      <alignment horizontal="center" vertical="center" wrapText="1"/>
    </xf>
    <xf numFmtId="170" fontId="33" fillId="0" borderId="53" xfId="0" applyNumberFormat="1" applyFont="1" applyFill="1" applyBorder="1" applyAlignment="1" applyProtection="1">
      <alignment horizontal="center" vertical="center" wrapText="1"/>
    </xf>
    <xf numFmtId="170" fontId="33" fillId="0" borderId="5" xfId="0" applyNumberFormat="1" applyFont="1" applyFill="1" applyBorder="1" applyAlignment="1" applyProtection="1">
      <alignment horizontal="center" vertical="center" wrapText="1"/>
    </xf>
    <xf numFmtId="170" fontId="33" fillId="0" borderId="55" xfId="0" applyNumberFormat="1" applyFont="1" applyFill="1" applyBorder="1" applyAlignment="1" applyProtection="1">
      <alignment horizontal="center" vertical="center" wrapText="1"/>
    </xf>
    <xf numFmtId="170" fontId="33" fillId="0" borderId="52" xfId="0" applyNumberFormat="1" applyFont="1" applyFill="1" applyBorder="1" applyAlignment="1" applyProtection="1">
      <alignment horizontal="center" vertical="center" wrapText="1"/>
    </xf>
    <xf numFmtId="170" fontId="33" fillId="0" borderId="6" xfId="0" applyNumberFormat="1" applyFont="1" applyFill="1" applyBorder="1" applyAlignment="1" applyProtection="1">
      <alignment horizontal="center" vertical="center" wrapText="1"/>
    </xf>
    <xf numFmtId="170" fontId="33" fillId="0" borderId="58" xfId="0" applyNumberFormat="1" applyFont="1" applyFill="1" applyBorder="1" applyAlignment="1" applyProtection="1">
      <alignment horizontal="center" vertical="center" wrapText="1"/>
    </xf>
    <xf numFmtId="170" fontId="33" fillId="0" borderId="57" xfId="0" applyNumberFormat="1" applyFont="1" applyFill="1" applyBorder="1" applyAlignment="1" applyProtection="1">
      <alignment horizontal="center" vertical="center" wrapText="1"/>
    </xf>
    <xf numFmtId="170" fontId="36" fillId="0" borderId="5" xfId="0" applyNumberFormat="1" applyFont="1" applyFill="1" applyBorder="1" applyAlignment="1" applyProtection="1">
      <alignment horizontal="center" vertical="center" wrapText="1"/>
    </xf>
    <xf numFmtId="170" fontId="36" fillId="0" borderId="55" xfId="0" applyNumberFormat="1" applyFont="1" applyFill="1" applyBorder="1" applyAlignment="1" applyProtection="1">
      <alignment horizontal="center" vertical="center" wrapText="1"/>
    </xf>
    <xf numFmtId="171" fontId="33" fillId="0" borderId="11" xfId="0" applyNumberFormat="1" applyFont="1" applyFill="1" applyBorder="1" applyAlignment="1" applyProtection="1">
      <alignment horizontal="center" vertical="center" wrapText="1"/>
    </xf>
    <xf numFmtId="171" fontId="33" fillId="0" borderId="0" xfId="0" applyNumberFormat="1" applyFont="1" applyFill="1" applyBorder="1" applyAlignment="1" applyProtection="1">
      <alignment horizontal="center" vertical="center" wrapText="1"/>
    </xf>
    <xf numFmtId="171" fontId="33" fillId="0" borderId="56" xfId="0" applyNumberFormat="1" applyFont="1" applyFill="1" applyBorder="1" applyAlignment="1" applyProtection="1">
      <alignment horizontal="center" vertical="center" wrapText="1"/>
    </xf>
    <xf numFmtId="171" fontId="33" fillId="0" borderId="52" xfId="0" applyNumberFormat="1" applyFont="1" applyFill="1" applyBorder="1" applyAlignment="1" applyProtection="1">
      <alignment horizontal="center" vertical="center" wrapText="1"/>
    </xf>
    <xf numFmtId="171" fontId="33" fillId="0" borderId="6" xfId="0" applyNumberFormat="1" applyFont="1" applyFill="1" applyBorder="1" applyAlignment="1" applyProtection="1">
      <alignment horizontal="center" vertical="center" wrapText="1"/>
    </xf>
    <xf numFmtId="171" fontId="33" fillId="0" borderId="57" xfId="0" applyNumberFormat="1" applyFont="1" applyFill="1" applyBorder="1" applyAlignment="1" applyProtection="1">
      <alignment horizontal="center" vertical="center" wrapText="1"/>
    </xf>
    <xf numFmtId="171" fontId="33" fillId="0" borderId="53" xfId="0" applyNumberFormat="1" applyFont="1" applyFill="1" applyBorder="1" applyAlignment="1" applyProtection="1">
      <alignment horizontal="center" vertical="center" wrapText="1"/>
    </xf>
    <xf numFmtId="171" fontId="33" fillId="0" borderId="5" xfId="0" applyNumberFormat="1" applyFont="1" applyFill="1" applyBorder="1" applyAlignment="1" applyProtection="1">
      <alignment horizontal="center" vertical="center" wrapText="1"/>
    </xf>
    <xf numFmtId="171" fontId="33" fillId="0" borderId="55"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xf>
    <xf numFmtId="0" fontId="29" fillId="0" borderId="2" xfId="0" applyNumberFormat="1" applyFont="1" applyFill="1" applyBorder="1" applyAlignment="1" applyProtection="1">
      <alignment horizontal="center" vertical="center"/>
    </xf>
    <xf numFmtId="0" fontId="29" fillId="0" borderId="3" xfId="0" applyNumberFormat="1" applyFont="1" applyFill="1" applyBorder="1" applyAlignment="1" applyProtection="1">
      <alignment horizontal="center" vertical="center"/>
    </xf>
    <xf numFmtId="0" fontId="30" fillId="0" borderId="1" xfId="0" applyNumberFormat="1" applyFont="1" applyBorder="1" applyAlignment="1" applyProtection="1">
      <alignment horizontal="center"/>
    </xf>
    <xf numFmtId="0" fontId="30" fillId="0" borderId="2" xfId="0" applyNumberFormat="1" applyFont="1" applyBorder="1" applyAlignment="1" applyProtection="1">
      <alignment horizontal="center"/>
    </xf>
    <xf numFmtId="0" fontId="30" fillId="0" borderId="52" xfId="0" applyNumberFormat="1" applyFont="1" applyBorder="1" applyAlignment="1" applyProtection="1">
      <alignment horizontal="center"/>
    </xf>
    <xf numFmtId="0" fontId="32" fillId="0" borderId="53" xfId="0" applyFont="1" applyFill="1" applyBorder="1" applyAlignment="1" applyProtection="1">
      <alignment horizontal="left" vertical="center"/>
    </xf>
    <xf numFmtId="0" fontId="32" fillId="0" borderId="5" xfId="0" applyFont="1" applyFill="1" applyBorder="1" applyAlignment="1" applyProtection="1">
      <alignment horizontal="left" vertical="center"/>
    </xf>
    <xf numFmtId="0" fontId="33" fillId="0" borderId="52" xfId="0" applyFont="1" applyFill="1" applyBorder="1" applyAlignment="1" applyProtection="1">
      <alignment horizontal="center" vertical="center" wrapText="1"/>
    </xf>
    <xf numFmtId="0" fontId="33" fillId="0" borderId="6" xfId="0" applyFont="1" applyFill="1" applyBorder="1" applyAlignment="1" applyProtection="1">
      <alignment horizontal="center" vertical="center" wrapText="1"/>
    </xf>
    <xf numFmtId="171" fontId="36" fillId="0" borderId="0" xfId="0" applyNumberFormat="1" applyFont="1" applyFill="1" applyBorder="1" applyAlignment="1" applyProtection="1">
      <alignment horizontal="center" vertical="center" wrapText="1"/>
    </xf>
    <xf numFmtId="171" fontId="36" fillId="0" borderId="56" xfId="0" applyNumberFormat="1" applyFont="1" applyFill="1" applyBorder="1" applyAlignment="1" applyProtection="1">
      <alignment horizontal="center" vertical="center" wrapText="1"/>
    </xf>
    <xf numFmtId="0" fontId="13" fillId="0" borderId="0" xfId="2" applyFont="1" applyAlignment="1" applyProtection="1">
      <alignment horizontal="left" vertical="top" wrapText="1"/>
    </xf>
    <xf numFmtId="0" fontId="7" fillId="17" borderId="0" xfId="0" applyFont="1" applyFill="1" applyAlignment="1" applyProtection="1">
      <alignment horizontal="center" vertical="center" wrapText="1"/>
    </xf>
    <xf numFmtId="0" fontId="7" fillId="17" borderId="0" xfId="0" applyFont="1" applyFill="1" applyAlignment="1" applyProtection="1">
      <alignment wrapText="1"/>
    </xf>
    <xf numFmtId="10" fontId="12" fillId="17" borderId="89" xfId="8" applyNumberFormat="1" applyFont="1" applyFill="1" applyBorder="1" applyAlignment="1" applyProtection="1">
      <alignment horizontal="center" vertical="center" wrapText="1"/>
    </xf>
    <xf numFmtId="10" fontId="12" fillId="17" borderId="91" xfId="8" applyNumberFormat="1" applyFont="1" applyFill="1" applyBorder="1" applyAlignment="1" applyProtection="1">
      <alignment horizontal="center" vertical="center" wrapText="1"/>
    </xf>
    <xf numFmtId="0" fontId="49" fillId="17" borderId="84" xfId="0" applyFont="1" applyFill="1" applyBorder="1" applyAlignment="1" applyProtection="1">
      <alignment horizontal="center" vertical="center" wrapText="1"/>
    </xf>
    <xf numFmtId="0" fontId="49" fillId="17" borderId="87" xfId="0" applyFont="1" applyFill="1" applyBorder="1" applyAlignment="1" applyProtection="1">
      <alignment horizontal="center" vertical="center" wrapText="1"/>
    </xf>
    <xf numFmtId="174" fontId="12" fillId="17" borderId="89" xfId="8" applyNumberFormat="1" applyFont="1" applyFill="1" applyBorder="1" applyAlignment="1" applyProtection="1">
      <alignment horizontal="center" vertical="center" wrapText="1"/>
    </xf>
    <xf numFmtId="174" fontId="12" fillId="17" borderId="91" xfId="8" applyNumberFormat="1" applyFont="1" applyFill="1" applyBorder="1" applyAlignment="1" applyProtection="1">
      <alignment horizontal="center" vertical="center" wrapText="1"/>
    </xf>
    <xf numFmtId="0" fontId="49" fillId="17" borderId="84" xfId="0" applyFont="1" applyFill="1" applyBorder="1" applyAlignment="1" applyProtection="1">
      <alignment horizontal="center" vertical="top" wrapText="1"/>
    </xf>
    <xf numFmtId="0" fontId="12" fillId="17" borderId="89" xfId="8" applyNumberFormat="1" applyFont="1" applyFill="1" applyBorder="1" applyAlignment="1" applyProtection="1">
      <alignment horizontal="center" vertical="center" wrapText="1"/>
    </xf>
    <xf numFmtId="0" fontId="12" fillId="17" borderId="91" xfId="8" applyNumberFormat="1" applyFont="1" applyFill="1" applyBorder="1" applyAlignment="1" applyProtection="1">
      <alignment horizontal="center" vertical="center" wrapText="1"/>
    </xf>
    <xf numFmtId="0" fontId="7" fillId="4" borderId="53" xfId="0" applyFont="1" applyFill="1" applyBorder="1" applyAlignment="1" applyProtection="1">
      <alignment horizontal="left" vertical="top" wrapText="1"/>
    </xf>
    <xf numFmtId="0" fontId="7" fillId="4" borderId="11" xfId="0" applyFont="1" applyFill="1" applyBorder="1" applyAlignment="1" applyProtection="1">
      <alignment horizontal="left" vertical="top" wrapText="1"/>
    </xf>
    <xf numFmtId="0" fontId="7" fillId="4" borderId="52" xfId="0" applyFont="1" applyFill="1" applyBorder="1" applyAlignment="1" applyProtection="1">
      <alignment horizontal="left" vertical="top" wrapText="1"/>
    </xf>
    <xf numFmtId="0" fontId="7" fillId="4" borderId="5" xfId="0" applyFont="1" applyFill="1" applyBorder="1" applyAlignment="1" applyProtection="1">
      <alignment horizontal="left" vertical="top" wrapText="1"/>
    </xf>
    <xf numFmtId="0" fontId="7" fillId="4" borderId="0" xfId="0" applyFont="1" applyFill="1" applyBorder="1" applyAlignment="1" applyProtection="1">
      <alignment horizontal="left" vertical="top" wrapText="1"/>
    </xf>
    <xf numFmtId="0" fontId="7" fillId="4" borderId="6" xfId="0" applyFont="1" applyFill="1" applyBorder="1" applyAlignment="1" applyProtection="1">
      <alignment horizontal="left" vertical="top" wrapText="1"/>
    </xf>
    <xf numFmtId="0" fontId="7" fillId="0" borderId="85" xfId="0" applyFont="1" applyFill="1" applyBorder="1" applyAlignment="1" applyProtection="1">
      <alignment wrapText="1"/>
    </xf>
    <xf numFmtId="0" fontId="7" fillId="0" borderId="84" xfId="0" applyFont="1" applyFill="1" applyBorder="1" applyProtection="1"/>
    <xf numFmtId="0" fontId="7" fillId="0" borderId="86" xfId="0" applyFont="1" applyFill="1" applyBorder="1" applyProtection="1"/>
    <xf numFmtId="0" fontId="7" fillId="0" borderId="5" xfId="0" applyFont="1" applyFill="1" applyBorder="1" applyProtection="1"/>
    <xf numFmtId="0" fontId="7" fillId="0" borderId="0" xfId="0" applyFont="1" applyFill="1" applyBorder="1" applyProtection="1"/>
    <xf numFmtId="0" fontId="7" fillId="0" borderId="6" xfId="0" applyFont="1" applyFill="1" applyBorder="1" applyProtection="1"/>
    <xf numFmtId="0" fontId="7" fillId="17" borderId="85" xfId="0" applyFont="1" applyFill="1" applyBorder="1" applyAlignment="1" applyProtection="1">
      <alignment wrapText="1"/>
    </xf>
    <xf numFmtId="0" fontId="7" fillId="17" borderId="84" xfId="0" applyFont="1" applyFill="1" applyBorder="1" applyProtection="1"/>
    <xf numFmtId="0" fontId="7" fillId="17" borderId="86" xfId="0" applyFont="1" applyFill="1" applyBorder="1" applyProtection="1"/>
    <xf numFmtId="0" fontId="7" fillId="17" borderId="5" xfId="0" applyFont="1" applyFill="1" applyBorder="1" applyProtection="1"/>
    <xf numFmtId="0" fontId="7" fillId="17" borderId="0" xfId="0" applyFont="1" applyFill="1" applyBorder="1" applyProtection="1"/>
    <xf numFmtId="0" fontId="7" fillId="17" borderId="6" xfId="0" applyFont="1" applyFill="1" applyBorder="1" applyProtection="1"/>
    <xf numFmtId="0" fontId="0" fillId="17" borderId="88" xfId="0" applyFill="1" applyBorder="1" applyAlignment="1" applyProtection="1">
      <alignment horizontal="left" vertical="top" wrapText="1"/>
    </xf>
    <xf numFmtId="0" fontId="0" fillId="17" borderId="84" xfId="0" applyFill="1" applyBorder="1" applyAlignment="1" applyProtection="1">
      <alignment horizontal="left" vertical="top" wrapText="1"/>
    </xf>
    <xf numFmtId="0" fontId="12" fillId="0" borderId="0" xfId="9" applyFont="1" applyBorder="1" applyAlignment="1" applyProtection="1">
      <alignment horizontal="right" wrapText="1"/>
    </xf>
    <xf numFmtId="0" fontId="0" fillId="0" borderId="37" xfId="0" applyBorder="1" applyAlignment="1" applyProtection="1">
      <alignment horizontal="right" wrapText="1"/>
    </xf>
    <xf numFmtId="0" fontId="12" fillId="0" borderId="37" xfId="9" applyFont="1" applyBorder="1" applyAlignment="1" applyProtection="1">
      <alignment horizontal="right" wrapText="1"/>
    </xf>
    <xf numFmtId="0" fontId="22" fillId="0" borderId="0" xfId="0" applyFont="1" applyAlignment="1" applyProtection="1">
      <alignment horizontal="left" vertical="top" wrapText="1"/>
    </xf>
    <xf numFmtId="0" fontId="12" fillId="0" borderId="0" xfId="9" applyFont="1" applyBorder="1" applyAlignment="1" applyProtection="1">
      <alignment horizontal="center" wrapText="1"/>
    </xf>
    <xf numFmtId="0" fontId="12" fillId="0" borderId="37" xfId="9" applyFont="1" applyBorder="1" applyAlignment="1" applyProtection="1">
      <alignment horizontal="center" wrapText="1"/>
    </xf>
    <xf numFmtId="0" fontId="12" fillId="21" borderId="0" xfId="3" applyFont="1" applyFill="1" applyAlignment="1" applyProtection="1">
      <alignment horizontal="center" wrapText="1"/>
    </xf>
    <xf numFmtId="0" fontId="7" fillId="0" borderId="0" xfId="0" applyFont="1" applyAlignment="1" applyProtection="1">
      <alignment horizontal="center"/>
    </xf>
    <xf numFmtId="0" fontId="0" fillId="0" borderId="0" xfId="0" applyAlignment="1" applyProtection="1">
      <alignment horizontal="center"/>
    </xf>
    <xf numFmtId="0" fontId="58" fillId="0" borderId="0" xfId="0" applyFont="1" applyAlignment="1" applyProtection="1">
      <alignment wrapText="1"/>
    </xf>
    <xf numFmtId="0" fontId="0" fillId="0" borderId="0" xfId="0" applyAlignment="1">
      <alignment wrapText="1"/>
    </xf>
    <xf numFmtId="0" fontId="12" fillId="0" borderId="0" xfId="3" applyFont="1" applyAlignment="1" applyProtection="1">
      <alignment horizontal="right" vertical="top" indent="2"/>
    </xf>
    <xf numFmtId="0" fontId="12" fillId="0" borderId="18" xfId="3" applyFont="1" applyBorder="1" applyAlignment="1" applyProtection="1">
      <alignment horizontal="right" vertical="top" indent="2"/>
    </xf>
    <xf numFmtId="0" fontId="12" fillId="0" borderId="0" xfId="3" applyFont="1" applyFill="1" applyAlignment="1" applyProtection="1">
      <alignment horizontal="right" wrapText="1"/>
    </xf>
    <xf numFmtId="0" fontId="12" fillId="0" borderId="92" xfId="3" applyFont="1" applyFill="1" applyBorder="1" applyAlignment="1" applyProtection="1">
      <alignment horizontal="right" wrapText="1"/>
    </xf>
    <xf numFmtId="0" fontId="12" fillId="0" borderId="0" xfId="3" applyFont="1" applyFill="1" applyAlignment="1" applyProtection="1">
      <alignment horizontal="center" wrapText="1"/>
    </xf>
    <xf numFmtId="179" fontId="16" fillId="12" borderId="0" xfId="18" applyFont="1" applyFill="1" applyProtection="1"/>
    <xf numFmtId="0" fontId="67" fillId="0" borderId="0" xfId="0" applyFont="1" applyFill="1" applyAlignment="1" applyProtection="1">
      <alignment horizontal="center" vertical="center"/>
    </xf>
    <xf numFmtId="180" fontId="16" fillId="7" borderId="0" xfId="18" applyNumberFormat="1" applyFont="1" applyFill="1" applyProtection="1">
      <protection locked="0"/>
    </xf>
    <xf numFmtId="0" fontId="63" fillId="23" borderId="0" xfId="0" applyFont="1" applyFill="1" applyAlignment="1" applyProtection="1">
      <alignment horizontal="center" vertical="center" wrapText="1"/>
    </xf>
    <xf numFmtId="0" fontId="16" fillId="0" borderId="0" xfId="0" applyFont="1" applyAlignment="1" applyProtection="1">
      <alignment horizontal="center"/>
    </xf>
    <xf numFmtId="0" fontId="0" fillId="0" borderId="0" xfId="0" applyAlignment="1"/>
    <xf numFmtId="179" fontId="16" fillId="7" borderId="0" xfId="18" applyFont="1" applyFill="1" applyProtection="1">
      <protection locked="0"/>
    </xf>
    <xf numFmtId="0" fontId="18" fillId="22" borderId="0" xfId="0" applyFont="1" applyFill="1" applyAlignment="1" applyProtection="1">
      <alignment horizontal="center" vertical="center" wrapText="1"/>
    </xf>
    <xf numFmtId="184" fontId="16" fillId="4" borderId="0" xfId="18" applyNumberFormat="1" applyFont="1" applyFill="1" applyProtection="1">
      <protection locked="0"/>
    </xf>
    <xf numFmtId="0" fontId="63" fillId="22" borderId="0" xfId="2" applyFont="1" applyFill="1" applyAlignment="1" applyProtection="1">
      <alignment horizontal="center" vertical="center"/>
    </xf>
    <xf numFmtId="0" fontId="12" fillId="12" borderId="0" xfId="2" applyFont="1" applyFill="1" applyBorder="1" applyAlignment="1" applyProtection="1">
      <alignment horizontal="center" wrapText="1"/>
    </xf>
    <xf numFmtId="0" fontId="12" fillId="0" borderId="0" xfId="2" applyFont="1" applyAlignment="1" applyProtection="1">
      <alignment horizontal="left" vertical="top" wrapText="1"/>
    </xf>
    <xf numFmtId="0" fontId="68" fillId="0" borderId="0" xfId="2" applyFont="1" applyAlignment="1">
      <alignment horizontal="left" vertical="top" wrapText="1"/>
    </xf>
    <xf numFmtId="0" fontId="12" fillId="0" borderId="0" xfId="2" applyFont="1" applyAlignment="1" applyProtection="1">
      <alignment horizontal="left" vertical="center" wrapText="1"/>
    </xf>
    <xf numFmtId="0" fontId="48" fillId="0" borderId="0" xfId="0" applyFont="1" applyAlignment="1" applyProtection="1">
      <alignment horizontal="left" vertical="top" wrapText="1"/>
    </xf>
  </cellXfs>
  <cellStyles count="38">
    <cellStyle name="Calculation 2" xfId="36" xr:uid="{00000000-0005-0000-0000-00004F000000}"/>
    <cellStyle name="Comma 2" xfId="5" xr:uid="{C69BD1C2-D401-48E6-B202-12EAD6E255F1}"/>
    <cellStyle name="Comma 2 2" xfId="10" xr:uid="{EF195D49-B942-474F-B26B-58E4D40A9E1D}"/>
    <cellStyle name="Comma 2 2 2" xfId="14" xr:uid="{BE9C5C91-13C2-4749-A2A3-6FCB2A9D35DC}"/>
    <cellStyle name="Comma 2 2 2 2" xfId="27" xr:uid="{C7D84BEC-8CA6-4839-8266-6A5BAC8EC752}"/>
    <cellStyle name="Comma 2 2 4" xfId="13" xr:uid="{0AC4C273-2A6A-4D7C-B90B-35FC64C14D34}"/>
    <cellStyle name="Comma 2 2 4 2" xfId="26" xr:uid="{A28E4F2A-70BE-446A-952D-FBC38D472C30}"/>
    <cellStyle name="Comma 2 3" xfId="23" xr:uid="{E6E49AC7-BD07-4574-93D6-EC63EE9BF4A2}"/>
    <cellStyle name="Comma 3" xfId="25" xr:uid="{5D6F9879-227C-4612-B470-50368A128FBB}"/>
    <cellStyle name="Comma 4" xfId="19" xr:uid="{099ECE0B-23A3-41E6-B3CB-316264564029}"/>
    <cellStyle name="Comma 4 2" xfId="30" xr:uid="{9E8E7CF3-E02C-4F4F-87DC-0E9721DBB33C}"/>
    <cellStyle name="Comma 5" xfId="21" xr:uid="{00000000-0005-0000-0000-000043000000}"/>
    <cellStyle name="Currency 2" xfId="18" xr:uid="{B5BE6443-B745-4E4D-A0DC-FC47D5A0E4F7}"/>
    <cellStyle name="Currency 2 2" xfId="29" xr:uid="{F85CC090-1F72-4F02-920C-8CBCB33F6577}"/>
    <cellStyle name="Currency 3" xfId="22" xr:uid="{00000000-0005-0000-0000-000046000000}"/>
    <cellStyle name="Currency 4 2" xfId="17" xr:uid="{E0C006A5-9095-4F14-BC61-492D748A1EF4}"/>
    <cellStyle name="Currency 4 2 2" xfId="28" xr:uid="{6C0924B6-6DDF-4687-8A49-E21E8A011040}"/>
    <cellStyle name="Heading 1 2" xfId="32" xr:uid="{00000000-0005-0000-0000-000050000000}"/>
    <cellStyle name="Heading 2 2" xfId="33" xr:uid="{00000000-0005-0000-0000-000051000000}"/>
    <cellStyle name="Heading 3 2" xfId="34" xr:uid="{00000000-0005-0000-0000-000052000000}"/>
    <cellStyle name="Hyperlink" xfId="37" builtinId="8"/>
    <cellStyle name="Normal" xfId="0" builtinId="0"/>
    <cellStyle name="Normal 11" xfId="11" xr:uid="{E4247C51-CDFB-40B4-BEF7-5DA901767AC2}"/>
    <cellStyle name="Normal 12" xfId="12" xr:uid="{52D71F0F-3CB8-43C2-B7A1-2D92E9852EAC}"/>
    <cellStyle name="Normal 2" xfId="2" xr:uid="{349A6A0B-7405-445A-BC71-CF42AEA0E460}"/>
    <cellStyle name="Normal 2 2" xfId="24" xr:uid="{67108E64-B1CC-4B86-B8F0-5D52D834C66D}"/>
    <cellStyle name="Normal 3" xfId="31" xr:uid="{847F8CA4-6C3C-45D1-84E7-4B385A00045F}"/>
    <cellStyle name="Normal 3 3" xfId="1" xr:uid="{DB6814B9-41B6-4F7B-9EE3-411AF2D98F19}"/>
    <cellStyle name="Normal 4" xfId="6" xr:uid="{DC017A62-AE62-45A4-BED6-F8B55894CB79}"/>
    <cellStyle name="Normal_6. Cost Allocation for Def-Var" xfId="8" xr:uid="{6B7B13F9-7020-4BEE-AF61-2D75963D1D6C}"/>
    <cellStyle name="Normal_9. Rev2Cost_GDPIPI" xfId="4" xr:uid="{CE54C364-9648-48C8-97ED-71B90326EAF4}"/>
    <cellStyle name="Normal_Sheet6" xfId="9" xr:uid="{15D58B99-A7B8-41FA-804F-692DB50AB326}"/>
    <cellStyle name="Normal_Sheet7" xfId="3" xr:uid="{F6D14EF8-0595-4275-A439-A0EC5A46ED51}"/>
    <cellStyle name="Output 2" xfId="35" xr:uid="{00000000-0005-0000-0000-000053000000}"/>
    <cellStyle name="Percent" xfId="7" builtinId="5"/>
    <cellStyle name="Percent 10" xfId="16" xr:uid="{D08B15DA-4C97-4061-92E2-8EB78DAD4AD2}"/>
    <cellStyle name="Percent 2" xfId="20" xr:uid="{41C9E0D8-90B8-484A-8017-FCAF12FC95B5}"/>
    <cellStyle name="Percent 54" xfId="15" xr:uid="{FE4EE00D-7278-4AE5-A33C-1412D226EA5E}"/>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fmlaLink="C2" lockText="1" noThreeD="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CheckBox" fmlaLink="C2"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oeb.ca/industry/applications-oeb/electricity-distribution-rates/2022-electricity-distribution-rate" TargetMode="External"/><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49694</xdr:colOff>
      <xdr:row>78</xdr:row>
      <xdr:rowOff>57964</xdr:rowOff>
    </xdr:from>
    <xdr:to>
      <xdr:col>12</xdr:col>
      <xdr:colOff>124239</xdr:colOff>
      <xdr:row>85</xdr:row>
      <xdr:rowOff>107577</xdr:rowOff>
    </xdr:to>
    <xdr:sp macro="" textlink="">
      <xdr:nvSpPr>
        <xdr:cNvPr id="2" name="Text Box 50">
          <a:extLst>
            <a:ext uri="{FF2B5EF4-FFF2-40B4-BE49-F238E27FC236}">
              <a16:creationId xmlns:a16="http://schemas.microsoft.com/office/drawing/2014/main" id="{00000000-0008-0000-0200-000002000000}"/>
            </a:ext>
          </a:extLst>
        </xdr:cNvPr>
        <xdr:cNvSpPr txBox="1">
          <a:spLocks noChangeArrowheads="1"/>
        </xdr:cNvSpPr>
      </xdr:nvSpPr>
      <xdr:spPr bwMode="auto">
        <a:xfrm>
          <a:off x="49694" y="18269764"/>
          <a:ext cx="11108305" cy="1329773"/>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IRM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15</xdr:col>
      <xdr:colOff>0</xdr:colOff>
      <xdr:row>24</xdr:row>
      <xdr:rowOff>0</xdr:rowOff>
    </xdr:from>
    <xdr:to>
      <xdr:col>23</xdr:col>
      <xdr:colOff>503764</xdr:colOff>
      <xdr:row>63</xdr:row>
      <xdr:rowOff>190499</xdr:rowOff>
    </xdr:to>
    <xdr:sp macro="" textlink="">
      <xdr:nvSpPr>
        <xdr:cNvPr id="11" name="Rounded Rectangle 14" hidden="1">
          <a:extLst>
            <a:ext uri="{FF2B5EF4-FFF2-40B4-BE49-F238E27FC236}">
              <a16:creationId xmlns:a16="http://schemas.microsoft.com/office/drawing/2014/main" id="{00000000-0008-0000-0200-00000B000000}"/>
            </a:ext>
          </a:extLst>
        </xdr:cNvPr>
        <xdr:cNvSpPr/>
      </xdr:nvSpPr>
      <xdr:spPr>
        <a:xfrm>
          <a:off x="13235940" y="4145280"/>
          <a:ext cx="5624404" cy="1161287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en-CA" sz="1200">
              <a:solidFill>
                <a:schemeClr val="dk1"/>
              </a:solidFill>
              <a:effectLst/>
              <a:latin typeface="Arial" panose="020B0604020202020204" pitchFamily="34" charset="0"/>
              <a:ea typeface="+mn-ea"/>
              <a:cs typeface="Arial" panose="020B0604020202020204" pitchFamily="34" charset="0"/>
            </a:rPr>
            <a:t>If you had</a:t>
          </a:r>
          <a:r>
            <a:rPr lang="en-CA" sz="1200" baseline="0">
              <a:solidFill>
                <a:schemeClr val="dk1"/>
              </a:solidFill>
              <a:effectLst/>
              <a:latin typeface="Arial" panose="020B0604020202020204" pitchFamily="34" charset="0"/>
              <a:ea typeface="+mn-ea"/>
              <a:cs typeface="Arial" panose="020B0604020202020204" pitchFamily="34" charset="0"/>
            </a:rPr>
            <a:t> any customers classified as Class A at any point during the period where Account 1580, sub-account CBR Class B balance accumulated (i.e. from the year the balance was last disposed to the current year), check off the checkbox.</a:t>
          </a:r>
          <a:endParaRPr lang="en-CA" sz="1200">
            <a:effectLst/>
            <a:latin typeface="Arial" panose="020B0604020202020204" pitchFamily="34" charset="0"/>
            <a:cs typeface="Arial" panose="020B0604020202020204" pitchFamily="34" charset="0"/>
          </a:endParaRPr>
        </a:p>
        <a:p>
          <a:pPr eaLnBrk="1" fontAlgn="auto" latinLnBrk="0" hangingPunct="1"/>
          <a:endParaRPr lang="en-CA" sz="12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200" b="0" i="0" baseline="0">
              <a:solidFill>
                <a:schemeClr val="dk1"/>
              </a:solidFill>
              <a:effectLst/>
              <a:latin typeface="Arial" panose="020B0604020202020204" pitchFamily="34" charset="0"/>
              <a:ea typeface="+mn-ea"/>
              <a:cs typeface="Arial" panose="020B0604020202020204" pitchFamily="34" charset="0"/>
            </a:rPr>
            <a:t>If you had Class A customer(s) during this period, Tab 6.2 will be generated. Account 1580, sub-account CBR Class B will be disposed through a separate rate rider calculated in Tab 6.2.</a:t>
          </a:r>
        </a:p>
        <a:p>
          <a:pPr eaLnBrk="1" fontAlgn="auto" latinLnBrk="0" hangingPunct="1"/>
          <a:endParaRPr lang="en-CA" sz="12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200" b="0" i="0" baseline="0">
              <a:solidFill>
                <a:schemeClr val="dk1"/>
              </a:solidFill>
              <a:effectLst/>
              <a:latin typeface="Arial" panose="020B0604020202020204" pitchFamily="34" charset="0"/>
              <a:ea typeface="+mn-ea"/>
              <a:cs typeface="Arial" panose="020B0604020202020204" pitchFamily="34" charset="0"/>
            </a:rPr>
            <a:t>If you only had Class B customers during this period, the balance in 1580 sub-account CBR Class B will be allocated and disposed with Account 1580 WMS.</a:t>
          </a:r>
          <a:endParaRPr lang="en-CA" sz="1200">
            <a:effectLst/>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342900</xdr:colOff>
          <xdr:row>27</xdr:row>
          <xdr:rowOff>38100</xdr:rowOff>
        </xdr:from>
        <xdr:to>
          <xdr:col>20</xdr:col>
          <xdr:colOff>165100</xdr:colOff>
          <xdr:row>28</xdr:row>
          <xdr:rowOff>63500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49694</xdr:colOff>
      <xdr:row>78</xdr:row>
      <xdr:rowOff>57964</xdr:rowOff>
    </xdr:from>
    <xdr:to>
      <xdr:col>12</xdr:col>
      <xdr:colOff>124239</xdr:colOff>
      <xdr:row>85</xdr:row>
      <xdr:rowOff>107577</xdr:rowOff>
    </xdr:to>
    <xdr:sp macro="" textlink="">
      <xdr:nvSpPr>
        <xdr:cNvPr id="12" name="Text Box 50">
          <a:extLst>
            <a:ext uri="{FF2B5EF4-FFF2-40B4-BE49-F238E27FC236}">
              <a16:creationId xmlns:a16="http://schemas.microsoft.com/office/drawing/2014/main" id="{00000000-0008-0000-0200-00000C000000}"/>
            </a:ext>
          </a:extLst>
        </xdr:cNvPr>
        <xdr:cNvSpPr txBox="1">
          <a:spLocks noChangeArrowheads="1"/>
        </xdr:cNvSpPr>
      </xdr:nvSpPr>
      <xdr:spPr bwMode="auto">
        <a:xfrm>
          <a:off x="49694" y="19008904"/>
          <a:ext cx="11108305" cy="1329773"/>
        </a:xfrm>
        <a:prstGeom prst="rect">
          <a:avLst/>
        </a:prstGeom>
        <a:noFill/>
        <a:ln>
          <a:noFill/>
        </a:ln>
        <a:effectLst>
          <a:softEdge rad="31750"/>
        </a:effec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IRM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0</xdr:col>
      <xdr:colOff>9524</xdr:colOff>
      <xdr:row>0</xdr:row>
      <xdr:rowOff>19051</xdr:rowOff>
    </xdr:from>
    <xdr:to>
      <xdr:col>14</xdr:col>
      <xdr:colOff>12835</xdr:colOff>
      <xdr:row>10</xdr:row>
      <xdr:rowOff>38100</xdr:rowOff>
    </xdr:to>
    <xdr:grpSp>
      <xdr:nvGrpSpPr>
        <xdr:cNvPr id="13" name="Group 12">
          <a:extLst>
            <a:ext uri="{FF2B5EF4-FFF2-40B4-BE49-F238E27FC236}">
              <a16:creationId xmlns:a16="http://schemas.microsoft.com/office/drawing/2014/main" id="{00000000-0008-0000-0200-00000D000000}"/>
            </a:ext>
          </a:extLst>
        </xdr:cNvPr>
        <xdr:cNvGrpSpPr/>
      </xdr:nvGrpSpPr>
      <xdr:grpSpPr>
        <a:xfrm>
          <a:off x="9270" y="19813"/>
          <a:ext cx="12870951" cy="1999487"/>
          <a:chOff x="9524" y="19051"/>
          <a:chExt cx="8857420" cy="1915766"/>
        </a:xfrm>
      </xdr:grpSpPr>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0200-00000F000000}"/>
              </a:ext>
            </a:extLst>
          </xdr:cNvPr>
          <xdr:cNvSpPr/>
        </xdr:nvSpPr>
        <xdr:spPr>
          <a:xfrm>
            <a:off x="122475" y="41939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0200-000011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14</xdr:col>
      <xdr:colOff>57978</xdr:colOff>
      <xdr:row>0</xdr:row>
      <xdr:rowOff>107673</xdr:rowOff>
    </xdr:from>
    <xdr:to>
      <xdr:col>18</xdr:col>
      <xdr:colOff>520975</xdr:colOff>
      <xdr:row>7</xdr:row>
      <xdr:rowOff>114301</xdr:rowOff>
    </xdr:to>
    <xdr:grpSp>
      <xdr:nvGrpSpPr>
        <xdr:cNvPr id="18" name="Group 17">
          <a:extLst>
            <a:ext uri="{FF2B5EF4-FFF2-40B4-BE49-F238E27FC236}">
              <a16:creationId xmlns:a16="http://schemas.microsoft.com/office/drawing/2014/main" id="{00000000-0008-0000-0200-000012000000}"/>
            </a:ext>
          </a:extLst>
        </xdr:cNvPr>
        <xdr:cNvGrpSpPr/>
      </xdr:nvGrpSpPr>
      <xdr:grpSpPr>
        <a:xfrm>
          <a:off x="12925110" y="107927"/>
          <a:ext cx="3094691" cy="1393214"/>
          <a:chOff x="9342782" y="2435086"/>
          <a:chExt cx="2914650" cy="1639957"/>
        </a:xfrm>
      </xdr:grpSpPr>
      <xdr:sp macro="" textlink="">
        <xdr:nvSpPr>
          <xdr:cNvPr id="19" name="Rounded Rectangle 7">
            <a:extLst>
              <a:ext uri="{FF2B5EF4-FFF2-40B4-BE49-F238E27FC236}">
                <a16:creationId xmlns:a16="http://schemas.microsoft.com/office/drawing/2014/main" id="{00000000-0008-0000-0200-000013000000}"/>
              </a:ext>
            </a:extLst>
          </xdr:cNvPr>
          <xdr:cNvSpPr/>
        </xdr:nvSpPr>
        <xdr:spPr>
          <a:xfrm>
            <a:off x="9342782" y="2435086"/>
            <a:ext cx="2914650" cy="163995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lang="en-CA" sz="1200" baseline="0">
              <a:solidFill>
                <a:schemeClr val="tx1"/>
              </a:solidFill>
              <a:latin typeface="Arial" pitchFamily="34" charset="0"/>
              <a:cs typeface="Arial" pitchFamily="34" charset="0"/>
            </a:endParaRPr>
          </a:p>
          <a:p>
            <a:pPr algn="l"/>
            <a:endParaRPr lang="en-CA" sz="1200" baseline="0">
              <a:solidFill>
                <a:schemeClr val="tx1"/>
              </a:solidFill>
              <a:latin typeface="Arial" pitchFamily="34" charset="0"/>
              <a:cs typeface="Arial" pitchFamily="34" charset="0"/>
            </a:endParaRPr>
          </a:p>
        </xdr:txBody>
      </xdr:sp>
      <xdr:sp macro="" textlink="">
        <xdr:nvSpPr>
          <xdr:cNvPr id="20" name="TextBox 19">
            <a:hlinkClick xmlns:r="http://schemas.openxmlformats.org/officeDocument/2006/relationships" r:id="rId3"/>
            <a:extLst>
              <a:ext uri="{FF2B5EF4-FFF2-40B4-BE49-F238E27FC236}">
                <a16:creationId xmlns:a16="http://schemas.microsoft.com/office/drawing/2014/main" id="{00000000-0008-0000-0200-000014000000}"/>
              </a:ext>
            </a:extLst>
          </xdr:cNvPr>
          <xdr:cNvSpPr txBox="1"/>
        </xdr:nvSpPr>
        <xdr:spPr>
          <a:xfrm>
            <a:off x="9475304" y="2857501"/>
            <a:ext cx="2501348" cy="966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aseline="0">
                <a:solidFill>
                  <a:schemeClr val="dk1"/>
                </a:solidFill>
                <a:effectLst/>
                <a:latin typeface="+mn-lt"/>
                <a:ea typeface="+mn-ea"/>
                <a:cs typeface="+mn-cs"/>
              </a:rPr>
              <a:t>Ontario Energy Board's 2022 Electricity Distribution Rate Applications Webpage</a:t>
            </a:r>
            <a:endParaRPr lang="en-CA">
              <a:effectLst/>
            </a:endParaRPr>
          </a:p>
          <a:p>
            <a:endParaRPr lang="en-CA" sz="1100"/>
          </a:p>
        </xdr:txBody>
      </xdr:sp>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9478617" y="2471532"/>
            <a:ext cx="1048578" cy="327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baseline="0">
                <a:solidFill>
                  <a:schemeClr val="dk1"/>
                </a:solidFill>
                <a:effectLst/>
                <a:latin typeface="+mn-lt"/>
                <a:ea typeface="+mn-ea"/>
                <a:cs typeface="+mn-cs"/>
              </a:rPr>
              <a:t>Quick Link</a:t>
            </a:r>
            <a:endParaRPr lang="en-CA" sz="1400" b="1">
              <a:effectLst/>
            </a:endParaRPr>
          </a:p>
          <a:p>
            <a:endParaRPr lang="en-CA" sz="1100"/>
          </a:p>
        </xdr:txBody>
      </xdr:sp>
    </xdr:grpSp>
    <xdr:clientData/>
  </xdr:twoCellAnchor>
  <mc:AlternateContent xmlns:mc="http://schemas.openxmlformats.org/markup-compatibility/2006">
    <mc:Choice xmlns:a14="http://schemas.microsoft.com/office/drawing/2010/main" Requires="a14">
      <xdr:twoCellAnchor>
        <xdr:from>
          <xdr:col>8</xdr:col>
          <xdr:colOff>38100</xdr:colOff>
          <xdr:row>25</xdr:row>
          <xdr:rowOff>0</xdr:rowOff>
        </xdr:from>
        <xdr:to>
          <xdr:col>8</xdr:col>
          <xdr:colOff>254000</xdr:colOff>
          <xdr:row>25</xdr:row>
          <xdr:rowOff>190500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CA" sz="1100" b="0" i="0" u="none" strike="noStrike" baseline="0">
                  <a:solidFill>
                    <a:srgbClr val="000000"/>
                  </a:solidFill>
                  <a:latin typeface="Calibri"/>
                  <a:cs typeface="Calibri"/>
                </a:rPr>
                <a:t>+</a:t>
              </a:r>
            </a:p>
          </xdr:txBody>
        </xdr:sp>
        <xdr:clientData fPrintsWithSheet="0"/>
      </xdr:twoCellAnchor>
    </mc:Choice>
    <mc:Fallback/>
  </mc:AlternateContent>
  <xdr:twoCellAnchor>
    <xdr:from>
      <xdr:col>15</xdr:col>
      <xdr:colOff>0</xdr:colOff>
      <xdr:row>24</xdr:row>
      <xdr:rowOff>0</xdr:rowOff>
    </xdr:from>
    <xdr:to>
      <xdr:col>23</xdr:col>
      <xdr:colOff>503764</xdr:colOff>
      <xdr:row>63</xdr:row>
      <xdr:rowOff>190499</xdr:rowOff>
    </xdr:to>
    <xdr:sp macro="" textlink="">
      <xdr:nvSpPr>
        <xdr:cNvPr id="23" name="Rounded Rectangle 14" hidden="1">
          <a:extLst>
            <a:ext uri="{FF2B5EF4-FFF2-40B4-BE49-F238E27FC236}">
              <a16:creationId xmlns:a16="http://schemas.microsoft.com/office/drawing/2014/main" id="{00000000-0008-0000-0200-000017000000}"/>
            </a:ext>
          </a:extLst>
        </xdr:cNvPr>
        <xdr:cNvSpPr/>
      </xdr:nvSpPr>
      <xdr:spPr>
        <a:xfrm>
          <a:off x="13235940" y="4145280"/>
          <a:ext cx="5624404" cy="1235201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en-CA" sz="1200">
              <a:solidFill>
                <a:schemeClr val="dk1"/>
              </a:solidFill>
              <a:effectLst/>
              <a:latin typeface="Arial" panose="020B0604020202020204" pitchFamily="34" charset="0"/>
              <a:ea typeface="+mn-ea"/>
              <a:cs typeface="Arial" panose="020B0604020202020204" pitchFamily="34" charset="0"/>
            </a:rPr>
            <a:t>If you had</a:t>
          </a:r>
          <a:r>
            <a:rPr lang="en-CA" sz="1200" baseline="0">
              <a:solidFill>
                <a:schemeClr val="dk1"/>
              </a:solidFill>
              <a:effectLst/>
              <a:latin typeface="Arial" panose="020B0604020202020204" pitchFamily="34" charset="0"/>
              <a:ea typeface="+mn-ea"/>
              <a:cs typeface="Arial" panose="020B0604020202020204" pitchFamily="34" charset="0"/>
            </a:rPr>
            <a:t> any customers classified as Class A at any point during the period where Account 1580, sub-account CBR Class B balance accumulated (i.e. from the year the balance was last disposed to the current year), check off the checkbox.</a:t>
          </a:r>
          <a:endParaRPr lang="en-CA" sz="1200">
            <a:effectLst/>
            <a:latin typeface="Arial" panose="020B0604020202020204" pitchFamily="34" charset="0"/>
            <a:cs typeface="Arial" panose="020B0604020202020204" pitchFamily="34" charset="0"/>
          </a:endParaRPr>
        </a:p>
        <a:p>
          <a:pPr eaLnBrk="1" fontAlgn="auto" latinLnBrk="0" hangingPunct="1"/>
          <a:endParaRPr lang="en-CA" sz="12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200" b="0" i="0" baseline="0">
              <a:solidFill>
                <a:schemeClr val="dk1"/>
              </a:solidFill>
              <a:effectLst/>
              <a:latin typeface="Arial" panose="020B0604020202020204" pitchFamily="34" charset="0"/>
              <a:ea typeface="+mn-ea"/>
              <a:cs typeface="Arial" panose="020B0604020202020204" pitchFamily="34" charset="0"/>
            </a:rPr>
            <a:t>If you had Class A customer(s) during this period, Tab 6.2 will be generated. Account 1580, sub-account CBR Class B will be disposed through a separate rate rider calculated in Tab 6.2.</a:t>
          </a:r>
        </a:p>
        <a:p>
          <a:pPr eaLnBrk="1" fontAlgn="auto" latinLnBrk="0" hangingPunct="1"/>
          <a:endParaRPr lang="en-CA" sz="12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CA" sz="1200" b="0" i="0" baseline="0">
              <a:solidFill>
                <a:schemeClr val="dk1"/>
              </a:solidFill>
              <a:effectLst/>
              <a:latin typeface="Arial" panose="020B0604020202020204" pitchFamily="34" charset="0"/>
              <a:ea typeface="+mn-ea"/>
              <a:cs typeface="Arial" panose="020B0604020202020204" pitchFamily="34" charset="0"/>
            </a:rPr>
            <a:t>If you only had Class B customers during this period, the balance in 1580 sub-account CBR Class B will be allocated and disposed with Account 1580 WMS.</a:t>
          </a:r>
          <a:endParaRPr lang="en-CA" sz="1200">
            <a:effectLst/>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342900</xdr:colOff>
          <xdr:row>27</xdr:row>
          <xdr:rowOff>38100</xdr:rowOff>
        </xdr:from>
        <xdr:to>
          <xdr:col>20</xdr:col>
          <xdr:colOff>165100</xdr:colOff>
          <xdr:row>28</xdr:row>
          <xdr:rowOff>50800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19049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9811" y="0"/>
          <a:ext cx="17509744" cy="2065374"/>
          <a:chOff x="200024" y="4499942"/>
          <a:chExt cx="9312502"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3]1. Information Sheet'!AA1" fLocksText="0">
        <xdr:nvSpPr>
          <xdr:cNvPr id="4" name="TextBox 3">
            <a:extLst>
              <a:ext uri="{FF2B5EF4-FFF2-40B4-BE49-F238E27FC236}">
                <a16:creationId xmlns:a16="http://schemas.microsoft.com/office/drawing/2014/main" id="{00000000-0008-0000-0C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C00-000005000000}"/>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C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9</xdr:col>
      <xdr:colOff>0</xdr:colOff>
      <xdr:row>10</xdr:row>
      <xdr:rowOff>39341</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19812"/>
          <a:ext cx="13745411" cy="1998055"/>
          <a:chOff x="200024" y="4499942"/>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a:extLst>
              <a:ext uri="{FF2B5EF4-FFF2-40B4-BE49-F238E27FC236}">
                <a16:creationId xmlns:a16="http://schemas.microsoft.com/office/drawing/2014/main" id="{00000000-0008-0000-0D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D00-000005000000}"/>
              </a:ext>
            </a:extLst>
          </xdr:cNvPr>
          <xdr:cNvSpPr/>
        </xdr:nvSpPr>
        <xdr:spPr>
          <a:xfrm>
            <a:off x="330770" y="502142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D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126996</xdr:colOff>
      <xdr:row>0</xdr:row>
      <xdr:rowOff>0</xdr:rowOff>
    </xdr:from>
    <xdr:to>
      <xdr:col>3</xdr:col>
      <xdr:colOff>1057276</xdr:colOff>
      <xdr:row>10</xdr:row>
      <xdr:rowOff>164059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6996" y="0"/>
          <a:ext cx="7323460" cy="1855699"/>
        </a:xfrm>
        <a:prstGeom prst="rect">
          <a:avLst/>
        </a:prstGeom>
        <a:ln>
          <a:noFill/>
        </a:ln>
        <a:effectLst>
          <a:softEdge rad="112500"/>
        </a:effectLst>
      </xdr:spPr>
    </xdr:pic>
    <xdr:clientData/>
  </xdr:twoCellAnchor>
  <xdr:twoCellAnchor>
    <xdr:from>
      <xdr:col>1</xdr:col>
      <xdr:colOff>71158</xdr:colOff>
      <xdr:row>4</xdr:row>
      <xdr:rowOff>14078</xdr:rowOff>
    </xdr:from>
    <xdr:to>
      <xdr:col>3</xdr:col>
      <xdr:colOff>400050</xdr:colOff>
      <xdr:row>7</xdr:row>
      <xdr:rowOff>12327</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71158" y="654158"/>
          <a:ext cx="6722072" cy="501169"/>
        </a:xfrm>
        <a:prstGeom prst="rect">
          <a:avLst/>
        </a:prstGeom>
        <a:noFill/>
      </xdr:spPr>
      <xdr:txBody>
        <a:bodyPr wrap="none" lIns="91440" tIns="45720" rIns="91440" bIns="45720" anchor="ctr">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baseline="0">
              <a:effectLst>
                <a:outerShdw blurRad="50800" dist="38100" algn="tr" rotWithShape="0">
                  <a:prstClr val="black">
                    <a:alpha val="40000"/>
                  </a:prstClr>
                </a:outerShdw>
              </a:effectLst>
              <a:latin typeface="+mn-lt"/>
              <a:ea typeface="+mn-ea"/>
              <a:cs typeface="+mn-cs"/>
            </a:rPr>
            <a:t>Incentive Rate-setting Mechanism Rate </a:t>
          </a:r>
        </a:p>
        <a:p>
          <a:pPr algn="ctr" rtl="0"/>
          <a:r>
            <a:rPr lang="en-CA" sz="2800" b="1" i="0" baseline="0">
              <a:effectLst>
                <a:outerShdw blurRad="50800" dist="38100" algn="tr" rotWithShape="0">
                  <a:prstClr val="black">
                    <a:alpha val="40000"/>
                  </a:prstClr>
                </a:outerShdw>
              </a:effectLst>
              <a:latin typeface="+mn-lt"/>
              <a:ea typeface="+mn-ea"/>
              <a:cs typeface="+mn-cs"/>
            </a:rPr>
            <a:t>Generator for 2022 Filers</a:t>
          </a:r>
          <a:endParaRPr lang="en-CA" sz="2800" b="1">
            <a:effectLst>
              <a:outerShdw blurRad="50800" dist="38100" algn="tr" rotWithShape="0">
                <a:prstClr val="black">
                  <a:alpha val="40000"/>
                </a:prstClr>
              </a:outerShdw>
            </a:effectLst>
            <a:latin typeface="+mn-lt"/>
            <a:ea typeface="+mn-ea"/>
            <a:cs typeface="+mn-cs"/>
          </a:endParaRPr>
        </a:p>
      </xdr:txBody>
    </xdr:sp>
    <xdr:clientData/>
  </xdr:twoCellAnchor>
  <xdr:twoCellAnchor>
    <xdr:from>
      <xdr:col>1</xdr:col>
      <xdr:colOff>129624</xdr:colOff>
      <xdr:row>0</xdr:row>
      <xdr:rowOff>153177</xdr:rowOff>
    </xdr:from>
    <xdr:to>
      <xdr:col>2</xdr:col>
      <xdr:colOff>328406</xdr:colOff>
      <xdr:row>3</xdr:row>
      <xdr:rowOff>45547</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9624" y="153177"/>
          <a:ext cx="381662" cy="37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279671</xdr:colOff>
      <xdr:row>0</xdr:row>
      <xdr:rowOff>122923</xdr:rowOff>
    </xdr:from>
    <xdr:to>
      <xdr:col>2</xdr:col>
      <xdr:colOff>2862885</xdr:colOff>
      <xdr:row>2</xdr:row>
      <xdr:rowOff>144848</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462551" y="122923"/>
          <a:ext cx="2583214" cy="34196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6</xdr:col>
      <xdr:colOff>2980</xdr:colOff>
      <xdr:row>10</xdr:row>
      <xdr:rowOff>48866</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0" y="28829"/>
          <a:ext cx="9597554" cy="2075140"/>
          <a:chOff x="200024" y="4499942"/>
          <a:chExt cx="8857420" cy="1915766"/>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a:extLst>
              <a:ext uri="{FF2B5EF4-FFF2-40B4-BE49-F238E27FC236}">
                <a16:creationId xmlns:a16="http://schemas.microsoft.com/office/drawing/2014/main" id="{00000000-0008-0000-04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400-000005000000}"/>
              </a:ext>
            </a:extLst>
          </xdr:cNvPr>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a:t>
            </a:r>
          </a:p>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 for 2022 Filers</a:t>
            </a:r>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4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31750</xdr:rowOff>
    </xdr:from>
    <xdr:to>
      <xdr:col>8</xdr:col>
      <xdr:colOff>670365</xdr:colOff>
      <xdr:row>10</xdr:row>
      <xdr:rowOff>42516</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0" y="32004"/>
          <a:ext cx="10557338" cy="2005313"/>
          <a:chOff x="200024" y="4499942"/>
          <a:chExt cx="8857420" cy="1915766"/>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5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500-000005000000}"/>
              </a:ext>
            </a:extLst>
          </xdr:cNvPr>
          <xdr:cNvSpPr/>
        </xdr:nvSpPr>
        <xdr:spPr>
          <a:xfrm>
            <a:off x="345334" y="49919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xdr:txBody>
      </xdr:sp>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5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10766</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0" y="0"/>
          <a:ext cx="14472024" cy="1982493"/>
          <a:chOff x="200024" y="4499942"/>
          <a:chExt cx="8857420" cy="1915766"/>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a:extLst>
              <a:ext uri="{FF2B5EF4-FFF2-40B4-BE49-F238E27FC236}">
                <a16:creationId xmlns:a16="http://schemas.microsoft.com/office/drawing/2014/main" id="{00000000-0008-0000-06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600-000005000000}"/>
              </a:ext>
            </a:extLst>
          </xdr:cNvPr>
          <xdr:cNvSpPr/>
        </xdr:nvSpPr>
        <xdr:spPr>
          <a:xfrm>
            <a:off x="324975" y="49919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6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21167</xdr:colOff>
      <xdr:row>0</xdr:row>
      <xdr:rowOff>21166</xdr:rowOff>
    </xdr:from>
    <xdr:to>
      <xdr:col>12</xdr:col>
      <xdr:colOff>896</xdr:colOff>
      <xdr:row>13</xdr:row>
      <xdr:rowOff>22410</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839347" y="21928"/>
          <a:ext cx="11716538" cy="2414452"/>
          <a:chOff x="200024" y="4499942"/>
          <a:chExt cx="8857420" cy="1915766"/>
        </a:xfrm>
      </xdr:grpSpPr>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8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800-000005000000}"/>
              </a:ext>
            </a:extLst>
          </xdr:cNvPr>
          <xdr:cNvSpPr/>
        </xdr:nvSpPr>
        <xdr:spPr>
          <a:xfrm>
            <a:off x="337235" y="4917469"/>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8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28575</xdr:rowOff>
    </xdr:from>
    <xdr:to>
      <xdr:col>16</xdr:col>
      <xdr:colOff>76199</xdr:colOff>
      <xdr:row>11</xdr:row>
      <xdr:rowOff>47626</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9623" y="28829"/>
          <a:ext cx="12331700" cy="2040090"/>
          <a:chOff x="200024" y="4499942"/>
          <a:chExt cx="8857420" cy="1915766"/>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a:extLst>
              <a:ext uri="{FF2B5EF4-FFF2-40B4-BE49-F238E27FC236}">
                <a16:creationId xmlns:a16="http://schemas.microsoft.com/office/drawing/2014/main" id="{00000000-0008-0000-09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900-000005000000}"/>
              </a:ext>
            </a:extLst>
          </xdr:cNvPr>
          <xdr:cNvSpPr/>
        </xdr:nvSpPr>
        <xdr:spPr>
          <a:xfrm>
            <a:off x="322821" y="495823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9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1905</xdr:colOff>
      <xdr:row>11</xdr:row>
      <xdr:rowOff>134591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2571095" cy="2147033"/>
          <a:chOff x="200024" y="4499942"/>
          <a:chExt cx="8857420" cy="1915766"/>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a:extLst>
              <a:ext uri="{FF2B5EF4-FFF2-40B4-BE49-F238E27FC236}">
                <a16:creationId xmlns:a16="http://schemas.microsoft.com/office/drawing/2014/main" id="{00000000-0008-0000-0A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A00-000005000000}"/>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A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668655</xdr:colOff>
      <xdr:row>12</xdr:row>
      <xdr:rowOff>95250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1875389" cy="2271522"/>
          <a:chOff x="200024" y="4499942"/>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a:extLst>
              <a:ext uri="{FF2B5EF4-FFF2-40B4-BE49-F238E27FC236}">
                <a16:creationId xmlns:a16="http://schemas.microsoft.com/office/drawing/2014/main" id="{00000000-0008-0000-0B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B00-000005000000}"/>
              </a:ext>
            </a:extLst>
          </xdr:cNvPr>
          <xdr:cNvSpPr/>
        </xdr:nvSpPr>
        <xdr:spPr>
          <a:xfrm>
            <a:off x="315561" y="4977699"/>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2022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B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THC\Finance\Treasury%20and%20Risk%20Mgmt\Rates\RATE%20FILING\2021%20IRM%20Filing\04%202021%20-%20PRE-FILED\01%20IRM%20model\2021%20IRM%20Generator%20Model%20THESL%202020-08-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THC\Finance\Treasury%20and%20Risk%20Mgmt\Rates\RATE%20FILING\2021%20IRM%20Filing\04%202021%20-%20PRE-FILED\01%20IRM%20model\2021-IRM-Rate-Generator-Model%202020-07-22%20(Unlocked).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THC\Finance\Treasury%20and%20Risk%20Mgmt\Rates\RATE%20FILING\2022%20IRM%20Filing\04%202022%20-%20PRE-FILED\01%20IRM%20model\2022%20IRM%20Rate%20Generator%20Model%202022-07-0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Log"/>
      <sheetName val="Rates Summary"/>
      <sheetName val="Summary of Changes"/>
      <sheetName val="Instructions"/>
      <sheetName val="1. Information Sheet"/>
      <sheetName val="2. Current Tariff Schedule"/>
      <sheetName val="3. Continuity Schedule"/>
      <sheetName val="4. Billing Det. for Def-Var"/>
      <sheetName val="5. Allocating Def-Var Balances"/>
      <sheetName val="6. Class A Consumption data"/>
      <sheetName val="6.1a GA Allocation"/>
      <sheetName val="6.1 GA"/>
      <sheetName val="6.2a CBR B 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s>
    <sheetDataSet>
      <sheetData sheetId="0"/>
      <sheetData sheetId="1"/>
      <sheetData sheetId="2"/>
      <sheetData sheetId="3"/>
      <sheetData sheetId="4">
        <row r="14">
          <cell r="F14" t="str">
            <v>Toronto Hydro-Electric System Limited</v>
          </cell>
        </row>
      </sheetData>
      <sheetData sheetId="5"/>
      <sheetData sheetId="6"/>
      <sheetData sheetId="7">
        <row r="17">
          <cell r="A17" t="str">
            <v>RESIDENTIAL SERVICE CLASSIFICATION</v>
          </cell>
        </row>
        <row r="18">
          <cell r="A18" t="str">
            <v>COMPETITIVE SECTOR MULTI-UNIT RESIDENTIAL SERVICE CLASSIFICATION</v>
          </cell>
        </row>
        <row r="19">
          <cell r="A19" t="str">
            <v>GENERAL SERVICE LESS THAN 50 KW SERVICE CLASSIFICATION</v>
          </cell>
        </row>
        <row r="20">
          <cell r="A20" t="str">
            <v>GENERAL SERVICE 50 TO 999 KW SERVICE CLASSIFICATION</v>
          </cell>
        </row>
        <row r="21">
          <cell r="A21" t="str">
            <v>GENERAL SERVICE 1,000 TO 4,999 KW SERVICE CLASSIFICATION</v>
          </cell>
        </row>
        <row r="22">
          <cell r="A22" t="str">
            <v>LARGE USE SERVICE CLASSIFICATION</v>
          </cell>
        </row>
        <row r="23">
          <cell r="A23" t="str">
            <v>STANDBY POWER SERVICE CLASSIFICATION</v>
          </cell>
        </row>
        <row r="24">
          <cell r="A24" t="str">
            <v>UNMETERED SCATTERED LOAD SERVICE CLASSIFICATION</v>
          </cell>
        </row>
        <row r="25">
          <cell r="A25" t="str">
            <v>STREET LIGHTING SERVICE CLASSIFICATION</v>
          </cell>
        </row>
      </sheetData>
      <sheetData sheetId="8"/>
      <sheetData sheetId="9">
        <row r="14">
          <cell r="C14">
            <v>2018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1-IRM-Rate-Generator-Model 2"/>
    </sheetNames>
    <sheetDataSet>
      <sheetData sheetId="0"/>
      <sheetData sheetId="1"/>
      <sheetData sheetId="2"/>
      <sheetData sheetId="3"/>
      <sheetData sheetId="4"/>
      <sheetData sheetId="5">
        <row r="9">
          <cell r="C9" t="str">
            <v>Goderich Rate Zone</v>
          </cell>
        </row>
        <row r="10">
          <cell r="C10" t="str">
            <v>Main Rate Zone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2 IRM Rate Generator Model 2"/>
    </sheetNames>
    <definedNames>
      <definedName name="CheckBox5_Click"/>
      <definedName name="loadCalendar"/>
    </defined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Cooperative Hydro Embrun Inc.</v>
          </cell>
        </row>
        <row r="11">
          <cell r="A11" t="str">
            <v>E.L.K. Energy Inc.</v>
          </cell>
        </row>
        <row r="12">
          <cell r="A12" t="str">
            <v>Elexicon Energy Inc.</v>
          </cell>
        </row>
        <row r="13">
          <cell r="A13" t="str">
            <v>Energy+ Inc.</v>
          </cell>
        </row>
        <row r="14">
          <cell r="A14" t="str">
            <v>Entegrus Powerlines Inc.</v>
          </cell>
        </row>
        <row r="15">
          <cell r="A15" t="str">
            <v>ENWIN Utilities Ltd.</v>
          </cell>
        </row>
        <row r="16">
          <cell r="A16" t="str">
            <v>EPCOR Electricity Distribution Ontario Inc.</v>
          </cell>
        </row>
        <row r="17">
          <cell r="A17" t="str">
            <v>ERTH Power Corporation</v>
          </cell>
        </row>
        <row r="18">
          <cell r="A18" t="str">
            <v>Espanola Regional Hydro Distribution Corporation</v>
          </cell>
        </row>
        <row r="19">
          <cell r="A19" t="str">
            <v>Essex Powerlines Corporation</v>
          </cell>
        </row>
        <row r="20">
          <cell r="A20" t="str">
            <v>Festival Hydro Inc.</v>
          </cell>
        </row>
        <row r="21">
          <cell r="A21" t="str">
            <v>Fort Frances Power Corporation</v>
          </cell>
        </row>
        <row r="22">
          <cell r="A22" t="str">
            <v>Greater Sudbury Hydro Inc.</v>
          </cell>
        </row>
        <row r="23">
          <cell r="A23" t="str">
            <v>Grimsby Power Incorporated</v>
          </cell>
        </row>
        <row r="24">
          <cell r="A24" t="str">
            <v>Halton Hills Hydro Inc.</v>
          </cell>
        </row>
        <row r="25">
          <cell r="A25" t="str">
            <v>Hearst Power Distribution Co. Ltd.</v>
          </cell>
        </row>
        <row r="26">
          <cell r="A26" t="str">
            <v>Hydro 2000 Inc.</v>
          </cell>
        </row>
        <row r="27">
          <cell r="A27" t="str">
            <v>Hydro Hawkesbury Inc.</v>
          </cell>
        </row>
        <row r="28">
          <cell r="A28" t="str">
            <v>Hydro One Networks Inc.</v>
          </cell>
        </row>
        <row r="29">
          <cell r="A29" t="str">
            <v>Hydro Ottawa Limited</v>
          </cell>
        </row>
        <row r="30">
          <cell r="A30" t="str">
            <v>InnPower Corporation</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Milton Hydro Distribution Inc.</v>
          </cell>
        </row>
        <row r="37">
          <cell r="A37" t="str">
            <v>Newmarket-Tay Power Distribution Ltd.</v>
          </cell>
        </row>
        <row r="38">
          <cell r="A38" t="str">
            <v>Niagara Peninsula Energy Inc.</v>
          </cell>
        </row>
        <row r="39">
          <cell r="A39" t="str">
            <v>Niagara-on-the-Lake Hydro Inc.</v>
          </cell>
        </row>
        <row r="40">
          <cell r="A40" t="str">
            <v>North Bay Hydro Distribution Limited</v>
          </cell>
        </row>
        <row r="41">
          <cell r="A41" t="str">
            <v>Northern Ontario Wires Inc.</v>
          </cell>
        </row>
        <row r="42">
          <cell r="A42" t="str">
            <v>Oakville Hydro Electricity Distribution Inc.</v>
          </cell>
        </row>
        <row r="43">
          <cell r="A43" t="str">
            <v>Orangeville Hydro Limited</v>
          </cell>
        </row>
        <row r="44">
          <cell r="A44" t="str">
            <v>Orillia Power Distribution Corporation</v>
          </cell>
        </row>
        <row r="45">
          <cell r="A45" t="str">
            <v>Oshawa PUC Networks Inc.</v>
          </cell>
        </row>
        <row r="46">
          <cell r="A46" t="str">
            <v>Ottawa River Power Corporation</v>
          </cell>
        </row>
        <row r="47">
          <cell r="A47" t="str">
            <v>Peterborough Distribution Incorporated</v>
          </cell>
        </row>
        <row r="48">
          <cell r="A48" t="str">
            <v>PUC Distribution Inc.</v>
          </cell>
        </row>
        <row r="49">
          <cell r="A49" t="str">
            <v>Renfrew Hydro Inc.</v>
          </cell>
        </row>
        <row r="50">
          <cell r="A50" t="str">
            <v>Rideau St. Lawrence Distribution Inc.</v>
          </cell>
        </row>
        <row r="51">
          <cell r="A51" t="str">
            <v>Sioux Lookout Hydro Inc.</v>
          </cell>
        </row>
        <row r="52">
          <cell r="A52" t="str">
            <v>Synergy North Corporation</v>
          </cell>
        </row>
        <row r="53">
          <cell r="A53" t="str">
            <v>Tillsonburg Hydro Inc.</v>
          </cell>
        </row>
        <row r="54">
          <cell r="A54" t="str">
            <v>Toronto Hydro-Electric System Limited</v>
          </cell>
        </row>
        <row r="55">
          <cell r="A55" t="str">
            <v>Wasaga Distribution Inc.</v>
          </cell>
        </row>
        <row r="56">
          <cell r="A56" t="str">
            <v>Waterloo North Hydro Inc.</v>
          </cell>
        </row>
        <row r="57">
          <cell r="A57" t="str">
            <v>Welland Hydro-Electric System Corp.</v>
          </cell>
        </row>
        <row r="58">
          <cell r="A58" t="str">
            <v>Wellington North Power Inc.</v>
          </cell>
        </row>
        <row r="59">
          <cell r="A59" t="str">
            <v>Westario Power Inc.</v>
          </cell>
        </row>
      </sheetData>
      <sheetData sheetId="6">
        <row r="16">
          <cell r="A16" t="str">
            <v>Rate Class</v>
          </cell>
        </row>
      </sheetData>
      <sheetData sheetId="7"/>
      <sheetData sheetId="8">
        <row r="17">
          <cell r="C17">
            <v>2019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Standard Name</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mailto:regulatoryaffairs@torontohydro.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F8F2-6C55-4556-A348-AF9B9A65B48B}">
  <sheetPr>
    <pageSetUpPr fitToPage="1"/>
  </sheetPr>
  <dimension ref="B1:E23"/>
  <sheetViews>
    <sheetView tabSelected="1" zoomScale="90" zoomScaleNormal="90" workbookViewId="0">
      <selection activeCell="B15" sqref="B15"/>
    </sheetView>
  </sheetViews>
  <sheetFormatPr defaultColWidth="8.1640625" defaultRowHeight="15.5" x14ac:dyDescent="0.35"/>
  <cols>
    <col min="1" max="1" width="4.9140625" style="37" customWidth="1"/>
    <col min="2" max="2" width="24.33203125" style="37" customWidth="1"/>
    <col min="3" max="3" width="21.9140625" style="37" customWidth="1"/>
    <col min="4" max="4" width="21.08203125" style="37" customWidth="1"/>
    <col min="5" max="5" width="50.1640625" style="37" customWidth="1"/>
    <col min="6" max="16384" width="8.1640625" style="37"/>
  </cols>
  <sheetData>
    <row r="1" spans="2:5" x14ac:dyDescent="0.35">
      <c r="B1" s="36" t="s">
        <v>71</v>
      </c>
    </row>
    <row r="3" spans="2:5" s="40" customFormat="1" x14ac:dyDescent="0.35">
      <c r="B3" s="38" t="s">
        <v>72</v>
      </c>
      <c r="C3" s="38" t="s">
        <v>6</v>
      </c>
      <c r="D3" s="38" t="s">
        <v>73</v>
      </c>
      <c r="E3" s="39" t="s">
        <v>60</v>
      </c>
    </row>
    <row r="4" spans="2:5" ht="31" x14ac:dyDescent="0.35">
      <c r="B4" s="43">
        <v>1</v>
      </c>
      <c r="C4" s="41" t="s">
        <v>61</v>
      </c>
      <c r="D4" s="546" t="s">
        <v>455</v>
      </c>
      <c r="E4" s="546" t="s">
        <v>446</v>
      </c>
    </row>
    <row r="5" spans="2:5" x14ac:dyDescent="0.35">
      <c r="B5" s="43">
        <f t="shared" ref="B5:B23" si="0">B4+1</f>
        <v>2</v>
      </c>
      <c r="C5" s="41" t="s">
        <v>74</v>
      </c>
      <c r="D5" s="546" t="s">
        <v>75</v>
      </c>
      <c r="E5" s="44" t="s">
        <v>76</v>
      </c>
    </row>
    <row r="6" spans="2:5" x14ac:dyDescent="0.35">
      <c r="B6" s="43">
        <f t="shared" si="0"/>
        <v>3</v>
      </c>
      <c r="C6" s="41" t="s">
        <v>77</v>
      </c>
      <c r="D6" s="45" t="s">
        <v>78</v>
      </c>
      <c r="E6" s="44" t="s">
        <v>76</v>
      </c>
    </row>
    <row r="7" spans="2:5" x14ac:dyDescent="0.35">
      <c r="B7" s="43">
        <f t="shared" si="0"/>
        <v>4</v>
      </c>
      <c r="C7" s="41" t="s">
        <v>77</v>
      </c>
      <c r="D7" s="547" t="s">
        <v>83</v>
      </c>
      <c r="E7" s="42" t="s">
        <v>86</v>
      </c>
    </row>
    <row r="8" spans="2:5" x14ac:dyDescent="0.35">
      <c r="B8" s="43">
        <f t="shared" si="0"/>
        <v>5</v>
      </c>
      <c r="C8" s="41" t="s">
        <v>77</v>
      </c>
      <c r="D8" s="547" t="s">
        <v>447</v>
      </c>
      <c r="E8" s="546" t="s">
        <v>448</v>
      </c>
    </row>
    <row r="9" spans="2:5" x14ac:dyDescent="0.35">
      <c r="B9" s="43">
        <f t="shared" si="0"/>
        <v>6</v>
      </c>
      <c r="C9" s="46" t="s">
        <v>79</v>
      </c>
      <c r="D9" s="45" t="s">
        <v>80</v>
      </c>
      <c r="E9" s="44" t="s">
        <v>76</v>
      </c>
    </row>
    <row r="10" spans="2:5" x14ac:dyDescent="0.35">
      <c r="B10" s="43">
        <f t="shared" si="0"/>
        <v>7</v>
      </c>
      <c r="C10" s="46" t="s">
        <v>81</v>
      </c>
      <c r="D10" s="45" t="s">
        <v>82</v>
      </c>
      <c r="E10" s="44" t="s">
        <v>76</v>
      </c>
    </row>
    <row r="11" spans="2:5" x14ac:dyDescent="0.35">
      <c r="B11" s="43">
        <f t="shared" si="0"/>
        <v>8</v>
      </c>
      <c r="C11" s="46" t="s">
        <v>81</v>
      </c>
      <c r="D11" s="45" t="s">
        <v>83</v>
      </c>
      <c r="E11" s="44" t="s">
        <v>76</v>
      </c>
    </row>
    <row r="12" spans="2:5" ht="31" x14ac:dyDescent="0.35">
      <c r="B12" s="43">
        <f t="shared" si="0"/>
        <v>9</v>
      </c>
      <c r="C12" s="46" t="s">
        <v>84</v>
      </c>
      <c r="D12" s="45" t="s">
        <v>85</v>
      </c>
      <c r="E12" s="42" t="s">
        <v>86</v>
      </c>
    </row>
    <row r="13" spans="2:5" ht="31" x14ac:dyDescent="0.35">
      <c r="B13" s="43">
        <f t="shared" si="0"/>
        <v>10</v>
      </c>
      <c r="C13" s="46" t="s">
        <v>84</v>
      </c>
      <c r="D13" s="45" t="s">
        <v>87</v>
      </c>
      <c r="E13" s="42" t="s">
        <v>88</v>
      </c>
    </row>
    <row r="14" spans="2:5" x14ac:dyDescent="0.35">
      <c r="B14" s="43">
        <f t="shared" si="0"/>
        <v>11</v>
      </c>
      <c r="C14" s="548" t="s">
        <v>449</v>
      </c>
      <c r="D14" s="45" t="s">
        <v>89</v>
      </c>
      <c r="E14" s="42" t="s">
        <v>90</v>
      </c>
    </row>
    <row r="15" spans="2:5" ht="31" x14ac:dyDescent="0.35">
      <c r="B15" s="43">
        <f t="shared" si="0"/>
        <v>12</v>
      </c>
      <c r="C15" s="548" t="s">
        <v>450</v>
      </c>
      <c r="D15" s="547" t="s">
        <v>451</v>
      </c>
      <c r="E15" s="546" t="s">
        <v>452</v>
      </c>
    </row>
    <row r="16" spans="2:5" ht="93" x14ac:dyDescent="0.35">
      <c r="B16" s="43">
        <f t="shared" si="0"/>
        <v>13</v>
      </c>
      <c r="C16" s="46" t="s">
        <v>91</v>
      </c>
      <c r="D16" s="547" t="s">
        <v>92</v>
      </c>
      <c r="E16" s="546" t="s">
        <v>93</v>
      </c>
    </row>
    <row r="17" spans="2:5" ht="77.5" x14ac:dyDescent="0.35">
      <c r="B17" s="43">
        <f t="shared" si="0"/>
        <v>14</v>
      </c>
      <c r="C17" s="46" t="s">
        <v>91</v>
      </c>
      <c r="D17" s="547" t="s">
        <v>453</v>
      </c>
      <c r="E17" s="42" t="s">
        <v>86</v>
      </c>
    </row>
    <row r="18" spans="2:5" x14ac:dyDescent="0.35">
      <c r="B18" s="43">
        <f t="shared" si="0"/>
        <v>15</v>
      </c>
      <c r="C18" s="46" t="s">
        <v>94</v>
      </c>
      <c r="D18" s="47" t="s">
        <v>95</v>
      </c>
      <c r="E18" s="42" t="s">
        <v>96</v>
      </c>
    </row>
    <row r="19" spans="2:5" x14ac:dyDescent="0.35">
      <c r="B19" s="43">
        <f t="shared" si="0"/>
        <v>16</v>
      </c>
      <c r="C19" s="46" t="s">
        <v>94</v>
      </c>
      <c r="D19" s="45" t="s">
        <v>97</v>
      </c>
      <c r="E19" s="42" t="s">
        <v>98</v>
      </c>
    </row>
    <row r="20" spans="2:5" x14ac:dyDescent="0.35">
      <c r="B20" s="43">
        <f t="shared" si="0"/>
        <v>17</v>
      </c>
      <c r="C20" s="46" t="s">
        <v>94</v>
      </c>
      <c r="D20" s="47" t="s">
        <v>99</v>
      </c>
      <c r="E20" s="42" t="str">
        <f>E14</f>
        <v>Changed the rate from four decimal to five decimal.</v>
      </c>
    </row>
    <row r="21" spans="2:5" ht="31" x14ac:dyDescent="0.35">
      <c r="B21" s="43">
        <f t="shared" si="0"/>
        <v>18</v>
      </c>
      <c r="C21" s="46" t="s">
        <v>94</v>
      </c>
      <c r="D21" s="45" t="s">
        <v>100</v>
      </c>
      <c r="E21" s="42" t="s">
        <v>101</v>
      </c>
    </row>
    <row r="22" spans="2:5" ht="46.5" x14ac:dyDescent="0.35">
      <c r="B22" s="43">
        <f t="shared" si="0"/>
        <v>19</v>
      </c>
      <c r="C22" s="46" t="str">
        <f>C21</f>
        <v>16. Rev2Cost_GDPIPI</v>
      </c>
      <c r="D22" s="47" t="s">
        <v>102</v>
      </c>
      <c r="E22" s="42" t="s">
        <v>103</v>
      </c>
    </row>
    <row r="23" spans="2:5" ht="31" x14ac:dyDescent="0.35">
      <c r="B23" s="43">
        <f t="shared" si="0"/>
        <v>20</v>
      </c>
      <c r="C23" s="46" t="str">
        <f>C22</f>
        <v>16. Rev2Cost_GDPIPI</v>
      </c>
      <c r="D23" s="47" t="s">
        <v>104</v>
      </c>
      <c r="E23" s="44" t="s">
        <v>105</v>
      </c>
    </row>
  </sheetData>
  <pageMargins left="0.70866141732283472" right="0.70866141732283472" top="1.3385826771653544" bottom="0.74803149606299213" header="0.31496062992125984" footer="0.31496062992125984"/>
  <pageSetup scale="70" orientation="portrait" r:id="rId1"/>
  <headerFooter scaleWithDoc="0">
    <oddHeader>&amp;R&amp;7&amp;K000000Toronto Hydro-Electric System Limited 
EB-2021-0060
Tab 3
Schedule 1
ORIGINAL
Page &amp;P of &amp;N</oddHeader>
    <oddFooter>&amp;C&amp;7&amp;A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DF55-04A7-452F-B650-D09FA60163C3}">
  <sheetPr>
    <pageSetUpPr fitToPage="1"/>
  </sheetPr>
  <dimension ref="A13:Q112"/>
  <sheetViews>
    <sheetView showGridLines="0" topLeftCell="B1" zoomScale="70" zoomScaleNormal="70" workbookViewId="0">
      <selection activeCell="B15" sqref="B15"/>
    </sheetView>
  </sheetViews>
  <sheetFormatPr defaultColWidth="8.4140625" defaultRowHeight="14.5" x14ac:dyDescent="0.35"/>
  <cols>
    <col min="1" max="1" width="10.5" style="353" hidden="1" customWidth="1"/>
    <col min="2" max="2" width="27.33203125" style="353" customWidth="1"/>
    <col min="3" max="3" width="3.33203125" style="353" customWidth="1"/>
    <col min="4" max="4" width="12" style="353" customWidth="1"/>
    <col min="5" max="5" width="13.83203125" style="353" customWidth="1"/>
    <col min="6" max="6" width="12" style="353" customWidth="1"/>
    <col min="7" max="7" width="2.4140625" style="353" customWidth="1"/>
    <col min="8" max="8" width="12" style="353" customWidth="1"/>
    <col min="9" max="9" width="8.5" style="353" bestFit="1" customWidth="1"/>
    <col min="10" max="10" width="12" style="353" customWidth="1"/>
    <col min="11" max="11" width="3" style="353" customWidth="1"/>
    <col min="12" max="12" width="12" style="353" customWidth="1"/>
    <col min="13" max="13" width="8.5" style="353" bestFit="1" customWidth="1"/>
    <col min="14" max="14" width="12" style="353" customWidth="1"/>
    <col min="15" max="15" width="3.33203125" style="353" customWidth="1"/>
    <col min="16" max="16" width="15.83203125" style="353" customWidth="1"/>
    <col min="17" max="16384" width="8.4140625" style="353"/>
  </cols>
  <sheetData>
    <row r="13" spans="2:17" ht="68.25" customHeight="1" x14ac:dyDescent="0.35">
      <c r="B13" s="716" t="s">
        <v>353</v>
      </c>
      <c r="C13" s="699"/>
      <c r="D13" s="699"/>
      <c r="E13" s="699"/>
      <c r="F13" s="699"/>
      <c r="G13" s="699"/>
      <c r="H13" s="699"/>
      <c r="I13" s="699"/>
      <c r="J13" s="699"/>
      <c r="K13" s="699"/>
      <c r="L13" s="699"/>
      <c r="M13" s="699"/>
      <c r="N13" s="699"/>
      <c r="O13" s="699"/>
      <c r="P13" s="699"/>
    </row>
    <row r="16" spans="2:17" ht="15.5" x14ac:dyDescent="0.35">
      <c r="B16" s="413" t="s">
        <v>354</v>
      </c>
      <c r="C16" s="414"/>
      <c r="D16" s="714" t="s">
        <v>355</v>
      </c>
      <c r="E16" s="714"/>
      <c r="F16" s="714"/>
      <c r="G16" s="414"/>
      <c r="H16" s="714" t="s">
        <v>356</v>
      </c>
      <c r="I16" s="714"/>
      <c r="J16" s="714"/>
      <c r="K16" s="414"/>
      <c r="L16" s="714" t="s">
        <v>357</v>
      </c>
      <c r="M16" s="714"/>
      <c r="N16" s="714"/>
      <c r="O16" s="414"/>
      <c r="P16" s="413" t="s">
        <v>358</v>
      </c>
      <c r="Q16" s="415"/>
    </row>
    <row r="17" spans="2:17" x14ac:dyDescent="0.35">
      <c r="B17" s="416" t="s">
        <v>359</v>
      </c>
      <c r="C17" s="417"/>
      <c r="D17" s="418" t="s">
        <v>360</v>
      </c>
      <c r="E17" s="418" t="s">
        <v>325</v>
      </c>
      <c r="F17" s="418" t="s">
        <v>361</v>
      </c>
      <c r="G17" s="417"/>
      <c r="H17" s="418" t="s">
        <v>360</v>
      </c>
      <c r="I17" s="418" t="s">
        <v>325</v>
      </c>
      <c r="J17" s="418" t="s">
        <v>361</v>
      </c>
      <c r="K17" s="417"/>
      <c r="L17" s="418" t="s">
        <v>360</v>
      </c>
      <c r="M17" s="418" t="s">
        <v>325</v>
      </c>
      <c r="N17" s="418" t="s">
        <v>361</v>
      </c>
      <c r="O17" s="417"/>
      <c r="P17" s="418" t="s">
        <v>361</v>
      </c>
      <c r="Q17" s="369"/>
    </row>
    <row r="18" spans="2:17" x14ac:dyDescent="0.35">
      <c r="C18" s="419"/>
      <c r="D18" s="419"/>
      <c r="E18" s="419"/>
      <c r="F18" s="419"/>
      <c r="G18" s="419"/>
      <c r="H18" s="419"/>
      <c r="I18" s="419"/>
      <c r="J18" s="419"/>
      <c r="K18" s="419"/>
      <c r="L18" s="419"/>
      <c r="M18" s="419"/>
      <c r="N18" s="419"/>
      <c r="O18" s="419"/>
      <c r="P18" s="419"/>
      <c r="Q18" s="369"/>
    </row>
    <row r="19" spans="2:17" x14ac:dyDescent="0.35">
      <c r="B19" s="420" t="s">
        <v>362</v>
      </c>
      <c r="C19" s="419"/>
      <c r="D19" s="421">
        <v>3478681</v>
      </c>
      <c r="E19" s="422">
        <f t="shared" ref="E19:E30" si="0">IF(D19&lt;&gt;0,F19/D19,0)</f>
        <v>3.92</v>
      </c>
      <c r="F19" s="423">
        <v>13636429.52</v>
      </c>
      <c r="G19" s="419"/>
      <c r="H19" s="421">
        <v>3487971</v>
      </c>
      <c r="I19" s="422">
        <f t="shared" ref="I19:I30" si="1">IF(H19&lt;&gt;0,J19/H19,0)</f>
        <v>0.97000000000000008</v>
      </c>
      <c r="J19" s="424">
        <v>3383331.87</v>
      </c>
      <c r="K19" s="419"/>
      <c r="L19" s="421">
        <v>3564191</v>
      </c>
      <c r="M19" s="422">
        <f t="shared" ref="M19:M30" si="2">IF(L19&lt;&gt;0,N19/L19,0)</f>
        <v>2.33</v>
      </c>
      <c r="N19" s="423">
        <v>8304565.0300000003</v>
      </c>
      <c r="O19" s="419"/>
      <c r="P19" s="425">
        <f t="shared" ref="P19:P30" si="3">J19+N19</f>
        <v>11687896.9</v>
      </c>
      <c r="Q19" s="369"/>
    </row>
    <row r="20" spans="2:17" x14ac:dyDescent="0.35">
      <c r="B20" s="420" t="s">
        <v>363</v>
      </c>
      <c r="C20" s="419"/>
      <c r="D20" s="421">
        <v>3513456</v>
      </c>
      <c r="E20" s="422">
        <f t="shared" si="0"/>
        <v>3.92</v>
      </c>
      <c r="F20" s="423">
        <v>13772747.52</v>
      </c>
      <c r="G20" s="419"/>
      <c r="H20" s="421">
        <v>3483216</v>
      </c>
      <c r="I20" s="422">
        <f t="shared" si="1"/>
        <v>0.97</v>
      </c>
      <c r="J20" s="424">
        <v>3378719.52</v>
      </c>
      <c r="K20" s="419"/>
      <c r="L20" s="421">
        <v>3550506</v>
      </c>
      <c r="M20" s="422">
        <f t="shared" si="2"/>
        <v>2.33</v>
      </c>
      <c r="N20" s="423">
        <v>8272678.9800000004</v>
      </c>
      <c r="O20" s="419"/>
      <c r="P20" s="425">
        <f t="shared" si="3"/>
        <v>11651398.5</v>
      </c>
      <c r="Q20" s="369"/>
    </row>
    <row r="21" spans="2:17" x14ac:dyDescent="0.35">
      <c r="B21" s="420" t="s">
        <v>364</v>
      </c>
      <c r="C21" s="419"/>
      <c r="D21" s="421">
        <v>3250363</v>
      </c>
      <c r="E21" s="422">
        <f t="shared" si="0"/>
        <v>3.9195694973146078</v>
      </c>
      <c r="F21" s="423">
        <v>12740023.67</v>
      </c>
      <c r="G21" s="419"/>
      <c r="H21" s="421">
        <v>3247015</v>
      </c>
      <c r="I21" s="422">
        <f t="shared" si="1"/>
        <v>0.96993865442568017</v>
      </c>
      <c r="J21" s="424">
        <v>3149405.36</v>
      </c>
      <c r="K21" s="419"/>
      <c r="L21" s="421">
        <v>3294380</v>
      </c>
      <c r="M21" s="422">
        <f t="shared" si="2"/>
        <v>2.33</v>
      </c>
      <c r="N21" s="423">
        <v>7675905.4000000004</v>
      </c>
      <c r="O21" s="419"/>
      <c r="P21" s="425">
        <f t="shared" si="3"/>
        <v>10825310.76</v>
      </c>
      <c r="Q21" s="369"/>
    </row>
    <row r="22" spans="2:17" x14ac:dyDescent="0.35">
      <c r="B22" s="420" t="s">
        <v>365</v>
      </c>
      <c r="C22" s="419"/>
      <c r="D22" s="421">
        <v>2790782</v>
      </c>
      <c r="E22" s="422">
        <f t="shared" si="0"/>
        <v>3.92</v>
      </c>
      <c r="F22" s="423">
        <v>10939865.439999999</v>
      </c>
      <c r="G22" s="419"/>
      <c r="H22" s="421">
        <v>3070891</v>
      </c>
      <c r="I22" s="422">
        <f t="shared" si="1"/>
        <v>0.96898217488018956</v>
      </c>
      <c r="J22" s="424">
        <v>2975638.64</v>
      </c>
      <c r="K22" s="419"/>
      <c r="L22" s="421">
        <v>3122734</v>
      </c>
      <c r="M22" s="422">
        <f t="shared" si="2"/>
        <v>2.3269992320831681</v>
      </c>
      <c r="N22" s="423">
        <v>7266599.6200000001</v>
      </c>
      <c r="O22" s="419"/>
      <c r="P22" s="425">
        <f t="shared" si="3"/>
        <v>10242238.26</v>
      </c>
      <c r="Q22" s="369"/>
    </row>
    <row r="23" spans="2:17" x14ac:dyDescent="0.35">
      <c r="B23" s="420" t="s">
        <v>366</v>
      </c>
      <c r="C23" s="419"/>
      <c r="D23" s="421">
        <v>3651536</v>
      </c>
      <c r="E23" s="422">
        <f t="shared" si="0"/>
        <v>3.92</v>
      </c>
      <c r="F23" s="423">
        <v>14314021.119999999</v>
      </c>
      <c r="G23" s="419"/>
      <c r="H23" s="421">
        <v>3583048</v>
      </c>
      <c r="I23" s="422">
        <f t="shared" si="1"/>
        <v>0.97</v>
      </c>
      <c r="J23" s="424">
        <v>3475556.56</v>
      </c>
      <c r="K23" s="419"/>
      <c r="L23" s="421">
        <v>3671638</v>
      </c>
      <c r="M23" s="422">
        <f t="shared" si="2"/>
        <v>2.3299999999999996</v>
      </c>
      <c r="N23" s="423">
        <v>8554916.5399999991</v>
      </c>
      <c r="O23" s="419"/>
      <c r="P23" s="425">
        <f t="shared" si="3"/>
        <v>12030473.1</v>
      </c>
      <c r="Q23" s="369"/>
    </row>
    <row r="24" spans="2:17" x14ac:dyDescent="0.35">
      <c r="B24" s="420" t="s">
        <v>367</v>
      </c>
      <c r="C24" s="419"/>
      <c r="D24" s="421">
        <v>3846862</v>
      </c>
      <c r="E24" s="422">
        <f t="shared" si="0"/>
        <v>3.92</v>
      </c>
      <c r="F24" s="423">
        <v>15079699.039999999</v>
      </c>
      <c r="G24" s="419"/>
      <c r="H24" s="421">
        <v>3846873</v>
      </c>
      <c r="I24" s="422">
        <f t="shared" si="1"/>
        <v>0.97</v>
      </c>
      <c r="J24" s="424">
        <v>3731466.81</v>
      </c>
      <c r="K24" s="419"/>
      <c r="L24" s="421">
        <v>3927674</v>
      </c>
      <c r="M24" s="422">
        <f t="shared" si="2"/>
        <v>2.33</v>
      </c>
      <c r="N24" s="423">
        <v>9151480.4199999999</v>
      </c>
      <c r="O24" s="419"/>
      <c r="P24" s="425">
        <f t="shared" si="3"/>
        <v>12882947.23</v>
      </c>
      <c r="Q24" s="369"/>
    </row>
    <row r="25" spans="2:17" x14ac:dyDescent="0.35">
      <c r="B25" s="420" t="s">
        <v>368</v>
      </c>
      <c r="C25" s="419"/>
      <c r="D25" s="421">
        <v>4503087</v>
      </c>
      <c r="E25" s="422">
        <f t="shared" si="0"/>
        <v>3.92</v>
      </c>
      <c r="F25" s="423">
        <v>17652101.039999999</v>
      </c>
      <c r="G25" s="419"/>
      <c r="H25" s="421">
        <v>4403331</v>
      </c>
      <c r="I25" s="422">
        <f t="shared" si="1"/>
        <v>0.97000000000000008</v>
      </c>
      <c r="J25" s="424">
        <v>4271231.07</v>
      </c>
      <c r="K25" s="419"/>
      <c r="L25" s="421">
        <v>4474032</v>
      </c>
      <c r="M25" s="422">
        <f t="shared" si="2"/>
        <v>2.33</v>
      </c>
      <c r="N25" s="423">
        <v>10424494.560000001</v>
      </c>
      <c r="O25" s="419"/>
      <c r="P25" s="425">
        <f t="shared" si="3"/>
        <v>14695725.630000001</v>
      </c>
      <c r="Q25" s="369"/>
    </row>
    <row r="26" spans="2:17" x14ac:dyDescent="0.35">
      <c r="B26" s="420" t="s">
        <v>369</v>
      </c>
      <c r="C26" s="419"/>
      <c r="D26" s="421">
        <v>4348672</v>
      </c>
      <c r="E26" s="422">
        <f t="shared" si="0"/>
        <v>3.9199999999999995</v>
      </c>
      <c r="F26" s="423">
        <v>17046794.239999998</v>
      </c>
      <c r="G26" s="419"/>
      <c r="H26" s="421">
        <v>4214534</v>
      </c>
      <c r="I26" s="422">
        <f t="shared" si="1"/>
        <v>0.97</v>
      </c>
      <c r="J26" s="424">
        <v>4088097.98</v>
      </c>
      <c r="K26" s="419"/>
      <c r="L26" s="421">
        <v>4291383</v>
      </c>
      <c r="M26" s="422">
        <f t="shared" si="2"/>
        <v>2.33</v>
      </c>
      <c r="N26" s="423">
        <v>9998922.3900000006</v>
      </c>
      <c r="O26" s="419"/>
      <c r="P26" s="425">
        <f t="shared" si="3"/>
        <v>14087020.370000001</v>
      </c>
      <c r="Q26" s="369"/>
    </row>
    <row r="27" spans="2:17" x14ac:dyDescent="0.35">
      <c r="B27" s="420" t="s">
        <v>370</v>
      </c>
      <c r="C27" s="419"/>
      <c r="D27" s="421">
        <v>3695042</v>
      </c>
      <c r="E27" s="422">
        <f t="shared" si="0"/>
        <v>3.9200000000000004</v>
      </c>
      <c r="F27" s="423">
        <v>14484564.640000001</v>
      </c>
      <c r="G27" s="419"/>
      <c r="H27" s="421">
        <v>3610007</v>
      </c>
      <c r="I27" s="422">
        <f t="shared" si="1"/>
        <v>0.97</v>
      </c>
      <c r="J27" s="424">
        <v>3501706.79</v>
      </c>
      <c r="K27" s="419"/>
      <c r="L27" s="421">
        <v>3671785</v>
      </c>
      <c r="M27" s="422">
        <f t="shared" si="2"/>
        <v>2.33</v>
      </c>
      <c r="N27" s="423">
        <v>8555259.0500000007</v>
      </c>
      <c r="O27" s="419"/>
      <c r="P27" s="425">
        <f t="shared" si="3"/>
        <v>12056965.84</v>
      </c>
      <c r="Q27" s="369"/>
    </row>
    <row r="28" spans="2:17" x14ac:dyDescent="0.35">
      <c r="B28" s="420" t="s">
        <v>371</v>
      </c>
      <c r="C28" s="419"/>
      <c r="D28" s="421">
        <v>3020275</v>
      </c>
      <c r="E28" s="422">
        <f t="shared" si="0"/>
        <v>3.92</v>
      </c>
      <c r="F28" s="423">
        <v>11839478</v>
      </c>
      <c r="G28" s="419"/>
      <c r="H28" s="421">
        <v>3008608</v>
      </c>
      <c r="I28" s="422">
        <f t="shared" si="1"/>
        <v>0.97</v>
      </c>
      <c r="J28" s="424">
        <v>2918349.76</v>
      </c>
      <c r="K28" s="419"/>
      <c r="L28" s="421">
        <v>3023913</v>
      </c>
      <c r="M28" s="422">
        <f t="shared" si="2"/>
        <v>2.33</v>
      </c>
      <c r="N28" s="423">
        <v>7045717.29</v>
      </c>
      <c r="O28" s="419"/>
      <c r="P28" s="425">
        <f t="shared" si="3"/>
        <v>9964067.0500000007</v>
      </c>
      <c r="Q28" s="369"/>
    </row>
    <row r="29" spans="2:17" x14ac:dyDescent="0.35">
      <c r="B29" s="420" t="s">
        <v>372</v>
      </c>
      <c r="C29" s="419"/>
      <c r="D29" s="421">
        <v>3320584</v>
      </c>
      <c r="E29" s="422">
        <f t="shared" si="0"/>
        <v>3.92</v>
      </c>
      <c r="F29" s="423">
        <v>13016689.279999999</v>
      </c>
      <c r="G29" s="419"/>
      <c r="H29" s="421">
        <v>3309690</v>
      </c>
      <c r="I29" s="422">
        <f t="shared" si="1"/>
        <v>0.97</v>
      </c>
      <c r="J29" s="424">
        <v>3210399.3</v>
      </c>
      <c r="K29" s="419"/>
      <c r="L29" s="421">
        <v>3344567</v>
      </c>
      <c r="M29" s="422">
        <f t="shared" si="2"/>
        <v>2.33</v>
      </c>
      <c r="N29" s="423">
        <v>7792841.1100000003</v>
      </c>
      <c r="O29" s="419"/>
      <c r="P29" s="425">
        <f t="shared" si="3"/>
        <v>11003240.41</v>
      </c>
      <c r="Q29" s="369"/>
    </row>
    <row r="30" spans="2:17" x14ac:dyDescent="0.35">
      <c r="B30" s="420" t="s">
        <v>373</v>
      </c>
      <c r="C30" s="419"/>
      <c r="D30" s="421">
        <v>3548237</v>
      </c>
      <c r="E30" s="422">
        <f t="shared" si="0"/>
        <v>3.92</v>
      </c>
      <c r="F30" s="423">
        <v>13909089.039999999</v>
      </c>
      <c r="G30" s="419"/>
      <c r="H30" s="421">
        <v>3429058</v>
      </c>
      <c r="I30" s="422">
        <f t="shared" si="1"/>
        <v>0.97</v>
      </c>
      <c r="J30" s="424">
        <v>3326186.26</v>
      </c>
      <c r="K30" s="419"/>
      <c r="L30" s="421">
        <v>3475432</v>
      </c>
      <c r="M30" s="422">
        <f t="shared" si="2"/>
        <v>2.33</v>
      </c>
      <c r="N30" s="423">
        <v>8097756.5599999996</v>
      </c>
      <c r="O30" s="419"/>
      <c r="P30" s="425">
        <f t="shared" si="3"/>
        <v>11423942.82</v>
      </c>
      <c r="Q30" s="369"/>
    </row>
    <row r="31" spans="2:17" x14ac:dyDescent="0.35">
      <c r="B31" s="419"/>
      <c r="C31" s="419"/>
      <c r="D31" s="419"/>
      <c r="E31" s="419"/>
      <c r="F31" s="419"/>
      <c r="G31" s="419"/>
      <c r="H31" s="419"/>
      <c r="I31" s="419"/>
      <c r="J31" s="419"/>
      <c r="K31" s="419"/>
      <c r="L31" s="419"/>
      <c r="M31" s="419"/>
      <c r="N31" s="419"/>
      <c r="O31" s="419"/>
      <c r="P31" s="419"/>
      <c r="Q31" s="369"/>
    </row>
    <row r="32" spans="2:17" ht="15" thickBot="1" x14ac:dyDescent="0.4">
      <c r="B32" s="416" t="s">
        <v>268</v>
      </c>
      <c r="C32" s="419"/>
      <c r="D32" s="426">
        <f>SUM(D19:D30)</f>
        <v>42967577</v>
      </c>
      <c r="E32" s="427">
        <f>IF(D32&lt;&gt;0,F32/D32,0)</f>
        <v>3.9199674338164328</v>
      </c>
      <c r="F32" s="428">
        <f>SUM(F19:F30)</f>
        <v>168431502.54999998</v>
      </c>
      <c r="G32" s="419"/>
      <c r="H32" s="426">
        <f>SUM(H19:H30)</f>
        <v>42694242</v>
      </c>
      <c r="I32" s="427">
        <f>IF(H32&lt;&gt;0,J32/H32,0)</f>
        <v>0.96992212486170837</v>
      </c>
      <c r="J32" s="428">
        <f>SUM(J19:J30)</f>
        <v>41410089.919999994</v>
      </c>
      <c r="K32" s="419"/>
      <c r="L32" s="426">
        <f>SUM(L19:L30)</f>
        <v>43412235</v>
      </c>
      <c r="M32" s="427">
        <f>IF(L32&lt;&gt;0,N32/L32,0)</f>
        <v>2.3297841484088533</v>
      </c>
      <c r="N32" s="428">
        <f>SUM(N19:N30)</f>
        <v>101141136.95000002</v>
      </c>
      <c r="O32" s="419"/>
      <c r="P32" s="428">
        <f>SUM(P19:P30)</f>
        <v>142551226.87</v>
      </c>
      <c r="Q32" s="369"/>
    </row>
    <row r="33" spans="2:17" x14ac:dyDescent="0.35">
      <c r="B33" s="419"/>
      <c r="C33" s="419"/>
      <c r="D33" s="419"/>
      <c r="E33" s="419"/>
      <c r="F33" s="419"/>
      <c r="G33" s="419"/>
      <c r="H33" s="419"/>
      <c r="I33" s="419"/>
      <c r="J33" s="419"/>
      <c r="K33" s="419"/>
      <c r="L33" s="419"/>
      <c r="M33" s="419"/>
      <c r="N33" s="419"/>
      <c r="O33" s="419"/>
      <c r="P33" s="419"/>
      <c r="Q33" s="369"/>
    </row>
    <row r="34" spans="2:17" x14ac:dyDescent="0.35">
      <c r="B34" s="413" t="s">
        <v>374</v>
      </c>
      <c r="C34" s="414"/>
      <c r="D34" s="714" t="s">
        <v>355</v>
      </c>
      <c r="E34" s="714"/>
      <c r="F34" s="714"/>
      <c r="G34" s="414"/>
      <c r="H34" s="714" t="s">
        <v>356</v>
      </c>
      <c r="I34" s="714"/>
      <c r="J34" s="714"/>
      <c r="K34" s="414"/>
      <c r="L34" s="714" t="s">
        <v>357</v>
      </c>
      <c r="M34" s="714"/>
      <c r="N34" s="714"/>
      <c r="O34" s="414"/>
      <c r="P34" s="413" t="s">
        <v>358</v>
      </c>
      <c r="Q34" s="369"/>
    </row>
    <row r="35" spans="2:17" x14ac:dyDescent="0.35">
      <c r="B35" s="416"/>
      <c r="C35" s="417"/>
      <c r="D35" s="418"/>
      <c r="E35" s="418"/>
      <c r="F35" s="418"/>
      <c r="G35" s="417"/>
      <c r="H35" s="418"/>
      <c r="I35" s="418"/>
      <c r="J35" s="418"/>
      <c r="K35" s="417"/>
      <c r="L35" s="418"/>
      <c r="M35" s="418"/>
      <c r="N35" s="418"/>
      <c r="O35" s="417"/>
      <c r="P35" s="418"/>
      <c r="Q35" s="369"/>
    </row>
    <row r="36" spans="2:17" x14ac:dyDescent="0.35">
      <c r="B36" s="416" t="s">
        <v>359</v>
      </c>
      <c r="C36" s="417"/>
      <c r="D36" s="418" t="s">
        <v>360</v>
      </c>
      <c r="E36" s="418" t="s">
        <v>325</v>
      </c>
      <c r="F36" s="418" t="s">
        <v>361</v>
      </c>
      <c r="G36" s="417"/>
      <c r="H36" s="418" t="s">
        <v>360</v>
      </c>
      <c r="I36" s="418" t="s">
        <v>325</v>
      </c>
      <c r="J36" s="418" t="s">
        <v>361</v>
      </c>
      <c r="K36" s="417"/>
      <c r="L36" s="418" t="s">
        <v>360</v>
      </c>
      <c r="M36" s="418" t="s">
        <v>325</v>
      </c>
      <c r="N36" s="418" t="s">
        <v>361</v>
      </c>
      <c r="O36" s="417"/>
      <c r="P36" s="418" t="s">
        <v>361</v>
      </c>
      <c r="Q36" s="369"/>
    </row>
    <row r="37" spans="2:17" x14ac:dyDescent="0.35">
      <c r="B37" s="419"/>
      <c r="C37" s="419"/>
      <c r="D37" s="419"/>
      <c r="E37" s="419"/>
      <c r="F37" s="419"/>
      <c r="G37" s="419"/>
      <c r="H37" s="419"/>
      <c r="I37" s="419"/>
      <c r="J37" s="419"/>
      <c r="K37" s="419"/>
      <c r="L37" s="419"/>
      <c r="M37" s="419"/>
      <c r="N37" s="419"/>
      <c r="O37" s="419"/>
      <c r="P37" s="419"/>
      <c r="Q37" s="369"/>
    </row>
    <row r="38" spans="2:17" x14ac:dyDescent="0.35">
      <c r="B38" s="420" t="s">
        <v>362</v>
      </c>
      <c r="C38" s="419"/>
      <c r="D38" s="421"/>
      <c r="E38" s="429">
        <f>IF(D38&lt;&gt;0,F38/D38,0)</f>
        <v>0</v>
      </c>
      <c r="F38" s="423"/>
      <c r="G38" s="419"/>
      <c r="H38" s="421"/>
      <c r="I38" s="429">
        <f t="shared" ref="I38:I49" si="4">IF(H38&lt;&gt;0,J38/H38,0)</f>
        <v>0</v>
      </c>
      <c r="J38" s="423"/>
      <c r="K38" s="419"/>
      <c r="L38" s="421"/>
      <c r="M38" s="429">
        <f t="shared" ref="M38:M49" si="5">IF(L38&lt;&gt;0,N38/L38,0)</f>
        <v>0</v>
      </c>
      <c r="N38" s="423"/>
      <c r="O38" s="419"/>
      <c r="P38" s="425">
        <f>J38+N38</f>
        <v>0</v>
      </c>
      <c r="Q38" s="369"/>
    </row>
    <row r="39" spans="2:17" x14ac:dyDescent="0.35">
      <c r="B39" s="420" t="s">
        <v>363</v>
      </c>
      <c r="C39" s="419"/>
      <c r="D39" s="421"/>
      <c r="E39" s="429">
        <f t="shared" ref="E39:E49" si="6">IF(D39&lt;&gt;0,F39/D39,0)</f>
        <v>0</v>
      </c>
      <c r="F39" s="423"/>
      <c r="G39" s="419"/>
      <c r="H39" s="421"/>
      <c r="I39" s="429">
        <f t="shared" si="4"/>
        <v>0</v>
      </c>
      <c r="J39" s="423"/>
      <c r="K39" s="419"/>
      <c r="L39" s="421"/>
      <c r="M39" s="429">
        <f t="shared" si="5"/>
        <v>0</v>
      </c>
      <c r="N39" s="423"/>
      <c r="O39" s="419"/>
      <c r="P39" s="425">
        <f t="shared" ref="P39:P49" si="7">J39+N39</f>
        <v>0</v>
      </c>
      <c r="Q39" s="369"/>
    </row>
    <row r="40" spans="2:17" x14ac:dyDescent="0.35">
      <c r="B40" s="420" t="s">
        <v>364</v>
      </c>
      <c r="C40" s="419"/>
      <c r="D40" s="421"/>
      <c r="E40" s="429">
        <f t="shared" si="6"/>
        <v>0</v>
      </c>
      <c r="F40" s="423"/>
      <c r="G40" s="419"/>
      <c r="H40" s="421"/>
      <c r="I40" s="429">
        <f t="shared" si="4"/>
        <v>0</v>
      </c>
      <c r="J40" s="423"/>
      <c r="K40" s="419"/>
      <c r="L40" s="421"/>
      <c r="M40" s="429">
        <f t="shared" si="5"/>
        <v>0</v>
      </c>
      <c r="N40" s="423"/>
      <c r="O40" s="419"/>
      <c r="P40" s="425">
        <f t="shared" si="7"/>
        <v>0</v>
      </c>
      <c r="Q40" s="369"/>
    </row>
    <row r="41" spans="2:17" x14ac:dyDescent="0.35">
      <c r="B41" s="420" t="s">
        <v>365</v>
      </c>
      <c r="C41" s="419"/>
      <c r="D41" s="421"/>
      <c r="E41" s="429">
        <f t="shared" si="6"/>
        <v>0</v>
      </c>
      <c r="F41" s="423"/>
      <c r="G41" s="419"/>
      <c r="H41" s="421"/>
      <c r="I41" s="429">
        <f t="shared" si="4"/>
        <v>0</v>
      </c>
      <c r="J41" s="423"/>
      <c r="K41" s="419"/>
      <c r="L41" s="421"/>
      <c r="M41" s="429">
        <f t="shared" si="5"/>
        <v>0</v>
      </c>
      <c r="N41" s="423"/>
      <c r="O41" s="419"/>
      <c r="P41" s="425">
        <f t="shared" si="7"/>
        <v>0</v>
      </c>
      <c r="Q41" s="369"/>
    </row>
    <row r="42" spans="2:17" x14ac:dyDescent="0.35">
      <c r="B42" s="420" t="s">
        <v>366</v>
      </c>
      <c r="C42" s="419"/>
      <c r="D42" s="421"/>
      <c r="E42" s="429">
        <f t="shared" si="6"/>
        <v>0</v>
      </c>
      <c r="F42" s="423"/>
      <c r="G42" s="419"/>
      <c r="H42" s="421"/>
      <c r="I42" s="429">
        <f t="shared" si="4"/>
        <v>0</v>
      </c>
      <c r="J42" s="423"/>
      <c r="K42" s="419"/>
      <c r="L42" s="421"/>
      <c r="M42" s="429">
        <f t="shared" si="5"/>
        <v>0</v>
      </c>
      <c r="N42" s="423"/>
      <c r="O42" s="419"/>
      <c r="P42" s="425">
        <f t="shared" si="7"/>
        <v>0</v>
      </c>
      <c r="Q42" s="369"/>
    </row>
    <row r="43" spans="2:17" x14ac:dyDescent="0.35">
      <c r="B43" s="420" t="s">
        <v>367</v>
      </c>
      <c r="C43" s="419"/>
      <c r="D43" s="421"/>
      <c r="E43" s="429">
        <f t="shared" si="6"/>
        <v>0</v>
      </c>
      <c r="F43" s="423"/>
      <c r="G43" s="419"/>
      <c r="H43" s="421"/>
      <c r="I43" s="429">
        <f t="shared" si="4"/>
        <v>0</v>
      </c>
      <c r="J43" s="423"/>
      <c r="K43" s="419"/>
      <c r="L43" s="421"/>
      <c r="M43" s="429">
        <f t="shared" si="5"/>
        <v>0</v>
      </c>
      <c r="N43" s="423"/>
      <c r="O43" s="419"/>
      <c r="P43" s="425">
        <f t="shared" si="7"/>
        <v>0</v>
      </c>
      <c r="Q43" s="369"/>
    </row>
    <row r="44" spans="2:17" x14ac:dyDescent="0.35">
      <c r="B44" s="420" t="s">
        <v>368</v>
      </c>
      <c r="C44" s="419"/>
      <c r="D44" s="421"/>
      <c r="E44" s="429">
        <f t="shared" si="6"/>
        <v>0</v>
      </c>
      <c r="F44" s="423"/>
      <c r="G44" s="419"/>
      <c r="H44" s="421"/>
      <c r="I44" s="429">
        <f t="shared" si="4"/>
        <v>0</v>
      </c>
      <c r="J44" s="423"/>
      <c r="K44" s="419"/>
      <c r="L44" s="421"/>
      <c r="M44" s="429">
        <f t="shared" si="5"/>
        <v>0</v>
      </c>
      <c r="N44" s="423"/>
      <c r="O44" s="419"/>
      <c r="P44" s="425">
        <f t="shared" si="7"/>
        <v>0</v>
      </c>
      <c r="Q44" s="369"/>
    </row>
    <row r="45" spans="2:17" x14ac:dyDescent="0.35">
      <c r="B45" s="420" t="s">
        <v>369</v>
      </c>
      <c r="C45" s="419"/>
      <c r="D45" s="421"/>
      <c r="E45" s="429">
        <f t="shared" si="6"/>
        <v>0</v>
      </c>
      <c r="F45" s="423"/>
      <c r="G45" s="419"/>
      <c r="H45" s="421"/>
      <c r="I45" s="429">
        <f t="shared" si="4"/>
        <v>0</v>
      </c>
      <c r="J45" s="423"/>
      <c r="K45" s="419"/>
      <c r="L45" s="421"/>
      <c r="M45" s="429">
        <f t="shared" si="5"/>
        <v>0</v>
      </c>
      <c r="N45" s="423"/>
      <c r="O45" s="419"/>
      <c r="P45" s="425">
        <f t="shared" si="7"/>
        <v>0</v>
      </c>
      <c r="Q45" s="369"/>
    </row>
    <row r="46" spans="2:17" x14ac:dyDescent="0.35">
      <c r="B46" s="420" t="s">
        <v>370</v>
      </c>
      <c r="C46" s="419"/>
      <c r="D46" s="421"/>
      <c r="E46" s="429">
        <f t="shared" si="6"/>
        <v>0</v>
      </c>
      <c r="F46" s="423"/>
      <c r="G46" s="419"/>
      <c r="H46" s="421"/>
      <c r="I46" s="429">
        <f t="shared" si="4"/>
        <v>0</v>
      </c>
      <c r="J46" s="423"/>
      <c r="K46" s="419"/>
      <c r="L46" s="421"/>
      <c r="M46" s="429">
        <f t="shared" si="5"/>
        <v>0</v>
      </c>
      <c r="N46" s="423"/>
      <c r="O46" s="419"/>
      <c r="P46" s="425">
        <f t="shared" si="7"/>
        <v>0</v>
      </c>
      <c r="Q46" s="369"/>
    </row>
    <row r="47" spans="2:17" x14ac:dyDescent="0.35">
      <c r="B47" s="420" t="s">
        <v>371</v>
      </c>
      <c r="C47" s="419"/>
      <c r="D47" s="421"/>
      <c r="E47" s="429">
        <f t="shared" si="6"/>
        <v>0</v>
      </c>
      <c r="F47" s="423"/>
      <c r="G47" s="419"/>
      <c r="H47" s="421"/>
      <c r="I47" s="429">
        <f t="shared" si="4"/>
        <v>0</v>
      </c>
      <c r="J47" s="423"/>
      <c r="K47" s="419"/>
      <c r="L47" s="421"/>
      <c r="M47" s="429">
        <f t="shared" si="5"/>
        <v>0</v>
      </c>
      <c r="N47" s="423"/>
      <c r="O47" s="419"/>
      <c r="P47" s="425">
        <f t="shared" si="7"/>
        <v>0</v>
      </c>
      <c r="Q47" s="369"/>
    </row>
    <row r="48" spans="2:17" x14ac:dyDescent="0.35">
      <c r="B48" s="420" t="s">
        <v>372</v>
      </c>
      <c r="C48" s="419"/>
      <c r="D48" s="421"/>
      <c r="E48" s="429">
        <f t="shared" si="6"/>
        <v>0</v>
      </c>
      <c r="F48" s="423"/>
      <c r="G48" s="419"/>
      <c r="H48" s="421"/>
      <c r="I48" s="429">
        <f t="shared" si="4"/>
        <v>0</v>
      </c>
      <c r="J48" s="423"/>
      <c r="K48" s="419"/>
      <c r="L48" s="421"/>
      <c r="M48" s="429">
        <f t="shared" si="5"/>
        <v>0</v>
      </c>
      <c r="N48" s="423"/>
      <c r="O48" s="419"/>
      <c r="P48" s="425">
        <f t="shared" si="7"/>
        <v>0</v>
      </c>
      <c r="Q48" s="369"/>
    </row>
    <row r="49" spans="2:17" x14ac:dyDescent="0.35">
      <c r="B49" s="420" t="s">
        <v>373</v>
      </c>
      <c r="C49" s="419"/>
      <c r="D49" s="421"/>
      <c r="E49" s="429">
        <f t="shared" si="6"/>
        <v>0</v>
      </c>
      <c r="F49" s="423"/>
      <c r="G49" s="419"/>
      <c r="H49" s="421"/>
      <c r="I49" s="429">
        <f t="shared" si="4"/>
        <v>0</v>
      </c>
      <c r="J49" s="423"/>
      <c r="K49" s="419"/>
      <c r="L49" s="421"/>
      <c r="M49" s="429">
        <f t="shared" si="5"/>
        <v>0</v>
      </c>
      <c r="N49" s="423"/>
      <c r="O49" s="419"/>
      <c r="P49" s="425">
        <f t="shared" si="7"/>
        <v>0</v>
      </c>
      <c r="Q49" s="369"/>
    </row>
    <row r="50" spans="2:17" x14ac:dyDescent="0.35">
      <c r="B50" s="419"/>
      <c r="C50" s="419"/>
      <c r="D50" s="419"/>
      <c r="E50" s="419"/>
      <c r="F50" s="419"/>
      <c r="G50" s="419"/>
      <c r="H50" s="419"/>
      <c r="I50" s="419"/>
      <c r="J50" s="419"/>
      <c r="K50" s="419"/>
      <c r="L50" s="419"/>
      <c r="M50" s="419"/>
      <c r="N50" s="419"/>
      <c r="O50" s="419"/>
      <c r="P50" s="419"/>
      <c r="Q50" s="369"/>
    </row>
    <row r="51" spans="2:17" ht="15" thickBot="1" x14ac:dyDescent="0.4">
      <c r="B51" s="416" t="s">
        <v>268</v>
      </c>
      <c r="C51" s="419"/>
      <c r="D51" s="426">
        <f>SUM(D38:D49)</f>
        <v>0</v>
      </c>
      <c r="E51" s="430">
        <f>IF(D51&lt;&gt;0,F51/D51,0)</f>
        <v>0</v>
      </c>
      <c r="F51" s="428">
        <f>SUM(F38:F49)</f>
        <v>0</v>
      </c>
      <c r="G51" s="419"/>
      <c r="H51" s="426">
        <f>SUM(H38:H49)</f>
        <v>0</v>
      </c>
      <c r="I51" s="430">
        <f>IF(H51&lt;&gt;0,J51/H51,0)</f>
        <v>0</v>
      </c>
      <c r="J51" s="428">
        <f>SUM(J38:J49)</f>
        <v>0</v>
      </c>
      <c r="K51" s="419"/>
      <c r="L51" s="426">
        <f>SUM(L38:L49)</f>
        <v>0</v>
      </c>
      <c r="M51" s="430">
        <f>IF(L51&lt;&gt;0,N51/L51,0)</f>
        <v>0</v>
      </c>
      <c r="N51" s="428">
        <f>SUM(N38:N49)</f>
        <v>0</v>
      </c>
      <c r="O51" s="419"/>
      <c r="P51" s="428">
        <f>SUM(P38:P49)</f>
        <v>0</v>
      </c>
      <c r="Q51" s="369"/>
    </row>
    <row r="52" spans="2:17" x14ac:dyDescent="0.35">
      <c r="B52" s="419"/>
      <c r="C52" s="419"/>
      <c r="D52" s="419"/>
      <c r="E52" s="419"/>
      <c r="F52" s="419"/>
      <c r="G52" s="419"/>
      <c r="H52" s="419"/>
      <c r="I52" s="419"/>
      <c r="J52" s="419"/>
      <c r="K52" s="419"/>
      <c r="L52" s="419"/>
      <c r="M52" s="419"/>
      <c r="N52" s="419"/>
      <c r="O52" s="419"/>
      <c r="P52" s="419"/>
      <c r="Q52" s="369"/>
    </row>
    <row r="53" spans="2:17" x14ac:dyDescent="0.35">
      <c r="B53" s="431" t="s">
        <v>375</v>
      </c>
      <c r="C53" s="414"/>
      <c r="D53" s="714" t="s">
        <v>355</v>
      </c>
      <c r="E53" s="714"/>
      <c r="F53" s="714"/>
      <c r="G53" s="414"/>
      <c r="H53" s="714" t="s">
        <v>356</v>
      </c>
      <c r="I53" s="714"/>
      <c r="J53" s="714"/>
      <c r="K53" s="414"/>
      <c r="L53" s="714" t="s">
        <v>357</v>
      </c>
      <c r="M53" s="714"/>
      <c r="N53" s="714"/>
      <c r="O53" s="414"/>
      <c r="P53" s="413" t="s">
        <v>358</v>
      </c>
      <c r="Q53" s="369"/>
    </row>
    <row r="54" spans="2:17" x14ac:dyDescent="0.35">
      <c r="B54" s="432" t="s">
        <v>376</v>
      </c>
      <c r="C54" s="417"/>
      <c r="D54" s="418"/>
      <c r="E54" s="418"/>
      <c r="F54" s="418"/>
      <c r="G54" s="417"/>
      <c r="H54" s="418"/>
      <c r="I54" s="418"/>
      <c r="J54" s="418"/>
      <c r="K54" s="417"/>
      <c r="L54" s="418"/>
      <c r="M54" s="418"/>
      <c r="N54" s="418"/>
      <c r="O54" s="417"/>
      <c r="P54" s="418"/>
      <c r="Q54" s="369"/>
    </row>
    <row r="55" spans="2:17" x14ac:dyDescent="0.35">
      <c r="B55" s="416" t="s">
        <v>359</v>
      </c>
      <c r="C55" s="417"/>
      <c r="D55" s="418" t="s">
        <v>360</v>
      </c>
      <c r="E55" s="418" t="s">
        <v>325</v>
      </c>
      <c r="F55" s="418" t="s">
        <v>361</v>
      </c>
      <c r="G55" s="417"/>
      <c r="H55" s="418" t="s">
        <v>360</v>
      </c>
      <c r="I55" s="418" t="s">
        <v>325</v>
      </c>
      <c r="J55" s="418" t="s">
        <v>361</v>
      </c>
      <c r="K55" s="417"/>
      <c r="L55" s="418" t="s">
        <v>360</v>
      </c>
      <c r="M55" s="418" t="s">
        <v>325</v>
      </c>
      <c r="N55" s="418" t="s">
        <v>361</v>
      </c>
      <c r="O55" s="417"/>
      <c r="P55" s="418" t="s">
        <v>361</v>
      </c>
      <c r="Q55" s="369"/>
    </row>
    <row r="56" spans="2:17" x14ac:dyDescent="0.35">
      <c r="B56" s="419"/>
      <c r="C56" s="419"/>
      <c r="D56" s="419"/>
      <c r="E56" s="419"/>
      <c r="F56" s="419"/>
      <c r="G56" s="419"/>
      <c r="H56" s="419"/>
      <c r="I56" s="419"/>
      <c r="J56" s="419"/>
      <c r="K56" s="419"/>
      <c r="L56" s="419"/>
      <c r="M56" s="419"/>
      <c r="N56" s="419"/>
      <c r="O56" s="419"/>
      <c r="P56" s="419"/>
      <c r="Q56" s="369"/>
    </row>
    <row r="57" spans="2:17" x14ac:dyDescent="0.35">
      <c r="B57" s="420" t="s">
        <v>362</v>
      </c>
      <c r="C57" s="419"/>
      <c r="D57" s="421"/>
      <c r="E57" s="433">
        <f t="shared" ref="E57:E68" si="8">IF(D57&lt;&gt;0,F57/D57,0)</f>
        <v>0</v>
      </c>
      <c r="F57" s="423"/>
      <c r="G57" s="419"/>
      <c r="H57" s="421"/>
      <c r="I57" s="433">
        <f t="shared" ref="I57:I68" si="9">IF(H57&lt;&gt;0,J57/H57,0)</f>
        <v>0</v>
      </c>
      <c r="J57" s="434"/>
      <c r="K57" s="419"/>
      <c r="L57" s="421"/>
      <c r="M57" s="433">
        <f t="shared" ref="M57:M68" si="10">IF(L57&lt;&gt;0,N57/L57,0)</f>
        <v>0</v>
      </c>
      <c r="N57" s="423"/>
      <c r="O57" s="419"/>
      <c r="P57" s="425">
        <f t="shared" ref="P57:P68" si="11">J57+N57</f>
        <v>0</v>
      </c>
      <c r="Q57" s="369"/>
    </row>
    <row r="58" spans="2:17" x14ac:dyDescent="0.35">
      <c r="B58" s="420" t="s">
        <v>363</v>
      </c>
      <c r="C58" s="419"/>
      <c r="D58" s="421"/>
      <c r="E58" s="433">
        <f t="shared" si="8"/>
        <v>0</v>
      </c>
      <c r="F58" s="423"/>
      <c r="G58" s="419"/>
      <c r="H58" s="421"/>
      <c r="I58" s="433">
        <f t="shared" si="9"/>
        <v>0</v>
      </c>
      <c r="J58" s="434"/>
      <c r="K58" s="419"/>
      <c r="L58" s="421"/>
      <c r="M58" s="433">
        <f t="shared" si="10"/>
        <v>0</v>
      </c>
      <c r="N58" s="423"/>
      <c r="O58" s="419"/>
      <c r="P58" s="425">
        <f t="shared" si="11"/>
        <v>0</v>
      </c>
      <c r="Q58" s="369"/>
    </row>
    <row r="59" spans="2:17" x14ac:dyDescent="0.35">
      <c r="B59" s="420" t="s">
        <v>364</v>
      </c>
      <c r="C59" s="419"/>
      <c r="D59" s="421"/>
      <c r="E59" s="433">
        <f t="shared" si="8"/>
        <v>0</v>
      </c>
      <c r="F59" s="423"/>
      <c r="G59" s="419"/>
      <c r="H59" s="421"/>
      <c r="I59" s="433">
        <f t="shared" si="9"/>
        <v>0</v>
      </c>
      <c r="J59" s="434"/>
      <c r="K59" s="419"/>
      <c r="L59" s="421"/>
      <c r="M59" s="433">
        <f t="shared" si="10"/>
        <v>0</v>
      </c>
      <c r="N59" s="423"/>
      <c r="O59" s="419"/>
      <c r="P59" s="425">
        <f t="shared" si="11"/>
        <v>0</v>
      </c>
      <c r="Q59" s="369"/>
    </row>
    <row r="60" spans="2:17" x14ac:dyDescent="0.35">
      <c r="B60" s="420" t="s">
        <v>365</v>
      </c>
      <c r="C60" s="419"/>
      <c r="D60" s="421"/>
      <c r="E60" s="433">
        <f t="shared" si="8"/>
        <v>0</v>
      </c>
      <c r="F60" s="423"/>
      <c r="G60" s="419"/>
      <c r="H60" s="421"/>
      <c r="I60" s="433">
        <f t="shared" si="9"/>
        <v>0</v>
      </c>
      <c r="J60" s="434"/>
      <c r="K60" s="419"/>
      <c r="L60" s="421"/>
      <c r="M60" s="433">
        <f t="shared" si="10"/>
        <v>0</v>
      </c>
      <c r="N60" s="423"/>
      <c r="O60" s="419"/>
      <c r="P60" s="425">
        <f t="shared" si="11"/>
        <v>0</v>
      </c>
      <c r="Q60" s="369"/>
    </row>
    <row r="61" spans="2:17" x14ac:dyDescent="0.35">
      <c r="B61" s="420" t="s">
        <v>366</v>
      </c>
      <c r="C61" s="419"/>
      <c r="D61" s="421"/>
      <c r="E61" s="433">
        <f t="shared" si="8"/>
        <v>0</v>
      </c>
      <c r="F61" s="423"/>
      <c r="G61" s="419"/>
      <c r="H61" s="421"/>
      <c r="I61" s="433">
        <f t="shared" si="9"/>
        <v>0</v>
      </c>
      <c r="J61" s="434"/>
      <c r="K61" s="419"/>
      <c r="L61" s="421"/>
      <c r="M61" s="433">
        <f t="shared" si="10"/>
        <v>0</v>
      </c>
      <c r="N61" s="423"/>
      <c r="O61" s="419"/>
      <c r="P61" s="425">
        <f t="shared" si="11"/>
        <v>0</v>
      </c>
      <c r="Q61" s="369"/>
    </row>
    <row r="62" spans="2:17" x14ac:dyDescent="0.35">
      <c r="B62" s="420" t="s">
        <v>367</v>
      </c>
      <c r="C62" s="419"/>
      <c r="D62" s="421"/>
      <c r="E62" s="433">
        <f t="shared" si="8"/>
        <v>0</v>
      </c>
      <c r="F62" s="423"/>
      <c r="G62" s="419"/>
      <c r="H62" s="421"/>
      <c r="I62" s="433">
        <f t="shared" si="9"/>
        <v>0</v>
      </c>
      <c r="J62" s="434"/>
      <c r="K62" s="419"/>
      <c r="L62" s="421"/>
      <c r="M62" s="433">
        <f t="shared" si="10"/>
        <v>0</v>
      </c>
      <c r="N62" s="423"/>
      <c r="O62" s="419"/>
      <c r="P62" s="425">
        <f t="shared" si="11"/>
        <v>0</v>
      </c>
      <c r="Q62" s="369"/>
    </row>
    <row r="63" spans="2:17" x14ac:dyDescent="0.35">
      <c r="B63" s="420" t="s">
        <v>368</v>
      </c>
      <c r="C63" s="419"/>
      <c r="D63" s="421"/>
      <c r="E63" s="433">
        <f t="shared" si="8"/>
        <v>0</v>
      </c>
      <c r="F63" s="423"/>
      <c r="G63" s="419"/>
      <c r="H63" s="421"/>
      <c r="I63" s="433">
        <f t="shared" si="9"/>
        <v>0</v>
      </c>
      <c r="J63" s="434"/>
      <c r="K63" s="419"/>
      <c r="L63" s="421"/>
      <c r="M63" s="433">
        <f t="shared" si="10"/>
        <v>0</v>
      </c>
      <c r="N63" s="423"/>
      <c r="O63" s="419"/>
      <c r="P63" s="425">
        <f t="shared" si="11"/>
        <v>0</v>
      </c>
      <c r="Q63" s="369"/>
    </row>
    <row r="64" spans="2:17" x14ac:dyDescent="0.35">
      <c r="B64" s="420" t="s">
        <v>369</v>
      </c>
      <c r="C64" s="419"/>
      <c r="D64" s="421"/>
      <c r="E64" s="433">
        <f t="shared" si="8"/>
        <v>0</v>
      </c>
      <c r="F64" s="423"/>
      <c r="G64" s="419"/>
      <c r="H64" s="421"/>
      <c r="I64" s="433">
        <f t="shared" si="9"/>
        <v>0</v>
      </c>
      <c r="J64" s="434"/>
      <c r="K64" s="419"/>
      <c r="L64" s="421"/>
      <c r="M64" s="433">
        <f t="shared" si="10"/>
        <v>0</v>
      </c>
      <c r="N64" s="423"/>
      <c r="O64" s="419"/>
      <c r="P64" s="425">
        <f t="shared" si="11"/>
        <v>0</v>
      </c>
      <c r="Q64" s="369"/>
    </row>
    <row r="65" spans="2:17" x14ac:dyDescent="0.35">
      <c r="B65" s="420" t="s">
        <v>370</v>
      </c>
      <c r="C65" s="419"/>
      <c r="D65" s="421"/>
      <c r="E65" s="433">
        <f t="shared" si="8"/>
        <v>0</v>
      </c>
      <c r="F65" s="423"/>
      <c r="G65" s="419"/>
      <c r="H65" s="421"/>
      <c r="I65" s="433">
        <f t="shared" si="9"/>
        <v>0</v>
      </c>
      <c r="J65" s="434"/>
      <c r="K65" s="419"/>
      <c r="L65" s="421"/>
      <c r="M65" s="433">
        <f t="shared" si="10"/>
        <v>0</v>
      </c>
      <c r="N65" s="423"/>
      <c r="O65" s="419"/>
      <c r="P65" s="425">
        <f t="shared" si="11"/>
        <v>0</v>
      </c>
      <c r="Q65" s="369"/>
    </row>
    <row r="66" spans="2:17" x14ac:dyDescent="0.35">
      <c r="B66" s="420" t="s">
        <v>371</v>
      </c>
      <c r="C66" s="419"/>
      <c r="D66" s="421"/>
      <c r="E66" s="433">
        <f t="shared" si="8"/>
        <v>0</v>
      </c>
      <c r="F66" s="423"/>
      <c r="G66" s="419"/>
      <c r="H66" s="421"/>
      <c r="I66" s="433">
        <f t="shared" si="9"/>
        <v>0</v>
      </c>
      <c r="J66" s="434"/>
      <c r="K66" s="419"/>
      <c r="L66" s="421"/>
      <c r="M66" s="433">
        <f t="shared" si="10"/>
        <v>0</v>
      </c>
      <c r="N66" s="423"/>
      <c r="O66" s="419"/>
      <c r="P66" s="425">
        <f t="shared" si="11"/>
        <v>0</v>
      </c>
      <c r="Q66" s="369"/>
    </row>
    <row r="67" spans="2:17" x14ac:dyDescent="0.35">
      <c r="B67" s="420" t="s">
        <v>372</v>
      </c>
      <c r="C67" s="419"/>
      <c r="D67" s="421"/>
      <c r="E67" s="433">
        <f t="shared" si="8"/>
        <v>0</v>
      </c>
      <c r="F67" s="423"/>
      <c r="G67" s="419"/>
      <c r="H67" s="421"/>
      <c r="I67" s="433">
        <f t="shared" si="9"/>
        <v>0</v>
      </c>
      <c r="J67" s="434"/>
      <c r="K67" s="419"/>
      <c r="L67" s="421"/>
      <c r="M67" s="433">
        <f t="shared" si="10"/>
        <v>0</v>
      </c>
      <c r="N67" s="423"/>
      <c r="O67" s="419"/>
      <c r="P67" s="425">
        <f t="shared" si="11"/>
        <v>0</v>
      </c>
      <c r="Q67" s="369"/>
    </row>
    <row r="68" spans="2:17" x14ac:dyDescent="0.35">
      <c r="B68" s="420" t="s">
        <v>373</v>
      </c>
      <c r="C68" s="419"/>
      <c r="D68" s="421"/>
      <c r="E68" s="433">
        <f t="shared" si="8"/>
        <v>0</v>
      </c>
      <c r="F68" s="423"/>
      <c r="G68" s="419"/>
      <c r="H68" s="421"/>
      <c r="I68" s="433">
        <f t="shared" si="9"/>
        <v>0</v>
      </c>
      <c r="J68" s="434"/>
      <c r="K68" s="419"/>
      <c r="L68" s="421"/>
      <c r="M68" s="433">
        <f t="shared" si="10"/>
        <v>0</v>
      </c>
      <c r="N68" s="423"/>
      <c r="O68" s="419"/>
      <c r="P68" s="425">
        <f t="shared" si="11"/>
        <v>0</v>
      </c>
      <c r="Q68" s="369"/>
    </row>
    <row r="69" spans="2:17" x14ac:dyDescent="0.35">
      <c r="B69" s="419"/>
      <c r="C69" s="419"/>
      <c r="D69" s="419"/>
      <c r="E69" s="419"/>
      <c r="F69" s="419"/>
      <c r="G69" s="419"/>
      <c r="H69" s="419"/>
      <c r="I69" s="419"/>
      <c r="J69" s="419"/>
      <c r="K69" s="419"/>
      <c r="L69" s="419"/>
      <c r="M69" s="419"/>
      <c r="N69" s="419"/>
      <c r="O69" s="419"/>
      <c r="P69" s="419"/>
      <c r="Q69" s="369"/>
    </row>
    <row r="70" spans="2:17" ht="15" thickBot="1" x14ac:dyDescent="0.4">
      <c r="B70" s="416" t="s">
        <v>268</v>
      </c>
      <c r="C70" s="419"/>
      <c r="D70" s="426">
        <f>SUM(D57:D68)</f>
        <v>0</v>
      </c>
      <c r="E70" s="427">
        <f>IF(D70&lt;&gt;0,F70/D70,0)</f>
        <v>0</v>
      </c>
      <c r="F70" s="428">
        <f>SUM(F57:F68)</f>
        <v>0</v>
      </c>
      <c r="G70" s="419"/>
      <c r="H70" s="426">
        <f>SUM(H57:H68)</f>
        <v>0</v>
      </c>
      <c r="I70" s="427">
        <f>IF(H70&lt;&gt;0,J70/H70,0)</f>
        <v>0</v>
      </c>
      <c r="J70" s="428">
        <f>SUM(J57:J68)</f>
        <v>0</v>
      </c>
      <c r="K70" s="419"/>
      <c r="L70" s="426">
        <f>SUM(L57:L68)</f>
        <v>0</v>
      </c>
      <c r="M70" s="427">
        <f>IF(L70&lt;&gt;0,N70/L70,0)</f>
        <v>0</v>
      </c>
      <c r="N70" s="428">
        <f>SUM(N57:N68)</f>
        <v>0</v>
      </c>
      <c r="O70" s="419"/>
      <c r="P70" s="428">
        <f>SUM(P57:P68)</f>
        <v>0</v>
      </c>
      <c r="Q70" s="369"/>
    </row>
    <row r="71" spans="2:17" x14ac:dyDescent="0.35">
      <c r="B71" s="419"/>
      <c r="C71" s="419"/>
      <c r="D71" s="419"/>
      <c r="E71" s="419"/>
      <c r="F71" s="419"/>
      <c r="G71" s="419"/>
      <c r="H71" s="419"/>
      <c r="I71" s="419"/>
      <c r="J71" s="419"/>
      <c r="K71" s="419"/>
      <c r="L71" s="419"/>
      <c r="M71" s="419"/>
      <c r="N71" s="419"/>
      <c r="O71" s="419"/>
      <c r="P71" s="419"/>
      <c r="Q71" s="369"/>
    </row>
    <row r="72" spans="2:17" x14ac:dyDescent="0.35">
      <c r="B72" s="431" t="s">
        <v>377</v>
      </c>
      <c r="C72" s="414"/>
      <c r="D72" s="714" t="s">
        <v>355</v>
      </c>
      <c r="E72" s="714"/>
      <c r="F72" s="714"/>
      <c r="G72" s="414"/>
      <c r="H72" s="714" t="s">
        <v>356</v>
      </c>
      <c r="I72" s="714"/>
      <c r="J72" s="714"/>
      <c r="K72" s="414"/>
      <c r="L72" s="714" t="s">
        <v>357</v>
      </c>
      <c r="M72" s="714"/>
      <c r="N72" s="714"/>
      <c r="O72" s="414"/>
      <c r="P72" s="413" t="s">
        <v>358</v>
      </c>
      <c r="Q72" s="369"/>
    </row>
    <row r="73" spans="2:17" x14ac:dyDescent="0.35">
      <c r="B73" s="432" t="s">
        <v>376</v>
      </c>
      <c r="C73" s="417"/>
      <c r="D73" s="418"/>
      <c r="E73" s="418"/>
      <c r="F73" s="418"/>
      <c r="G73" s="417"/>
      <c r="H73" s="418"/>
      <c r="I73" s="418"/>
      <c r="J73" s="418"/>
      <c r="K73" s="417"/>
      <c r="L73" s="418"/>
      <c r="M73" s="418"/>
      <c r="N73" s="418"/>
      <c r="O73" s="417"/>
      <c r="P73" s="418"/>
      <c r="Q73" s="369"/>
    </row>
    <row r="74" spans="2:17" x14ac:dyDescent="0.35">
      <c r="B74" s="416" t="s">
        <v>359</v>
      </c>
      <c r="C74" s="417"/>
      <c r="D74" s="418" t="s">
        <v>360</v>
      </c>
      <c r="E74" s="418" t="s">
        <v>325</v>
      </c>
      <c r="F74" s="418" t="s">
        <v>361</v>
      </c>
      <c r="G74" s="417"/>
      <c r="H74" s="418" t="s">
        <v>360</v>
      </c>
      <c r="I74" s="418" t="s">
        <v>325</v>
      </c>
      <c r="J74" s="418" t="s">
        <v>361</v>
      </c>
      <c r="K74" s="417"/>
      <c r="L74" s="418" t="s">
        <v>360</v>
      </c>
      <c r="M74" s="418" t="s">
        <v>325</v>
      </c>
      <c r="N74" s="418" t="s">
        <v>361</v>
      </c>
      <c r="O74" s="417"/>
      <c r="P74" s="418" t="s">
        <v>361</v>
      </c>
      <c r="Q74" s="369"/>
    </row>
    <row r="75" spans="2:17" x14ac:dyDescent="0.35">
      <c r="B75" s="419"/>
      <c r="C75" s="419"/>
      <c r="D75" s="419"/>
      <c r="E75" s="419"/>
      <c r="F75" s="419"/>
      <c r="G75" s="419"/>
      <c r="H75" s="419"/>
      <c r="I75" s="419"/>
      <c r="J75" s="419"/>
      <c r="K75" s="419"/>
      <c r="L75" s="419"/>
      <c r="M75" s="419"/>
      <c r="N75" s="419"/>
      <c r="O75" s="419"/>
      <c r="P75" s="419"/>
      <c r="Q75" s="369"/>
    </row>
    <row r="76" spans="2:17" x14ac:dyDescent="0.35">
      <c r="B76" s="420" t="s">
        <v>362</v>
      </c>
      <c r="C76" s="419"/>
      <c r="D76" s="421"/>
      <c r="E76" s="433">
        <f t="shared" ref="E76:E87" si="12">IF(D76&lt;&gt;0,F76/D76,0)</f>
        <v>0</v>
      </c>
      <c r="F76" s="423"/>
      <c r="G76" s="419"/>
      <c r="H76" s="421"/>
      <c r="I76" s="433">
        <f t="shared" ref="I76:I87" si="13">IF(H76&lt;&gt;0,J76/H76,0)</f>
        <v>0</v>
      </c>
      <c r="J76" s="434"/>
      <c r="K76" s="419"/>
      <c r="L76" s="421"/>
      <c r="M76" s="433">
        <f t="shared" ref="M76:M87" si="14">IF(L76&lt;&gt;0,N76/L76,0)</f>
        <v>0</v>
      </c>
      <c r="N76" s="423"/>
      <c r="O76" s="419"/>
      <c r="P76" s="425">
        <f t="shared" ref="P76:P87" si="15">J76+N76</f>
        <v>0</v>
      </c>
      <c r="Q76" s="369"/>
    </row>
    <row r="77" spans="2:17" x14ac:dyDescent="0.35">
      <c r="B77" s="420" t="s">
        <v>363</v>
      </c>
      <c r="C77" s="419"/>
      <c r="D77" s="421"/>
      <c r="E77" s="433">
        <f t="shared" si="12"/>
        <v>0</v>
      </c>
      <c r="F77" s="423"/>
      <c r="G77" s="419"/>
      <c r="H77" s="421"/>
      <c r="I77" s="433">
        <f t="shared" si="13"/>
        <v>0</v>
      </c>
      <c r="J77" s="434"/>
      <c r="K77" s="419"/>
      <c r="L77" s="421"/>
      <c r="M77" s="433">
        <f t="shared" si="14"/>
        <v>0</v>
      </c>
      <c r="N77" s="423"/>
      <c r="O77" s="419"/>
      <c r="P77" s="425">
        <f t="shared" si="15"/>
        <v>0</v>
      </c>
      <c r="Q77" s="369"/>
    </row>
    <row r="78" spans="2:17" x14ac:dyDescent="0.35">
      <c r="B78" s="420" t="s">
        <v>364</v>
      </c>
      <c r="C78" s="419"/>
      <c r="D78" s="421"/>
      <c r="E78" s="433">
        <f t="shared" si="12"/>
        <v>0</v>
      </c>
      <c r="F78" s="423"/>
      <c r="G78" s="419"/>
      <c r="H78" s="421"/>
      <c r="I78" s="433">
        <f t="shared" si="13"/>
        <v>0</v>
      </c>
      <c r="J78" s="434"/>
      <c r="K78" s="419"/>
      <c r="L78" s="421"/>
      <c r="M78" s="433">
        <f t="shared" si="14"/>
        <v>0</v>
      </c>
      <c r="N78" s="423"/>
      <c r="O78" s="419"/>
      <c r="P78" s="425">
        <f t="shared" si="15"/>
        <v>0</v>
      </c>
      <c r="Q78" s="369"/>
    </row>
    <row r="79" spans="2:17" x14ac:dyDescent="0.35">
      <c r="B79" s="420" t="s">
        <v>365</v>
      </c>
      <c r="C79" s="419"/>
      <c r="D79" s="421"/>
      <c r="E79" s="433">
        <f t="shared" si="12"/>
        <v>0</v>
      </c>
      <c r="F79" s="423"/>
      <c r="G79" s="419"/>
      <c r="H79" s="421"/>
      <c r="I79" s="433">
        <f t="shared" si="13"/>
        <v>0</v>
      </c>
      <c r="J79" s="434"/>
      <c r="K79" s="419"/>
      <c r="L79" s="421"/>
      <c r="M79" s="433">
        <f t="shared" si="14"/>
        <v>0</v>
      </c>
      <c r="N79" s="423"/>
      <c r="O79" s="419"/>
      <c r="P79" s="425">
        <f t="shared" si="15"/>
        <v>0</v>
      </c>
      <c r="Q79" s="369"/>
    </row>
    <row r="80" spans="2:17" x14ac:dyDescent="0.35">
      <c r="B80" s="420" t="s">
        <v>366</v>
      </c>
      <c r="C80" s="419"/>
      <c r="D80" s="421"/>
      <c r="E80" s="433">
        <f t="shared" si="12"/>
        <v>0</v>
      </c>
      <c r="F80" s="423"/>
      <c r="G80" s="419"/>
      <c r="H80" s="421"/>
      <c r="I80" s="433">
        <f t="shared" si="13"/>
        <v>0</v>
      </c>
      <c r="J80" s="434"/>
      <c r="K80" s="419"/>
      <c r="L80" s="421"/>
      <c r="M80" s="433">
        <f t="shared" si="14"/>
        <v>0</v>
      </c>
      <c r="N80" s="423"/>
      <c r="O80" s="419"/>
      <c r="P80" s="425">
        <f t="shared" si="15"/>
        <v>0</v>
      </c>
      <c r="Q80" s="369"/>
    </row>
    <row r="81" spans="2:17" x14ac:dyDescent="0.35">
      <c r="B81" s="420" t="s">
        <v>367</v>
      </c>
      <c r="C81" s="419"/>
      <c r="D81" s="421"/>
      <c r="E81" s="433">
        <f t="shared" si="12"/>
        <v>0</v>
      </c>
      <c r="F81" s="423"/>
      <c r="G81" s="419"/>
      <c r="H81" s="421"/>
      <c r="I81" s="433">
        <f t="shared" si="13"/>
        <v>0</v>
      </c>
      <c r="J81" s="434"/>
      <c r="K81" s="419"/>
      <c r="L81" s="421"/>
      <c r="M81" s="433">
        <f t="shared" si="14"/>
        <v>0</v>
      </c>
      <c r="N81" s="423"/>
      <c r="O81" s="419"/>
      <c r="P81" s="425">
        <f t="shared" si="15"/>
        <v>0</v>
      </c>
      <c r="Q81" s="369"/>
    </row>
    <row r="82" spans="2:17" x14ac:dyDescent="0.35">
      <c r="B82" s="420" t="s">
        <v>368</v>
      </c>
      <c r="C82" s="419"/>
      <c r="D82" s="421"/>
      <c r="E82" s="433">
        <f t="shared" si="12"/>
        <v>0</v>
      </c>
      <c r="F82" s="423"/>
      <c r="G82" s="419"/>
      <c r="H82" s="421"/>
      <c r="I82" s="433">
        <f t="shared" si="13"/>
        <v>0</v>
      </c>
      <c r="J82" s="434"/>
      <c r="K82" s="419"/>
      <c r="L82" s="421"/>
      <c r="M82" s="433">
        <f t="shared" si="14"/>
        <v>0</v>
      </c>
      <c r="N82" s="423"/>
      <c r="O82" s="419"/>
      <c r="P82" s="425">
        <f t="shared" si="15"/>
        <v>0</v>
      </c>
      <c r="Q82" s="369"/>
    </row>
    <row r="83" spans="2:17" x14ac:dyDescent="0.35">
      <c r="B83" s="420" t="s">
        <v>369</v>
      </c>
      <c r="C83" s="419"/>
      <c r="D83" s="421"/>
      <c r="E83" s="433">
        <f t="shared" si="12"/>
        <v>0</v>
      </c>
      <c r="F83" s="423"/>
      <c r="G83" s="419"/>
      <c r="H83" s="421"/>
      <c r="I83" s="433">
        <f t="shared" si="13"/>
        <v>0</v>
      </c>
      <c r="J83" s="434"/>
      <c r="K83" s="419"/>
      <c r="L83" s="421"/>
      <c r="M83" s="433">
        <f t="shared" si="14"/>
        <v>0</v>
      </c>
      <c r="N83" s="423"/>
      <c r="O83" s="419"/>
      <c r="P83" s="425">
        <f t="shared" si="15"/>
        <v>0</v>
      </c>
      <c r="Q83" s="369"/>
    </row>
    <row r="84" spans="2:17" x14ac:dyDescent="0.35">
      <c r="B84" s="420" t="s">
        <v>370</v>
      </c>
      <c r="C84" s="419"/>
      <c r="D84" s="421"/>
      <c r="E84" s="433">
        <f t="shared" si="12"/>
        <v>0</v>
      </c>
      <c r="F84" s="423"/>
      <c r="G84" s="419"/>
      <c r="H84" s="421"/>
      <c r="I84" s="433">
        <f t="shared" si="13"/>
        <v>0</v>
      </c>
      <c r="J84" s="434"/>
      <c r="K84" s="419"/>
      <c r="L84" s="421"/>
      <c r="M84" s="433">
        <f t="shared" si="14"/>
        <v>0</v>
      </c>
      <c r="N84" s="423"/>
      <c r="O84" s="419"/>
      <c r="P84" s="425">
        <f t="shared" si="15"/>
        <v>0</v>
      </c>
      <c r="Q84" s="369"/>
    </row>
    <row r="85" spans="2:17" x14ac:dyDescent="0.35">
      <c r="B85" s="420" t="s">
        <v>371</v>
      </c>
      <c r="C85" s="419"/>
      <c r="D85" s="421"/>
      <c r="E85" s="433">
        <f t="shared" si="12"/>
        <v>0</v>
      </c>
      <c r="F85" s="423"/>
      <c r="G85" s="419"/>
      <c r="H85" s="421"/>
      <c r="I85" s="433">
        <f t="shared" si="13"/>
        <v>0</v>
      </c>
      <c r="J85" s="434"/>
      <c r="K85" s="419"/>
      <c r="L85" s="421"/>
      <c r="M85" s="433">
        <f t="shared" si="14"/>
        <v>0</v>
      </c>
      <c r="N85" s="423"/>
      <c r="O85" s="419"/>
      <c r="P85" s="425">
        <f t="shared" si="15"/>
        <v>0</v>
      </c>
      <c r="Q85" s="369"/>
    </row>
    <row r="86" spans="2:17" x14ac:dyDescent="0.35">
      <c r="B86" s="420" t="s">
        <v>372</v>
      </c>
      <c r="C86" s="419"/>
      <c r="D86" s="421"/>
      <c r="E86" s="433">
        <f t="shared" si="12"/>
        <v>0</v>
      </c>
      <c r="F86" s="423"/>
      <c r="G86" s="419"/>
      <c r="H86" s="421"/>
      <c r="I86" s="433">
        <f t="shared" si="13"/>
        <v>0</v>
      </c>
      <c r="J86" s="434"/>
      <c r="K86" s="419"/>
      <c r="L86" s="421"/>
      <c r="M86" s="433">
        <f t="shared" si="14"/>
        <v>0</v>
      </c>
      <c r="N86" s="423"/>
      <c r="O86" s="419"/>
      <c r="P86" s="425">
        <f t="shared" si="15"/>
        <v>0</v>
      </c>
      <c r="Q86" s="369"/>
    </row>
    <row r="87" spans="2:17" x14ac:dyDescent="0.35">
      <c r="B87" s="420" t="s">
        <v>373</v>
      </c>
      <c r="C87" s="419"/>
      <c r="D87" s="421"/>
      <c r="E87" s="433">
        <f t="shared" si="12"/>
        <v>0</v>
      </c>
      <c r="F87" s="423"/>
      <c r="G87" s="419"/>
      <c r="H87" s="421"/>
      <c r="I87" s="433">
        <f t="shared" si="13"/>
        <v>0</v>
      </c>
      <c r="J87" s="434"/>
      <c r="K87" s="419"/>
      <c r="L87" s="421"/>
      <c r="M87" s="433">
        <f t="shared" si="14"/>
        <v>0</v>
      </c>
      <c r="N87" s="423"/>
      <c r="O87" s="419"/>
      <c r="P87" s="425">
        <f t="shared" si="15"/>
        <v>0</v>
      </c>
      <c r="Q87" s="369"/>
    </row>
    <row r="88" spans="2:17" x14ac:dyDescent="0.35">
      <c r="B88" s="419"/>
      <c r="C88" s="419"/>
      <c r="D88" s="419"/>
      <c r="E88" s="419"/>
      <c r="F88" s="419"/>
      <c r="G88" s="419"/>
      <c r="H88" s="419"/>
      <c r="I88" s="419"/>
      <c r="J88" s="419"/>
      <c r="K88" s="419"/>
      <c r="L88" s="419"/>
      <c r="M88" s="419"/>
      <c r="N88" s="419"/>
      <c r="O88" s="419"/>
      <c r="P88" s="419"/>
      <c r="Q88" s="369"/>
    </row>
    <row r="89" spans="2:17" ht="15" thickBot="1" x14ac:dyDescent="0.4">
      <c r="B89" s="416" t="s">
        <v>268</v>
      </c>
      <c r="C89" s="419"/>
      <c r="D89" s="426">
        <f>SUM(D76:D87)</f>
        <v>0</v>
      </c>
      <c r="E89" s="427">
        <f>IF(D89&lt;&gt;0,F89/D89,0)</f>
        <v>0</v>
      </c>
      <c r="F89" s="428">
        <f>SUM(F76:F87)</f>
        <v>0</v>
      </c>
      <c r="G89" s="419"/>
      <c r="H89" s="426">
        <f>SUM(H76:H87)</f>
        <v>0</v>
      </c>
      <c r="I89" s="427">
        <f>IF(H89&lt;&gt;0,J89/H89,0)</f>
        <v>0</v>
      </c>
      <c r="J89" s="428">
        <f>SUM(J76:J87)</f>
        <v>0</v>
      </c>
      <c r="K89" s="419"/>
      <c r="L89" s="426">
        <f>SUM(L76:L87)</f>
        <v>0</v>
      </c>
      <c r="M89" s="427">
        <f>IF(L89&lt;&gt;0,N89/L89,0)</f>
        <v>0</v>
      </c>
      <c r="N89" s="428">
        <f>SUM(N76:N87)</f>
        <v>0</v>
      </c>
      <c r="O89" s="419"/>
      <c r="P89" s="428">
        <f>SUM(P76:P87)</f>
        <v>0</v>
      </c>
      <c r="Q89" s="369"/>
    </row>
    <row r="90" spans="2:17" x14ac:dyDescent="0.35">
      <c r="B90" s="419"/>
      <c r="C90" s="419"/>
      <c r="D90" s="419"/>
      <c r="E90" s="419"/>
      <c r="F90" s="419"/>
      <c r="G90" s="419"/>
      <c r="H90" s="419"/>
      <c r="I90" s="419"/>
      <c r="J90" s="419"/>
      <c r="K90" s="419"/>
      <c r="L90" s="419"/>
      <c r="M90" s="419"/>
      <c r="N90" s="419"/>
      <c r="O90" s="419"/>
      <c r="P90" s="419"/>
      <c r="Q90" s="369"/>
    </row>
    <row r="91" spans="2:17" x14ac:dyDescent="0.35">
      <c r="B91" s="413" t="s">
        <v>268</v>
      </c>
      <c r="C91" s="414"/>
      <c r="D91" s="714" t="s">
        <v>355</v>
      </c>
      <c r="E91" s="714"/>
      <c r="F91" s="714"/>
      <c r="G91" s="414"/>
      <c r="H91" s="714" t="s">
        <v>356</v>
      </c>
      <c r="I91" s="714"/>
      <c r="J91" s="714"/>
      <c r="K91" s="414"/>
      <c r="L91" s="714" t="s">
        <v>357</v>
      </c>
      <c r="M91" s="714"/>
      <c r="N91" s="714"/>
      <c r="O91" s="414"/>
      <c r="P91" s="413" t="s">
        <v>358</v>
      </c>
      <c r="Q91" s="369"/>
    </row>
    <row r="92" spans="2:17" x14ac:dyDescent="0.35">
      <c r="B92" s="419"/>
      <c r="C92" s="419"/>
      <c r="D92" s="715"/>
      <c r="E92" s="715"/>
      <c r="F92" s="715"/>
      <c r="G92" s="435"/>
      <c r="H92" s="715"/>
      <c r="I92" s="715"/>
      <c r="J92" s="715"/>
      <c r="K92" s="435"/>
      <c r="L92" s="715"/>
      <c r="M92" s="715"/>
      <c r="N92" s="715"/>
      <c r="O92" s="435"/>
      <c r="P92" s="436"/>
      <c r="Q92" s="369"/>
    </row>
    <row r="93" spans="2:17" x14ac:dyDescent="0.35">
      <c r="B93" s="416" t="s">
        <v>359</v>
      </c>
      <c r="C93" s="419"/>
      <c r="D93" s="418" t="s">
        <v>360</v>
      </c>
      <c r="E93" s="418" t="s">
        <v>325</v>
      </c>
      <c r="F93" s="418" t="s">
        <v>361</v>
      </c>
      <c r="G93" s="417"/>
      <c r="H93" s="418" t="s">
        <v>360</v>
      </c>
      <c r="I93" s="418" t="s">
        <v>325</v>
      </c>
      <c r="J93" s="418" t="s">
        <v>361</v>
      </c>
      <c r="K93" s="417"/>
      <c r="L93" s="418" t="s">
        <v>360</v>
      </c>
      <c r="M93" s="418" t="s">
        <v>325</v>
      </c>
      <c r="N93" s="418" t="s">
        <v>361</v>
      </c>
      <c r="O93" s="417"/>
      <c r="P93" s="418" t="s">
        <v>361</v>
      </c>
      <c r="Q93" s="369"/>
    </row>
    <row r="94" spans="2:17" x14ac:dyDescent="0.35">
      <c r="B94" s="419"/>
      <c r="C94" s="419"/>
      <c r="D94" s="419"/>
      <c r="E94" s="419"/>
      <c r="F94" s="419"/>
      <c r="G94" s="419"/>
      <c r="H94" s="419"/>
      <c r="I94" s="419"/>
      <c r="J94" s="419"/>
      <c r="K94" s="419"/>
      <c r="L94" s="419"/>
      <c r="M94" s="419"/>
      <c r="N94" s="419"/>
      <c r="O94" s="419"/>
      <c r="P94" s="419"/>
      <c r="Q94" s="369"/>
    </row>
    <row r="95" spans="2:17" x14ac:dyDescent="0.35">
      <c r="B95" s="420" t="s">
        <v>362</v>
      </c>
      <c r="C95" s="419"/>
      <c r="D95" s="437">
        <f>D19+D38+D57+D76</f>
        <v>3478681</v>
      </c>
      <c r="E95" s="438">
        <f t="shared" ref="E95:E106" si="16">IF(D95&lt;&gt;0,F95/D95,0)</f>
        <v>3.92</v>
      </c>
      <c r="F95" s="425">
        <f>F19+F38+F57+F76</f>
        <v>13636429.52</v>
      </c>
      <c r="G95" s="419"/>
      <c r="H95" s="437">
        <f>H19+H38+H57+H76</f>
        <v>3487971</v>
      </c>
      <c r="I95" s="438">
        <f t="shared" ref="I95:I106" si="17">IF(H95&lt;&gt;0,J95/H95,0)</f>
        <v>0.97000000000000008</v>
      </c>
      <c r="J95" s="425">
        <f>J19+J38+J57+J76</f>
        <v>3383331.87</v>
      </c>
      <c r="K95" s="419"/>
      <c r="L95" s="437">
        <f>L19+L38+L57+L76</f>
        <v>3564191</v>
      </c>
      <c r="M95" s="438">
        <f t="shared" ref="M95:M106" si="18">IF(L95&lt;&gt;0,N95/L95,0)</f>
        <v>2.33</v>
      </c>
      <c r="N95" s="425">
        <f>N19+N38+N57+N76</f>
        <v>8304565.0300000003</v>
      </c>
      <c r="O95" s="419"/>
      <c r="P95" s="425">
        <f t="shared" ref="P95:P106" si="19">J95+N95</f>
        <v>11687896.9</v>
      </c>
      <c r="Q95" s="369"/>
    </row>
    <row r="96" spans="2:17" x14ac:dyDescent="0.35">
      <c r="B96" s="420" t="s">
        <v>363</v>
      </c>
      <c r="C96" s="419"/>
      <c r="D96" s="437">
        <f t="shared" ref="D96:D106" si="20">D20+D39+D58+D77</f>
        <v>3513456</v>
      </c>
      <c r="E96" s="438">
        <f t="shared" si="16"/>
        <v>3.92</v>
      </c>
      <c r="F96" s="425">
        <f t="shared" ref="F96:F106" si="21">F20+F39+F58+F77</f>
        <v>13772747.52</v>
      </c>
      <c r="G96" s="419"/>
      <c r="H96" s="437">
        <f t="shared" ref="H96:H106" si="22">H20+H39+H58+H77</f>
        <v>3483216</v>
      </c>
      <c r="I96" s="438">
        <f t="shared" si="17"/>
        <v>0.97</v>
      </c>
      <c r="J96" s="425">
        <f t="shared" ref="J96:J106" si="23">J20+J39+J58+J77</f>
        <v>3378719.52</v>
      </c>
      <c r="K96" s="419"/>
      <c r="L96" s="437">
        <f t="shared" ref="L96:L106" si="24">L20+L39+L58+L77</f>
        <v>3550506</v>
      </c>
      <c r="M96" s="438">
        <f t="shared" si="18"/>
        <v>2.33</v>
      </c>
      <c r="N96" s="425">
        <f t="shared" ref="N96:N106" si="25">N20+N39+N58+N77</f>
        <v>8272678.9800000004</v>
      </c>
      <c r="O96" s="419"/>
      <c r="P96" s="425">
        <f t="shared" si="19"/>
        <v>11651398.5</v>
      </c>
      <c r="Q96" s="369"/>
    </row>
    <row r="97" spans="2:17" x14ac:dyDescent="0.35">
      <c r="B97" s="420" t="s">
        <v>364</v>
      </c>
      <c r="C97" s="419"/>
      <c r="D97" s="437">
        <f t="shared" si="20"/>
        <v>3250363</v>
      </c>
      <c r="E97" s="438">
        <f t="shared" si="16"/>
        <v>3.9195694973146078</v>
      </c>
      <c r="F97" s="425">
        <f t="shared" si="21"/>
        <v>12740023.67</v>
      </c>
      <c r="G97" s="419"/>
      <c r="H97" s="437">
        <f t="shared" si="22"/>
        <v>3247015</v>
      </c>
      <c r="I97" s="438">
        <f t="shared" si="17"/>
        <v>0.96993865442568017</v>
      </c>
      <c r="J97" s="425">
        <f t="shared" si="23"/>
        <v>3149405.36</v>
      </c>
      <c r="K97" s="419"/>
      <c r="L97" s="437">
        <f t="shared" si="24"/>
        <v>3294380</v>
      </c>
      <c r="M97" s="438">
        <f t="shared" si="18"/>
        <v>2.33</v>
      </c>
      <c r="N97" s="425">
        <f t="shared" si="25"/>
        <v>7675905.4000000004</v>
      </c>
      <c r="O97" s="419"/>
      <c r="P97" s="425">
        <f t="shared" si="19"/>
        <v>10825310.76</v>
      </c>
      <c r="Q97" s="369"/>
    </row>
    <row r="98" spans="2:17" x14ac:dyDescent="0.35">
      <c r="B98" s="420" t="s">
        <v>365</v>
      </c>
      <c r="C98" s="419"/>
      <c r="D98" s="437">
        <f t="shared" si="20"/>
        <v>2790782</v>
      </c>
      <c r="E98" s="438">
        <f t="shared" si="16"/>
        <v>3.92</v>
      </c>
      <c r="F98" s="425">
        <f t="shared" si="21"/>
        <v>10939865.439999999</v>
      </c>
      <c r="G98" s="419"/>
      <c r="H98" s="437">
        <f t="shared" si="22"/>
        <v>3070891</v>
      </c>
      <c r="I98" s="438">
        <f t="shared" si="17"/>
        <v>0.96898217488018956</v>
      </c>
      <c r="J98" s="425">
        <f t="shared" si="23"/>
        <v>2975638.64</v>
      </c>
      <c r="K98" s="419"/>
      <c r="L98" s="437">
        <f t="shared" si="24"/>
        <v>3122734</v>
      </c>
      <c r="M98" s="438">
        <f t="shared" si="18"/>
        <v>2.3269992320831681</v>
      </c>
      <c r="N98" s="425">
        <f t="shared" si="25"/>
        <v>7266599.6200000001</v>
      </c>
      <c r="O98" s="419"/>
      <c r="P98" s="425">
        <f t="shared" si="19"/>
        <v>10242238.26</v>
      </c>
      <c r="Q98" s="369"/>
    </row>
    <row r="99" spans="2:17" x14ac:dyDescent="0.35">
      <c r="B99" s="420" t="s">
        <v>366</v>
      </c>
      <c r="C99" s="419"/>
      <c r="D99" s="437">
        <f t="shared" si="20"/>
        <v>3651536</v>
      </c>
      <c r="E99" s="438">
        <f t="shared" si="16"/>
        <v>3.92</v>
      </c>
      <c r="F99" s="425">
        <f t="shared" si="21"/>
        <v>14314021.119999999</v>
      </c>
      <c r="G99" s="419"/>
      <c r="H99" s="437">
        <f t="shared" si="22"/>
        <v>3583048</v>
      </c>
      <c r="I99" s="438">
        <f t="shared" si="17"/>
        <v>0.97</v>
      </c>
      <c r="J99" s="425">
        <f t="shared" si="23"/>
        <v>3475556.56</v>
      </c>
      <c r="K99" s="419"/>
      <c r="L99" s="437">
        <f t="shared" si="24"/>
        <v>3671638</v>
      </c>
      <c r="M99" s="438">
        <f t="shared" si="18"/>
        <v>2.3299999999999996</v>
      </c>
      <c r="N99" s="425">
        <f t="shared" si="25"/>
        <v>8554916.5399999991</v>
      </c>
      <c r="O99" s="419"/>
      <c r="P99" s="425">
        <f t="shared" si="19"/>
        <v>12030473.1</v>
      </c>
      <c r="Q99" s="369"/>
    </row>
    <row r="100" spans="2:17" x14ac:dyDescent="0.35">
      <c r="B100" s="420" t="s">
        <v>367</v>
      </c>
      <c r="C100" s="419"/>
      <c r="D100" s="437">
        <f t="shared" si="20"/>
        <v>3846862</v>
      </c>
      <c r="E100" s="438">
        <f t="shared" si="16"/>
        <v>3.92</v>
      </c>
      <c r="F100" s="425">
        <f t="shared" si="21"/>
        <v>15079699.039999999</v>
      </c>
      <c r="G100" s="419"/>
      <c r="H100" s="437">
        <f t="shared" si="22"/>
        <v>3846873</v>
      </c>
      <c r="I100" s="438">
        <f t="shared" si="17"/>
        <v>0.97</v>
      </c>
      <c r="J100" s="425">
        <f t="shared" si="23"/>
        <v>3731466.81</v>
      </c>
      <c r="K100" s="419"/>
      <c r="L100" s="437">
        <f t="shared" si="24"/>
        <v>3927674</v>
      </c>
      <c r="M100" s="438">
        <f t="shared" si="18"/>
        <v>2.33</v>
      </c>
      <c r="N100" s="425">
        <f t="shared" si="25"/>
        <v>9151480.4199999999</v>
      </c>
      <c r="O100" s="419"/>
      <c r="P100" s="425">
        <f t="shared" si="19"/>
        <v>12882947.23</v>
      </c>
      <c r="Q100" s="369"/>
    </row>
    <row r="101" spans="2:17" x14ac:dyDescent="0.35">
      <c r="B101" s="420" t="s">
        <v>368</v>
      </c>
      <c r="C101" s="419"/>
      <c r="D101" s="437">
        <f t="shared" si="20"/>
        <v>4503087</v>
      </c>
      <c r="E101" s="438">
        <f t="shared" si="16"/>
        <v>3.92</v>
      </c>
      <c r="F101" s="425">
        <f t="shared" si="21"/>
        <v>17652101.039999999</v>
      </c>
      <c r="G101" s="419"/>
      <c r="H101" s="437">
        <f t="shared" si="22"/>
        <v>4403331</v>
      </c>
      <c r="I101" s="438">
        <f t="shared" si="17"/>
        <v>0.97000000000000008</v>
      </c>
      <c r="J101" s="425">
        <f t="shared" si="23"/>
        <v>4271231.07</v>
      </c>
      <c r="K101" s="419"/>
      <c r="L101" s="437">
        <f t="shared" si="24"/>
        <v>4474032</v>
      </c>
      <c r="M101" s="438">
        <f t="shared" si="18"/>
        <v>2.33</v>
      </c>
      <c r="N101" s="425">
        <f t="shared" si="25"/>
        <v>10424494.560000001</v>
      </c>
      <c r="O101" s="419"/>
      <c r="P101" s="425">
        <f t="shared" si="19"/>
        <v>14695725.630000001</v>
      </c>
      <c r="Q101" s="369"/>
    </row>
    <row r="102" spans="2:17" x14ac:dyDescent="0.35">
      <c r="B102" s="420" t="s">
        <v>369</v>
      </c>
      <c r="C102" s="419"/>
      <c r="D102" s="437">
        <f t="shared" si="20"/>
        <v>4348672</v>
      </c>
      <c r="E102" s="438">
        <f t="shared" si="16"/>
        <v>3.9199999999999995</v>
      </c>
      <c r="F102" s="425">
        <f t="shared" si="21"/>
        <v>17046794.239999998</v>
      </c>
      <c r="G102" s="419"/>
      <c r="H102" s="437">
        <f t="shared" si="22"/>
        <v>4214534</v>
      </c>
      <c r="I102" s="438">
        <f t="shared" si="17"/>
        <v>0.97</v>
      </c>
      <c r="J102" s="425">
        <f t="shared" si="23"/>
        <v>4088097.98</v>
      </c>
      <c r="K102" s="419"/>
      <c r="L102" s="437">
        <f t="shared" si="24"/>
        <v>4291383</v>
      </c>
      <c r="M102" s="438">
        <f t="shared" si="18"/>
        <v>2.33</v>
      </c>
      <c r="N102" s="425">
        <f t="shared" si="25"/>
        <v>9998922.3900000006</v>
      </c>
      <c r="O102" s="419"/>
      <c r="P102" s="425">
        <f t="shared" si="19"/>
        <v>14087020.370000001</v>
      </c>
      <c r="Q102" s="369"/>
    </row>
    <row r="103" spans="2:17" x14ac:dyDescent="0.35">
      <c r="B103" s="420" t="s">
        <v>370</v>
      </c>
      <c r="C103" s="419"/>
      <c r="D103" s="437">
        <f t="shared" si="20"/>
        <v>3695042</v>
      </c>
      <c r="E103" s="438">
        <f t="shared" si="16"/>
        <v>3.9200000000000004</v>
      </c>
      <c r="F103" s="425">
        <f t="shared" si="21"/>
        <v>14484564.640000001</v>
      </c>
      <c r="G103" s="419"/>
      <c r="H103" s="437">
        <f t="shared" si="22"/>
        <v>3610007</v>
      </c>
      <c r="I103" s="438">
        <f t="shared" si="17"/>
        <v>0.97</v>
      </c>
      <c r="J103" s="425">
        <f t="shared" si="23"/>
        <v>3501706.79</v>
      </c>
      <c r="K103" s="419"/>
      <c r="L103" s="437">
        <f t="shared" si="24"/>
        <v>3671785</v>
      </c>
      <c r="M103" s="438">
        <f t="shared" si="18"/>
        <v>2.33</v>
      </c>
      <c r="N103" s="425">
        <f t="shared" si="25"/>
        <v>8555259.0500000007</v>
      </c>
      <c r="O103" s="419"/>
      <c r="P103" s="425">
        <f t="shared" si="19"/>
        <v>12056965.84</v>
      </c>
      <c r="Q103" s="369"/>
    </row>
    <row r="104" spans="2:17" x14ac:dyDescent="0.35">
      <c r="B104" s="420" t="s">
        <v>371</v>
      </c>
      <c r="C104" s="419"/>
      <c r="D104" s="437">
        <f t="shared" si="20"/>
        <v>3020275</v>
      </c>
      <c r="E104" s="438">
        <f t="shared" si="16"/>
        <v>3.92</v>
      </c>
      <c r="F104" s="425">
        <f t="shared" si="21"/>
        <v>11839478</v>
      </c>
      <c r="G104" s="419"/>
      <c r="H104" s="437">
        <f t="shared" si="22"/>
        <v>3008608</v>
      </c>
      <c r="I104" s="438">
        <f t="shared" si="17"/>
        <v>0.97</v>
      </c>
      <c r="J104" s="425">
        <f t="shared" si="23"/>
        <v>2918349.76</v>
      </c>
      <c r="K104" s="419"/>
      <c r="L104" s="437">
        <f t="shared" si="24"/>
        <v>3023913</v>
      </c>
      <c r="M104" s="438">
        <f t="shared" si="18"/>
        <v>2.33</v>
      </c>
      <c r="N104" s="425">
        <f t="shared" si="25"/>
        <v>7045717.29</v>
      </c>
      <c r="O104" s="419"/>
      <c r="P104" s="425">
        <f t="shared" si="19"/>
        <v>9964067.0500000007</v>
      </c>
      <c r="Q104" s="369"/>
    </row>
    <row r="105" spans="2:17" x14ac:dyDescent="0.35">
      <c r="B105" s="420" t="s">
        <v>372</v>
      </c>
      <c r="C105" s="419"/>
      <c r="D105" s="437">
        <f t="shared" si="20"/>
        <v>3320584</v>
      </c>
      <c r="E105" s="438">
        <f t="shared" si="16"/>
        <v>3.92</v>
      </c>
      <c r="F105" s="425">
        <f t="shared" si="21"/>
        <v>13016689.279999999</v>
      </c>
      <c r="G105" s="419"/>
      <c r="H105" s="437">
        <f t="shared" si="22"/>
        <v>3309690</v>
      </c>
      <c r="I105" s="438">
        <f t="shared" si="17"/>
        <v>0.97</v>
      </c>
      <c r="J105" s="425">
        <f t="shared" si="23"/>
        <v>3210399.3</v>
      </c>
      <c r="K105" s="419"/>
      <c r="L105" s="437">
        <f t="shared" si="24"/>
        <v>3344567</v>
      </c>
      <c r="M105" s="438">
        <f t="shared" si="18"/>
        <v>2.33</v>
      </c>
      <c r="N105" s="425">
        <f t="shared" si="25"/>
        <v>7792841.1100000003</v>
      </c>
      <c r="O105" s="419"/>
      <c r="P105" s="425">
        <f t="shared" si="19"/>
        <v>11003240.41</v>
      </c>
      <c r="Q105" s="369"/>
    </row>
    <row r="106" spans="2:17" x14ac:dyDescent="0.35">
      <c r="B106" s="420" t="s">
        <v>373</v>
      </c>
      <c r="C106" s="419"/>
      <c r="D106" s="437">
        <f t="shared" si="20"/>
        <v>3548237</v>
      </c>
      <c r="E106" s="438">
        <f t="shared" si="16"/>
        <v>3.92</v>
      </c>
      <c r="F106" s="425">
        <f t="shared" si="21"/>
        <v>13909089.039999999</v>
      </c>
      <c r="G106" s="419"/>
      <c r="H106" s="437">
        <f t="shared" si="22"/>
        <v>3429058</v>
      </c>
      <c r="I106" s="438">
        <f t="shared" si="17"/>
        <v>0.97</v>
      </c>
      <c r="J106" s="425">
        <f t="shared" si="23"/>
        <v>3326186.26</v>
      </c>
      <c r="K106" s="419"/>
      <c r="L106" s="437">
        <f t="shared" si="24"/>
        <v>3475432</v>
      </c>
      <c r="M106" s="438">
        <f t="shared" si="18"/>
        <v>2.33</v>
      </c>
      <c r="N106" s="425">
        <f t="shared" si="25"/>
        <v>8097756.5599999996</v>
      </c>
      <c r="O106" s="419"/>
      <c r="P106" s="425">
        <f t="shared" si="19"/>
        <v>11423942.82</v>
      </c>
      <c r="Q106" s="369"/>
    </row>
    <row r="107" spans="2:17" x14ac:dyDescent="0.35">
      <c r="B107" s="419"/>
      <c r="C107" s="419"/>
      <c r="D107" s="419"/>
      <c r="E107" s="419"/>
      <c r="F107" s="419"/>
      <c r="G107" s="419"/>
      <c r="H107" s="419"/>
      <c r="I107" s="419"/>
      <c r="J107" s="419"/>
      <c r="K107" s="419"/>
      <c r="L107" s="419"/>
      <c r="M107" s="419"/>
      <c r="N107" s="419"/>
      <c r="O107" s="419"/>
      <c r="P107" s="425"/>
      <c r="Q107" s="369"/>
    </row>
    <row r="108" spans="2:17" ht="15" thickBot="1" x14ac:dyDescent="0.4">
      <c r="B108" s="416" t="s">
        <v>268</v>
      </c>
      <c r="C108" s="419"/>
      <c r="D108" s="426">
        <f>SUM(D95:D106)</f>
        <v>42967577</v>
      </c>
      <c r="E108" s="427">
        <f>IF(D108&lt;&gt;0,F108/D108,0)</f>
        <v>3.9199674338164328</v>
      </c>
      <c r="F108" s="428">
        <f>SUM(F95:F106)</f>
        <v>168431502.54999998</v>
      </c>
      <c r="G108" s="419"/>
      <c r="H108" s="426">
        <f>SUM(H95:H106)</f>
        <v>42694242</v>
      </c>
      <c r="I108" s="427">
        <f>IF(H108&lt;&gt;0,J108/H108,0)</f>
        <v>0.96992212486170837</v>
      </c>
      <c r="J108" s="428">
        <f>SUM(J95:J106)</f>
        <v>41410089.919999994</v>
      </c>
      <c r="K108" s="419"/>
      <c r="L108" s="426">
        <f>SUM(L95:L106)</f>
        <v>43412235</v>
      </c>
      <c r="M108" s="427">
        <f>IF(L108&lt;&gt;0,N108/L108,0)</f>
        <v>2.3297841484088533</v>
      </c>
      <c r="N108" s="428">
        <f>SUM(N95:N106)</f>
        <v>101141136.95000002</v>
      </c>
      <c r="O108" s="419"/>
      <c r="P108" s="428">
        <f>SUM(P95:P106)</f>
        <v>142551226.87</v>
      </c>
      <c r="Q108" s="369"/>
    </row>
    <row r="109" spans="2:17" x14ac:dyDescent="0.35">
      <c r="B109" s="85"/>
      <c r="C109" s="85"/>
      <c r="D109" s="85"/>
      <c r="E109" s="85"/>
      <c r="F109" s="85"/>
      <c r="G109" s="85"/>
      <c r="H109" s="85"/>
      <c r="I109" s="85"/>
      <c r="J109" s="85"/>
      <c r="K109" s="85"/>
      <c r="L109" s="85"/>
      <c r="M109" s="85"/>
      <c r="N109" s="85"/>
      <c r="O109" s="85"/>
      <c r="P109" s="425"/>
    </row>
    <row r="110" spans="2:17" x14ac:dyDescent="0.35">
      <c r="B110" s="85"/>
      <c r="C110" s="85"/>
      <c r="D110" s="85"/>
      <c r="E110" s="85"/>
      <c r="F110" s="85"/>
      <c r="G110" s="85"/>
      <c r="H110" s="85"/>
      <c r="I110" s="85"/>
      <c r="J110" s="85"/>
      <c r="K110" s="85"/>
      <c r="L110" s="85"/>
      <c r="M110" s="439"/>
      <c r="N110" s="440" t="s">
        <v>378</v>
      </c>
      <c r="O110" s="85"/>
      <c r="P110" s="499">
        <f>'11. RTSR - UTRs &amp; Sub-Tx'!F74</f>
        <v>-11318758</v>
      </c>
    </row>
    <row r="111" spans="2:17" x14ac:dyDescent="0.35">
      <c r="B111" s="85"/>
      <c r="C111" s="85"/>
      <c r="D111" s="85"/>
      <c r="E111" s="85"/>
      <c r="F111" s="85"/>
      <c r="G111" s="85"/>
      <c r="H111" s="85"/>
      <c r="I111" s="85"/>
      <c r="J111" s="85"/>
      <c r="K111" s="85"/>
      <c r="L111" s="85"/>
      <c r="M111" s="85"/>
      <c r="N111" s="85"/>
      <c r="O111" s="85"/>
      <c r="P111" s="85"/>
    </row>
    <row r="112" spans="2:17" ht="15" thickBot="1" x14ac:dyDescent="0.4">
      <c r="B112" s="85"/>
      <c r="C112" s="85"/>
      <c r="D112" s="85"/>
      <c r="E112" s="85"/>
      <c r="F112" s="85"/>
      <c r="G112" s="85"/>
      <c r="H112" s="85"/>
      <c r="I112" s="85"/>
      <c r="J112" s="85"/>
      <c r="K112" s="85"/>
      <c r="L112" s="85"/>
      <c r="M112" s="85"/>
      <c r="N112" s="442" t="s">
        <v>379</v>
      </c>
      <c r="O112" s="85"/>
      <c r="P112" s="428">
        <f>P108+P110</f>
        <v>131232468.87</v>
      </c>
    </row>
  </sheetData>
  <mergeCells count="19">
    <mergeCell ref="B13:P13"/>
    <mergeCell ref="D16:F16"/>
    <mergeCell ref="H16:J16"/>
    <mergeCell ref="L16:N16"/>
    <mergeCell ref="D34:F34"/>
    <mergeCell ref="H34:J34"/>
    <mergeCell ref="L34:N34"/>
    <mergeCell ref="D53:F53"/>
    <mergeCell ref="H53:J53"/>
    <mergeCell ref="L53:N53"/>
    <mergeCell ref="D72:F72"/>
    <mergeCell ref="H72:J72"/>
    <mergeCell ref="L72:N72"/>
    <mergeCell ref="D91:F91"/>
    <mergeCell ref="H91:J91"/>
    <mergeCell ref="L91:N91"/>
    <mergeCell ref="D92:F92"/>
    <mergeCell ref="H92:J92"/>
    <mergeCell ref="L92:N92"/>
  </mergeCells>
  <printOptions horizontalCentered="1"/>
  <pageMargins left="0.70866141732283472" right="0.70866141732283472" top="1.3385826771653544" bottom="0.47244094488188981" header="0.31496062992125984" footer="0.31496062992125984"/>
  <pageSetup scale="39" orientation="portrait" r:id="rId1"/>
  <headerFooter scaleWithDoc="0">
    <oddHeader>&amp;R&amp;7&amp;K000000Toronto Hydro-Electric System Limited 
EB-2021-0060
Tab 3
Schedule 1
ORIGINAL
Page &amp;P of &amp;N</oddHeader>
    <oddFooter>&amp;C&amp;7&amp;A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9F5C-2ADB-4D8D-93A2-A8BC6FE8DB41}">
  <sheetPr>
    <pageSetUpPr fitToPage="1"/>
  </sheetPr>
  <dimension ref="A13:Q113"/>
  <sheetViews>
    <sheetView showGridLines="0" topLeftCell="B1" zoomScale="70" zoomScaleNormal="70" workbookViewId="0">
      <selection activeCell="B15" sqref="B15"/>
    </sheetView>
  </sheetViews>
  <sheetFormatPr defaultColWidth="8.4140625" defaultRowHeight="14.5" x14ac:dyDescent="0.35"/>
  <cols>
    <col min="1" max="1" width="10.5" style="353" hidden="1" customWidth="1"/>
    <col min="2" max="2" width="27.33203125" style="353" customWidth="1"/>
    <col min="3" max="3" width="3.33203125" style="353" customWidth="1"/>
    <col min="4" max="4" width="12.33203125" style="353" customWidth="1"/>
    <col min="5" max="5" width="13.83203125" style="353" customWidth="1"/>
    <col min="6" max="6" width="12.33203125" style="353" customWidth="1"/>
    <col min="7" max="7" width="2.4140625" style="353" customWidth="1"/>
    <col min="8" max="8" width="12.33203125" style="353" customWidth="1"/>
    <col min="9" max="9" width="9.33203125" style="353" bestFit="1" customWidth="1"/>
    <col min="10" max="10" width="12.33203125" style="353" customWidth="1"/>
    <col min="11" max="11" width="3" style="353" customWidth="1"/>
    <col min="12" max="12" width="12.33203125" style="353" customWidth="1"/>
    <col min="13" max="13" width="8.5" style="353" bestFit="1" customWidth="1"/>
    <col min="14" max="14" width="12.33203125" style="353" customWidth="1"/>
    <col min="15" max="15" width="3.33203125" style="353" customWidth="1"/>
    <col min="16" max="16" width="16.5" style="353" customWidth="1"/>
    <col min="17" max="16384" width="8.4140625" style="353"/>
  </cols>
  <sheetData>
    <row r="13" spans="2:17" ht="18.75" customHeight="1" x14ac:dyDescent="0.35">
      <c r="B13" s="717" t="s">
        <v>380</v>
      </c>
      <c r="C13" s="699"/>
      <c r="D13" s="699"/>
      <c r="E13" s="699"/>
      <c r="F13" s="699"/>
      <c r="G13" s="699"/>
      <c r="H13" s="699"/>
      <c r="I13" s="699"/>
      <c r="J13" s="699"/>
      <c r="K13" s="699"/>
      <c r="L13" s="699"/>
      <c r="M13" s="699"/>
      <c r="N13" s="699"/>
      <c r="O13" s="699"/>
      <c r="P13" s="699"/>
    </row>
    <row r="16" spans="2:17" x14ac:dyDescent="0.35">
      <c r="B16" s="413" t="s">
        <v>354</v>
      </c>
      <c r="C16" s="414"/>
      <c r="D16" s="714" t="s">
        <v>355</v>
      </c>
      <c r="E16" s="714"/>
      <c r="F16" s="714"/>
      <c r="G16" s="414"/>
      <c r="H16" s="714" t="s">
        <v>356</v>
      </c>
      <c r="I16" s="714"/>
      <c r="J16" s="714"/>
      <c r="K16" s="414"/>
      <c r="L16" s="714" t="s">
        <v>357</v>
      </c>
      <c r="M16" s="714"/>
      <c r="N16" s="714"/>
      <c r="O16" s="414"/>
      <c r="P16" s="413" t="s">
        <v>358</v>
      </c>
      <c r="Q16" s="369"/>
    </row>
    <row r="17" spans="2:17" ht="15.5" x14ac:dyDescent="0.35">
      <c r="B17" s="419"/>
      <c r="C17" s="419"/>
      <c r="D17" s="715"/>
      <c r="E17" s="715"/>
      <c r="F17" s="715"/>
      <c r="G17" s="435"/>
      <c r="H17" s="715"/>
      <c r="I17" s="715"/>
      <c r="J17" s="715"/>
      <c r="K17" s="435"/>
      <c r="L17" s="715"/>
      <c r="M17" s="715"/>
      <c r="N17" s="715"/>
      <c r="O17" s="419"/>
      <c r="P17" s="436"/>
      <c r="Q17" s="415"/>
    </row>
    <row r="18" spans="2:17" x14ac:dyDescent="0.35">
      <c r="B18" s="416" t="s">
        <v>359</v>
      </c>
      <c r="C18" s="419"/>
      <c r="D18" s="443" t="s">
        <v>360</v>
      </c>
      <c r="E18" s="443" t="s">
        <v>325</v>
      </c>
      <c r="F18" s="443" t="s">
        <v>361</v>
      </c>
      <c r="G18" s="419"/>
      <c r="H18" s="443" t="s">
        <v>360</v>
      </c>
      <c r="I18" s="443" t="s">
        <v>325</v>
      </c>
      <c r="J18" s="443" t="s">
        <v>361</v>
      </c>
      <c r="K18" s="419"/>
      <c r="L18" s="443" t="s">
        <v>360</v>
      </c>
      <c r="M18" s="443" t="s">
        <v>325</v>
      </c>
      <c r="N18" s="443" t="s">
        <v>361</v>
      </c>
      <c r="O18" s="419"/>
      <c r="P18" s="443" t="s">
        <v>361</v>
      </c>
      <c r="Q18" s="369"/>
    </row>
    <row r="19" spans="2:17" x14ac:dyDescent="0.35">
      <c r="B19" s="419"/>
      <c r="C19" s="419"/>
      <c r="D19" s="419"/>
      <c r="E19" s="419"/>
      <c r="F19" s="419"/>
      <c r="G19" s="419"/>
      <c r="H19" s="419"/>
      <c r="I19" s="419"/>
      <c r="J19" s="419"/>
      <c r="K19" s="419"/>
      <c r="L19" s="419"/>
      <c r="M19" s="419"/>
      <c r="N19" s="419"/>
      <c r="O19" s="419"/>
      <c r="P19" s="419"/>
      <c r="Q19" s="369"/>
    </row>
    <row r="20" spans="2:17" x14ac:dyDescent="0.35">
      <c r="B20" s="420" t="s">
        <v>362</v>
      </c>
      <c r="C20" s="419"/>
      <c r="D20" s="444">
        <f>'12. RTSR - Historical Wholesale'!D19</f>
        <v>3478681</v>
      </c>
      <c r="E20" s="438">
        <f>'11. RTSR - UTRs &amp; Sub-Tx'!H22</f>
        <v>4.67</v>
      </c>
      <c r="F20" s="445">
        <f>D20*E20</f>
        <v>16245440.27</v>
      </c>
      <c r="G20" s="419"/>
      <c r="H20" s="444">
        <f>'12. RTSR - Historical Wholesale'!H19</f>
        <v>3487971</v>
      </c>
      <c r="I20" s="438">
        <f>'11. RTSR - UTRs &amp; Sub-Tx'!H24</f>
        <v>0.77</v>
      </c>
      <c r="J20" s="445">
        <f>H20*I20</f>
        <v>2685737.67</v>
      </c>
      <c r="K20" s="419"/>
      <c r="L20" s="444">
        <f>'12. RTSR - Historical Wholesale'!L19</f>
        <v>3564191</v>
      </c>
      <c r="M20" s="438">
        <f>'11. RTSR - UTRs &amp; Sub-Tx'!H26</f>
        <v>2.5299999999999998</v>
      </c>
      <c r="N20" s="445">
        <f>L20*M20</f>
        <v>9017403.2299999986</v>
      </c>
      <c r="O20" s="419"/>
      <c r="P20" s="425">
        <f t="shared" ref="P20:P31" si="0">J20+N20</f>
        <v>11703140.899999999</v>
      </c>
      <c r="Q20" s="369"/>
    </row>
    <row r="21" spans="2:17" x14ac:dyDescent="0.35">
      <c r="B21" s="420" t="s">
        <v>363</v>
      </c>
      <c r="C21" s="419"/>
      <c r="D21" s="444">
        <f>'12. RTSR - Historical Wholesale'!D20</f>
        <v>3513456</v>
      </c>
      <c r="E21" s="438">
        <f>E20</f>
        <v>4.67</v>
      </c>
      <c r="F21" s="445">
        <f t="shared" ref="F21:F31" si="1">D21*E21</f>
        <v>16407839.52</v>
      </c>
      <c r="G21" s="419"/>
      <c r="H21" s="444">
        <f>'12. RTSR - Historical Wholesale'!H20</f>
        <v>3483216</v>
      </c>
      <c r="I21" s="438">
        <f>I20</f>
        <v>0.77</v>
      </c>
      <c r="J21" s="445">
        <f t="shared" ref="J21:J31" si="2">H21*I21</f>
        <v>2682076.3199999998</v>
      </c>
      <c r="K21" s="419"/>
      <c r="L21" s="444">
        <f>'12. RTSR - Historical Wholesale'!L20</f>
        <v>3550506</v>
      </c>
      <c r="M21" s="438">
        <f>M20</f>
        <v>2.5299999999999998</v>
      </c>
      <c r="N21" s="445">
        <f t="shared" ref="N21:N31" si="3">L21*M21</f>
        <v>8982780.1799999997</v>
      </c>
      <c r="O21" s="419"/>
      <c r="P21" s="425">
        <f t="shared" si="0"/>
        <v>11664856.5</v>
      </c>
      <c r="Q21" s="369"/>
    </row>
    <row r="22" spans="2:17" x14ac:dyDescent="0.35">
      <c r="B22" s="420" t="s">
        <v>364</v>
      </c>
      <c r="C22" s="419"/>
      <c r="D22" s="444">
        <f>'12. RTSR - Historical Wholesale'!D21</f>
        <v>3250363</v>
      </c>
      <c r="E22" s="438">
        <f t="shared" ref="E22:E31" si="4">E21</f>
        <v>4.67</v>
      </c>
      <c r="F22" s="445">
        <f t="shared" si="1"/>
        <v>15179195.209999999</v>
      </c>
      <c r="G22" s="419"/>
      <c r="H22" s="444">
        <f>'12. RTSR - Historical Wholesale'!H21</f>
        <v>3247015</v>
      </c>
      <c r="I22" s="438">
        <f t="shared" ref="I22:I31" si="5">I21</f>
        <v>0.77</v>
      </c>
      <c r="J22" s="445">
        <f t="shared" si="2"/>
        <v>2500201.5500000003</v>
      </c>
      <c r="K22" s="419"/>
      <c r="L22" s="444">
        <f>'12. RTSR - Historical Wholesale'!L21</f>
        <v>3294380</v>
      </c>
      <c r="M22" s="438">
        <f t="shared" ref="M22:M31" si="6">M21</f>
        <v>2.5299999999999998</v>
      </c>
      <c r="N22" s="445">
        <f t="shared" si="3"/>
        <v>8334781.3999999994</v>
      </c>
      <c r="O22" s="419"/>
      <c r="P22" s="425">
        <f t="shared" si="0"/>
        <v>10834982.949999999</v>
      </c>
      <c r="Q22" s="369"/>
    </row>
    <row r="23" spans="2:17" x14ac:dyDescent="0.35">
      <c r="B23" s="420" t="s">
        <v>365</v>
      </c>
      <c r="C23" s="419"/>
      <c r="D23" s="444">
        <f>'12. RTSR - Historical Wholesale'!D22</f>
        <v>2790782</v>
      </c>
      <c r="E23" s="438">
        <f t="shared" si="4"/>
        <v>4.67</v>
      </c>
      <c r="F23" s="445">
        <f t="shared" si="1"/>
        <v>13032951.939999999</v>
      </c>
      <c r="G23" s="419"/>
      <c r="H23" s="444">
        <f>'12. RTSR - Historical Wholesale'!H22</f>
        <v>3070891</v>
      </c>
      <c r="I23" s="438">
        <f t="shared" si="5"/>
        <v>0.77</v>
      </c>
      <c r="J23" s="445">
        <f t="shared" si="2"/>
        <v>2364586.0699999998</v>
      </c>
      <c r="K23" s="419"/>
      <c r="L23" s="444">
        <f>'12. RTSR - Historical Wholesale'!L22</f>
        <v>3122734</v>
      </c>
      <c r="M23" s="438">
        <f t="shared" si="6"/>
        <v>2.5299999999999998</v>
      </c>
      <c r="N23" s="445">
        <f t="shared" si="3"/>
        <v>7900517.0199999996</v>
      </c>
      <c r="O23" s="419"/>
      <c r="P23" s="425">
        <f t="shared" si="0"/>
        <v>10265103.09</v>
      </c>
      <c r="Q23" s="369"/>
    </row>
    <row r="24" spans="2:17" x14ac:dyDescent="0.35">
      <c r="B24" s="420" t="s">
        <v>366</v>
      </c>
      <c r="C24" s="419"/>
      <c r="D24" s="444">
        <f>'12. RTSR - Historical Wholesale'!D23</f>
        <v>3651536</v>
      </c>
      <c r="E24" s="438">
        <f t="shared" si="4"/>
        <v>4.67</v>
      </c>
      <c r="F24" s="445">
        <f t="shared" si="1"/>
        <v>17052673.120000001</v>
      </c>
      <c r="G24" s="419"/>
      <c r="H24" s="444">
        <f>'12. RTSR - Historical Wholesale'!H23</f>
        <v>3583048</v>
      </c>
      <c r="I24" s="438">
        <f t="shared" si="5"/>
        <v>0.77</v>
      </c>
      <c r="J24" s="445">
        <f t="shared" si="2"/>
        <v>2758946.96</v>
      </c>
      <c r="K24" s="419"/>
      <c r="L24" s="444">
        <f>'12. RTSR - Historical Wholesale'!L23</f>
        <v>3671638</v>
      </c>
      <c r="M24" s="438">
        <f t="shared" si="6"/>
        <v>2.5299999999999998</v>
      </c>
      <c r="N24" s="445">
        <f t="shared" si="3"/>
        <v>9289244.1399999987</v>
      </c>
      <c r="O24" s="419"/>
      <c r="P24" s="425">
        <f t="shared" si="0"/>
        <v>12048191.099999998</v>
      </c>
      <c r="Q24" s="369"/>
    </row>
    <row r="25" spans="2:17" x14ac:dyDescent="0.35">
      <c r="B25" s="420" t="s">
        <v>367</v>
      </c>
      <c r="C25" s="419"/>
      <c r="D25" s="444">
        <f>'12. RTSR - Historical Wholesale'!D24</f>
        <v>3846862</v>
      </c>
      <c r="E25" s="438">
        <f t="shared" si="4"/>
        <v>4.67</v>
      </c>
      <c r="F25" s="445">
        <f t="shared" si="1"/>
        <v>17964845.539999999</v>
      </c>
      <c r="G25" s="419"/>
      <c r="H25" s="444">
        <f>'12. RTSR - Historical Wholesale'!H24</f>
        <v>3846873</v>
      </c>
      <c r="I25" s="438">
        <f t="shared" si="5"/>
        <v>0.77</v>
      </c>
      <c r="J25" s="445">
        <f t="shared" si="2"/>
        <v>2962092.21</v>
      </c>
      <c r="K25" s="419"/>
      <c r="L25" s="444">
        <f>'12. RTSR - Historical Wholesale'!L24</f>
        <v>3927674</v>
      </c>
      <c r="M25" s="438">
        <f t="shared" si="6"/>
        <v>2.5299999999999998</v>
      </c>
      <c r="N25" s="445">
        <f t="shared" si="3"/>
        <v>9937015.2199999988</v>
      </c>
      <c r="O25" s="419"/>
      <c r="P25" s="425">
        <f t="shared" si="0"/>
        <v>12899107.43</v>
      </c>
      <c r="Q25" s="369"/>
    </row>
    <row r="26" spans="2:17" x14ac:dyDescent="0.35">
      <c r="B26" s="420" t="s">
        <v>368</v>
      </c>
      <c r="C26" s="419"/>
      <c r="D26" s="444">
        <f>'12. RTSR - Historical Wholesale'!D25</f>
        <v>4503087</v>
      </c>
      <c r="E26" s="438">
        <f>'11. RTSR - UTRs &amp; Sub-Tx'!J22</f>
        <v>4.9000000000000004</v>
      </c>
      <c r="F26" s="445">
        <f t="shared" si="1"/>
        <v>22065126.300000001</v>
      </c>
      <c r="G26" s="419"/>
      <c r="H26" s="444">
        <f>'12. RTSR - Historical Wholesale'!H25</f>
        <v>4403331</v>
      </c>
      <c r="I26" s="438">
        <f>'11. RTSR - UTRs &amp; Sub-Tx'!J24</f>
        <v>0.81</v>
      </c>
      <c r="J26" s="445">
        <f t="shared" si="2"/>
        <v>3566698.1100000003</v>
      </c>
      <c r="K26" s="419"/>
      <c r="L26" s="444">
        <f>'12. RTSR - Historical Wholesale'!L25</f>
        <v>4474032</v>
      </c>
      <c r="M26" s="438">
        <f>'11. RTSR - UTRs &amp; Sub-Tx'!J26</f>
        <v>2.65</v>
      </c>
      <c r="N26" s="445">
        <f t="shared" si="3"/>
        <v>11856184.799999999</v>
      </c>
      <c r="O26" s="419"/>
      <c r="P26" s="425">
        <f t="shared" si="0"/>
        <v>15422882.91</v>
      </c>
      <c r="Q26" s="369"/>
    </row>
    <row r="27" spans="2:17" x14ac:dyDescent="0.35">
      <c r="B27" s="420" t="s">
        <v>369</v>
      </c>
      <c r="C27" s="419"/>
      <c r="D27" s="444">
        <f>'12. RTSR - Historical Wholesale'!D26</f>
        <v>4348672</v>
      </c>
      <c r="E27" s="438">
        <f t="shared" si="4"/>
        <v>4.9000000000000004</v>
      </c>
      <c r="F27" s="445">
        <f t="shared" si="1"/>
        <v>21308492.800000001</v>
      </c>
      <c r="G27" s="419"/>
      <c r="H27" s="444">
        <f>'12. RTSR - Historical Wholesale'!H26</f>
        <v>4214534</v>
      </c>
      <c r="I27" s="438">
        <f t="shared" si="5"/>
        <v>0.81</v>
      </c>
      <c r="J27" s="445">
        <f t="shared" si="2"/>
        <v>3413772.54</v>
      </c>
      <c r="K27" s="419"/>
      <c r="L27" s="444">
        <f>'12. RTSR - Historical Wholesale'!L26</f>
        <v>4291383</v>
      </c>
      <c r="M27" s="438">
        <f t="shared" si="6"/>
        <v>2.65</v>
      </c>
      <c r="N27" s="445">
        <f t="shared" si="3"/>
        <v>11372164.949999999</v>
      </c>
      <c r="O27" s="419"/>
      <c r="P27" s="425">
        <f t="shared" si="0"/>
        <v>14785937.489999998</v>
      </c>
      <c r="Q27" s="369"/>
    </row>
    <row r="28" spans="2:17" x14ac:dyDescent="0.35">
      <c r="B28" s="420" t="s">
        <v>370</v>
      </c>
      <c r="C28" s="419"/>
      <c r="D28" s="444">
        <f>'12. RTSR - Historical Wholesale'!D27</f>
        <v>3695042</v>
      </c>
      <c r="E28" s="438">
        <f t="shared" si="4"/>
        <v>4.9000000000000004</v>
      </c>
      <c r="F28" s="445">
        <f t="shared" si="1"/>
        <v>18105705.800000001</v>
      </c>
      <c r="G28" s="419"/>
      <c r="H28" s="444">
        <f>'12. RTSR - Historical Wholesale'!H27</f>
        <v>3610007</v>
      </c>
      <c r="I28" s="438">
        <f t="shared" si="5"/>
        <v>0.81</v>
      </c>
      <c r="J28" s="445">
        <f t="shared" si="2"/>
        <v>2924105.6700000004</v>
      </c>
      <c r="K28" s="419"/>
      <c r="L28" s="444">
        <f>'12. RTSR - Historical Wholesale'!L27</f>
        <v>3671785</v>
      </c>
      <c r="M28" s="438">
        <f t="shared" si="6"/>
        <v>2.65</v>
      </c>
      <c r="N28" s="445">
        <f t="shared" si="3"/>
        <v>9730230.25</v>
      </c>
      <c r="O28" s="419"/>
      <c r="P28" s="425">
        <f t="shared" si="0"/>
        <v>12654335.92</v>
      </c>
      <c r="Q28" s="369"/>
    </row>
    <row r="29" spans="2:17" x14ac:dyDescent="0.35">
      <c r="B29" s="420" t="s">
        <v>371</v>
      </c>
      <c r="C29" s="419"/>
      <c r="D29" s="444">
        <f>'12. RTSR - Historical Wholesale'!D28</f>
        <v>3020275</v>
      </c>
      <c r="E29" s="438">
        <f t="shared" si="4"/>
        <v>4.9000000000000004</v>
      </c>
      <c r="F29" s="445">
        <f t="shared" si="1"/>
        <v>14799347.500000002</v>
      </c>
      <c r="G29" s="419"/>
      <c r="H29" s="444">
        <f>'12. RTSR - Historical Wholesale'!H28</f>
        <v>3008608</v>
      </c>
      <c r="I29" s="438">
        <f t="shared" si="5"/>
        <v>0.81</v>
      </c>
      <c r="J29" s="445">
        <f t="shared" si="2"/>
        <v>2436972.48</v>
      </c>
      <c r="K29" s="419"/>
      <c r="L29" s="444">
        <f>'12. RTSR - Historical Wholesale'!L28</f>
        <v>3023913</v>
      </c>
      <c r="M29" s="438">
        <f t="shared" si="6"/>
        <v>2.65</v>
      </c>
      <c r="N29" s="445">
        <f t="shared" si="3"/>
        <v>8013369.4500000002</v>
      </c>
      <c r="O29" s="419"/>
      <c r="P29" s="425">
        <f t="shared" si="0"/>
        <v>10450341.93</v>
      </c>
      <c r="Q29" s="369"/>
    </row>
    <row r="30" spans="2:17" x14ac:dyDescent="0.35">
      <c r="B30" s="420" t="s">
        <v>372</v>
      </c>
      <c r="C30" s="419"/>
      <c r="D30" s="444">
        <f>'12. RTSR - Historical Wholesale'!D29</f>
        <v>3320584</v>
      </c>
      <c r="E30" s="438">
        <f t="shared" si="4"/>
        <v>4.9000000000000004</v>
      </c>
      <c r="F30" s="445">
        <f t="shared" si="1"/>
        <v>16270861.600000001</v>
      </c>
      <c r="G30" s="419"/>
      <c r="H30" s="444">
        <f>'12. RTSR - Historical Wholesale'!H29</f>
        <v>3309690</v>
      </c>
      <c r="I30" s="438">
        <f t="shared" si="5"/>
        <v>0.81</v>
      </c>
      <c r="J30" s="445">
        <f t="shared" si="2"/>
        <v>2680848.9000000004</v>
      </c>
      <c r="K30" s="419"/>
      <c r="L30" s="444">
        <f>'12. RTSR - Historical Wholesale'!L29</f>
        <v>3344567</v>
      </c>
      <c r="M30" s="438">
        <f t="shared" si="6"/>
        <v>2.65</v>
      </c>
      <c r="N30" s="445">
        <f t="shared" si="3"/>
        <v>8863102.5499999989</v>
      </c>
      <c r="O30" s="419"/>
      <c r="P30" s="425">
        <f t="shared" si="0"/>
        <v>11543951.449999999</v>
      </c>
      <c r="Q30" s="369"/>
    </row>
    <row r="31" spans="2:17" x14ac:dyDescent="0.35">
      <c r="B31" s="420" t="s">
        <v>373</v>
      </c>
      <c r="C31" s="419"/>
      <c r="D31" s="444">
        <f>'12. RTSR - Historical Wholesale'!D30</f>
        <v>3548237</v>
      </c>
      <c r="E31" s="438">
        <f t="shared" si="4"/>
        <v>4.9000000000000004</v>
      </c>
      <c r="F31" s="445">
        <f t="shared" si="1"/>
        <v>17386361.300000001</v>
      </c>
      <c r="G31" s="419"/>
      <c r="H31" s="444">
        <f>'12. RTSR - Historical Wholesale'!H30</f>
        <v>3429058</v>
      </c>
      <c r="I31" s="438">
        <f t="shared" si="5"/>
        <v>0.81</v>
      </c>
      <c r="J31" s="445">
        <f t="shared" si="2"/>
        <v>2777536.98</v>
      </c>
      <c r="K31" s="419"/>
      <c r="L31" s="444">
        <f>'12. RTSR - Historical Wholesale'!L30</f>
        <v>3475432</v>
      </c>
      <c r="M31" s="438">
        <f t="shared" si="6"/>
        <v>2.65</v>
      </c>
      <c r="N31" s="445">
        <f t="shared" si="3"/>
        <v>9209894.7999999989</v>
      </c>
      <c r="O31" s="419"/>
      <c r="P31" s="425">
        <f t="shared" si="0"/>
        <v>11987431.779999999</v>
      </c>
      <c r="Q31" s="369"/>
    </row>
    <row r="32" spans="2:17" x14ac:dyDescent="0.35">
      <c r="B32" s="419"/>
      <c r="C32" s="419"/>
      <c r="D32" s="419"/>
      <c r="E32" s="419"/>
      <c r="F32" s="419"/>
      <c r="G32" s="419"/>
      <c r="H32" s="419"/>
      <c r="I32" s="419"/>
      <c r="J32" s="419"/>
      <c r="K32" s="419"/>
      <c r="L32" s="419"/>
      <c r="M32" s="419"/>
      <c r="N32" s="419"/>
      <c r="O32" s="419"/>
      <c r="P32" s="419"/>
      <c r="Q32" s="369"/>
    </row>
    <row r="33" spans="2:17" ht="15" thickBot="1" x14ac:dyDescent="0.4">
      <c r="B33" s="416" t="s">
        <v>268</v>
      </c>
      <c r="C33" s="419"/>
      <c r="D33" s="426">
        <f>SUM(D20:D31)</f>
        <v>42967577</v>
      </c>
      <c r="E33" s="427">
        <f>IF(D33&lt;&gt;0,F33/D33,0)</f>
        <v>4.7900965162638798</v>
      </c>
      <c r="F33" s="428">
        <f>SUM(F20:F31)</f>
        <v>205818840.90000001</v>
      </c>
      <c r="G33" s="419"/>
      <c r="H33" s="426">
        <f>SUM(H20:H31)</f>
        <v>42694242</v>
      </c>
      <c r="I33" s="427">
        <f>IF(H33&lt;&gt;0,J33/H33,0)</f>
        <v>0.79058846998618693</v>
      </c>
      <c r="J33" s="428">
        <f>SUM(J20:J31)</f>
        <v>33753575.460000001</v>
      </c>
      <c r="K33" s="419"/>
      <c r="L33" s="426">
        <f>SUM(L20:L31)</f>
        <v>43412235</v>
      </c>
      <c r="M33" s="427">
        <f>IF(L33&lt;&gt;0,N33/L33,0)</f>
        <v>2.5915893984725735</v>
      </c>
      <c r="N33" s="428">
        <f>SUM(N20:N31)</f>
        <v>112506687.98999999</v>
      </c>
      <c r="O33" s="419"/>
      <c r="P33" s="428">
        <f>SUM(P20:P31)</f>
        <v>146260263.44999999</v>
      </c>
      <c r="Q33" s="369"/>
    </row>
    <row r="34" spans="2:17" x14ac:dyDescent="0.35">
      <c r="B34" s="419"/>
      <c r="C34" s="419"/>
      <c r="D34" s="419"/>
      <c r="E34" s="419"/>
      <c r="F34" s="419"/>
      <c r="G34" s="419"/>
      <c r="H34" s="419"/>
      <c r="I34" s="419"/>
      <c r="J34" s="419"/>
      <c r="K34" s="419"/>
      <c r="L34" s="419"/>
      <c r="M34" s="419"/>
      <c r="N34" s="419"/>
      <c r="O34" s="419"/>
      <c r="P34" s="419"/>
      <c r="Q34" s="369"/>
    </row>
    <row r="35" spans="2:17" x14ac:dyDescent="0.35">
      <c r="B35" s="413" t="s">
        <v>374</v>
      </c>
      <c r="C35" s="414"/>
      <c r="D35" s="714" t="s">
        <v>355</v>
      </c>
      <c r="E35" s="714"/>
      <c r="F35" s="714"/>
      <c r="G35" s="414"/>
      <c r="H35" s="714" t="s">
        <v>356</v>
      </c>
      <c r="I35" s="714"/>
      <c r="J35" s="714"/>
      <c r="K35" s="414"/>
      <c r="L35" s="714" t="s">
        <v>357</v>
      </c>
      <c r="M35" s="714"/>
      <c r="N35" s="714"/>
      <c r="O35" s="414"/>
      <c r="P35" s="413" t="s">
        <v>358</v>
      </c>
      <c r="Q35" s="369"/>
    </row>
    <row r="36" spans="2:17" x14ac:dyDescent="0.35">
      <c r="B36" s="416"/>
      <c r="C36" s="419"/>
      <c r="D36" s="443"/>
      <c r="E36" s="443"/>
      <c r="F36" s="443"/>
      <c r="G36" s="419"/>
      <c r="H36" s="443"/>
      <c r="I36" s="443"/>
      <c r="J36" s="443"/>
      <c r="K36" s="419"/>
      <c r="L36" s="443"/>
      <c r="M36" s="443"/>
      <c r="N36" s="443"/>
      <c r="O36" s="419"/>
      <c r="P36" s="443"/>
      <c r="Q36" s="369"/>
    </row>
    <row r="37" spans="2:17" x14ac:dyDescent="0.35">
      <c r="B37" s="416" t="s">
        <v>359</v>
      </c>
      <c r="C37" s="419"/>
      <c r="D37" s="443" t="s">
        <v>360</v>
      </c>
      <c r="E37" s="443" t="s">
        <v>325</v>
      </c>
      <c r="F37" s="443" t="s">
        <v>361</v>
      </c>
      <c r="G37" s="419"/>
      <c r="H37" s="443" t="s">
        <v>360</v>
      </c>
      <c r="I37" s="443" t="s">
        <v>325</v>
      </c>
      <c r="J37" s="443" t="s">
        <v>361</v>
      </c>
      <c r="K37" s="419"/>
      <c r="L37" s="443" t="s">
        <v>360</v>
      </c>
      <c r="M37" s="443" t="s">
        <v>325</v>
      </c>
      <c r="N37" s="443" t="s">
        <v>361</v>
      </c>
      <c r="O37" s="419"/>
      <c r="P37" s="443" t="s">
        <v>361</v>
      </c>
      <c r="Q37" s="369"/>
    </row>
    <row r="38" spans="2:17" x14ac:dyDescent="0.35">
      <c r="B38" s="419"/>
      <c r="C38" s="419"/>
      <c r="D38" s="419"/>
      <c r="E38" s="419"/>
      <c r="F38" s="419"/>
      <c r="G38" s="419"/>
      <c r="H38" s="419"/>
      <c r="I38" s="419"/>
      <c r="J38" s="419"/>
      <c r="K38" s="419"/>
      <c r="L38" s="419"/>
      <c r="M38" s="419"/>
      <c r="N38" s="419"/>
      <c r="O38" s="419"/>
      <c r="P38" s="419"/>
      <c r="Q38" s="369"/>
    </row>
    <row r="39" spans="2:17" x14ac:dyDescent="0.35">
      <c r="B39" s="420" t="s">
        <v>362</v>
      </c>
      <c r="C39" s="419"/>
      <c r="D39" s="444">
        <f>'12. RTSR - Historical Wholesale'!D38</f>
        <v>0</v>
      </c>
      <c r="E39" s="438">
        <f>'11. RTSR - UTRs &amp; Sub-Tx'!H35</f>
        <v>3.4777999999999998</v>
      </c>
      <c r="F39" s="445">
        <f>D39*E39</f>
        <v>0</v>
      </c>
      <c r="G39" s="419"/>
      <c r="H39" s="444">
        <f>'12. RTSR - Historical Wholesale'!H38</f>
        <v>0</v>
      </c>
      <c r="I39" s="438">
        <f>'11. RTSR - UTRs &amp; Sub-Tx'!H37</f>
        <v>0.81279999999999997</v>
      </c>
      <c r="J39" s="445">
        <f>H39*I39</f>
        <v>0</v>
      </c>
      <c r="K39" s="419"/>
      <c r="L39" s="444">
        <f>'12. RTSR - Historical Wholesale'!L38</f>
        <v>0</v>
      </c>
      <c r="M39" s="438">
        <f>'11. RTSR - UTRs &amp; Sub-Tx'!H39</f>
        <v>2.0457999999999998</v>
      </c>
      <c r="N39" s="445">
        <f>L39*M39</f>
        <v>0</v>
      </c>
      <c r="O39" s="419"/>
      <c r="P39" s="425">
        <f t="shared" ref="P39:P50" si="7">J39+N39</f>
        <v>0</v>
      </c>
      <c r="Q39" s="369"/>
    </row>
    <row r="40" spans="2:17" x14ac:dyDescent="0.35">
      <c r="B40" s="420" t="s">
        <v>363</v>
      </c>
      <c r="C40" s="419"/>
      <c r="D40" s="444">
        <f>'12. RTSR - Historical Wholesale'!D39</f>
        <v>0</v>
      </c>
      <c r="E40" s="438">
        <f t="shared" ref="E40:E50" si="8">E39</f>
        <v>3.4777999999999998</v>
      </c>
      <c r="F40" s="445">
        <f t="shared" ref="F40:F50" si="9">D40*E40</f>
        <v>0</v>
      </c>
      <c r="G40" s="419"/>
      <c r="H40" s="444">
        <f>'12. RTSR - Historical Wholesale'!H39</f>
        <v>0</v>
      </c>
      <c r="I40" s="438">
        <f t="shared" ref="I40:I50" si="10">I39</f>
        <v>0.81279999999999997</v>
      </c>
      <c r="J40" s="445">
        <f t="shared" ref="J40:J50" si="11">H40*I40</f>
        <v>0</v>
      </c>
      <c r="K40" s="419"/>
      <c r="L40" s="444">
        <f>'12. RTSR - Historical Wholesale'!L39</f>
        <v>0</v>
      </c>
      <c r="M40" s="438">
        <f t="shared" ref="M40:M50" si="12">M39</f>
        <v>2.0457999999999998</v>
      </c>
      <c r="N40" s="445">
        <f t="shared" ref="N40:N50" si="13">L40*M40</f>
        <v>0</v>
      </c>
      <c r="O40" s="419"/>
      <c r="P40" s="425">
        <f t="shared" si="7"/>
        <v>0</v>
      </c>
      <c r="Q40" s="369"/>
    </row>
    <row r="41" spans="2:17" x14ac:dyDescent="0.35">
      <c r="B41" s="420" t="s">
        <v>364</v>
      </c>
      <c r="C41" s="419"/>
      <c r="D41" s="444">
        <f>'12. RTSR - Historical Wholesale'!D40</f>
        <v>0</v>
      </c>
      <c r="E41" s="438">
        <f t="shared" si="8"/>
        <v>3.4777999999999998</v>
      </c>
      <c r="F41" s="445">
        <f t="shared" si="9"/>
        <v>0</v>
      </c>
      <c r="G41" s="419"/>
      <c r="H41" s="444">
        <f>'12. RTSR - Historical Wholesale'!H40</f>
        <v>0</v>
      </c>
      <c r="I41" s="438">
        <f t="shared" si="10"/>
        <v>0.81279999999999997</v>
      </c>
      <c r="J41" s="445">
        <f t="shared" si="11"/>
        <v>0</v>
      </c>
      <c r="K41" s="419"/>
      <c r="L41" s="444">
        <f>'12. RTSR - Historical Wholesale'!L40</f>
        <v>0</v>
      </c>
      <c r="M41" s="438">
        <f t="shared" si="12"/>
        <v>2.0457999999999998</v>
      </c>
      <c r="N41" s="445">
        <f t="shared" si="13"/>
        <v>0</v>
      </c>
      <c r="O41" s="419"/>
      <c r="P41" s="425">
        <f t="shared" si="7"/>
        <v>0</v>
      </c>
      <c r="Q41" s="369"/>
    </row>
    <row r="42" spans="2:17" x14ac:dyDescent="0.35">
      <c r="B42" s="420" t="s">
        <v>365</v>
      </c>
      <c r="C42" s="419"/>
      <c r="D42" s="444">
        <f>'12. RTSR - Historical Wholesale'!D41</f>
        <v>0</v>
      </c>
      <c r="E42" s="438">
        <f t="shared" si="8"/>
        <v>3.4777999999999998</v>
      </c>
      <c r="F42" s="445">
        <f t="shared" si="9"/>
        <v>0</v>
      </c>
      <c r="G42" s="419"/>
      <c r="H42" s="444">
        <f>'12. RTSR - Historical Wholesale'!H41</f>
        <v>0</v>
      </c>
      <c r="I42" s="438">
        <f t="shared" si="10"/>
        <v>0.81279999999999997</v>
      </c>
      <c r="J42" s="445">
        <f t="shared" si="11"/>
        <v>0</v>
      </c>
      <c r="K42" s="419"/>
      <c r="L42" s="444">
        <f>'12. RTSR - Historical Wholesale'!L41</f>
        <v>0</v>
      </c>
      <c r="M42" s="438">
        <f t="shared" si="12"/>
        <v>2.0457999999999998</v>
      </c>
      <c r="N42" s="445">
        <f t="shared" si="13"/>
        <v>0</v>
      </c>
      <c r="O42" s="419"/>
      <c r="P42" s="425">
        <f t="shared" si="7"/>
        <v>0</v>
      </c>
      <c r="Q42" s="369"/>
    </row>
    <row r="43" spans="2:17" x14ac:dyDescent="0.35">
      <c r="B43" s="420" t="s">
        <v>366</v>
      </c>
      <c r="C43" s="419"/>
      <c r="D43" s="444">
        <f>'12. RTSR - Historical Wholesale'!D42</f>
        <v>0</v>
      </c>
      <c r="E43" s="438">
        <f t="shared" si="8"/>
        <v>3.4777999999999998</v>
      </c>
      <c r="F43" s="445">
        <f t="shared" si="9"/>
        <v>0</v>
      </c>
      <c r="G43" s="419"/>
      <c r="H43" s="444">
        <f>'12. RTSR - Historical Wholesale'!H42</f>
        <v>0</v>
      </c>
      <c r="I43" s="438">
        <f t="shared" si="10"/>
        <v>0.81279999999999997</v>
      </c>
      <c r="J43" s="445">
        <f t="shared" si="11"/>
        <v>0</v>
      </c>
      <c r="K43" s="419"/>
      <c r="L43" s="444">
        <f>'12. RTSR - Historical Wholesale'!L42</f>
        <v>0</v>
      </c>
      <c r="M43" s="438">
        <f t="shared" si="12"/>
        <v>2.0457999999999998</v>
      </c>
      <c r="N43" s="445">
        <f t="shared" si="13"/>
        <v>0</v>
      </c>
      <c r="O43" s="419"/>
      <c r="P43" s="425">
        <f t="shared" si="7"/>
        <v>0</v>
      </c>
      <c r="Q43" s="369"/>
    </row>
    <row r="44" spans="2:17" x14ac:dyDescent="0.35">
      <c r="B44" s="420" t="s">
        <v>367</v>
      </c>
      <c r="C44" s="419"/>
      <c r="D44" s="444">
        <f>'12. RTSR - Historical Wholesale'!D43</f>
        <v>0</v>
      </c>
      <c r="E44" s="438">
        <f t="shared" si="8"/>
        <v>3.4777999999999998</v>
      </c>
      <c r="F44" s="445">
        <f t="shared" si="9"/>
        <v>0</v>
      </c>
      <c r="G44" s="419"/>
      <c r="H44" s="444">
        <f>'12. RTSR - Historical Wholesale'!H43</f>
        <v>0</v>
      </c>
      <c r="I44" s="438">
        <f t="shared" si="10"/>
        <v>0.81279999999999997</v>
      </c>
      <c r="J44" s="445">
        <f t="shared" si="11"/>
        <v>0</v>
      </c>
      <c r="K44" s="419"/>
      <c r="L44" s="444">
        <f>'12. RTSR - Historical Wholesale'!L43</f>
        <v>0</v>
      </c>
      <c r="M44" s="438">
        <f t="shared" si="12"/>
        <v>2.0457999999999998</v>
      </c>
      <c r="N44" s="445">
        <f t="shared" si="13"/>
        <v>0</v>
      </c>
      <c r="O44" s="419"/>
      <c r="P44" s="425">
        <f t="shared" si="7"/>
        <v>0</v>
      </c>
      <c r="Q44" s="369"/>
    </row>
    <row r="45" spans="2:17" x14ac:dyDescent="0.35">
      <c r="B45" s="420" t="s">
        <v>368</v>
      </c>
      <c r="C45" s="419"/>
      <c r="D45" s="444">
        <f>'12. RTSR - Historical Wholesale'!D44</f>
        <v>0</v>
      </c>
      <c r="E45" s="438">
        <f t="shared" si="8"/>
        <v>3.4777999999999998</v>
      </c>
      <c r="F45" s="445">
        <f t="shared" si="9"/>
        <v>0</v>
      </c>
      <c r="G45" s="419"/>
      <c r="H45" s="444">
        <f>'12. RTSR - Historical Wholesale'!H44</f>
        <v>0</v>
      </c>
      <c r="I45" s="438">
        <f t="shared" si="10"/>
        <v>0.81279999999999997</v>
      </c>
      <c r="J45" s="445">
        <f t="shared" si="11"/>
        <v>0</v>
      </c>
      <c r="K45" s="419"/>
      <c r="L45" s="444">
        <f>'12. RTSR - Historical Wholesale'!L44</f>
        <v>0</v>
      </c>
      <c r="M45" s="438">
        <f t="shared" si="12"/>
        <v>2.0457999999999998</v>
      </c>
      <c r="N45" s="445">
        <f t="shared" si="13"/>
        <v>0</v>
      </c>
      <c r="O45" s="419"/>
      <c r="P45" s="425">
        <f t="shared" si="7"/>
        <v>0</v>
      </c>
      <c r="Q45" s="369"/>
    </row>
    <row r="46" spans="2:17" x14ac:dyDescent="0.35">
      <c r="B46" s="420" t="s">
        <v>369</v>
      </c>
      <c r="C46" s="419"/>
      <c r="D46" s="444">
        <f>'12. RTSR - Historical Wholesale'!D45</f>
        <v>0</v>
      </c>
      <c r="E46" s="438">
        <f t="shared" si="8"/>
        <v>3.4777999999999998</v>
      </c>
      <c r="F46" s="445">
        <f t="shared" si="9"/>
        <v>0</v>
      </c>
      <c r="G46" s="419"/>
      <c r="H46" s="444">
        <f>'12. RTSR - Historical Wholesale'!H45</f>
        <v>0</v>
      </c>
      <c r="I46" s="438">
        <f t="shared" si="10"/>
        <v>0.81279999999999997</v>
      </c>
      <c r="J46" s="445">
        <f t="shared" si="11"/>
        <v>0</v>
      </c>
      <c r="K46" s="419"/>
      <c r="L46" s="444">
        <f>'12. RTSR - Historical Wholesale'!L45</f>
        <v>0</v>
      </c>
      <c r="M46" s="438">
        <f t="shared" si="12"/>
        <v>2.0457999999999998</v>
      </c>
      <c r="N46" s="445">
        <f t="shared" si="13"/>
        <v>0</v>
      </c>
      <c r="O46" s="419"/>
      <c r="P46" s="425">
        <f t="shared" si="7"/>
        <v>0</v>
      </c>
      <c r="Q46" s="369"/>
    </row>
    <row r="47" spans="2:17" x14ac:dyDescent="0.35">
      <c r="B47" s="420" t="s">
        <v>370</v>
      </c>
      <c r="C47" s="419"/>
      <c r="D47" s="444">
        <f>'12. RTSR - Historical Wholesale'!D46</f>
        <v>0</v>
      </c>
      <c r="E47" s="438">
        <f t="shared" si="8"/>
        <v>3.4777999999999998</v>
      </c>
      <c r="F47" s="445">
        <f t="shared" si="9"/>
        <v>0</v>
      </c>
      <c r="G47" s="419"/>
      <c r="H47" s="444">
        <f>'12. RTSR - Historical Wholesale'!H46</f>
        <v>0</v>
      </c>
      <c r="I47" s="438">
        <f t="shared" si="10"/>
        <v>0.81279999999999997</v>
      </c>
      <c r="J47" s="445">
        <f t="shared" si="11"/>
        <v>0</v>
      </c>
      <c r="K47" s="419"/>
      <c r="L47" s="444">
        <f>'12. RTSR - Historical Wholesale'!L46</f>
        <v>0</v>
      </c>
      <c r="M47" s="438">
        <f t="shared" si="12"/>
        <v>2.0457999999999998</v>
      </c>
      <c r="N47" s="445">
        <f t="shared" si="13"/>
        <v>0</v>
      </c>
      <c r="O47" s="419"/>
      <c r="P47" s="425">
        <f t="shared" si="7"/>
        <v>0</v>
      </c>
      <c r="Q47" s="369"/>
    </row>
    <row r="48" spans="2:17" x14ac:dyDescent="0.35">
      <c r="B48" s="420" t="s">
        <v>371</v>
      </c>
      <c r="C48" s="419"/>
      <c r="D48" s="444">
        <f>'12. RTSR - Historical Wholesale'!D47</f>
        <v>0</v>
      </c>
      <c r="E48" s="438">
        <f t="shared" si="8"/>
        <v>3.4777999999999998</v>
      </c>
      <c r="F48" s="445">
        <f t="shared" si="9"/>
        <v>0</v>
      </c>
      <c r="G48" s="419"/>
      <c r="H48" s="444">
        <f>'12. RTSR - Historical Wholesale'!H47</f>
        <v>0</v>
      </c>
      <c r="I48" s="438">
        <f t="shared" si="10"/>
        <v>0.81279999999999997</v>
      </c>
      <c r="J48" s="445">
        <f t="shared" si="11"/>
        <v>0</v>
      </c>
      <c r="K48" s="419"/>
      <c r="L48" s="444">
        <f>'12. RTSR - Historical Wholesale'!L47</f>
        <v>0</v>
      </c>
      <c r="M48" s="438">
        <f t="shared" si="12"/>
        <v>2.0457999999999998</v>
      </c>
      <c r="N48" s="445">
        <f t="shared" si="13"/>
        <v>0</v>
      </c>
      <c r="O48" s="419"/>
      <c r="P48" s="425">
        <f t="shared" si="7"/>
        <v>0</v>
      </c>
      <c r="Q48" s="369"/>
    </row>
    <row r="49" spans="2:17" x14ac:dyDescent="0.35">
      <c r="B49" s="420" t="s">
        <v>372</v>
      </c>
      <c r="C49" s="419"/>
      <c r="D49" s="444">
        <f>'12. RTSR - Historical Wholesale'!D48</f>
        <v>0</v>
      </c>
      <c r="E49" s="438">
        <f t="shared" si="8"/>
        <v>3.4777999999999998</v>
      </c>
      <c r="F49" s="445">
        <f t="shared" si="9"/>
        <v>0</v>
      </c>
      <c r="G49" s="419"/>
      <c r="H49" s="444">
        <f>'12. RTSR - Historical Wholesale'!H48</f>
        <v>0</v>
      </c>
      <c r="I49" s="438">
        <f t="shared" si="10"/>
        <v>0.81279999999999997</v>
      </c>
      <c r="J49" s="445">
        <f t="shared" si="11"/>
        <v>0</v>
      </c>
      <c r="K49" s="419"/>
      <c r="L49" s="444">
        <f>'12. RTSR - Historical Wholesale'!L48</f>
        <v>0</v>
      </c>
      <c r="M49" s="438">
        <f t="shared" si="12"/>
        <v>2.0457999999999998</v>
      </c>
      <c r="N49" s="445">
        <f t="shared" si="13"/>
        <v>0</v>
      </c>
      <c r="O49" s="419"/>
      <c r="P49" s="425">
        <f t="shared" si="7"/>
        <v>0</v>
      </c>
      <c r="Q49" s="369"/>
    </row>
    <row r="50" spans="2:17" x14ac:dyDescent="0.35">
      <c r="B50" s="420" t="s">
        <v>373</v>
      </c>
      <c r="C50" s="419"/>
      <c r="D50" s="444">
        <f>'12. RTSR - Historical Wholesale'!D49</f>
        <v>0</v>
      </c>
      <c r="E50" s="438">
        <f t="shared" si="8"/>
        <v>3.4777999999999998</v>
      </c>
      <c r="F50" s="445">
        <f t="shared" si="9"/>
        <v>0</v>
      </c>
      <c r="G50" s="419"/>
      <c r="H50" s="444">
        <f>'12. RTSR - Historical Wholesale'!H49</f>
        <v>0</v>
      </c>
      <c r="I50" s="438">
        <f t="shared" si="10"/>
        <v>0.81279999999999997</v>
      </c>
      <c r="J50" s="445">
        <f t="shared" si="11"/>
        <v>0</v>
      </c>
      <c r="K50" s="419"/>
      <c r="L50" s="444">
        <f>'12. RTSR - Historical Wholesale'!L49</f>
        <v>0</v>
      </c>
      <c r="M50" s="438">
        <f t="shared" si="12"/>
        <v>2.0457999999999998</v>
      </c>
      <c r="N50" s="445">
        <f t="shared" si="13"/>
        <v>0</v>
      </c>
      <c r="O50" s="419"/>
      <c r="P50" s="425">
        <f t="shared" si="7"/>
        <v>0</v>
      </c>
      <c r="Q50" s="369"/>
    </row>
    <row r="51" spans="2:17" x14ac:dyDescent="0.35">
      <c r="B51" s="419"/>
      <c r="C51" s="419"/>
      <c r="D51" s="419"/>
      <c r="E51" s="419"/>
      <c r="F51" s="419"/>
      <c r="G51" s="419"/>
      <c r="H51" s="419"/>
      <c r="I51" s="419"/>
      <c r="J51" s="419"/>
      <c r="K51" s="419"/>
      <c r="L51" s="419"/>
      <c r="M51" s="419"/>
      <c r="N51" s="419"/>
      <c r="O51" s="419"/>
      <c r="P51" s="419"/>
      <c r="Q51" s="369"/>
    </row>
    <row r="52" spans="2:17" ht="15" thickBot="1" x14ac:dyDescent="0.4">
      <c r="B52" s="416" t="s">
        <v>268</v>
      </c>
      <c r="C52" s="419"/>
      <c r="D52" s="426">
        <f>SUM(D39:D50)</f>
        <v>0</v>
      </c>
      <c r="E52" s="427">
        <f>IF(D52&lt;&gt;0,F52/D52,0)</f>
        <v>0</v>
      </c>
      <c r="F52" s="428">
        <f>SUM(F39:F50)</f>
        <v>0</v>
      </c>
      <c r="G52" s="419"/>
      <c r="H52" s="426">
        <f>SUM(H39:H50)</f>
        <v>0</v>
      </c>
      <c r="I52" s="427">
        <f>IF(H52&lt;&gt;0,J52/H52,0)</f>
        <v>0</v>
      </c>
      <c r="J52" s="428">
        <f>SUM(J39:J50)</f>
        <v>0</v>
      </c>
      <c r="K52" s="419"/>
      <c r="L52" s="426">
        <f>SUM(L39:L50)</f>
        <v>0</v>
      </c>
      <c r="M52" s="427">
        <f>IF(L52&lt;&gt;0,N52/L52,0)</f>
        <v>0</v>
      </c>
      <c r="N52" s="428">
        <f>SUM(N39:N50)</f>
        <v>0</v>
      </c>
      <c r="O52" s="419"/>
      <c r="P52" s="428">
        <f>SUM(P39:P50)</f>
        <v>0</v>
      </c>
      <c r="Q52" s="369"/>
    </row>
    <row r="53" spans="2:17" x14ac:dyDescent="0.35">
      <c r="B53" s="419"/>
      <c r="C53" s="419"/>
      <c r="D53" s="419"/>
      <c r="E53" s="419"/>
      <c r="F53" s="419"/>
      <c r="G53" s="419"/>
      <c r="H53" s="419"/>
      <c r="I53" s="419"/>
      <c r="J53" s="419"/>
      <c r="K53" s="419"/>
      <c r="L53" s="419"/>
      <c r="M53" s="419"/>
      <c r="N53" s="419"/>
      <c r="O53" s="419"/>
      <c r="P53" s="419"/>
      <c r="Q53" s="369"/>
    </row>
    <row r="54" spans="2:17" x14ac:dyDescent="0.35">
      <c r="B54" s="413" t="str">
        <f>'12. RTSR - Historical Wholesale'!B53</f>
        <v>Add Extra Host Here (I)</v>
      </c>
      <c r="C54" s="414"/>
      <c r="D54" s="714" t="s">
        <v>355</v>
      </c>
      <c r="E54" s="714"/>
      <c r="F54" s="714"/>
      <c r="G54" s="414"/>
      <c r="H54" s="714" t="s">
        <v>356</v>
      </c>
      <c r="I54" s="714"/>
      <c r="J54" s="714"/>
      <c r="K54" s="414"/>
      <c r="L54" s="714" t="s">
        <v>357</v>
      </c>
      <c r="M54" s="714"/>
      <c r="N54" s="714"/>
      <c r="O54" s="414"/>
      <c r="P54" s="413" t="s">
        <v>358</v>
      </c>
      <c r="Q54" s="369"/>
    </row>
    <row r="55" spans="2:17" x14ac:dyDescent="0.35">
      <c r="B55" s="416"/>
      <c r="C55" s="419"/>
      <c r="D55" s="443"/>
      <c r="E55" s="443"/>
      <c r="F55" s="443"/>
      <c r="G55" s="419"/>
      <c r="H55" s="443"/>
      <c r="I55" s="443"/>
      <c r="J55" s="443"/>
      <c r="K55" s="419"/>
      <c r="L55" s="443"/>
      <c r="M55" s="443"/>
      <c r="N55" s="443"/>
      <c r="O55" s="419"/>
      <c r="P55" s="443"/>
      <c r="Q55" s="369"/>
    </row>
    <row r="56" spans="2:17" x14ac:dyDescent="0.35">
      <c r="B56" s="416" t="s">
        <v>359</v>
      </c>
      <c r="C56" s="419"/>
      <c r="D56" s="443" t="s">
        <v>360</v>
      </c>
      <c r="E56" s="443" t="s">
        <v>325</v>
      </c>
      <c r="F56" s="443" t="s">
        <v>361</v>
      </c>
      <c r="G56" s="419"/>
      <c r="H56" s="443" t="s">
        <v>360</v>
      </c>
      <c r="I56" s="443" t="s">
        <v>325</v>
      </c>
      <c r="J56" s="443" t="s">
        <v>361</v>
      </c>
      <c r="K56" s="419"/>
      <c r="L56" s="443" t="s">
        <v>360</v>
      </c>
      <c r="M56" s="443" t="s">
        <v>325</v>
      </c>
      <c r="N56" s="443" t="s">
        <v>361</v>
      </c>
      <c r="O56" s="419"/>
      <c r="P56" s="443" t="s">
        <v>361</v>
      </c>
      <c r="Q56" s="369"/>
    </row>
    <row r="57" spans="2:17" x14ac:dyDescent="0.35">
      <c r="B57" s="419"/>
      <c r="C57" s="419"/>
      <c r="D57" s="419"/>
      <c r="E57" s="419"/>
      <c r="F57" s="419"/>
      <c r="G57" s="419"/>
      <c r="H57" s="419"/>
      <c r="I57" s="419"/>
      <c r="J57" s="419"/>
      <c r="K57" s="419"/>
      <c r="L57" s="419"/>
      <c r="M57" s="419"/>
      <c r="N57" s="419"/>
      <c r="O57" s="419"/>
      <c r="P57" s="419"/>
      <c r="Q57" s="369"/>
    </row>
    <row r="58" spans="2:17" x14ac:dyDescent="0.35">
      <c r="B58" s="420" t="s">
        <v>362</v>
      </c>
      <c r="C58" s="419"/>
      <c r="D58" s="444">
        <f>'12. RTSR - Historical Wholesale'!D57</f>
        <v>0</v>
      </c>
      <c r="E58" s="438">
        <f>'11. RTSR - UTRs &amp; Sub-Tx'!H50</f>
        <v>0</v>
      </c>
      <c r="F58" s="445">
        <f>D58*E58</f>
        <v>0</v>
      </c>
      <c r="G58" s="419"/>
      <c r="H58" s="444">
        <f>'12. RTSR - Historical Wholesale'!H57</f>
        <v>0</v>
      </c>
      <c r="I58" s="438">
        <f>'11. RTSR - UTRs &amp; Sub-Tx'!H52</f>
        <v>0</v>
      </c>
      <c r="J58" s="445">
        <f>H58*I58</f>
        <v>0</v>
      </c>
      <c r="K58" s="419"/>
      <c r="L58" s="444">
        <f>'12. RTSR - Historical Wholesale'!L57</f>
        <v>0</v>
      </c>
      <c r="M58" s="438">
        <f>'11. RTSR - UTRs &amp; Sub-Tx'!H54</f>
        <v>0</v>
      </c>
      <c r="N58" s="445">
        <f>L58*M58</f>
        <v>0</v>
      </c>
      <c r="O58" s="419"/>
      <c r="P58" s="425">
        <f t="shared" ref="P58:P69" si="14">J58+N58</f>
        <v>0</v>
      </c>
      <c r="Q58" s="369"/>
    </row>
    <row r="59" spans="2:17" x14ac:dyDescent="0.35">
      <c r="B59" s="420" t="s">
        <v>363</v>
      </c>
      <c r="C59" s="419"/>
      <c r="D59" s="444">
        <f>'12. RTSR - Historical Wholesale'!D58</f>
        <v>0</v>
      </c>
      <c r="E59" s="438">
        <f>E58</f>
        <v>0</v>
      </c>
      <c r="F59" s="445">
        <f t="shared" ref="F59:F69" si="15">D59*E59</f>
        <v>0</v>
      </c>
      <c r="G59" s="419"/>
      <c r="H59" s="444">
        <f>'12. RTSR - Historical Wholesale'!H58</f>
        <v>0</v>
      </c>
      <c r="I59" s="438">
        <f>I58</f>
        <v>0</v>
      </c>
      <c r="J59" s="445">
        <f t="shared" ref="J59:J69" si="16">H59*I59</f>
        <v>0</v>
      </c>
      <c r="K59" s="419"/>
      <c r="L59" s="444">
        <f>'12. RTSR - Historical Wholesale'!L58</f>
        <v>0</v>
      </c>
      <c r="M59" s="438">
        <f>M58</f>
        <v>0</v>
      </c>
      <c r="N59" s="445">
        <f t="shared" ref="N59:N69" si="17">L59*M59</f>
        <v>0</v>
      </c>
      <c r="O59" s="419"/>
      <c r="P59" s="425">
        <f t="shared" si="14"/>
        <v>0</v>
      </c>
      <c r="Q59" s="369"/>
    </row>
    <row r="60" spans="2:17" x14ac:dyDescent="0.35">
      <c r="B60" s="420" t="s">
        <v>364</v>
      </c>
      <c r="C60" s="419"/>
      <c r="D60" s="444">
        <f>'12. RTSR - Historical Wholesale'!D59</f>
        <v>0</v>
      </c>
      <c r="E60" s="438">
        <f t="shared" ref="E60:E69" si="18">E59</f>
        <v>0</v>
      </c>
      <c r="F60" s="445">
        <f t="shared" si="15"/>
        <v>0</v>
      </c>
      <c r="G60" s="419"/>
      <c r="H60" s="444">
        <f>'12. RTSR - Historical Wholesale'!H59</f>
        <v>0</v>
      </c>
      <c r="I60" s="438">
        <f t="shared" ref="I60:I69" si="19">I59</f>
        <v>0</v>
      </c>
      <c r="J60" s="445">
        <f t="shared" si="16"/>
        <v>0</v>
      </c>
      <c r="K60" s="419"/>
      <c r="L60" s="444">
        <f>'12. RTSR - Historical Wholesale'!L59</f>
        <v>0</v>
      </c>
      <c r="M60" s="438">
        <f>M59</f>
        <v>0</v>
      </c>
      <c r="N60" s="445">
        <f t="shared" si="17"/>
        <v>0</v>
      </c>
      <c r="O60" s="419"/>
      <c r="P60" s="425">
        <f t="shared" si="14"/>
        <v>0</v>
      </c>
      <c r="Q60" s="369"/>
    </row>
    <row r="61" spans="2:17" x14ac:dyDescent="0.35">
      <c r="B61" s="420" t="s">
        <v>365</v>
      </c>
      <c r="C61" s="419"/>
      <c r="D61" s="444">
        <f>'12. RTSR - Historical Wholesale'!D60</f>
        <v>0</v>
      </c>
      <c r="E61" s="438">
        <f t="shared" si="18"/>
        <v>0</v>
      </c>
      <c r="F61" s="445">
        <f t="shared" si="15"/>
        <v>0</v>
      </c>
      <c r="G61" s="419"/>
      <c r="H61" s="444">
        <f>'12. RTSR - Historical Wholesale'!H60</f>
        <v>0</v>
      </c>
      <c r="I61" s="438">
        <f t="shared" si="19"/>
        <v>0</v>
      </c>
      <c r="J61" s="445">
        <f t="shared" si="16"/>
        <v>0</v>
      </c>
      <c r="K61" s="419"/>
      <c r="L61" s="444">
        <f>'12. RTSR - Historical Wholesale'!L60</f>
        <v>0</v>
      </c>
      <c r="M61" s="438">
        <f t="shared" ref="M61:M69" si="20">M60</f>
        <v>0</v>
      </c>
      <c r="N61" s="445">
        <f t="shared" si="17"/>
        <v>0</v>
      </c>
      <c r="O61" s="419"/>
      <c r="P61" s="425">
        <f t="shared" si="14"/>
        <v>0</v>
      </c>
      <c r="Q61" s="369"/>
    </row>
    <row r="62" spans="2:17" x14ac:dyDescent="0.35">
      <c r="B62" s="420" t="s">
        <v>366</v>
      </c>
      <c r="C62" s="419"/>
      <c r="D62" s="444">
        <f>'12. RTSR - Historical Wholesale'!D61</f>
        <v>0</v>
      </c>
      <c r="E62" s="438">
        <f t="shared" si="18"/>
        <v>0</v>
      </c>
      <c r="F62" s="445">
        <f t="shared" si="15"/>
        <v>0</v>
      </c>
      <c r="G62" s="419"/>
      <c r="H62" s="444">
        <f>'12. RTSR - Historical Wholesale'!H61</f>
        <v>0</v>
      </c>
      <c r="I62" s="438">
        <f t="shared" si="19"/>
        <v>0</v>
      </c>
      <c r="J62" s="445">
        <f t="shared" si="16"/>
        <v>0</v>
      </c>
      <c r="K62" s="419"/>
      <c r="L62" s="444">
        <f>'12. RTSR - Historical Wholesale'!L61</f>
        <v>0</v>
      </c>
      <c r="M62" s="438">
        <f t="shared" si="20"/>
        <v>0</v>
      </c>
      <c r="N62" s="445">
        <f t="shared" si="17"/>
        <v>0</v>
      </c>
      <c r="O62" s="419"/>
      <c r="P62" s="425">
        <f t="shared" si="14"/>
        <v>0</v>
      </c>
      <c r="Q62" s="369"/>
    </row>
    <row r="63" spans="2:17" x14ac:dyDescent="0.35">
      <c r="B63" s="420" t="s">
        <v>367</v>
      </c>
      <c r="C63" s="419"/>
      <c r="D63" s="444">
        <f>'12. RTSR - Historical Wholesale'!D62</f>
        <v>0</v>
      </c>
      <c r="E63" s="438">
        <f t="shared" si="18"/>
        <v>0</v>
      </c>
      <c r="F63" s="445">
        <f t="shared" si="15"/>
        <v>0</v>
      </c>
      <c r="G63" s="419"/>
      <c r="H63" s="444">
        <f>'12. RTSR - Historical Wholesale'!H62</f>
        <v>0</v>
      </c>
      <c r="I63" s="438">
        <f t="shared" si="19"/>
        <v>0</v>
      </c>
      <c r="J63" s="445">
        <f t="shared" si="16"/>
        <v>0</v>
      </c>
      <c r="K63" s="419"/>
      <c r="L63" s="444">
        <f>'12. RTSR - Historical Wholesale'!L62</f>
        <v>0</v>
      </c>
      <c r="M63" s="438">
        <f t="shared" si="20"/>
        <v>0</v>
      </c>
      <c r="N63" s="445">
        <f t="shared" si="17"/>
        <v>0</v>
      </c>
      <c r="O63" s="419"/>
      <c r="P63" s="425">
        <f t="shared" si="14"/>
        <v>0</v>
      </c>
      <c r="Q63" s="369"/>
    </row>
    <row r="64" spans="2:17" x14ac:dyDescent="0.35">
      <c r="B64" s="420" t="s">
        <v>368</v>
      </c>
      <c r="C64" s="419"/>
      <c r="D64" s="444">
        <f>'12. RTSR - Historical Wholesale'!D63</f>
        <v>0</v>
      </c>
      <c r="E64" s="438">
        <f t="shared" si="18"/>
        <v>0</v>
      </c>
      <c r="F64" s="445">
        <f t="shared" si="15"/>
        <v>0</v>
      </c>
      <c r="G64" s="419"/>
      <c r="H64" s="444">
        <f>'12. RTSR - Historical Wholesale'!H63</f>
        <v>0</v>
      </c>
      <c r="I64" s="438">
        <f t="shared" si="19"/>
        <v>0</v>
      </c>
      <c r="J64" s="445">
        <f t="shared" si="16"/>
        <v>0</v>
      </c>
      <c r="K64" s="419"/>
      <c r="L64" s="444">
        <f>'12. RTSR - Historical Wholesale'!L63</f>
        <v>0</v>
      </c>
      <c r="M64" s="438">
        <f t="shared" si="20"/>
        <v>0</v>
      </c>
      <c r="N64" s="445">
        <f t="shared" si="17"/>
        <v>0</v>
      </c>
      <c r="O64" s="419"/>
      <c r="P64" s="425">
        <f t="shared" si="14"/>
        <v>0</v>
      </c>
      <c r="Q64" s="369"/>
    </row>
    <row r="65" spans="2:17" x14ac:dyDescent="0.35">
      <c r="B65" s="420" t="s">
        <v>369</v>
      </c>
      <c r="C65" s="419"/>
      <c r="D65" s="444">
        <f>'12. RTSR - Historical Wholesale'!D64</f>
        <v>0</v>
      </c>
      <c r="E65" s="438">
        <f t="shared" si="18"/>
        <v>0</v>
      </c>
      <c r="F65" s="445">
        <f t="shared" si="15"/>
        <v>0</v>
      </c>
      <c r="G65" s="419"/>
      <c r="H65" s="444">
        <f>'12. RTSR - Historical Wholesale'!H64</f>
        <v>0</v>
      </c>
      <c r="I65" s="438">
        <f t="shared" si="19"/>
        <v>0</v>
      </c>
      <c r="J65" s="445">
        <f t="shared" si="16"/>
        <v>0</v>
      </c>
      <c r="K65" s="419"/>
      <c r="L65" s="444">
        <f>'12. RTSR - Historical Wholesale'!L64</f>
        <v>0</v>
      </c>
      <c r="M65" s="438">
        <f t="shared" si="20"/>
        <v>0</v>
      </c>
      <c r="N65" s="445">
        <f t="shared" si="17"/>
        <v>0</v>
      </c>
      <c r="O65" s="419"/>
      <c r="P65" s="425">
        <f t="shared" si="14"/>
        <v>0</v>
      </c>
      <c r="Q65" s="369"/>
    </row>
    <row r="66" spans="2:17" x14ac:dyDescent="0.35">
      <c r="B66" s="420" t="s">
        <v>370</v>
      </c>
      <c r="C66" s="419"/>
      <c r="D66" s="444">
        <f>'12. RTSR - Historical Wholesale'!D65</f>
        <v>0</v>
      </c>
      <c r="E66" s="438">
        <f t="shared" si="18"/>
        <v>0</v>
      </c>
      <c r="F66" s="445">
        <f t="shared" si="15"/>
        <v>0</v>
      </c>
      <c r="G66" s="419"/>
      <c r="H66" s="444">
        <f>'12. RTSR - Historical Wholesale'!H65</f>
        <v>0</v>
      </c>
      <c r="I66" s="438">
        <f t="shared" si="19"/>
        <v>0</v>
      </c>
      <c r="J66" s="445">
        <f t="shared" si="16"/>
        <v>0</v>
      </c>
      <c r="K66" s="419"/>
      <c r="L66" s="444">
        <f>'12. RTSR - Historical Wholesale'!L65</f>
        <v>0</v>
      </c>
      <c r="M66" s="438">
        <f t="shared" si="20"/>
        <v>0</v>
      </c>
      <c r="N66" s="445">
        <f t="shared" si="17"/>
        <v>0</v>
      </c>
      <c r="O66" s="419"/>
      <c r="P66" s="425">
        <f t="shared" si="14"/>
        <v>0</v>
      </c>
      <c r="Q66" s="369"/>
    </row>
    <row r="67" spans="2:17" x14ac:dyDescent="0.35">
      <c r="B67" s="420" t="s">
        <v>371</v>
      </c>
      <c r="C67" s="419"/>
      <c r="D67" s="444">
        <f>'12. RTSR - Historical Wholesale'!D66</f>
        <v>0</v>
      </c>
      <c r="E67" s="438">
        <f t="shared" si="18"/>
        <v>0</v>
      </c>
      <c r="F67" s="445">
        <f t="shared" si="15"/>
        <v>0</v>
      </c>
      <c r="G67" s="419"/>
      <c r="H67" s="444">
        <f>'12. RTSR - Historical Wholesale'!H66</f>
        <v>0</v>
      </c>
      <c r="I67" s="438">
        <f t="shared" si="19"/>
        <v>0</v>
      </c>
      <c r="J67" s="445">
        <f t="shared" si="16"/>
        <v>0</v>
      </c>
      <c r="K67" s="419"/>
      <c r="L67" s="444">
        <f>'12. RTSR - Historical Wholesale'!L66</f>
        <v>0</v>
      </c>
      <c r="M67" s="438">
        <f t="shared" si="20"/>
        <v>0</v>
      </c>
      <c r="N67" s="445">
        <f t="shared" si="17"/>
        <v>0</v>
      </c>
      <c r="O67" s="419"/>
      <c r="P67" s="425">
        <f t="shared" si="14"/>
        <v>0</v>
      </c>
      <c r="Q67" s="369"/>
    </row>
    <row r="68" spans="2:17" x14ac:dyDescent="0.35">
      <c r="B68" s="420" t="s">
        <v>372</v>
      </c>
      <c r="C68" s="419"/>
      <c r="D68" s="444">
        <f>'12. RTSR - Historical Wholesale'!D67</f>
        <v>0</v>
      </c>
      <c r="E68" s="438">
        <f t="shared" si="18"/>
        <v>0</v>
      </c>
      <c r="F68" s="445">
        <f t="shared" si="15"/>
        <v>0</v>
      </c>
      <c r="G68" s="419"/>
      <c r="H68" s="444">
        <f>'12. RTSR - Historical Wholesale'!H67</f>
        <v>0</v>
      </c>
      <c r="I68" s="438">
        <f t="shared" si="19"/>
        <v>0</v>
      </c>
      <c r="J68" s="445">
        <f t="shared" si="16"/>
        <v>0</v>
      </c>
      <c r="K68" s="419"/>
      <c r="L68" s="444">
        <f>'12. RTSR - Historical Wholesale'!L67</f>
        <v>0</v>
      </c>
      <c r="M68" s="438">
        <f t="shared" si="20"/>
        <v>0</v>
      </c>
      <c r="N68" s="445">
        <f t="shared" si="17"/>
        <v>0</v>
      </c>
      <c r="O68" s="419"/>
      <c r="P68" s="425">
        <f t="shared" si="14"/>
        <v>0</v>
      </c>
      <c r="Q68" s="369"/>
    </row>
    <row r="69" spans="2:17" x14ac:dyDescent="0.35">
      <c r="B69" s="420" t="s">
        <v>373</v>
      </c>
      <c r="C69" s="419"/>
      <c r="D69" s="444">
        <f>'12. RTSR - Historical Wholesale'!D68</f>
        <v>0</v>
      </c>
      <c r="E69" s="438">
        <f t="shared" si="18"/>
        <v>0</v>
      </c>
      <c r="F69" s="445">
        <f t="shared" si="15"/>
        <v>0</v>
      </c>
      <c r="G69" s="419"/>
      <c r="H69" s="444">
        <f>'12. RTSR - Historical Wholesale'!H68</f>
        <v>0</v>
      </c>
      <c r="I69" s="438">
        <f t="shared" si="19"/>
        <v>0</v>
      </c>
      <c r="J69" s="445">
        <f t="shared" si="16"/>
        <v>0</v>
      </c>
      <c r="K69" s="419"/>
      <c r="L69" s="444">
        <f>'12. RTSR - Historical Wholesale'!L68</f>
        <v>0</v>
      </c>
      <c r="M69" s="438">
        <f t="shared" si="20"/>
        <v>0</v>
      </c>
      <c r="N69" s="445">
        <f t="shared" si="17"/>
        <v>0</v>
      </c>
      <c r="O69" s="419"/>
      <c r="P69" s="425">
        <f t="shared" si="14"/>
        <v>0</v>
      </c>
      <c r="Q69" s="369"/>
    </row>
    <row r="70" spans="2:17" x14ac:dyDescent="0.35">
      <c r="B70" s="419"/>
      <c r="C70" s="419"/>
      <c r="D70" s="419"/>
      <c r="E70" s="419"/>
      <c r="F70" s="419"/>
      <c r="G70" s="419"/>
      <c r="H70" s="419"/>
      <c r="I70" s="419"/>
      <c r="J70" s="419"/>
      <c r="K70" s="419"/>
      <c r="L70" s="419"/>
      <c r="M70" s="419"/>
      <c r="N70" s="419"/>
      <c r="O70" s="419"/>
      <c r="P70" s="419"/>
      <c r="Q70" s="369"/>
    </row>
    <row r="71" spans="2:17" ht="15" thickBot="1" x14ac:dyDescent="0.4">
      <c r="B71" s="416" t="s">
        <v>268</v>
      </c>
      <c r="C71" s="419"/>
      <c r="D71" s="426">
        <f>SUM(D58:D69)</f>
        <v>0</v>
      </c>
      <c r="E71" s="427">
        <f>IF(D71&lt;&gt;0,F71/D71,0)</f>
        <v>0</v>
      </c>
      <c r="F71" s="428">
        <f>SUM(F58:F69)</f>
        <v>0</v>
      </c>
      <c r="G71" s="419"/>
      <c r="H71" s="426">
        <f>SUM(H58:H69)</f>
        <v>0</v>
      </c>
      <c r="I71" s="427">
        <f>IF(H71&lt;&gt;0,J71/H71,0)</f>
        <v>0</v>
      </c>
      <c r="J71" s="428">
        <f>SUM(J58:J69)</f>
        <v>0</v>
      </c>
      <c r="K71" s="419"/>
      <c r="L71" s="426">
        <f>SUM(L58:L69)</f>
        <v>0</v>
      </c>
      <c r="M71" s="427">
        <f>IF(L71&lt;&gt;0,N71/L71,0)</f>
        <v>0</v>
      </c>
      <c r="N71" s="428">
        <f>SUM(N58:N69)</f>
        <v>0</v>
      </c>
      <c r="O71" s="419"/>
      <c r="P71" s="428">
        <f>SUM(P58:P69)</f>
        <v>0</v>
      </c>
      <c r="Q71" s="369"/>
    </row>
    <row r="72" spans="2:17" x14ac:dyDescent="0.35">
      <c r="B72" s="419"/>
      <c r="C72" s="419"/>
      <c r="D72" s="419"/>
      <c r="E72" s="419"/>
      <c r="F72" s="419"/>
      <c r="G72" s="419"/>
      <c r="H72" s="419"/>
      <c r="I72" s="419"/>
      <c r="J72" s="419"/>
      <c r="K72" s="419"/>
      <c r="L72" s="419"/>
      <c r="M72" s="419"/>
      <c r="N72" s="419"/>
      <c r="O72" s="419"/>
      <c r="P72" s="419"/>
      <c r="Q72" s="369"/>
    </row>
    <row r="73" spans="2:17" x14ac:dyDescent="0.35">
      <c r="B73" s="413" t="str">
        <f>'12. RTSR - Historical Wholesale'!B72</f>
        <v>Add Extra Host Here (II)</v>
      </c>
      <c r="C73" s="414"/>
      <c r="D73" s="714" t="s">
        <v>355</v>
      </c>
      <c r="E73" s="714"/>
      <c r="F73" s="714"/>
      <c r="G73" s="414"/>
      <c r="H73" s="714" t="s">
        <v>356</v>
      </c>
      <c r="I73" s="714"/>
      <c r="J73" s="714"/>
      <c r="K73" s="414"/>
      <c r="L73" s="714" t="s">
        <v>357</v>
      </c>
      <c r="M73" s="714"/>
      <c r="N73" s="714"/>
      <c r="O73" s="414"/>
      <c r="P73" s="413" t="s">
        <v>358</v>
      </c>
      <c r="Q73" s="369"/>
    </row>
    <row r="74" spans="2:17" x14ac:dyDescent="0.35">
      <c r="B74" s="416"/>
      <c r="C74" s="419"/>
      <c r="D74" s="443"/>
      <c r="E74" s="443"/>
      <c r="F74" s="443"/>
      <c r="G74" s="419"/>
      <c r="H74" s="443"/>
      <c r="I74" s="443"/>
      <c r="J74" s="443"/>
      <c r="K74" s="419"/>
      <c r="L74" s="443"/>
      <c r="M74" s="443"/>
      <c r="N74" s="443"/>
      <c r="O74" s="419"/>
      <c r="P74" s="443"/>
      <c r="Q74" s="369"/>
    </row>
    <row r="75" spans="2:17" x14ac:dyDescent="0.35">
      <c r="B75" s="416" t="s">
        <v>359</v>
      </c>
      <c r="C75" s="419"/>
      <c r="D75" s="443" t="s">
        <v>360</v>
      </c>
      <c r="E75" s="443" t="s">
        <v>325</v>
      </c>
      <c r="F75" s="443" t="s">
        <v>361</v>
      </c>
      <c r="G75" s="419"/>
      <c r="H75" s="443" t="s">
        <v>360</v>
      </c>
      <c r="I75" s="443" t="s">
        <v>325</v>
      </c>
      <c r="J75" s="443" t="s">
        <v>361</v>
      </c>
      <c r="K75" s="419"/>
      <c r="L75" s="443" t="s">
        <v>360</v>
      </c>
      <c r="M75" s="443" t="s">
        <v>325</v>
      </c>
      <c r="N75" s="443" t="s">
        <v>361</v>
      </c>
      <c r="O75" s="419"/>
      <c r="P75" s="443" t="s">
        <v>361</v>
      </c>
      <c r="Q75" s="369"/>
    </row>
    <row r="76" spans="2:17" x14ac:dyDescent="0.35">
      <c r="B76" s="419"/>
      <c r="C76" s="419"/>
      <c r="D76" s="419"/>
      <c r="E76" s="419"/>
      <c r="F76" s="419"/>
      <c r="G76" s="419"/>
      <c r="H76" s="419"/>
      <c r="I76" s="419"/>
      <c r="J76" s="419"/>
      <c r="K76" s="419"/>
      <c r="L76" s="419"/>
      <c r="M76" s="419"/>
      <c r="N76" s="419"/>
      <c r="O76" s="419"/>
      <c r="P76" s="419"/>
      <c r="Q76" s="369"/>
    </row>
    <row r="77" spans="2:17" x14ac:dyDescent="0.35">
      <c r="B77" s="420" t="s">
        <v>362</v>
      </c>
      <c r="C77" s="419"/>
      <c r="D77" s="444">
        <f>'12. RTSR - Historical Wholesale'!D76</f>
        <v>0</v>
      </c>
      <c r="E77" s="438">
        <f>'11. RTSR - UTRs &amp; Sub-Tx'!H65</f>
        <v>0</v>
      </c>
      <c r="F77" s="445">
        <f>D77*E77</f>
        <v>0</v>
      </c>
      <c r="G77" s="419"/>
      <c r="H77" s="444">
        <f>'12. RTSR - Historical Wholesale'!H76</f>
        <v>0</v>
      </c>
      <c r="I77" s="438">
        <f>'11. RTSR - UTRs &amp; Sub-Tx'!H67</f>
        <v>0</v>
      </c>
      <c r="J77" s="445">
        <f>H77*I77</f>
        <v>0</v>
      </c>
      <c r="K77" s="419"/>
      <c r="L77" s="444">
        <f>'12. RTSR - Historical Wholesale'!L76</f>
        <v>0</v>
      </c>
      <c r="M77" s="438">
        <f>'11. RTSR - UTRs &amp; Sub-Tx'!H69</f>
        <v>0</v>
      </c>
      <c r="N77" s="445">
        <f>L77*M77</f>
        <v>0</v>
      </c>
      <c r="O77" s="419"/>
      <c r="P77" s="425">
        <f t="shared" ref="P77:P88" si="21">J77+N77</f>
        <v>0</v>
      </c>
      <c r="Q77" s="369"/>
    </row>
    <row r="78" spans="2:17" x14ac:dyDescent="0.35">
      <c r="B78" s="420" t="s">
        <v>363</v>
      </c>
      <c r="C78" s="419"/>
      <c r="D78" s="444">
        <f>'12. RTSR - Historical Wholesale'!D77</f>
        <v>0</v>
      </c>
      <c r="E78" s="438">
        <f>E77</f>
        <v>0</v>
      </c>
      <c r="F78" s="445">
        <f t="shared" ref="F78:F88" si="22">D78*E78</f>
        <v>0</v>
      </c>
      <c r="G78" s="419"/>
      <c r="H78" s="444">
        <f>'12. RTSR - Historical Wholesale'!H77</f>
        <v>0</v>
      </c>
      <c r="I78" s="438">
        <f>I77</f>
        <v>0</v>
      </c>
      <c r="J78" s="445">
        <f t="shared" ref="J78:J88" si="23">H78*I78</f>
        <v>0</v>
      </c>
      <c r="K78" s="419"/>
      <c r="L78" s="444">
        <f>'12. RTSR - Historical Wholesale'!L77</f>
        <v>0</v>
      </c>
      <c r="M78" s="438">
        <f>M77</f>
        <v>0</v>
      </c>
      <c r="N78" s="445">
        <f t="shared" ref="N78:N88" si="24">L78*M78</f>
        <v>0</v>
      </c>
      <c r="O78" s="419"/>
      <c r="P78" s="425">
        <f t="shared" si="21"/>
        <v>0</v>
      </c>
      <c r="Q78" s="369"/>
    </row>
    <row r="79" spans="2:17" x14ac:dyDescent="0.35">
      <c r="B79" s="420" t="s">
        <v>364</v>
      </c>
      <c r="C79" s="419"/>
      <c r="D79" s="444">
        <f>'12. RTSR - Historical Wholesale'!D78</f>
        <v>0</v>
      </c>
      <c r="E79" s="438">
        <f t="shared" ref="E79:E88" si="25">E78</f>
        <v>0</v>
      </c>
      <c r="F79" s="445">
        <f t="shared" si="22"/>
        <v>0</v>
      </c>
      <c r="G79" s="419"/>
      <c r="H79" s="444">
        <f>'12. RTSR - Historical Wholesale'!H78</f>
        <v>0</v>
      </c>
      <c r="I79" s="438">
        <f t="shared" ref="I79:I88" si="26">I78</f>
        <v>0</v>
      </c>
      <c r="J79" s="445">
        <f t="shared" si="23"/>
        <v>0</v>
      </c>
      <c r="K79" s="419"/>
      <c r="L79" s="444">
        <f>'12. RTSR - Historical Wholesale'!L78</f>
        <v>0</v>
      </c>
      <c r="M79" s="438">
        <f>M78</f>
        <v>0</v>
      </c>
      <c r="N79" s="445">
        <f t="shared" si="24"/>
        <v>0</v>
      </c>
      <c r="O79" s="419"/>
      <c r="P79" s="425">
        <f t="shared" si="21"/>
        <v>0</v>
      </c>
      <c r="Q79" s="369"/>
    </row>
    <row r="80" spans="2:17" x14ac:dyDescent="0.35">
      <c r="B80" s="420" t="s">
        <v>365</v>
      </c>
      <c r="C80" s="419"/>
      <c r="D80" s="444">
        <f>'12. RTSR - Historical Wholesale'!D79</f>
        <v>0</v>
      </c>
      <c r="E80" s="438">
        <f t="shared" si="25"/>
        <v>0</v>
      </c>
      <c r="F80" s="445">
        <f t="shared" si="22"/>
        <v>0</v>
      </c>
      <c r="G80" s="419"/>
      <c r="H80" s="444">
        <f>'12. RTSR - Historical Wholesale'!H79</f>
        <v>0</v>
      </c>
      <c r="I80" s="438">
        <f t="shared" si="26"/>
        <v>0</v>
      </c>
      <c r="J80" s="445">
        <f t="shared" si="23"/>
        <v>0</v>
      </c>
      <c r="K80" s="419"/>
      <c r="L80" s="444">
        <f>'12. RTSR - Historical Wholesale'!L79</f>
        <v>0</v>
      </c>
      <c r="M80" s="438">
        <f t="shared" ref="M80:M88" si="27">M79</f>
        <v>0</v>
      </c>
      <c r="N80" s="445">
        <f t="shared" si="24"/>
        <v>0</v>
      </c>
      <c r="O80" s="419"/>
      <c r="P80" s="425">
        <f t="shared" si="21"/>
        <v>0</v>
      </c>
      <c r="Q80" s="369"/>
    </row>
    <row r="81" spans="2:17" x14ac:dyDescent="0.35">
      <c r="B81" s="420" t="s">
        <v>366</v>
      </c>
      <c r="C81" s="419"/>
      <c r="D81" s="444">
        <f>'12. RTSR - Historical Wholesale'!D80</f>
        <v>0</v>
      </c>
      <c r="E81" s="438">
        <f t="shared" si="25"/>
        <v>0</v>
      </c>
      <c r="F81" s="445">
        <f t="shared" si="22"/>
        <v>0</v>
      </c>
      <c r="G81" s="419"/>
      <c r="H81" s="444">
        <f>'12. RTSR - Historical Wholesale'!H80</f>
        <v>0</v>
      </c>
      <c r="I81" s="438">
        <f t="shared" si="26"/>
        <v>0</v>
      </c>
      <c r="J81" s="445">
        <f t="shared" si="23"/>
        <v>0</v>
      </c>
      <c r="K81" s="419"/>
      <c r="L81" s="444">
        <f>'12. RTSR - Historical Wholesale'!L80</f>
        <v>0</v>
      </c>
      <c r="M81" s="438">
        <f t="shared" si="27"/>
        <v>0</v>
      </c>
      <c r="N81" s="445">
        <f t="shared" si="24"/>
        <v>0</v>
      </c>
      <c r="O81" s="419"/>
      <c r="P81" s="425">
        <f t="shared" si="21"/>
        <v>0</v>
      </c>
      <c r="Q81" s="369"/>
    </row>
    <row r="82" spans="2:17" x14ac:dyDescent="0.35">
      <c r="B82" s="420" t="s">
        <v>367</v>
      </c>
      <c r="C82" s="419"/>
      <c r="D82" s="444">
        <f>'12. RTSR - Historical Wholesale'!D81</f>
        <v>0</v>
      </c>
      <c r="E82" s="438">
        <f t="shared" si="25"/>
        <v>0</v>
      </c>
      <c r="F82" s="445">
        <f t="shared" si="22"/>
        <v>0</v>
      </c>
      <c r="G82" s="419"/>
      <c r="H82" s="444">
        <f>'12. RTSR - Historical Wholesale'!H81</f>
        <v>0</v>
      </c>
      <c r="I82" s="438">
        <f t="shared" si="26"/>
        <v>0</v>
      </c>
      <c r="J82" s="445">
        <f t="shared" si="23"/>
        <v>0</v>
      </c>
      <c r="K82" s="419"/>
      <c r="L82" s="444">
        <f>'12. RTSR - Historical Wholesale'!L81</f>
        <v>0</v>
      </c>
      <c r="M82" s="438">
        <f t="shared" si="27"/>
        <v>0</v>
      </c>
      <c r="N82" s="445">
        <f t="shared" si="24"/>
        <v>0</v>
      </c>
      <c r="O82" s="419"/>
      <c r="P82" s="425">
        <f t="shared" si="21"/>
        <v>0</v>
      </c>
      <c r="Q82" s="369"/>
    </row>
    <row r="83" spans="2:17" x14ac:dyDescent="0.35">
      <c r="B83" s="420" t="s">
        <v>368</v>
      </c>
      <c r="C83" s="419"/>
      <c r="D83" s="444">
        <f>'12. RTSR - Historical Wholesale'!D82</f>
        <v>0</v>
      </c>
      <c r="E83" s="438">
        <f t="shared" si="25"/>
        <v>0</v>
      </c>
      <c r="F83" s="445">
        <f t="shared" si="22"/>
        <v>0</v>
      </c>
      <c r="G83" s="419"/>
      <c r="H83" s="444">
        <f>'12. RTSR - Historical Wholesale'!H82</f>
        <v>0</v>
      </c>
      <c r="I83" s="438">
        <f t="shared" si="26"/>
        <v>0</v>
      </c>
      <c r="J83" s="445">
        <f t="shared" si="23"/>
        <v>0</v>
      </c>
      <c r="K83" s="419"/>
      <c r="L83" s="444">
        <f>'12. RTSR - Historical Wholesale'!L82</f>
        <v>0</v>
      </c>
      <c r="M83" s="438">
        <f t="shared" si="27"/>
        <v>0</v>
      </c>
      <c r="N83" s="445">
        <f t="shared" si="24"/>
        <v>0</v>
      </c>
      <c r="O83" s="419"/>
      <c r="P83" s="425">
        <f t="shared" si="21"/>
        <v>0</v>
      </c>
      <c r="Q83" s="369"/>
    </row>
    <row r="84" spans="2:17" x14ac:dyDescent="0.35">
      <c r="B84" s="420" t="s">
        <v>369</v>
      </c>
      <c r="C84" s="419"/>
      <c r="D84" s="444">
        <f>'12. RTSR - Historical Wholesale'!D83</f>
        <v>0</v>
      </c>
      <c r="E84" s="438">
        <f t="shared" si="25"/>
        <v>0</v>
      </c>
      <c r="F84" s="445">
        <f t="shared" si="22"/>
        <v>0</v>
      </c>
      <c r="G84" s="419"/>
      <c r="H84" s="444">
        <f>'12. RTSR - Historical Wholesale'!H83</f>
        <v>0</v>
      </c>
      <c r="I84" s="438">
        <f t="shared" si="26"/>
        <v>0</v>
      </c>
      <c r="J84" s="445">
        <f t="shared" si="23"/>
        <v>0</v>
      </c>
      <c r="K84" s="419"/>
      <c r="L84" s="444">
        <f>'12. RTSR - Historical Wholesale'!L83</f>
        <v>0</v>
      </c>
      <c r="M84" s="438">
        <f t="shared" si="27"/>
        <v>0</v>
      </c>
      <c r="N84" s="445">
        <f t="shared" si="24"/>
        <v>0</v>
      </c>
      <c r="O84" s="419"/>
      <c r="P84" s="425">
        <f t="shared" si="21"/>
        <v>0</v>
      </c>
      <c r="Q84" s="369"/>
    </row>
    <row r="85" spans="2:17" x14ac:dyDescent="0.35">
      <c r="B85" s="420" t="s">
        <v>370</v>
      </c>
      <c r="C85" s="419"/>
      <c r="D85" s="444">
        <f>'12. RTSR - Historical Wholesale'!D84</f>
        <v>0</v>
      </c>
      <c r="E85" s="438">
        <f t="shared" si="25"/>
        <v>0</v>
      </c>
      <c r="F85" s="445">
        <f t="shared" si="22"/>
        <v>0</v>
      </c>
      <c r="G85" s="419"/>
      <c r="H85" s="444">
        <f>'12. RTSR - Historical Wholesale'!H84</f>
        <v>0</v>
      </c>
      <c r="I85" s="438">
        <f t="shared" si="26"/>
        <v>0</v>
      </c>
      <c r="J85" s="445">
        <f t="shared" si="23"/>
        <v>0</v>
      </c>
      <c r="K85" s="419"/>
      <c r="L85" s="444">
        <f>'12. RTSR - Historical Wholesale'!L84</f>
        <v>0</v>
      </c>
      <c r="M85" s="438">
        <f t="shared" si="27"/>
        <v>0</v>
      </c>
      <c r="N85" s="445">
        <f t="shared" si="24"/>
        <v>0</v>
      </c>
      <c r="O85" s="419"/>
      <c r="P85" s="425">
        <f t="shared" si="21"/>
        <v>0</v>
      </c>
      <c r="Q85" s="369"/>
    </row>
    <row r="86" spans="2:17" x14ac:dyDescent="0.35">
      <c r="B86" s="420" t="s">
        <v>371</v>
      </c>
      <c r="C86" s="419"/>
      <c r="D86" s="444">
        <f>'12. RTSR - Historical Wholesale'!D85</f>
        <v>0</v>
      </c>
      <c r="E86" s="438">
        <f t="shared" si="25"/>
        <v>0</v>
      </c>
      <c r="F86" s="445">
        <f t="shared" si="22"/>
        <v>0</v>
      </c>
      <c r="G86" s="419"/>
      <c r="H86" s="444">
        <f>'12. RTSR - Historical Wholesale'!H85</f>
        <v>0</v>
      </c>
      <c r="I86" s="438">
        <f t="shared" si="26"/>
        <v>0</v>
      </c>
      <c r="J86" s="445">
        <f t="shared" si="23"/>
        <v>0</v>
      </c>
      <c r="K86" s="419"/>
      <c r="L86" s="444">
        <f>'12. RTSR - Historical Wholesale'!L85</f>
        <v>0</v>
      </c>
      <c r="M86" s="438">
        <f t="shared" si="27"/>
        <v>0</v>
      </c>
      <c r="N86" s="445">
        <f t="shared" si="24"/>
        <v>0</v>
      </c>
      <c r="O86" s="419"/>
      <c r="P86" s="425">
        <f t="shared" si="21"/>
        <v>0</v>
      </c>
      <c r="Q86" s="369"/>
    </row>
    <row r="87" spans="2:17" x14ac:dyDescent="0.35">
      <c r="B87" s="420" t="s">
        <v>372</v>
      </c>
      <c r="C87" s="419"/>
      <c r="D87" s="444">
        <f>'12. RTSR - Historical Wholesale'!D86</f>
        <v>0</v>
      </c>
      <c r="E87" s="438">
        <f t="shared" si="25"/>
        <v>0</v>
      </c>
      <c r="F87" s="445">
        <f t="shared" si="22"/>
        <v>0</v>
      </c>
      <c r="G87" s="419"/>
      <c r="H87" s="444">
        <f>'12. RTSR - Historical Wholesale'!H86</f>
        <v>0</v>
      </c>
      <c r="I87" s="438">
        <f t="shared" si="26"/>
        <v>0</v>
      </c>
      <c r="J87" s="445">
        <f t="shared" si="23"/>
        <v>0</v>
      </c>
      <c r="K87" s="419"/>
      <c r="L87" s="444">
        <f>'12. RTSR - Historical Wholesale'!L86</f>
        <v>0</v>
      </c>
      <c r="M87" s="438">
        <f t="shared" si="27"/>
        <v>0</v>
      </c>
      <c r="N87" s="445">
        <f t="shared" si="24"/>
        <v>0</v>
      </c>
      <c r="O87" s="419"/>
      <c r="P87" s="425">
        <f t="shared" si="21"/>
        <v>0</v>
      </c>
      <c r="Q87" s="369"/>
    </row>
    <row r="88" spans="2:17" x14ac:dyDescent="0.35">
      <c r="B88" s="420" t="s">
        <v>373</v>
      </c>
      <c r="C88" s="419"/>
      <c r="D88" s="444">
        <f>'12. RTSR - Historical Wholesale'!D87</f>
        <v>0</v>
      </c>
      <c r="E88" s="438">
        <f t="shared" si="25"/>
        <v>0</v>
      </c>
      <c r="F88" s="445">
        <f t="shared" si="22"/>
        <v>0</v>
      </c>
      <c r="G88" s="419"/>
      <c r="H88" s="444">
        <f>'12. RTSR - Historical Wholesale'!H87</f>
        <v>0</v>
      </c>
      <c r="I88" s="438">
        <f t="shared" si="26"/>
        <v>0</v>
      </c>
      <c r="J88" s="445">
        <f t="shared" si="23"/>
        <v>0</v>
      </c>
      <c r="K88" s="419"/>
      <c r="L88" s="444">
        <f>'12. RTSR - Historical Wholesale'!L87</f>
        <v>0</v>
      </c>
      <c r="M88" s="438">
        <f t="shared" si="27"/>
        <v>0</v>
      </c>
      <c r="N88" s="445">
        <f t="shared" si="24"/>
        <v>0</v>
      </c>
      <c r="O88" s="419"/>
      <c r="P88" s="425">
        <f t="shared" si="21"/>
        <v>0</v>
      </c>
      <c r="Q88" s="369"/>
    </row>
    <row r="89" spans="2:17" x14ac:dyDescent="0.35">
      <c r="B89" s="419"/>
      <c r="C89" s="419"/>
      <c r="D89" s="419"/>
      <c r="E89" s="419"/>
      <c r="F89" s="419"/>
      <c r="G89" s="419"/>
      <c r="H89" s="419"/>
      <c r="I89" s="419"/>
      <c r="J89" s="419"/>
      <c r="K89" s="419"/>
      <c r="L89" s="419"/>
      <c r="M89" s="419"/>
      <c r="N89" s="419"/>
      <c r="O89" s="419"/>
      <c r="P89" s="419"/>
      <c r="Q89" s="369"/>
    </row>
    <row r="90" spans="2:17" ht="15" thickBot="1" x14ac:dyDescent="0.4">
      <c r="B90" s="416" t="s">
        <v>268</v>
      </c>
      <c r="C90" s="419"/>
      <c r="D90" s="426">
        <f>SUM(D77:D88)</f>
        <v>0</v>
      </c>
      <c r="E90" s="427">
        <f>IF(D90&lt;&gt;0,F90/D90,0)</f>
        <v>0</v>
      </c>
      <c r="F90" s="428">
        <f>SUM(F77:F88)</f>
        <v>0</v>
      </c>
      <c r="G90" s="419"/>
      <c r="H90" s="426">
        <f>SUM(H77:H88)</f>
        <v>0</v>
      </c>
      <c r="I90" s="427">
        <f>IF(H90&lt;&gt;0,J90/H90,0)</f>
        <v>0</v>
      </c>
      <c r="J90" s="428">
        <f>SUM(J77:J88)</f>
        <v>0</v>
      </c>
      <c r="K90" s="419"/>
      <c r="L90" s="426">
        <f>SUM(L77:L88)</f>
        <v>0</v>
      </c>
      <c r="M90" s="427">
        <f>IF(L90&lt;&gt;0,N90/L90,0)</f>
        <v>0</v>
      </c>
      <c r="N90" s="428">
        <f>SUM(N77:N88)</f>
        <v>0</v>
      </c>
      <c r="O90" s="419"/>
      <c r="P90" s="428">
        <f>SUM(P77:P88)</f>
        <v>0</v>
      </c>
      <c r="Q90" s="369"/>
    </row>
    <row r="91" spans="2:17" x14ac:dyDescent="0.35">
      <c r="B91" s="419"/>
      <c r="C91" s="419"/>
      <c r="D91" s="419"/>
      <c r="E91" s="419"/>
      <c r="F91" s="419"/>
      <c r="G91" s="419"/>
      <c r="H91" s="419"/>
      <c r="I91" s="419"/>
      <c r="J91" s="419"/>
      <c r="K91" s="419"/>
      <c r="L91" s="419"/>
      <c r="M91" s="419"/>
      <c r="N91" s="419"/>
      <c r="O91" s="419"/>
      <c r="P91" s="419"/>
      <c r="Q91" s="369"/>
    </row>
    <row r="92" spans="2:17" x14ac:dyDescent="0.35">
      <c r="B92" s="413" t="s">
        <v>268</v>
      </c>
      <c r="C92" s="414"/>
      <c r="D92" s="714" t="s">
        <v>355</v>
      </c>
      <c r="E92" s="714"/>
      <c r="F92" s="714"/>
      <c r="G92" s="414"/>
      <c r="H92" s="714" t="s">
        <v>356</v>
      </c>
      <c r="I92" s="714"/>
      <c r="J92" s="714"/>
      <c r="K92" s="414"/>
      <c r="L92" s="714" t="s">
        <v>357</v>
      </c>
      <c r="M92" s="714"/>
      <c r="N92" s="714"/>
      <c r="O92" s="414"/>
      <c r="P92" s="413" t="s">
        <v>358</v>
      </c>
      <c r="Q92" s="369"/>
    </row>
    <row r="93" spans="2:17" x14ac:dyDescent="0.35">
      <c r="B93" s="419"/>
      <c r="C93" s="419"/>
      <c r="D93" s="715"/>
      <c r="E93" s="715"/>
      <c r="F93" s="715"/>
      <c r="G93" s="435"/>
      <c r="H93" s="715"/>
      <c r="I93" s="715"/>
      <c r="J93" s="715"/>
      <c r="K93" s="435"/>
      <c r="L93" s="715"/>
      <c r="M93" s="715"/>
      <c r="N93" s="715"/>
      <c r="O93" s="435"/>
      <c r="P93" s="436"/>
      <c r="Q93" s="369"/>
    </row>
    <row r="94" spans="2:17" x14ac:dyDescent="0.35">
      <c r="B94" s="416" t="s">
        <v>359</v>
      </c>
      <c r="C94" s="419"/>
      <c r="D94" s="443" t="s">
        <v>360</v>
      </c>
      <c r="E94" s="443" t="s">
        <v>325</v>
      </c>
      <c r="F94" s="443" t="s">
        <v>361</v>
      </c>
      <c r="G94" s="419"/>
      <c r="H94" s="443" t="s">
        <v>360</v>
      </c>
      <c r="I94" s="443" t="s">
        <v>325</v>
      </c>
      <c r="J94" s="443" t="s">
        <v>361</v>
      </c>
      <c r="K94" s="419"/>
      <c r="L94" s="443" t="s">
        <v>360</v>
      </c>
      <c r="M94" s="443" t="s">
        <v>325</v>
      </c>
      <c r="N94" s="443" t="s">
        <v>361</v>
      </c>
      <c r="O94" s="419"/>
      <c r="P94" s="443" t="s">
        <v>361</v>
      </c>
      <c r="Q94" s="369"/>
    </row>
    <row r="95" spans="2:17" x14ac:dyDescent="0.35">
      <c r="B95" s="419"/>
      <c r="C95" s="419"/>
      <c r="D95" s="419"/>
      <c r="E95" s="419"/>
      <c r="F95" s="419"/>
      <c r="G95" s="419"/>
      <c r="H95" s="419"/>
      <c r="I95" s="419"/>
      <c r="J95" s="419"/>
      <c r="K95" s="419"/>
      <c r="L95" s="419"/>
      <c r="M95" s="419"/>
      <c r="N95" s="419"/>
      <c r="O95" s="419"/>
      <c r="P95" s="419"/>
      <c r="Q95" s="369"/>
    </row>
    <row r="96" spans="2:17" x14ac:dyDescent="0.35">
      <c r="B96" s="420" t="s">
        <v>362</v>
      </c>
      <c r="C96" s="419"/>
      <c r="D96" s="437">
        <f>D20+D39+D58+D77</f>
        <v>3478681</v>
      </c>
      <c r="E96" s="438">
        <f t="shared" ref="E96:E107" si="28">IF(D96&lt;&gt;0,F96/D96,0)</f>
        <v>4.67</v>
      </c>
      <c r="F96" s="425">
        <f>F20+F39+F58+F77</f>
        <v>16245440.27</v>
      </c>
      <c r="G96" s="419"/>
      <c r="H96" s="437">
        <f>H20+H39+H58+H77</f>
        <v>3487971</v>
      </c>
      <c r="I96" s="438">
        <f t="shared" ref="I96:I107" si="29">IF(H96&lt;&gt;0,J96/H96,0)</f>
        <v>0.77</v>
      </c>
      <c r="J96" s="425">
        <f>J20+J39+J58+J77</f>
        <v>2685737.67</v>
      </c>
      <c r="K96" s="419"/>
      <c r="L96" s="437">
        <f>L20+L39+L58+L77</f>
        <v>3564191</v>
      </c>
      <c r="M96" s="438">
        <f t="shared" ref="M96:M107" si="30">IF(L96&lt;&gt;0,N96/L96,0)</f>
        <v>2.5299999999999998</v>
      </c>
      <c r="N96" s="425">
        <f>N20+N39+N58+N77</f>
        <v>9017403.2299999986</v>
      </c>
      <c r="O96" s="419"/>
      <c r="P96" s="425">
        <f t="shared" ref="P96:P107" si="31">J96+N96</f>
        <v>11703140.899999999</v>
      </c>
      <c r="Q96" s="369"/>
    </row>
    <row r="97" spans="2:17" x14ac:dyDescent="0.35">
      <c r="B97" s="420" t="s">
        <v>363</v>
      </c>
      <c r="C97" s="419"/>
      <c r="D97" s="437">
        <f t="shared" ref="D97:D107" si="32">D21+D40+D59+D78</f>
        <v>3513456</v>
      </c>
      <c r="E97" s="438">
        <f t="shared" si="28"/>
        <v>4.67</v>
      </c>
      <c r="F97" s="425">
        <f t="shared" ref="F97:F107" si="33">F21+F40+F59+F78</f>
        <v>16407839.52</v>
      </c>
      <c r="G97" s="419"/>
      <c r="H97" s="437">
        <f t="shared" ref="H97:H107" si="34">H21+H40+H59+H78</f>
        <v>3483216</v>
      </c>
      <c r="I97" s="438">
        <f t="shared" si="29"/>
        <v>0.76999999999999991</v>
      </c>
      <c r="J97" s="425">
        <f t="shared" ref="J97:J107" si="35">J21+J40+J59+J78</f>
        <v>2682076.3199999998</v>
      </c>
      <c r="K97" s="419"/>
      <c r="L97" s="437">
        <f t="shared" ref="L97:L107" si="36">L21+L40+L59+L78</f>
        <v>3550506</v>
      </c>
      <c r="M97" s="438">
        <f t="shared" si="30"/>
        <v>2.5299999999999998</v>
      </c>
      <c r="N97" s="425">
        <f t="shared" ref="N97:N107" si="37">N21+N40+N59+N78</f>
        <v>8982780.1799999997</v>
      </c>
      <c r="O97" s="419"/>
      <c r="P97" s="425">
        <f t="shared" si="31"/>
        <v>11664856.5</v>
      </c>
      <c r="Q97" s="369"/>
    </row>
    <row r="98" spans="2:17" x14ac:dyDescent="0.35">
      <c r="B98" s="420" t="s">
        <v>364</v>
      </c>
      <c r="C98" s="419"/>
      <c r="D98" s="437">
        <f t="shared" si="32"/>
        <v>3250363</v>
      </c>
      <c r="E98" s="438">
        <f t="shared" si="28"/>
        <v>4.67</v>
      </c>
      <c r="F98" s="425">
        <f t="shared" si="33"/>
        <v>15179195.209999999</v>
      </c>
      <c r="G98" s="419"/>
      <c r="H98" s="437">
        <f t="shared" si="34"/>
        <v>3247015</v>
      </c>
      <c r="I98" s="438">
        <f t="shared" si="29"/>
        <v>0.77000000000000013</v>
      </c>
      <c r="J98" s="425">
        <f t="shared" si="35"/>
        <v>2500201.5500000003</v>
      </c>
      <c r="K98" s="419"/>
      <c r="L98" s="437">
        <f t="shared" si="36"/>
        <v>3294380</v>
      </c>
      <c r="M98" s="438">
        <f t="shared" si="30"/>
        <v>2.5299999999999998</v>
      </c>
      <c r="N98" s="425">
        <f t="shared" si="37"/>
        <v>8334781.3999999994</v>
      </c>
      <c r="O98" s="419"/>
      <c r="P98" s="425">
        <f t="shared" si="31"/>
        <v>10834982.949999999</v>
      </c>
      <c r="Q98" s="369"/>
    </row>
    <row r="99" spans="2:17" x14ac:dyDescent="0.35">
      <c r="B99" s="420" t="s">
        <v>365</v>
      </c>
      <c r="C99" s="419"/>
      <c r="D99" s="437">
        <f t="shared" si="32"/>
        <v>2790782</v>
      </c>
      <c r="E99" s="438">
        <f t="shared" si="28"/>
        <v>4.67</v>
      </c>
      <c r="F99" s="425">
        <f t="shared" si="33"/>
        <v>13032951.939999999</v>
      </c>
      <c r="G99" s="419"/>
      <c r="H99" s="437">
        <f t="shared" si="34"/>
        <v>3070891</v>
      </c>
      <c r="I99" s="438">
        <f t="shared" si="29"/>
        <v>0.76999999999999991</v>
      </c>
      <c r="J99" s="425">
        <f t="shared" si="35"/>
        <v>2364586.0699999998</v>
      </c>
      <c r="K99" s="419"/>
      <c r="L99" s="437">
        <f t="shared" si="36"/>
        <v>3122734</v>
      </c>
      <c r="M99" s="438">
        <f t="shared" si="30"/>
        <v>2.5299999999999998</v>
      </c>
      <c r="N99" s="425">
        <f t="shared" si="37"/>
        <v>7900517.0199999996</v>
      </c>
      <c r="O99" s="419"/>
      <c r="P99" s="425">
        <f t="shared" si="31"/>
        <v>10265103.09</v>
      </c>
      <c r="Q99" s="369"/>
    </row>
    <row r="100" spans="2:17" x14ac:dyDescent="0.35">
      <c r="B100" s="420" t="s">
        <v>366</v>
      </c>
      <c r="C100" s="419"/>
      <c r="D100" s="437">
        <f t="shared" si="32"/>
        <v>3651536</v>
      </c>
      <c r="E100" s="438">
        <f t="shared" si="28"/>
        <v>4.67</v>
      </c>
      <c r="F100" s="425">
        <f t="shared" si="33"/>
        <v>17052673.120000001</v>
      </c>
      <c r="G100" s="419"/>
      <c r="H100" s="437">
        <f t="shared" si="34"/>
        <v>3583048</v>
      </c>
      <c r="I100" s="438">
        <f t="shared" si="29"/>
        <v>0.77</v>
      </c>
      <c r="J100" s="425">
        <f t="shared" si="35"/>
        <v>2758946.96</v>
      </c>
      <c r="K100" s="419"/>
      <c r="L100" s="437">
        <f t="shared" si="36"/>
        <v>3671638</v>
      </c>
      <c r="M100" s="438">
        <f t="shared" si="30"/>
        <v>2.5299999999999998</v>
      </c>
      <c r="N100" s="425">
        <f t="shared" si="37"/>
        <v>9289244.1399999987</v>
      </c>
      <c r="O100" s="419"/>
      <c r="P100" s="425">
        <f t="shared" si="31"/>
        <v>12048191.099999998</v>
      </c>
      <c r="Q100" s="369"/>
    </row>
    <row r="101" spans="2:17" x14ac:dyDescent="0.35">
      <c r="B101" s="420" t="s">
        <v>367</v>
      </c>
      <c r="C101" s="419"/>
      <c r="D101" s="437">
        <f t="shared" si="32"/>
        <v>3846862</v>
      </c>
      <c r="E101" s="438">
        <f t="shared" si="28"/>
        <v>4.67</v>
      </c>
      <c r="F101" s="425">
        <f t="shared" si="33"/>
        <v>17964845.539999999</v>
      </c>
      <c r="G101" s="419"/>
      <c r="H101" s="437">
        <f t="shared" si="34"/>
        <v>3846873</v>
      </c>
      <c r="I101" s="438">
        <f t="shared" si="29"/>
        <v>0.77</v>
      </c>
      <c r="J101" s="425">
        <f t="shared" si="35"/>
        <v>2962092.21</v>
      </c>
      <c r="K101" s="419"/>
      <c r="L101" s="437">
        <f t="shared" si="36"/>
        <v>3927674</v>
      </c>
      <c r="M101" s="438">
        <f t="shared" si="30"/>
        <v>2.5299999999999998</v>
      </c>
      <c r="N101" s="425">
        <f t="shared" si="37"/>
        <v>9937015.2199999988</v>
      </c>
      <c r="O101" s="419"/>
      <c r="P101" s="425">
        <f t="shared" si="31"/>
        <v>12899107.43</v>
      </c>
      <c r="Q101" s="369"/>
    </row>
    <row r="102" spans="2:17" x14ac:dyDescent="0.35">
      <c r="B102" s="420" t="s">
        <v>368</v>
      </c>
      <c r="C102" s="419"/>
      <c r="D102" s="437">
        <f t="shared" si="32"/>
        <v>4503087</v>
      </c>
      <c r="E102" s="438">
        <f t="shared" si="28"/>
        <v>4.9000000000000004</v>
      </c>
      <c r="F102" s="425">
        <f t="shared" si="33"/>
        <v>22065126.300000001</v>
      </c>
      <c r="G102" s="419"/>
      <c r="H102" s="437">
        <f t="shared" si="34"/>
        <v>4403331</v>
      </c>
      <c r="I102" s="438">
        <f t="shared" si="29"/>
        <v>0.81</v>
      </c>
      <c r="J102" s="425">
        <f t="shared" si="35"/>
        <v>3566698.1100000003</v>
      </c>
      <c r="K102" s="419"/>
      <c r="L102" s="437">
        <f t="shared" si="36"/>
        <v>4474032</v>
      </c>
      <c r="M102" s="438">
        <f t="shared" si="30"/>
        <v>2.65</v>
      </c>
      <c r="N102" s="425">
        <f t="shared" si="37"/>
        <v>11856184.799999999</v>
      </c>
      <c r="O102" s="419"/>
      <c r="P102" s="425">
        <f t="shared" si="31"/>
        <v>15422882.91</v>
      </c>
      <c r="Q102" s="369"/>
    </row>
    <row r="103" spans="2:17" x14ac:dyDescent="0.35">
      <c r="B103" s="420" t="s">
        <v>369</v>
      </c>
      <c r="C103" s="419"/>
      <c r="D103" s="437">
        <f t="shared" si="32"/>
        <v>4348672</v>
      </c>
      <c r="E103" s="438">
        <f t="shared" si="28"/>
        <v>4.9000000000000004</v>
      </c>
      <c r="F103" s="425">
        <f t="shared" si="33"/>
        <v>21308492.800000001</v>
      </c>
      <c r="G103" s="419"/>
      <c r="H103" s="437">
        <f t="shared" si="34"/>
        <v>4214534</v>
      </c>
      <c r="I103" s="438">
        <f t="shared" si="29"/>
        <v>0.81</v>
      </c>
      <c r="J103" s="425">
        <f t="shared" si="35"/>
        <v>3413772.54</v>
      </c>
      <c r="K103" s="419"/>
      <c r="L103" s="437">
        <f t="shared" si="36"/>
        <v>4291383</v>
      </c>
      <c r="M103" s="438">
        <f t="shared" si="30"/>
        <v>2.65</v>
      </c>
      <c r="N103" s="425">
        <f t="shared" si="37"/>
        <v>11372164.949999999</v>
      </c>
      <c r="O103" s="419"/>
      <c r="P103" s="425">
        <f t="shared" si="31"/>
        <v>14785937.489999998</v>
      </c>
      <c r="Q103" s="369"/>
    </row>
    <row r="104" spans="2:17" x14ac:dyDescent="0.35">
      <c r="B104" s="420" t="s">
        <v>370</v>
      </c>
      <c r="C104" s="419"/>
      <c r="D104" s="437">
        <f t="shared" si="32"/>
        <v>3695042</v>
      </c>
      <c r="E104" s="438">
        <f t="shared" si="28"/>
        <v>4.9000000000000004</v>
      </c>
      <c r="F104" s="425">
        <f t="shared" si="33"/>
        <v>18105705.800000001</v>
      </c>
      <c r="G104" s="419"/>
      <c r="H104" s="437">
        <f t="shared" si="34"/>
        <v>3610007</v>
      </c>
      <c r="I104" s="438">
        <f t="shared" si="29"/>
        <v>0.81</v>
      </c>
      <c r="J104" s="425">
        <f t="shared" si="35"/>
        <v>2924105.6700000004</v>
      </c>
      <c r="K104" s="419"/>
      <c r="L104" s="437">
        <f t="shared" si="36"/>
        <v>3671785</v>
      </c>
      <c r="M104" s="438">
        <f t="shared" si="30"/>
        <v>2.65</v>
      </c>
      <c r="N104" s="425">
        <f t="shared" si="37"/>
        <v>9730230.25</v>
      </c>
      <c r="O104" s="419"/>
      <c r="P104" s="425">
        <f t="shared" si="31"/>
        <v>12654335.92</v>
      </c>
      <c r="Q104" s="369"/>
    </row>
    <row r="105" spans="2:17" x14ac:dyDescent="0.35">
      <c r="B105" s="420" t="s">
        <v>371</v>
      </c>
      <c r="C105" s="419"/>
      <c r="D105" s="437">
        <f t="shared" si="32"/>
        <v>3020275</v>
      </c>
      <c r="E105" s="438">
        <f t="shared" si="28"/>
        <v>4.9000000000000004</v>
      </c>
      <c r="F105" s="425">
        <f t="shared" si="33"/>
        <v>14799347.500000002</v>
      </c>
      <c r="G105" s="419"/>
      <c r="H105" s="437">
        <f t="shared" si="34"/>
        <v>3008608</v>
      </c>
      <c r="I105" s="438">
        <f t="shared" si="29"/>
        <v>0.80999999999999994</v>
      </c>
      <c r="J105" s="425">
        <f t="shared" si="35"/>
        <v>2436972.48</v>
      </c>
      <c r="K105" s="419"/>
      <c r="L105" s="437">
        <f t="shared" si="36"/>
        <v>3023913</v>
      </c>
      <c r="M105" s="438">
        <f t="shared" si="30"/>
        <v>2.65</v>
      </c>
      <c r="N105" s="425">
        <f t="shared" si="37"/>
        <v>8013369.4500000002</v>
      </c>
      <c r="O105" s="419"/>
      <c r="P105" s="425">
        <f t="shared" si="31"/>
        <v>10450341.93</v>
      </c>
      <c r="Q105" s="369"/>
    </row>
    <row r="106" spans="2:17" x14ac:dyDescent="0.35">
      <c r="B106" s="420" t="s">
        <v>372</v>
      </c>
      <c r="C106" s="419"/>
      <c r="D106" s="437">
        <f t="shared" si="32"/>
        <v>3320584</v>
      </c>
      <c r="E106" s="438">
        <f t="shared" si="28"/>
        <v>4.9000000000000004</v>
      </c>
      <c r="F106" s="425">
        <f t="shared" si="33"/>
        <v>16270861.600000001</v>
      </c>
      <c r="G106" s="419"/>
      <c r="H106" s="437">
        <f t="shared" si="34"/>
        <v>3309690</v>
      </c>
      <c r="I106" s="438">
        <f t="shared" si="29"/>
        <v>0.81000000000000016</v>
      </c>
      <c r="J106" s="425">
        <f t="shared" si="35"/>
        <v>2680848.9000000004</v>
      </c>
      <c r="K106" s="419"/>
      <c r="L106" s="437">
        <f t="shared" si="36"/>
        <v>3344567</v>
      </c>
      <c r="M106" s="438">
        <f t="shared" si="30"/>
        <v>2.6499999999999995</v>
      </c>
      <c r="N106" s="425">
        <f t="shared" si="37"/>
        <v>8863102.5499999989</v>
      </c>
      <c r="O106" s="419"/>
      <c r="P106" s="425">
        <f t="shared" si="31"/>
        <v>11543951.449999999</v>
      </c>
      <c r="Q106" s="369"/>
    </row>
    <row r="107" spans="2:17" x14ac:dyDescent="0.35">
      <c r="B107" s="420" t="s">
        <v>373</v>
      </c>
      <c r="C107" s="419"/>
      <c r="D107" s="437">
        <f t="shared" si="32"/>
        <v>3548237</v>
      </c>
      <c r="E107" s="438">
        <f t="shared" si="28"/>
        <v>4.9000000000000004</v>
      </c>
      <c r="F107" s="425">
        <f t="shared" si="33"/>
        <v>17386361.300000001</v>
      </c>
      <c r="G107" s="419"/>
      <c r="H107" s="437">
        <f t="shared" si="34"/>
        <v>3429058</v>
      </c>
      <c r="I107" s="438">
        <f t="shared" si="29"/>
        <v>0.80999999999999994</v>
      </c>
      <c r="J107" s="425">
        <f t="shared" si="35"/>
        <v>2777536.98</v>
      </c>
      <c r="K107" s="419"/>
      <c r="L107" s="437">
        <f t="shared" si="36"/>
        <v>3475432</v>
      </c>
      <c r="M107" s="438">
        <f t="shared" si="30"/>
        <v>2.6499999999999995</v>
      </c>
      <c r="N107" s="425">
        <f t="shared" si="37"/>
        <v>9209894.7999999989</v>
      </c>
      <c r="O107" s="419"/>
      <c r="P107" s="425">
        <f t="shared" si="31"/>
        <v>11987431.779999999</v>
      </c>
      <c r="Q107" s="369"/>
    </row>
    <row r="108" spans="2:17" x14ac:dyDescent="0.35">
      <c r="B108" s="419"/>
      <c r="C108" s="419"/>
      <c r="D108" s="419"/>
      <c r="E108" s="419"/>
      <c r="F108" s="419"/>
      <c r="G108" s="419"/>
      <c r="H108" s="419"/>
      <c r="I108" s="419"/>
      <c r="J108" s="419"/>
      <c r="K108" s="419"/>
      <c r="L108" s="419"/>
      <c r="M108" s="419"/>
      <c r="N108" s="419"/>
      <c r="O108" s="419"/>
      <c r="P108" s="425"/>
      <c r="Q108" s="369"/>
    </row>
    <row r="109" spans="2:17" ht="15" thickBot="1" x14ac:dyDescent="0.4">
      <c r="B109" s="416" t="s">
        <v>268</v>
      </c>
      <c r="C109" s="419"/>
      <c r="D109" s="426">
        <f>SUM(D96:D107)</f>
        <v>42967577</v>
      </c>
      <c r="E109" s="427">
        <f>IF(D109&lt;&gt;0,F109/D109,0)</f>
        <v>4.7900965162638798</v>
      </c>
      <c r="F109" s="428">
        <f>SUM(F96:F107)</f>
        <v>205818840.90000001</v>
      </c>
      <c r="G109" s="419"/>
      <c r="H109" s="426">
        <f>SUM(H96:H107)</f>
        <v>42694242</v>
      </c>
      <c r="I109" s="427">
        <f>IF(H109&lt;&gt;0,J109/H109,0)</f>
        <v>0.79058846998618693</v>
      </c>
      <c r="J109" s="428">
        <f>SUM(J96:J107)</f>
        <v>33753575.460000001</v>
      </c>
      <c r="K109" s="419"/>
      <c r="L109" s="426">
        <f>SUM(L96:L107)</f>
        <v>43412235</v>
      </c>
      <c r="M109" s="427">
        <f>IF(L109&lt;&gt;0,N109/L109,0)</f>
        <v>2.5915893984725735</v>
      </c>
      <c r="N109" s="428">
        <f>SUM(N96:N107)</f>
        <v>112506687.98999999</v>
      </c>
      <c r="O109" s="419"/>
      <c r="P109" s="428">
        <f>SUM(P96:P107)</f>
        <v>146260263.44999999</v>
      </c>
      <c r="Q109" s="369"/>
    </row>
    <row r="110" spans="2:17" x14ac:dyDescent="0.35">
      <c r="B110" s="85"/>
      <c r="C110" s="85"/>
      <c r="D110" s="85"/>
      <c r="E110" s="85"/>
      <c r="F110" s="85"/>
      <c r="G110" s="85"/>
      <c r="H110" s="85"/>
      <c r="I110" s="85"/>
      <c r="J110" s="85"/>
      <c r="K110" s="85"/>
      <c r="L110" s="85"/>
      <c r="M110" s="85"/>
      <c r="N110" s="85"/>
      <c r="O110" s="85"/>
      <c r="P110" s="85"/>
    </row>
    <row r="111" spans="2:17" x14ac:dyDescent="0.35">
      <c r="B111" s="85"/>
      <c r="C111" s="85"/>
      <c r="D111" s="85"/>
      <c r="E111" s="503"/>
      <c r="F111" s="85"/>
      <c r="G111" s="85"/>
      <c r="H111" s="85"/>
      <c r="I111" s="85"/>
      <c r="J111" s="85"/>
      <c r="K111" s="85"/>
      <c r="L111" s="85"/>
      <c r="M111" s="85"/>
      <c r="N111" s="440" t="s">
        <v>378</v>
      </c>
      <c r="O111" s="85"/>
      <c r="P111" s="441">
        <f>'11. RTSR - UTRs &amp; Sub-Tx'!H74</f>
        <v>-11318758</v>
      </c>
    </row>
    <row r="112" spans="2:17" x14ac:dyDescent="0.35">
      <c r="B112" s="85"/>
      <c r="C112" s="85"/>
      <c r="D112" s="85"/>
      <c r="E112" s="85"/>
      <c r="F112" s="85"/>
      <c r="G112" s="85"/>
      <c r="H112" s="85"/>
      <c r="I112" s="85"/>
      <c r="J112" s="85"/>
      <c r="K112" s="85"/>
      <c r="L112" s="85"/>
      <c r="M112" s="85"/>
      <c r="N112" s="85"/>
      <c r="O112" s="85"/>
      <c r="P112" s="85"/>
    </row>
    <row r="113" spans="2:16" ht="15" thickBot="1" x14ac:dyDescent="0.4">
      <c r="B113" s="85"/>
      <c r="C113" s="85"/>
      <c r="D113" s="85"/>
      <c r="E113" s="85"/>
      <c r="F113" s="85"/>
      <c r="G113" s="85"/>
      <c r="H113" s="85"/>
      <c r="I113" s="85"/>
      <c r="J113" s="85"/>
      <c r="K113" s="85"/>
      <c r="L113" s="85"/>
      <c r="M113" s="85"/>
      <c r="N113" s="442" t="s">
        <v>379</v>
      </c>
      <c r="O113" s="85"/>
      <c r="P113" s="428">
        <f>P109+P111</f>
        <v>134941505.44999999</v>
      </c>
    </row>
  </sheetData>
  <mergeCells count="22">
    <mergeCell ref="B13:P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rintOptions horizontalCentered="1"/>
  <pageMargins left="0.70866141732283472" right="0.70866141732283472" top="1.3385826771653544" bottom="0.47244094488188981" header="0.31496062992125984" footer="0.31496062992125984"/>
  <pageSetup scale="40" orientation="portrait" r:id="rId1"/>
  <headerFooter scaleWithDoc="0">
    <oddHeader>&amp;R&amp;7&amp;K000000Toronto Hydro-Electric System Limited 
EB-2021-0060
Tab 3
Schedule 1
ORIGINAL
Page &amp;P of &amp;N</oddHeader>
    <oddFooter>&amp;C&amp;7&amp;A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093F-3DD5-46B9-A0D5-22912A27FD9F}">
  <sheetPr>
    <pageSetUpPr fitToPage="1"/>
  </sheetPr>
  <dimension ref="A12:Q115"/>
  <sheetViews>
    <sheetView showGridLines="0" topLeftCell="B1" zoomScale="70" zoomScaleNormal="70" workbookViewId="0">
      <selection activeCell="B15" sqref="B15"/>
    </sheetView>
  </sheetViews>
  <sheetFormatPr defaultColWidth="8.4140625" defaultRowHeight="14.5" x14ac:dyDescent="0.35"/>
  <cols>
    <col min="1" max="1" width="10.5" style="353" hidden="1" customWidth="1"/>
    <col min="2" max="2" width="27.33203125" style="353" customWidth="1"/>
    <col min="3" max="3" width="3.33203125" style="353" customWidth="1"/>
    <col min="4" max="4" width="13" style="353" customWidth="1"/>
    <col min="5" max="5" width="9.33203125" style="353" bestFit="1" customWidth="1"/>
    <col min="6" max="6" width="13" style="353" customWidth="1"/>
    <col min="7" max="7" width="2.4140625" style="353" customWidth="1"/>
    <col min="8" max="8" width="13" style="353" customWidth="1"/>
    <col min="9" max="9" width="8.6640625" style="353" bestFit="1" customWidth="1"/>
    <col min="10" max="10" width="13" style="353" customWidth="1"/>
    <col min="11" max="11" width="3" style="353" customWidth="1"/>
    <col min="12" max="12" width="13" style="353" customWidth="1"/>
    <col min="13" max="13" width="8.6640625" style="353" bestFit="1" customWidth="1"/>
    <col min="14" max="14" width="13" style="353" customWidth="1"/>
    <col min="15" max="15" width="3.33203125" style="353" customWidth="1"/>
    <col min="16" max="16" width="14.9140625" style="353" customWidth="1"/>
    <col min="17" max="16384" width="8.4140625" style="353"/>
  </cols>
  <sheetData>
    <row r="12" spans="2:17" ht="12.75" customHeight="1" x14ac:dyDescent="0.35"/>
    <row r="13" spans="2:17" ht="22.5" customHeight="1" x14ac:dyDescent="0.35">
      <c r="B13" s="718" t="s">
        <v>381</v>
      </c>
      <c r="C13" s="710"/>
      <c r="D13" s="710"/>
      <c r="E13" s="710"/>
      <c r="F13" s="710"/>
      <c r="G13" s="710"/>
      <c r="H13" s="710"/>
      <c r="I13" s="710"/>
      <c r="J13" s="710"/>
      <c r="K13" s="710"/>
      <c r="L13" s="710"/>
      <c r="M13" s="710"/>
      <c r="N13" s="710"/>
      <c r="O13" s="710"/>
      <c r="P13" s="710"/>
    </row>
    <row r="14" spans="2:17" x14ac:dyDescent="0.35">
      <c r="B14" s="85"/>
      <c r="C14" s="85"/>
      <c r="D14" s="85"/>
      <c r="E14" s="85"/>
      <c r="F14" s="85"/>
      <c r="G14" s="85"/>
      <c r="H14" s="85"/>
      <c r="I14" s="85"/>
      <c r="J14" s="85"/>
      <c r="K14" s="85"/>
      <c r="L14" s="85"/>
      <c r="M14" s="85"/>
      <c r="N14" s="85"/>
      <c r="O14" s="85"/>
      <c r="P14" s="85"/>
    </row>
    <row r="15" spans="2:17" ht="14.25" customHeight="1" x14ac:dyDescent="0.35">
      <c r="B15" s="85"/>
      <c r="C15" s="85"/>
      <c r="D15" s="85"/>
      <c r="E15" s="85"/>
      <c r="F15" s="85"/>
      <c r="G15" s="85"/>
      <c r="H15" s="85"/>
      <c r="I15" s="85"/>
      <c r="J15" s="85"/>
      <c r="K15" s="85"/>
      <c r="L15" s="85"/>
      <c r="M15" s="85"/>
      <c r="N15" s="85"/>
      <c r="O15" s="85"/>
      <c r="P15" s="85"/>
    </row>
    <row r="16" spans="2:17" x14ac:dyDescent="0.35">
      <c r="B16" s="413" t="s">
        <v>354</v>
      </c>
      <c r="C16" s="414"/>
      <c r="D16" s="714" t="s">
        <v>355</v>
      </c>
      <c r="E16" s="714"/>
      <c r="F16" s="714"/>
      <c r="G16" s="414"/>
      <c r="H16" s="714" t="s">
        <v>356</v>
      </c>
      <c r="I16" s="714"/>
      <c r="J16" s="714"/>
      <c r="K16" s="414"/>
      <c r="L16" s="714" t="s">
        <v>357</v>
      </c>
      <c r="M16" s="714"/>
      <c r="N16" s="714"/>
      <c r="O16" s="414"/>
      <c r="P16" s="413" t="s">
        <v>358</v>
      </c>
      <c r="Q16" s="369"/>
    </row>
    <row r="17" spans="2:17" ht="15.5" x14ac:dyDescent="0.35">
      <c r="B17" s="419"/>
      <c r="C17" s="419"/>
      <c r="D17" s="715"/>
      <c r="E17" s="715"/>
      <c r="F17" s="715"/>
      <c r="G17" s="435"/>
      <c r="H17" s="715"/>
      <c r="I17" s="715"/>
      <c r="J17" s="715"/>
      <c r="K17" s="435"/>
      <c r="L17" s="715"/>
      <c r="M17" s="715"/>
      <c r="N17" s="715"/>
      <c r="O17" s="419"/>
      <c r="P17" s="436"/>
      <c r="Q17" s="415"/>
    </row>
    <row r="18" spans="2:17" x14ac:dyDescent="0.35">
      <c r="B18" s="416" t="s">
        <v>359</v>
      </c>
      <c r="C18" s="419"/>
      <c r="D18" s="443" t="s">
        <v>360</v>
      </c>
      <c r="E18" s="443" t="s">
        <v>325</v>
      </c>
      <c r="F18" s="443" t="s">
        <v>361</v>
      </c>
      <c r="G18" s="419"/>
      <c r="H18" s="443" t="s">
        <v>360</v>
      </c>
      <c r="I18" s="443" t="s">
        <v>325</v>
      </c>
      <c r="J18" s="443" t="s">
        <v>361</v>
      </c>
      <c r="K18" s="419"/>
      <c r="L18" s="443" t="s">
        <v>360</v>
      </c>
      <c r="M18" s="443" t="s">
        <v>325</v>
      </c>
      <c r="N18" s="443" t="s">
        <v>361</v>
      </c>
      <c r="O18" s="419"/>
      <c r="P18" s="443" t="s">
        <v>361</v>
      </c>
      <c r="Q18" s="369"/>
    </row>
    <row r="19" spans="2:17" x14ac:dyDescent="0.35">
      <c r="B19" s="419"/>
      <c r="C19" s="419"/>
      <c r="D19" s="419"/>
      <c r="E19" s="419"/>
      <c r="F19" s="419"/>
      <c r="G19" s="419"/>
      <c r="H19" s="419"/>
      <c r="I19" s="419"/>
      <c r="J19" s="419"/>
      <c r="K19" s="419"/>
      <c r="L19" s="419"/>
      <c r="M19" s="419"/>
      <c r="N19" s="419"/>
      <c r="O19" s="419"/>
      <c r="P19" s="419"/>
      <c r="Q19" s="369"/>
    </row>
    <row r="20" spans="2:17" x14ac:dyDescent="0.35">
      <c r="B20" s="420" t="s">
        <v>362</v>
      </c>
      <c r="C20" s="419"/>
      <c r="D20" s="444">
        <f>'12. RTSR - Historical Wholesale'!D19</f>
        <v>3478681</v>
      </c>
      <c r="E20" s="438">
        <f>'11. RTSR - UTRs &amp; Sub-Tx'!L22</f>
        <v>4.9000000000000004</v>
      </c>
      <c r="F20" s="445">
        <f t="shared" ref="F20:F31" si="0">D20*E20</f>
        <v>17045536.900000002</v>
      </c>
      <c r="G20" s="419"/>
      <c r="H20" s="444">
        <f>'12. RTSR - Historical Wholesale'!H19</f>
        <v>3487971</v>
      </c>
      <c r="I20" s="438">
        <f>'11. RTSR - UTRs &amp; Sub-Tx'!L24</f>
        <v>0.81</v>
      </c>
      <c r="J20" s="445">
        <f t="shared" ref="J20:J31" si="1">H20*I20</f>
        <v>2825256.5100000002</v>
      </c>
      <c r="K20" s="419"/>
      <c r="L20" s="444">
        <f>'12. RTSR - Historical Wholesale'!L19</f>
        <v>3564191</v>
      </c>
      <c r="M20" s="438">
        <f>'11. RTSR - UTRs &amp; Sub-Tx'!L26</f>
        <v>2.65</v>
      </c>
      <c r="N20" s="445">
        <f t="shared" ref="N20:N31" si="2">L20*M20</f>
        <v>9445106.1500000004</v>
      </c>
      <c r="O20" s="419"/>
      <c r="P20" s="425">
        <f t="shared" ref="P20:P31" si="3">J20+N20</f>
        <v>12270362.66</v>
      </c>
      <c r="Q20" s="369"/>
    </row>
    <row r="21" spans="2:17" x14ac:dyDescent="0.35">
      <c r="B21" s="420" t="s">
        <v>363</v>
      </c>
      <c r="C21" s="419"/>
      <c r="D21" s="444">
        <f>'12. RTSR - Historical Wholesale'!D20</f>
        <v>3513456</v>
      </c>
      <c r="E21" s="438">
        <f t="shared" ref="E21:E31" si="4">E20</f>
        <v>4.9000000000000004</v>
      </c>
      <c r="F21" s="445">
        <f t="shared" si="0"/>
        <v>17215934.400000002</v>
      </c>
      <c r="G21" s="419"/>
      <c r="H21" s="444">
        <f>'12. RTSR - Historical Wholesale'!H20</f>
        <v>3483216</v>
      </c>
      <c r="I21" s="438">
        <f t="shared" ref="I21:I31" si="5">I20</f>
        <v>0.81</v>
      </c>
      <c r="J21" s="445">
        <f t="shared" si="1"/>
        <v>2821404.96</v>
      </c>
      <c r="K21" s="419"/>
      <c r="L21" s="444">
        <f>'12. RTSR - Historical Wholesale'!L20</f>
        <v>3550506</v>
      </c>
      <c r="M21" s="438">
        <f t="shared" ref="M21:M31" si="6">M20</f>
        <v>2.65</v>
      </c>
      <c r="N21" s="445">
        <f t="shared" si="2"/>
        <v>9408840.9000000004</v>
      </c>
      <c r="O21" s="419"/>
      <c r="P21" s="425">
        <f t="shared" si="3"/>
        <v>12230245.859999999</v>
      </c>
      <c r="Q21" s="369"/>
    </row>
    <row r="22" spans="2:17" x14ac:dyDescent="0.35">
      <c r="B22" s="420" t="s">
        <v>364</v>
      </c>
      <c r="C22" s="419"/>
      <c r="D22" s="444">
        <f>'12. RTSR - Historical Wholesale'!D21</f>
        <v>3250363</v>
      </c>
      <c r="E22" s="438">
        <f t="shared" si="4"/>
        <v>4.9000000000000004</v>
      </c>
      <c r="F22" s="445">
        <f t="shared" si="0"/>
        <v>15926778.700000001</v>
      </c>
      <c r="G22" s="419"/>
      <c r="H22" s="444">
        <f>'12. RTSR - Historical Wholesale'!H21</f>
        <v>3247015</v>
      </c>
      <c r="I22" s="438">
        <f t="shared" si="5"/>
        <v>0.81</v>
      </c>
      <c r="J22" s="445">
        <f t="shared" si="1"/>
        <v>2630082.1500000004</v>
      </c>
      <c r="K22" s="419"/>
      <c r="L22" s="444">
        <f>'12. RTSR - Historical Wholesale'!L21</f>
        <v>3294380</v>
      </c>
      <c r="M22" s="438">
        <f t="shared" si="6"/>
        <v>2.65</v>
      </c>
      <c r="N22" s="445">
        <f t="shared" si="2"/>
        <v>8730107</v>
      </c>
      <c r="O22" s="419"/>
      <c r="P22" s="425">
        <f t="shared" si="3"/>
        <v>11360189.15</v>
      </c>
      <c r="Q22" s="369"/>
    </row>
    <row r="23" spans="2:17" x14ac:dyDescent="0.35">
      <c r="B23" s="420" t="s">
        <v>365</v>
      </c>
      <c r="C23" s="419"/>
      <c r="D23" s="444">
        <f>'12. RTSR - Historical Wholesale'!D22</f>
        <v>2790782</v>
      </c>
      <c r="E23" s="438">
        <f t="shared" si="4"/>
        <v>4.9000000000000004</v>
      </c>
      <c r="F23" s="445">
        <f t="shared" si="0"/>
        <v>13674831.800000001</v>
      </c>
      <c r="G23" s="419"/>
      <c r="H23" s="444">
        <f>'12. RTSR - Historical Wholesale'!H22</f>
        <v>3070891</v>
      </c>
      <c r="I23" s="438">
        <f t="shared" si="5"/>
        <v>0.81</v>
      </c>
      <c r="J23" s="445">
        <f t="shared" si="1"/>
        <v>2487421.71</v>
      </c>
      <c r="K23" s="419"/>
      <c r="L23" s="444">
        <f>'12. RTSR - Historical Wholesale'!L22</f>
        <v>3122734</v>
      </c>
      <c r="M23" s="438">
        <f t="shared" si="6"/>
        <v>2.65</v>
      </c>
      <c r="N23" s="445">
        <f t="shared" si="2"/>
        <v>8275245.0999999996</v>
      </c>
      <c r="O23" s="419"/>
      <c r="P23" s="425">
        <f t="shared" si="3"/>
        <v>10762666.809999999</v>
      </c>
      <c r="Q23" s="369"/>
    </row>
    <row r="24" spans="2:17" x14ac:dyDescent="0.35">
      <c r="B24" s="420" t="s">
        <v>366</v>
      </c>
      <c r="C24" s="419"/>
      <c r="D24" s="444">
        <f>'12. RTSR - Historical Wholesale'!D23</f>
        <v>3651536</v>
      </c>
      <c r="E24" s="438">
        <f t="shared" si="4"/>
        <v>4.9000000000000004</v>
      </c>
      <c r="F24" s="445">
        <f t="shared" si="0"/>
        <v>17892526.400000002</v>
      </c>
      <c r="G24" s="419"/>
      <c r="H24" s="444">
        <f>'12. RTSR - Historical Wholesale'!H23</f>
        <v>3583048</v>
      </c>
      <c r="I24" s="438">
        <f t="shared" si="5"/>
        <v>0.81</v>
      </c>
      <c r="J24" s="445">
        <f t="shared" si="1"/>
        <v>2902268.8800000004</v>
      </c>
      <c r="K24" s="419"/>
      <c r="L24" s="444">
        <f>'12. RTSR - Historical Wholesale'!L23</f>
        <v>3671638</v>
      </c>
      <c r="M24" s="438">
        <f t="shared" si="6"/>
        <v>2.65</v>
      </c>
      <c r="N24" s="445">
        <f t="shared" si="2"/>
        <v>9729840.6999999993</v>
      </c>
      <c r="O24" s="419"/>
      <c r="P24" s="425">
        <f t="shared" si="3"/>
        <v>12632109.58</v>
      </c>
      <c r="Q24" s="369"/>
    </row>
    <row r="25" spans="2:17" x14ac:dyDescent="0.35">
      <c r="B25" s="420" t="s">
        <v>367</v>
      </c>
      <c r="C25" s="419"/>
      <c r="D25" s="444">
        <f>'12. RTSR - Historical Wholesale'!D24</f>
        <v>3846862</v>
      </c>
      <c r="E25" s="438">
        <f t="shared" si="4"/>
        <v>4.9000000000000004</v>
      </c>
      <c r="F25" s="445">
        <f t="shared" si="0"/>
        <v>18849623.800000001</v>
      </c>
      <c r="G25" s="419"/>
      <c r="H25" s="444">
        <f>'12. RTSR - Historical Wholesale'!H24</f>
        <v>3846873</v>
      </c>
      <c r="I25" s="438">
        <f t="shared" si="5"/>
        <v>0.81</v>
      </c>
      <c r="J25" s="445">
        <f t="shared" si="1"/>
        <v>3115967.1300000004</v>
      </c>
      <c r="K25" s="419"/>
      <c r="L25" s="444">
        <f>'12. RTSR - Historical Wholesale'!L24</f>
        <v>3927674</v>
      </c>
      <c r="M25" s="438">
        <f t="shared" si="6"/>
        <v>2.65</v>
      </c>
      <c r="N25" s="445">
        <f t="shared" si="2"/>
        <v>10408336.1</v>
      </c>
      <c r="O25" s="419"/>
      <c r="P25" s="425">
        <f t="shared" si="3"/>
        <v>13524303.23</v>
      </c>
      <c r="Q25" s="369"/>
    </row>
    <row r="26" spans="2:17" x14ac:dyDescent="0.35">
      <c r="B26" s="420" t="s">
        <v>368</v>
      </c>
      <c r="C26" s="419"/>
      <c r="D26" s="444">
        <f>'12. RTSR - Historical Wholesale'!D25</f>
        <v>4503087</v>
      </c>
      <c r="E26" s="438">
        <f t="shared" si="4"/>
        <v>4.9000000000000004</v>
      </c>
      <c r="F26" s="445">
        <f t="shared" si="0"/>
        <v>22065126.300000001</v>
      </c>
      <c r="G26" s="419"/>
      <c r="H26" s="444">
        <f>'12. RTSR - Historical Wholesale'!H25</f>
        <v>4403331</v>
      </c>
      <c r="I26" s="438">
        <f t="shared" si="5"/>
        <v>0.81</v>
      </c>
      <c r="J26" s="445">
        <f t="shared" si="1"/>
        <v>3566698.1100000003</v>
      </c>
      <c r="K26" s="419"/>
      <c r="L26" s="444">
        <f>'12. RTSR - Historical Wholesale'!L25</f>
        <v>4474032</v>
      </c>
      <c r="M26" s="438">
        <f t="shared" si="6"/>
        <v>2.65</v>
      </c>
      <c r="N26" s="445">
        <f t="shared" si="2"/>
        <v>11856184.799999999</v>
      </c>
      <c r="O26" s="419"/>
      <c r="P26" s="425">
        <f t="shared" si="3"/>
        <v>15422882.91</v>
      </c>
      <c r="Q26" s="369"/>
    </row>
    <row r="27" spans="2:17" x14ac:dyDescent="0.35">
      <c r="B27" s="420" t="s">
        <v>369</v>
      </c>
      <c r="C27" s="419"/>
      <c r="D27" s="444">
        <f>'12. RTSR - Historical Wholesale'!D26</f>
        <v>4348672</v>
      </c>
      <c r="E27" s="438">
        <f t="shared" si="4"/>
        <v>4.9000000000000004</v>
      </c>
      <c r="F27" s="445">
        <f t="shared" si="0"/>
        <v>21308492.800000001</v>
      </c>
      <c r="G27" s="419"/>
      <c r="H27" s="444">
        <f>'12. RTSR - Historical Wholesale'!H26</f>
        <v>4214534</v>
      </c>
      <c r="I27" s="438">
        <f t="shared" si="5"/>
        <v>0.81</v>
      </c>
      <c r="J27" s="445">
        <f t="shared" si="1"/>
        <v>3413772.54</v>
      </c>
      <c r="K27" s="419"/>
      <c r="L27" s="444">
        <f>'12. RTSR - Historical Wholesale'!L26</f>
        <v>4291383</v>
      </c>
      <c r="M27" s="438">
        <f t="shared" si="6"/>
        <v>2.65</v>
      </c>
      <c r="N27" s="445">
        <f t="shared" si="2"/>
        <v>11372164.949999999</v>
      </c>
      <c r="O27" s="419"/>
      <c r="P27" s="425">
        <f t="shared" si="3"/>
        <v>14785937.489999998</v>
      </c>
      <c r="Q27" s="369"/>
    </row>
    <row r="28" spans="2:17" x14ac:dyDescent="0.35">
      <c r="B28" s="420" t="s">
        <v>370</v>
      </c>
      <c r="C28" s="419"/>
      <c r="D28" s="444">
        <f>'12. RTSR - Historical Wholesale'!D27</f>
        <v>3695042</v>
      </c>
      <c r="E28" s="438">
        <f t="shared" si="4"/>
        <v>4.9000000000000004</v>
      </c>
      <c r="F28" s="445">
        <f t="shared" si="0"/>
        <v>18105705.800000001</v>
      </c>
      <c r="G28" s="419"/>
      <c r="H28" s="444">
        <f>'12. RTSR - Historical Wholesale'!H27</f>
        <v>3610007</v>
      </c>
      <c r="I28" s="438">
        <f t="shared" si="5"/>
        <v>0.81</v>
      </c>
      <c r="J28" s="445">
        <f t="shared" si="1"/>
        <v>2924105.6700000004</v>
      </c>
      <c r="K28" s="419"/>
      <c r="L28" s="444">
        <f>'12. RTSR - Historical Wholesale'!L27</f>
        <v>3671785</v>
      </c>
      <c r="M28" s="438">
        <f t="shared" si="6"/>
        <v>2.65</v>
      </c>
      <c r="N28" s="445">
        <f t="shared" si="2"/>
        <v>9730230.25</v>
      </c>
      <c r="O28" s="419"/>
      <c r="P28" s="425">
        <f t="shared" si="3"/>
        <v>12654335.92</v>
      </c>
      <c r="Q28" s="369"/>
    </row>
    <row r="29" spans="2:17" x14ac:dyDescent="0.35">
      <c r="B29" s="420" t="s">
        <v>371</v>
      </c>
      <c r="C29" s="419"/>
      <c r="D29" s="444">
        <f>'12. RTSR - Historical Wholesale'!D28</f>
        <v>3020275</v>
      </c>
      <c r="E29" s="438">
        <f t="shared" si="4"/>
        <v>4.9000000000000004</v>
      </c>
      <c r="F29" s="445">
        <f t="shared" si="0"/>
        <v>14799347.500000002</v>
      </c>
      <c r="G29" s="419"/>
      <c r="H29" s="444">
        <f>'12. RTSR - Historical Wholesale'!H28</f>
        <v>3008608</v>
      </c>
      <c r="I29" s="438">
        <f t="shared" si="5"/>
        <v>0.81</v>
      </c>
      <c r="J29" s="445">
        <f t="shared" si="1"/>
        <v>2436972.48</v>
      </c>
      <c r="K29" s="419"/>
      <c r="L29" s="444">
        <f>'12. RTSR - Historical Wholesale'!L28</f>
        <v>3023913</v>
      </c>
      <c r="M29" s="438">
        <f t="shared" si="6"/>
        <v>2.65</v>
      </c>
      <c r="N29" s="445">
        <f t="shared" si="2"/>
        <v>8013369.4500000002</v>
      </c>
      <c r="O29" s="419"/>
      <c r="P29" s="425">
        <f t="shared" si="3"/>
        <v>10450341.93</v>
      </c>
      <c r="Q29" s="369"/>
    </row>
    <row r="30" spans="2:17" x14ac:dyDescent="0.35">
      <c r="B30" s="420" t="s">
        <v>372</v>
      </c>
      <c r="C30" s="419"/>
      <c r="D30" s="444">
        <f>'12. RTSR - Historical Wholesale'!D29</f>
        <v>3320584</v>
      </c>
      <c r="E30" s="438">
        <f t="shared" si="4"/>
        <v>4.9000000000000004</v>
      </c>
      <c r="F30" s="445">
        <f t="shared" si="0"/>
        <v>16270861.600000001</v>
      </c>
      <c r="G30" s="419"/>
      <c r="H30" s="444">
        <f>'12. RTSR - Historical Wholesale'!H29</f>
        <v>3309690</v>
      </c>
      <c r="I30" s="438">
        <f t="shared" si="5"/>
        <v>0.81</v>
      </c>
      <c r="J30" s="445">
        <f t="shared" si="1"/>
        <v>2680848.9000000004</v>
      </c>
      <c r="K30" s="419"/>
      <c r="L30" s="444">
        <f>'12. RTSR - Historical Wholesale'!L29</f>
        <v>3344567</v>
      </c>
      <c r="M30" s="438">
        <f t="shared" si="6"/>
        <v>2.65</v>
      </c>
      <c r="N30" s="445">
        <f t="shared" si="2"/>
        <v>8863102.5499999989</v>
      </c>
      <c r="O30" s="419"/>
      <c r="P30" s="425">
        <f t="shared" si="3"/>
        <v>11543951.449999999</v>
      </c>
      <c r="Q30" s="369"/>
    </row>
    <row r="31" spans="2:17" x14ac:dyDescent="0.35">
      <c r="B31" s="420" t="s">
        <v>373</v>
      </c>
      <c r="C31" s="419"/>
      <c r="D31" s="444">
        <f>'12. RTSR - Historical Wholesale'!D30</f>
        <v>3548237</v>
      </c>
      <c r="E31" s="438">
        <f t="shared" si="4"/>
        <v>4.9000000000000004</v>
      </c>
      <c r="F31" s="445">
        <f t="shared" si="0"/>
        <v>17386361.300000001</v>
      </c>
      <c r="G31" s="419"/>
      <c r="H31" s="444">
        <f>'12. RTSR - Historical Wholesale'!H30</f>
        <v>3429058</v>
      </c>
      <c r="I31" s="438">
        <f t="shared" si="5"/>
        <v>0.81</v>
      </c>
      <c r="J31" s="445">
        <f t="shared" si="1"/>
        <v>2777536.98</v>
      </c>
      <c r="K31" s="419"/>
      <c r="L31" s="444">
        <f>'12. RTSR - Historical Wholesale'!L30</f>
        <v>3475432</v>
      </c>
      <c r="M31" s="438">
        <f t="shared" si="6"/>
        <v>2.65</v>
      </c>
      <c r="N31" s="445">
        <f t="shared" si="2"/>
        <v>9209894.7999999989</v>
      </c>
      <c r="O31" s="419"/>
      <c r="P31" s="425">
        <f t="shared" si="3"/>
        <v>11987431.779999999</v>
      </c>
      <c r="Q31" s="369"/>
    </row>
    <row r="32" spans="2:17" x14ac:dyDescent="0.35">
      <c r="B32" s="419"/>
      <c r="C32" s="419"/>
      <c r="D32" s="419"/>
      <c r="E32" s="419"/>
      <c r="F32" s="419"/>
      <c r="G32" s="419"/>
      <c r="H32" s="419"/>
      <c r="I32" s="419"/>
      <c r="J32" s="419"/>
      <c r="K32" s="419"/>
      <c r="L32" s="419"/>
      <c r="M32" s="419"/>
      <c r="N32" s="419"/>
      <c r="O32" s="419"/>
      <c r="P32" s="419"/>
      <c r="Q32" s="369"/>
    </row>
    <row r="33" spans="2:17" ht="15" thickBot="1" x14ac:dyDescent="0.4">
      <c r="B33" s="416" t="s">
        <v>268</v>
      </c>
      <c r="C33" s="419"/>
      <c r="D33" s="426">
        <f>SUM(D20:D31)</f>
        <v>42967577</v>
      </c>
      <c r="E33" s="427">
        <f>IF(D33&lt;&gt;0,F33/D33,0)</f>
        <v>4.9000000000000012</v>
      </c>
      <c r="F33" s="428">
        <f>SUM(F20:F31)</f>
        <v>210541127.30000004</v>
      </c>
      <c r="G33" s="419"/>
      <c r="H33" s="426">
        <f>SUM(H20:H31)</f>
        <v>42694242</v>
      </c>
      <c r="I33" s="427">
        <f>IF(H33&lt;&gt;0,J33/H33,0)</f>
        <v>0.81</v>
      </c>
      <c r="J33" s="428">
        <f>SUM(J20:J31)</f>
        <v>34582336.020000003</v>
      </c>
      <c r="K33" s="419"/>
      <c r="L33" s="426">
        <f>SUM(L20:L31)</f>
        <v>43412235</v>
      </c>
      <c r="M33" s="427">
        <f>IF(L33&lt;&gt;0,N33/L33,0)</f>
        <v>2.65</v>
      </c>
      <c r="N33" s="428">
        <f>SUM(N20:N31)</f>
        <v>115042422.75</v>
      </c>
      <c r="O33" s="419"/>
      <c r="P33" s="428">
        <f>SUM(P20:P31)</f>
        <v>149624758.76999998</v>
      </c>
      <c r="Q33" s="369"/>
    </row>
    <row r="34" spans="2:17" x14ac:dyDescent="0.35">
      <c r="B34" s="419"/>
      <c r="C34" s="419"/>
      <c r="D34" s="419"/>
      <c r="E34" s="419"/>
      <c r="F34" s="419"/>
      <c r="G34" s="419"/>
      <c r="H34" s="419"/>
      <c r="I34" s="419"/>
      <c r="J34" s="419"/>
      <c r="K34" s="419"/>
      <c r="L34" s="419"/>
      <c r="M34" s="419"/>
      <c r="N34" s="419"/>
      <c r="O34" s="419"/>
      <c r="P34" s="419"/>
      <c r="Q34" s="369"/>
    </row>
    <row r="35" spans="2:17" x14ac:dyDescent="0.35">
      <c r="B35" s="413" t="s">
        <v>374</v>
      </c>
      <c r="C35" s="419"/>
      <c r="D35" s="714" t="s">
        <v>355</v>
      </c>
      <c r="E35" s="714"/>
      <c r="F35" s="714"/>
      <c r="G35" s="414"/>
      <c r="H35" s="714" t="s">
        <v>356</v>
      </c>
      <c r="I35" s="714"/>
      <c r="J35" s="714"/>
      <c r="K35" s="414"/>
      <c r="L35" s="714" t="s">
        <v>357</v>
      </c>
      <c r="M35" s="714"/>
      <c r="N35" s="714"/>
      <c r="O35" s="414"/>
      <c r="P35" s="413" t="s">
        <v>358</v>
      </c>
      <c r="Q35" s="369"/>
    </row>
    <row r="36" spans="2:17" x14ac:dyDescent="0.35">
      <c r="B36" s="416"/>
      <c r="C36" s="419"/>
      <c r="D36" s="443"/>
      <c r="E36" s="443"/>
      <c r="F36" s="443"/>
      <c r="G36" s="419"/>
      <c r="H36" s="443"/>
      <c r="I36" s="443"/>
      <c r="J36" s="443"/>
      <c r="K36" s="419"/>
      <c r="L36" s="443"/>
      <c r="M36" s="443"/>
      <c r="N36" s="443"/>
      <c r="O36" s="419"/>
      <c r="P36" s="443"/>
      <c r="Q36" s="369"/>
    </row>
    <row r="37" spans="2:17" x14ac:dyDescent="0.35">
      <c r="B37" s="416" t="s">
        <v>359</v>
      </c>
      <c r="C37" s="419"/>
      <c r="D37" s="443" t="s">
        <v>360</v>
      </c>
      <c r="E37" s="443" t="s">
        <v>325</v>
      </c>
      <c r="F37" s="443" t="s">
        <v>361</v>
      </c>
      <c r="G37" s="419"/>
      <c r="H37" s="443" t="s">
        <v>360</v>
      </c>
      <c r="I37" s="443" t="s">
        <v>325</v>
      </c>
      <c r="J37" s="443" t="s">
        <v>361</v>
      </c>
      <c r="K37" s="419"/>
      <c r="L37" s="443" t="s">
        <v>360</v>
      </c>
      <c r="M37" s="443" t="s">
        <v>325</v>
      </c>
      <c r="N37" s="443" t="s">
        <v>361</v>
      </c>
      <c r="O37" s="419"/>
      <c r="P37" s="443" t="s">
        <v>361</v>
      </c>
      <c r="Q37" s="369"/>
    </row>
    <row r="38" spans="2:17" x14ac:dyDescent="0.35">
      <c r="B38" s="419"/>
      <c r="C38" s="419"/>
      <c r="D38" s="419"/>
      <c r="E38" s="419"/>
      <c r="F38" s="419"/>
      <c r="G38" s="419"/>
      <c r="H38" s="419"/>
      <c r="I38" s="419"/>
      <c r="J38" s="419"/>
      <c r="K38" s="419"/>
      <c r="L38" s="419"/>
      <c r="M38" s="419"/>
      <c r="N38" s="419"/>
      <c r="O38" s="419"/>
      <c r="P38" s="419"/>
      <c r="Q38" s="369"/>
    </row>
    <row r="39" spans="2:17" x14ac:dyDescent="0.35">
      <c r="B39" s="420" t="s">
        <v>362</v>
      </c>
      <c r="C39" s="419"/>
      <c r="D39" s="444">
        <f>'12. RTSR - Historical Wholesale'!D38</f>
        <v>0</v>
      </c>
      <c r="E39" s="438">
        <f>'11. RTSR - UTRs &amp; Sub-Tx'!L35</f>
        <v>3.4777999999999998</v>
      </c>
      <c r="F39" s="445">
        <f t="shared" ref="F39:F50" si="7">D39*E39</f>
        <v>0</v>
      </c>
      <c r="G39" s="419"/>
      <c r="H39" s="444">
        <f>'12. RTSR - Historical Wholesale'!H38</f>
        <v>0</v>
      </c>
      <c r="I39" s="438">
        <f>'11. RTSR - UTRs &amp; Sub-Tx'!L37</f>
        <v>0.81279999999999997</v>
      </c>
      <c r="J39" s="445">
        <f t="shared" ref="J39:J50" si="8">H39*I39</f>
        <v>0</v>
      </c>
      <c r="K39" s="419"/>
      <c r="L39" s="444">
        <f>'12. RTSR - Historical Wholesale'!L38</f>
        <v>0</v>
      </c>
      <c r="M39" s="438">
        <f>'11. RTSR - UTRs &amp; Sub-Tx'!L39</f>
        <v>2.0457999999999998</v>
      </c>
      <c r="N39" s="445">
        <f t="shared" ref="N39:N50" si="9">L39*M39</f>
        <v>0</v>
      </c>
      <c r="O39" s="419"/>
      <c r="P39" s="425">
        <f t="shared" ref="P39:P50" si="10">J39+N39</f>
        <v>0</v>
      </c>
      <c r="Q39" s="369"/>
    </row>
    <row r="40" spans="2:17" x14ac:dyDescent="0.35">
      <c r="B40" s="420" t="s">
        <v>363</v>
      </c>
      <c r="C40" s="419"/>
      <c r="D40" s="444">
        <f>'12. RTSR - Historical Wholesale'!D39</f>
        <v>0</v>
      </c>
      <c r="E40" s="438">
        <f t="shared" ref="E40:E50" si="11">E39</f>
        <v>3.4777999999999998</v>
      </c>
      <c r="F40" s="445">
        <f t="shared" si="7"/>
        <v>0</v>
      </c>
      <c r="G40" s="419"/>
      <c r="H40" s="444">
        <f>'12. RTSR - Historical Wholesale'!H39</f>
        <v>0</v>
      </c>
      <c r="I40" s="438">
        <f t="shared" ref="I40:I50" si="12">I39</f>
        <v>0.81279999999999997</v>
      </c>
      <c r="J40" s="445">
        <f t="shared" si="8"/>
        <v>0</v>
      </c>
      <c r="K40" s="419"/>
      <c r="L40" s="444">
        <f>'12. RTSR - Historical Wholesale'!L39</f>
        <v>0</v>
      </c>
      <c r="M40" s="438">
        <f t="shared" ref="M40:M50" si="13">M39</f>
        <v>2.0457999999999998</v>
      </c>
      <c r="N40" s="445">
        <f t="shared" si="9"/>
        <v>0</v>
      </c>
      <c r="O40" s="419"/>
      <c r="P40" s="425">
        <f t="shared" si="10"/>
        <v>0</v>
      </c>
      <c r="Q40" s="369"/>
    </row>
    <row r="41" spans="2:17" x14ac:dyDescent="0.35">
      <c r="B41" s="420" t="s">
        <v>364</v>
      </c>
      <c r="C41" s="419"/>
      <c r="D41" s="444">
        <f>'12. RTSR - Historical Wholesale'!D40</f>
        <v>0</v>
      </c>
      <c r="E41" s="438">
        <f t="shared" si="11"/>
        <v>3.4777999999999998</v>
      </c>
      <c r="F41" s="445">
        <f t="shared" si="7"/>
        <v>0</v>
      </c>
      <c r="G41" s="419"/>
      <c r="H41" s="444">
        <f>'12. RTSR - Historical Wholesale'!H40</f>
        <v>0</v>
      </c>
      <c r="I41" s="438">
        <f t="shared" si="12"/>
        <v>0.81279999999999997</v>
      </c>
      <c r="J41" s="445">
        <f t="shared" si="8"/>
        <v>0</v>
      </c>
      <c r="K41" s="419"/>
      <c r="L41" s="444">
        <f>'12. RTSR - Historical Wholesale'!L40</f>
        <v>0</v>
      </c>
      <c r="M41" s="438">
        <f t="shared" si="13"/>
        <v>2.0457999999999998</v>
      </c>
      <c r="N41" s="445">
        <f t="shared" si="9"/>
        <v>0</v>
      </c>
      <c r="O41" s="419"/>
      <c r="P41" s="425">
        <f t="shared" si="10"/>
        <v>0</v>
      </c>
      <c r="Q41" s="369"/>
    </row>
    <row r="42" spans="2:17" x14ac:dyDescent="0.35">
      <c r="B42" s="420" t="s">
        <v>365</v>
      </c>
      <c r="C42" s="419"/>
      <c r="D42" s="444">
        <f>'12. RTSR - Historical Wholesale'!D41</f>
        <v>0</v>
      </c>
      <c r="E42" s="438">
        <f t="shared" si="11"/>
        <v>3.4777999999999998</v>
      </c>
      <c r="F42" s="445">
        <f t="shared" si="7"/>
        <v>0</v>
      </c>
      <c r="G42" s="419"/>
      <c r="H42" s="444">
        <f>'12. RTSR - Historical Wholesale'!H41</f>
        <v>0</v>
      </c>
      <c r="I42" s="438">
        <f t="shared" si="12"/>
        <v>0.81279999999999997</v>
      </c>
      <c r="J42" s="445">
        <f t="shared" si="8"/>
        <v>0</v>
      </c>
      <c r="K42" s="419"/>
      <c r="L42" s="444">
        <f>'12. RTSR - Historical Wholesale'!L41</f>
        <v>0</v>
      </c>
      <c r="M42" s="438">
        <f t="shared" si="13"/>
        <v>2.0457999999999998</v>
      </c>
      <c r="N42" s="445">
        <f t="shared" si="9"/>
        <v>0</v>
      </c>
      <c r="O42" s="419"/>
      <c r="P42" s="425">
        <f t="shared" si="10"/>
        <v>0</v>
      </c>
      <c r="Q42" s="369"/>
    </row>
    <row r="43" spans="2:17" x14ac:dyDescent="0.35">
      <c r="B43" s="420" t="s">
        <v>366</v>
      </c>
      <c r="C43" s="419"/>
      <c r="D43" s="444">
        <f>'12. RTSR - Historical Wholesale'!D42</f>
        <v>0</v>
      </c>
      <c r="E43" s="438">
        <f t="shared" si="11"/>
        <v>3.4777999999999998</v>
      </c>
      <c r="F43" s="445">
        <f t="shared" si="7"/>
        <v>0</v>
      </c>
      <c r="G43" s="419"/>
      <c r="H43" s="444">
        <f>'12. RTSR - Historical Wholesale'!H42</f>
        <v>0</v>
      </c>
      <c r="I43" s="438">
        <f t="shared" si="12"/>
        <v>0.81279999999999997</v>
      </c>
      <c r="J43" s="445">
        <f t="shared" si="8"/>
        <v>0</v>
      </c>
      <c r="K43" s="419"/>
      <c r="L43" s="444">
        <f>'12. RTSR - Historical Wholesale'!L42</f>
        <v>0</v>
      </c>
      <c r="M43" s="438">
        <f t="shared" si="13"/>
        <v>2.0457999999999998</v>
      </c>
      <c r="N43" s="445">
        <f t="shared" si="9"/>
        <v>0</v>
      </c>
      <c r="O43" s="419"/>
      <c r="P43" s="425">
        <f t="shared" si="10"/>
        <v>0</v>
      </c>
      <c r="Q43" s="369"/>
    </row>
    <row r="44" spans="2:17" x14ac:dyDescent="0.35">
      <c r="B44" s="420" t="s">
        <v>367</v>
      </c>
      <c r="C44" s="419"/>
      <c r="D44" s="444">
        <f>'12. RTSR - Historical Wholesale'!D43</f>
        <v>0</v>
      </c>
      <c r="E44" s="438">
        <f t="shared" si="11"/>
        <v>3.4777999999999998</v>
      </c>
      <c r="F44" s="445">
        <f t="shared" si="7"/>
        <v>0</v>
      </c>
      <c r="G44" s="419"/>
      <c r="H44" s="444">
        <f>'12. RTSR - Historical Wholesale'!H43</f>
        <v>0</v>
      </c>
      <c r="I44" s="438">
        <f t="shared" si="12"/>
        <v>0.81279999999999997</v>
      </c>
      <c r="J44" s="445">
        <f t="shared" si="8"/>
        <v>0</v>
      </c>
      <c r="K44" s="419"/>
      <c r="L44" s="444">
        <f>'12. RTSR - Historical Wholesale'!L43</f>
        <v>0</v>
      </c>
      <c r="M44" s="438">
        <f t="shared" si="13"/>
        <v>2.0457999999999998</v>
      </c>
      <c r="N44" s="445">
        <f t="shared" si="9"/>
        <v>0</v>
      </c>
      <c r="O44" s="419"/>
      <c r="P44" s="425">
        <f t="shared" si="10"/>
        <v>0</v>
      </c>
      <c r="Q44" s="369"/>
    </row>
    <row r="45" spans="2:17" x14ac:dyDescent="0.35">
      <c r="B45" s="420" t="s">
        <v>368</v>
      </c>
      <c r="C45" s="419"/>
      <c r="D45" s="444">
        <f>'12. RTSR - Historical Wholesale'!D44</f>
        <v>0</v>
      </c>
      <c r="E45" s="438">
        <f t="shared" si="11"/>
        <v>3.4777999999999998</v>
      </c>
      <c r="F45" s="445">
        <f t="shared" si="7"/>
        <v>0</v>
      </c>
      <c r="G45" s="419"/>
      <c r="H45" s="444">
        <f>'12. RTSR - Historical Wholesale'!H44</f>
        <v>0</v>
      </c>
      <c r="I45" s="438">
        <f t="shared" si="12"/>
        <v>0.81279999999999997</v>
      </c>
      <c r="J45" s="445">
        <f t="shared" si="8"/>
        <v>0</v>
      </c>
      <c r="K45" s="419"/>
      <c r="L45" s="444">
        <f>'12. RTSR - Historical Wholesale'!L44</f>
        <v>0</v>
      </c>
      <c r="M45" s="438">
        <f t="shared" si="13"/>
        <v>2.0457999999999998</v>
      </c>
      <c r="N45" s="445">
        <f t="shared" si="9"/>
        <v>0</v>
      </c>
      <c r="O45" s="419"/>
      <c r="P45" s="425">
        <f t="shared" si="10"/>
        <v>0</v>
      </c>
      <c r="Q45" s="369"/>
    </row>
    <row r="46" spans="2:17" x14ac:dyDescent="0.35">
      <c r="B46" s="420" t="s">
        <v>369</v>
      </c>
      <c r="C46" s="419"/>
      <c r="D46" s="444">
        <f>'12. RTSR - Historical Wholesale'!D45</f>
        <v>0</v>
      </c>
      <c r="E46" s="438">
        <f t="shared" si="11"/>
        <v>3.4777999999999998</v>
      </c>
      <c r="F46" s="445">
        <f t="shared" si="7"/>
        <v>0</v>
      </c>
      <c r="G46" s="419"/>
      <c r="H46" s="444">
        <f>'12. RTSR - Historical Wholesale'!H45</f>
        <v>0</v>
      </c>
      <c r="I46" s="438">
        <f t="shared" si="12"/>
        <v>0.81279999999999997</v>
      </c>
      <c r="J46" s="445">
        <f t="shared" si="8"/>
        <v>0</v>
      </c>
      <c r="K46" s="419"/>
      <c r="L46" s="444">
        <f>'12. RTSR - Historical Wholesale'!L45</f>
        <v>0</v>
      </c>
      <c r="M46" s="438">
        <f t="shared" si="13"/>
        <v>2.0457999999999998</v>
      </c>
      <c r="N46" s="445">
        <f t="shared" si="9"/>
        <v>0</v>
      </c>
      <c r="O46" s="419"/>
      <c r="P46" s="425">
        <f t="shared" si="10"/>
        <v>0</v>
      </c>
      <c r="Q46" s="369"/>
    </row>
    <row r="47" spans="2:17" x14ac:dyDescent="0.35">
      <c r="B47" s="420" t="s">
        <v>370</v>
      </c>
      <c r="C47" s="419"/>
      <c r="D47" s="444">
        <f>'12. RTSR - Historical Wholesale'!D46</f>
        <v>0</v>
      </c>
      <c r="E47" s="438">
        <f t="shared" si="11"/>
        <v>3.4777999999999998</v>
      </c>
      <c r="F47" s="445">
        <f t="shared" si="7"/>
        <v>0</v>
      </c>
      <c r="G47" s="419"/>
      <c r="H47" s="444">
        <f>'12. RTSR - Historical Wholesale'!H46</f>
        <v>0</v>
      </c>
      <c r="I47" s="438">
        <f t="shared" si="12"/>
        <v>0.81279999999999997</v>
      </c>
      <c r="J47" s="445">
        <f t="shared" si="8"/>
        <v>0</v>
      </c>
      <c r="K47" s="419"/>
      <c r="L47" s="444">
        <f>'12. RTSR - Historical Wholesale'!L46</f>
        <v>0</v>
      </c>
      <c r="M47" s="438">
        <f t="shared" si="13"/>
        <v>2.0457999999999998</v>
      </c>
      <c r="N47" s="445">
        <f t="shared" si="9"/>
        <v>0</v>
      </c>
      <c r="O47" s="419"/>
      <c r="P47" s="425">
        <f t="shared" si="10"/>
        <v>0</v>
      </c>
      <c r="Q47" s="369"/>
    </row>
    <row r="48" spans="2:17" x14ac:dyDescent="0.35">
      <c r="B48" s="420" t="s">
        <v>371</v>
      </c>
      <c r="C48" s="419"/>
      <c r="D48" s="444">
        <f>'12. RTSR - Historical Wholesale'!D47</f>
        <v>0</v>
      </c>
      <c r="E48" s="438">
        <f t="shared" si="11"/>
        <v>3.4777999999999998</v>
      </c>
      <c r="F48" s="445">
        <f t="shared" si="7"/>
        <v>0</v>
      </c>
      <c r="G48" s="419"/>
      <c r="H48" s="444">
        <f>'12. RTSR - Historical Wholesale'!H47</f>
        <v>0</v>
      </c>
      <c r="I48" s="438">
        <f t="shared" si="12"/>
        <v>0.81279999999999997</v>
      </c>
      <c r="J48" s="445">
        <f t="shared" si="8"/>
        <v>0</v>
      </c>
      <c r="K48" s="419"/>
      <c r="L48" s="444">
        <f>'12. RTSR - Historical Wholesale'!L47</f>
        <v>0</v>
      </c>
      <c r="M48" s="438">
        <f t="shared" si="13"/>
        <v>2.0457999999999998</v>
      </c>
      <c r="N48" s="445">
        <f t="shared" si="9"/>
        <v>0</v>
      </c>
      <c r="O48" s="419"/>
      <c r="P48" s="425">
        <f t="shared" si="10"/>
        <v>0</v>
      </c>
      <c r="Q48" s="369"/>
    </row>
    <row r="49" spans="2:17" x14ac:dyDescent="0.35">
      <c r="B49" s="420" t="s">
        <v>372</v>
      </c>
      <c r="C49" s="419"/>
      <c r="D49" s="444">
        <f>'12. RTSR - Historical Wholesale'!D48</f>
        <v>0</v>
      </c>
      <c r="E49" s="438">
        <f t="shared" si="11"/>
        <v>3.4777999999999998</v>
      </c>
      <c r="F49" s="445">
        <f t="shared" si="7"/>
        <v>0</v>
      </c>
      <c r="G49" s="419"/>
      <c r="H49" s="444">
        <f>'12. RTSR - Historical Wholesale'!H48</f>
        <v>0</v>
      </c>
      <c r="I49" s="438">
        <f t="shared" si="12"/>
        <v>0.81279999999999997</v>
      </c>
      <c r="J49" s="445">
        <f t="shared" si="8"/>
        <v>0</v>
      </c>
      <c r="K49" s="419"/>
      <c r="L49" s="444">
        <f>'12. RTSR - Historical Wholesale'!L48</f>
        <v>0</v>
      </c>
      <c r="M49" s="438">
        <f t="shared" si="13"/>
        <v>2.0457999999999998</v>
      </c>
      <c r="N49" s="445">
        <f t="shared" si="9"/>
        <v>0</v>
      </c>
      <c r="O49" s="419"/>
      <c r="P49" s="425">
        <f t="shared" si="10"/>
        <v>0</v>
      </c>
      <c r="Q49" s="369"/>
    </row>
    <row r="50" spans="2:17" x14ac:dyDescent="0.35">
      <c r="B50" s="420" t="s">
        <v>373</v>
      </c>
      <c r="C50" s="419"/>
      <c r="D50" s="444">
        <f>'12. RTSR - Historical Wholesale'!D49</f>
        <v>0</v>
      </c>
      <c r="E50" s="438">
        <f t="shared" si="11"/>
        <v>3.4777999999999998</v>
      </c>
      <c r="F50" s="445">
        <f t="shared" si="7"/>
        <v>0</v>
      </c>
      <c r="G50" s="419"/>
      <c r="H50" s="444">
        <f>'12. RTSR - Historical Wholesale'!H49</f>
        <v>0</v>
      </c>
      <c r="I50" s="438">
        <f t="shared" si="12"/>
        <v>0.81279999999999997</v>
      </c>
      <c r="J50" s="445">
        <f t="shared" si="8"/>
        <v>0</v>
      </c>
      <c r="K50" s="419"/>
      <c r="L50" s="444">
        <f>'12. RTSR - Historical Wholesale'!L49</f>
        <v>0</v>
      </c>
      <c r="M50" s="438">
        <f t="shared" si="13"/>
        <v>2.0457999999999998</v>
      </c>
      <c r="N50" s="445">
        <f t="shared" si="9"/>
        <v>0</v>
      </c>
      <c r="O50" s="419"/>
      <c r="P50" s="425">
        <f t="shared" si="10"/>
        <v>0</v>
      </c>
      <c r="Q50" s="369"/>
    </row>
    <row r="51" spans="2:17" x14ac:dyDescent="0.35">
      <c r="B51" s="419"/>
      <c r="C51" s="419"/>
      <c r="D51" s="419"/>
      <c r="E51" s="419"/>
      <c r="F51" s="419"/>
      <c r="G51" s="419"/>
      <c r="H51" s="419"/>
      <c r="I51" s="419"/>
      <c r="J51" s="419"/>
      <c r="K51" s="419"/>
      <c r="L51" s="419"/>
      <c r="M51" s="419"/>
      <c r="N51" s="419"/>
      <c r="O51" s="419"/>
      <c r="P51" s="419"/>
      <c r="Q51" s="369"/>
    </row>
    <row r="52" spans="2:17" ht="15" thickBot="1" x14ac:dyDescent="0.4">
      <c r="B52" s="416" t="s">
        <v>268</v>
      </c>
      <c r="C52" s="419"/>
      <c r="D52" s="426">
        <f>SUM(D39:D50)</f>
        <v>0</v>
      </c>
      <c r="E52" s="427">
        <f>IF(D52&lt;&gt;0,F52/D52,0)</f>
        <v>0</v>
      </c>
      <c r="F52" s="428">
        <f>SUM(F39:F50)</f>
        <v>0</v>
      </c>
      <c r="G52" s="419"/>
      <c r="H52" s="426">
        <f>SUM(H39:H50)</f>
        <v>0</v>
      </c>
      <c r="I52" s="427">
        <f>IF(H52&lt;&gt;0,J52/H52,0)</f>
        <v>0</v>
      </c>
      <c r="J52" s="428">
        <f>SUM(J39:J50)</f>
        <v>0</v>
      </c>
      <c r="K52" s="419"/>
      <c r="L52" s="426">
        <f>SUM(L39:L50)</f>
        <v>0</v>
      </c>
      <c r="M52" s="427">
        <f>IF(L52&lt;&gt;0,N52/L52,0)</f>
        <v>0</v>
      </c>
      <c r="N52" s="428">
        <f>SUM(N39:N50)</f>
        <v>0</v>
      </c>
      <c r="O52" s="419"/>
      <c r="P52" s="428">
        <f>SUM(P39:P50)</f>
        <v>0</v>
      </c>
      <c r="Q52" s="369"/>
    </row>
    <row r="53" spans="2:17" x14ac:dyDescent="0.35">
      <c r="B53" s="419"/>
      <c r="C53" s="419"/>
      <c r="D53" s="419"/>
      <c r="E53" s="419"/>
      <c r="F53" s="419"/>
      <c r="G53" s="419"/>
      <c r="H53" s="419"/>
      <c r="I53" s="419"/>
      <c r="J53" s="419"/>
      <c r="K53" s="419"/>
      <c r="L53" s="419"/>
      <c r="M53" s="419"/>
      <c r="N53" s="419"/>
      <c r="O53" s="419"/>
      <c r="P53" s="419"/>
      <c r="Q53" s="369"/>
    </row>
    <row r="54" spans="2:17" x14ac:dyDescent="0.35">
      <c r="B54" s="413" t="str">
        <f>'12. RTSR - Historical Wholesale'!B53</f>
        <v>Add Extra Host Here (I)</v>
      </c>
      <c r="C54" s="419"/>
      <c r="D54" s="714" t="s">
        <v>355</v>
      </c>
      <c r="E54" s="714"/>
      <c r="F54" s="714"/>
      <c r="G54" s="414"/>
      <c r="H54" s="714" t="s">
        <v>356</v>
      </c>
      <c r="I54" s="714"/>
      <c r="J54" s="714"/>
      <c r="K54" s="414"/>
      <c r="L54" s="714" t="s">
        <v>357</v>
      </c>
      <c r="M54" s="714"/>
      <c r="N54" s="714"/>
      <c r="O54" s="414"/>
      <c r="P54" s="413" t="s">
        <v>358</v>
      </c>
      <c r="Q54" s="369"/>
    </row>
    <row r="55" spans="2:17" x14ac:dyDescent="0.35">
      <c r="B55" s="416"/>
      <c r="C55" s="419"/>
      <c r="D55" s="443"/>
      <c r="E55" s="443"/>
      <c r="F55" s="443"/>
      <c r="G55" s="419"/>
      <c r="H55" s="443"/>
      <c r="I55" s="443"/>
      <c r="J55" s="443"/>
      <c r="K55" s="419"/>
      <c r="L55" s="443"/>
      <c r="M55" s="443"/>
      <c r="N55" s="443"/>
      <c r="O55" s="419"/>
      <c r="P55" s="443"/>
      <c r="Q55" s="369"/>
    </row>
    <row r="56" spans="2:17" x14ac:dyDescent="0.35">
      <c r="B56" s="416" t="s">
        <v>359</v>
      </c>
      <c r="C56" s="419"/>
      <c r="D56" s="443" t="s">
        <v>360</v>
      </c>
      <c r="E56" s="443" t="s">
        <v>325</v>
      </c>
      <c r="F56" s="443" t="s">
        <v>361</v>
      </c>
      <c r="G56" s="419"/>
      <c r="H56" s="443" t="s">
        <v>360</v>
      </c>
      <c r="I56" s="443" t="s">
        <v>325</v>
      </c>
      <c r="J56" s="443" t="s">
        <v>361</v>
      </c>
      <c r="K56" s="419"/>
      <c r="L56" s="443" t="s">
        <v>360</v>
      </c>
      <c r="M56" s="443" t="s">
        <v>325</v>
      </c>
      <c r="N56" s="443" t="s">
        <v>361</v>
      </c>
      <c r="O56" s="419"/>
      <c r="P56" s="443" t="s">
        <v>361</v>
      </c>
      <c r="Q56" s="369"/>
    </row>
    <row r="57" spans="2:17" x14ac:dyDescent="0.35">
      <c r="B57" s="419"/>
      <c r="C57" s="419"/>
      <c r="D57" s="419"/>
      <c r="E57" s="419"/>
      <c r="F57" s="419"/>
      <c r="G57" s="419"/>
      <c r="H57" s="419"/>
      <c r="I57" s="419"/>
      <c r="J57" s="419"/>
      <c r="K57" s="419"/>
      <c r="L57" s="419"/>
      <c r="M57" s="419"/>
      <c r="N57" s="419"/>
      <c r="O57" s="419"/>
      <c r="P57" s="419"/>
      <c r="Q57" s="369"/>
    </row>
    <row r="58" spans="2:17" x14ac:dyDescent="0.35">
      <c r="B58" s="420" t="s">
        <v>362</v>
      </c>
      <c r="C58" s="419"/>
      <c r="D58" s="444">
        <f>'12. RTSR - Historical Wholesale'!D57</f>
        <v>0</v>
      </c>
      <c r="E58" s="438">
        <f>'11. RTSR - UTRs &amp; Sub-Tx'!L50</f>
        <v>0</v>
      </c>
      <c r="F58" s="445">
        <f t="shared" ref="F58:F69" si="14">D58*E58</f>
        <v>0</v>
      </c>
      <c r="G58" s="419"/>
      <c r="H58" s="444">
        <f>'12. RTSR - Historical Wholesale'!H57</f>
        <v>0</v>
      </c>
      <c r="I58" s="438">
        <f>'11. RTSR - UTRs &amp; Sub-Tx'!L52</f>
        <v>0</v>
      </c>
      <c r="J58" s="445">
        <f t="shared" ref="J58:J69" si="15">H58*I58</f>
        <v>0</v>
      </c>
      <c r="K58" s="419"/>
      <c r="L58" s="444">
        <f>'12. RTSR - Historical Wholesale'!L57</f>
        <v>0</v>
      </c>
      <c r="M58" s="438">
        <f>'11. RTSR - UTRs &amp; Sub-Tx'!L54</f>
        <v>0</v>
      </c>
      <c r="N58" s="445">
        <f t="shared" ref="N58:N69" si="16">L58*M58</f>
        <v>0</v>
      </c>
      <c r="O58" s="419"/>
      <c r="P58" s="425">
        <f t="shared" ref="P58:P69" si="17">J58+N58</f>
        <v>0</v>
      </c>
      <c r="Q58" s="369"/>
    </row>
    <row r="59" spans="2:17" x14ac:dyDescent="0.35">
      <c r="B59" s="420" t="s">
        <v>363</v>
      </c>
      <c r="C59" s="419"/>
      <c r="D59" s="444">
        <f>'12. RTSR - Historical Wholesale'!D58</f>
        <v>0</v>
      </c>
      <c r="E59" s="438">
        <f t="shared" ref="E59:E69" si="18">E58</f>
        <v>0</v>
      </c>
      <c r="F59" s="445">
        <f t="shared" si="14"/>
        <v>0</v>
      </c>
      <c r="G59" s="419"/>
      <c r="H59" s="444">
        <f>'12. RTSR - Historical Wholesale'!H58</f>
        <v>0</v>
      </c>
      <c r="I59" s="438">
        <f t="shared" ref="I59:I69" si="19">I58</f>
        <v>0</v>
      </c>
      <c r="J59" s="445">
        <f t="shared" si="15"/>
        <v>0</v>
      </c>
      <c r="K59" s="419"/>
      <c r="L59" s="444">
        <f>'12. RTSR - Historical Wholesale'!L58</f>
        <v>0</v>
      </c>
      <c r="M59" s="438">
        <f t="shared" ref="M59:M69" si="20">M58</f>
        <v>0</v>
      </c>
      <c r="N59" s="445">
        <f t="shared" si="16"/>
        <v>0</v>
      </c>
      <c r="O59" s="419"/>
      <c r="P59" s="425">
        <f t="shared" si="17"/>
        <v>0</v>
      </c>
      <c r="Q59" s="369"/>
    </row>
    <row r="60" spans="2:17" x14ac:dyDescent="0.35">
      <c r="B60" s="420" t="s">
        <v>364</v>
      </c>
      <c r="C60" s="419"/>
      <c r="D60" s="444">
        <f>'12. RTSR - Historical Wholesale'!D59</f>
        <v>0</v>
      </c>
      <c r="E60" s="438">
        <f t="shared" si="18"/>
        <v>0</v>
      </c>
      <c r="F60" s="445">
        <f t="shared" si="14"/>
        <v>0</v>
      </c>
      <c r="G60" s="419"/>
      <c r="H60" s="444">
        <f>'12. RTSR - Historical Wholesale'!H59</f>
        <v>0</v>
      </c>
      <c r="I60" s="438">
        <f t="shared" si="19"/>
        <v>0</v>
      </c>
      <c r="J60" s="445">
        <f t="shared" si="15"/>
        <v>0</v>
      </c>
      <c r="K60" s="419"/>
      <c r="L60" s="444">
        <f>'12. RTSR - Historical Wholesale'!L59</f>
        <v>0</v>
      </c>
      <c r="M60" s="438">
        <f t="shared" si="20"/>
        <v>0</v>
      </c>
      <c r="N60" s="445">
        <f t="shared" si="16"/>
        <v>0</v>
      </c>
      <c r="O60" s="419"/>
      <c r="P60" s="425">
        <f t="shared" si="17"/>
        <v>0</v>
      </c>
      <c r="Q60" s="369"/>
    </row>
    <row r="61" spans="2:17" x14ac:dyDescent="0.35">
      <c r="B61" s="420" t="s">
        <v>365</v>
      </c>
      <c r="C61" s="419"/>
      <c r="D61" s="444">
        <f>'12. RTSR - Historical Wholesale'!D60</f>
        <v>0</v>
      </c>
      <c r="E61" s="438">
        <f t="shared" si="18"/>
        <v>0</v>
      </c>
      <c r="F61" s="445">
        <f t="shared" si="14"/>
        <v>0</v>
      </c>
      <c r="G61" s="419"/>
      <c r="H61" s="444">
        <f>'12. RTSR - Historical Wholesale'!H60</f>
        <v>0</v>
      </c>
      <c r="I61" s="438">
        <f t="shared" si="19"/>
        <v>0</v>
      </c>
      <c r="J61" s="445">
        <f t="shared" si="15"/>
        <v>0</v>
      </c>
      <c r="K61" s="419"/>
      <c r="L61" s="444">
        <f>'12. RTSR - Historical Wholesale'!L60</f>
        <v>0</v>
      </c>
      <c r="M61" s="438">
        <f t="shared" si="20"/>
        <v>0</v>
      </c>
      <c r="N61" s="445">
        <f t="shared" si="16"/>
        <v>0</v>
      </c>
      <c r="O61" s="419"/>
      <c r="P61" s="425">
        <f t="shared" si="17"/>
        <v>0</v>
      </c>
      <c r="Q61" s="369"/>
    </row>
    <row r="62" spans="2:17" x14ac:dyDescent="0.35">
      <c r="B62" s="420" t="s">
        <v>366</v>
      </c>
      <c r="C62" s="419"/>
      <c r="D62" s="444">
        <f>'12. RTSR - Historical Wholesale'!D61</f>
        <v>0</v>
      </c>
      <c r="E62" s="438">
        <f t="shared" si="18"/>
        <v>0</v>
      </c>
      <c r="F62" s="445">
        <f t="shared" si="14"/>
        <v>0</v>
      </c>
      <c r="G62" s="419"/>
      <c r="H62" s="444">
        <f>'12. RTSR - Historical Wholesale'!H61</f>
        <v>0</v>
      </c>
      <c r="I62" s="438">
        <f t="shared" si="19"/>
        <v>0</v>
      </c>
      <c r="J62" s="445">
        <f t="shared" si="15"/>
        <v>0</v>
      </c>
      <c r="K62" s="419"/>
      <c r="L62" s="444">
        <f>'12. RTSR - Historical Wholesale'!L61</f>
        <v>0</v>
      </c>
      <c r="M62" s="438">
        <f t="shared" si="20"/>
        <v>0</v>
      </c>
      <c r="N62" s="445">
        <f t="shared" si="16"/>
        <v>0</v>
      </c>
      <c r="O62" s="419"/>
      <c r="P62" s="425">
        <f t="shared" si="17"/>
        <v>0</v>
      </c>
      <c r="Q62" s="369"/>
    </row>
    <row r="63" spans="2:17" x14ac:dyDescent="0.35">
      <c r="B63" s="420" t="s">
        <v>367</v>
      </c>
      <c r="C63" s="419"/>
      <c r="D63" s="444">
        <f>'12. RTSR - Historical Wholesale'!D62</f>
        <v>0</v>
      </c>
      <c r="E63" s="438">
        <f t="shared" si="18"/>
        <v>0</v>
      </c>
      <c r="F63" s="445">
        <f t="shared" si="14"/>
        <v>0</v>
      </c>
      <c r="G63" s="419"/>
      <c r="H63" s="444">
        <f>'12. RTSR - Historical Wholesale'!H62</f>
        <v>0</v>
      </c>
      <c r="I63" s="438">
        <f t="shared" si="19"/>
        <v>0</v>
      </c>
      <c r="J63" s="445">
        <f t="shared" si="15"/>
        <v>0</v>
      </c>
      <c r="K63" s="419"/>
      <c r="L63" s="444">
        <f>'12. RTSR - Historical Wholesale'!L62</f>
        <v>0</v>
      </c>
      <c r="M63" s="438">
        <f t="shared" si="20"/>
        <v>0</v>
      </c>
      <c r="N63" s="445">
        <f t="shared" si="16"/>
        <v>0</v>
      </c>
      <c r="O63" s="419"/>
      <c r="P63" s="425">
        <f t="shared" si="17"/>
        <v>0</v>
      </c>
      <c r="Q63" s="369"/>
    </row>
    <row r="64" spans="2:17" x14ac:dyDescent="0.35">
      <c r="B64" s="420" t="s">
        <v>368</v>
      </c>
      <c r="C64" s="419"/>
      <c r="D64" s="444">
        <f>'12. RTSR - Historical Wholesale'!D63</f>
        <v>0</v>
      </c>
      <c r="E64" s="438">
        <f t="shared" si="18"/>
        <v>0</v>
      </c>
      <c r="F64" s="445">
        <f t="shared" si="14"/>
        <v>0</v>
      </c>
      <c r="G64" s="419"/>
      <c r="H64" s="444">
        <f>'12. RTSR - Historical Wholesale'!H63</f>
        <v>0</v>
      </c>
      <c r="I64" s="438">
        <f t="shared" si="19"/>
        <v>0</v>
      </c>
      <c r="J64" s="445">
        <f t="shared" si="15"/>
        <v>0</v>
      </c>
      <c r="K64" s="419"/>
      <c r="L64" s="444">
        <f>'12. RTSR - Historical Wholesale'!L63</f>
        <v>0</v>
      </c>
      <c r="M64" s="438">
        <f t="shared" si="20"/>
        <v>0</v>
      </c>
      <c r="N64" s="445">
        <f t="shared" si="16"/>
        <v>0</v>
      </c>
      <c r="O64" s="419"/>
      <c r="P64" s="425">
        <f t="shared" si="17"/>
        <v>0</v>
      </c>
      <c r="Q64" s="369"/>
    </row>
    <row r="65" spans="2:17" x14ac:dyDescent="0.35">
      <c r="B65" s="420" t="s">
        <v>369</v>
      </c>
      <c r="C65" s="419"/>
      <c r="D65" s="444">
        <f>'12. RTSR - Historical Wholesale'!D64</f>
        <v>0</v>
      </c>
      <c r="E65" s="438">
        <f t="shared" si="18"/>
        <v>0</v>
      </c>
      <c r="F65" s="445">
        <f t="shared" si="14"/>
        <v>0</v>
      </c>
      <c r="G65" s="419"/>
      <c r="H65" s="444">
        <f>'12. RTSR - Historical Wholesale'!H64</f>
        <v>0</v>
      </c>
      <c r="I65" s="438">
        <f t="shared" si="19"/>
        <v>0</v>
      </c>
      <c r="J65" s="445">
        <f t="shared" si="15"/>
        <v>0</v>
      </c>
      <c r="K65" s="419"/>
      <c r="L65" s="444">
        <f>'12. RTSR - Historical Wholesale'!L64</f>
        <v>0</v>
      </c>
      <c r="M65" s="438">
        <f t="shared" si="20"/>
        <v>0</v>
      </c>
      <c r="N65" s="445">
        <f t="shared" si="16"/>
        <v>0</v>
      </c>
      <c r="O65" s="419"/>
      <c r="P65" s="425">
        <f t="shared" si="17"/>
        <v>0</v>
      </c>
      <c r="Q65" s="369"/>
    </row>
    <row r="66" spans="2:17" x14ac:dyDescent="0.35">
      <c r="B66" s="420" t="s">
        <v>370</v>
      </c>
      <c r="C66" s="419"/>
      <c r="D66" s="444">
        <f>'12. RTSR - Historical Wholesale'!D65</f>
        <v>0</v>
      </c>
      <c r="E66" s="438">
        <f t="shared" si="18"/>
        <v>0</v>
      </c>
      <c r="F66" s="445">
        <f t="shared" si="14"/>
        <v>0</v>
      </c>
      <c r="G66" s="419"/>
      <c r="H66" s="444">
        <f>'12. RTSR - Historical Wholesale'!H65</f>
        <v>0</v>
      </c>
      <c r="I66" s="438">
        <f t="shared" si="19"/>
        <v>0</v>
      </c>
      <c r="J66" s="445">
        <f t="shared" si="15"/>
        <v>0</v>
      </c>
      <c r="K66" s="419"/>
      <c r="L66" s="444">
        <f>'12. RTSR - Historical Wholesale'!L65</f>
        <v>0</v>
      </c>
      <c r="M66" s="438">
        <f t="shared" si="20"/>
        <v>0</v>
      </c>
      <c r="N66" s="445">
        <f t="shared" si="16"/>
        <v>0</v>
      </c>
      <c r="O66" s="419"/>
      <c r="P66" s="425">
        <f t="shared" si="17"/>
        <v>0</v>
      </c>
      <c r="Q66" s="369"/>
    </row>
    <row r="67" spans="2:17" x14ac:dyDescent="0.35">
      <c r="B67" s="420" t="s">
        <v>371</v>
      </c>
      <c r="C67" s="419"/>
      <c r="D67" s="444">
        <f>'12. RTSR - Historical Wholesale'!D66</f>
        <v>0</v>
      </c>
      <c r="E67" s="438">
        <f t="shared" si="18"/>
        <v>0</v>
      </c>
      <c r="F67" s="445">
        <f t="shared" si="14"/>
        <v>0</v>
      </c>
      <c r="G67" s="419"/>
      <c r="H67" s="444">
        <f>'12. RTSR - Historical Wholesale'!H66</f>
        <v>0</v>
      </c>
      <c r="I67" s="438">
        <f t="shared" si="19"/>
        <v>0</v>
      </c>
      <c r="J67" s="445">
        <f t="shared" si="15"/>
        <v>0</v>
      </c>
      <c r="K67" s="419"/>
      <c r="L67" s="444">
        <f>'12. RTSR - Historical Wholesale'!L66</f>
        <v>0</v>
      </c>
      <c r="M67" s="438">
        <f t="shared" si="20"/>
        <v>0</v>
      </c>
      <c r="N67" s="445">
        <f t="shared" si="16"/>
        <v>0</v>
      </c>
      <c r="O67" s="419"/>
      <c r="P67" s="425">
        <f t="shared" si="17"/>
        <v>0</v>
      </c>
      <c r="Q67" s="369"/>
    </row>
    <row r="68" spans="2:17" x14ac:dyDescent="0.35">
      <c r="B68" s="420" t="s">
        <v>372</v>
      </c>
      <c r="C68" s="419"/>
      <c r="D68" s="444">
        <f>'12. RTSR - Historical Wholesale'!D67</f>
        <v>0</v>
      </c>
      <c r="E68" s="438">
        <f t="shared" si="18"/>
        <v>0</v>
      </c>
      <c r="F68" s="445">
        <f t="shared" si="14"/>
        <v>0</v>
      </c>
      <c r="G68" s="419"/>
      <c r="H68" s="444">
        <f>'12. RTSR - Historical Wholesale'!H67</f>
        <v>0</v>
      </c>
      <c r="I68" s="438">
        <f t="shared" si="19"/>
        <v>0</v>
      </c>
      <c r="J68" s="445">
        <f t="shared" si="15"/>
        <v>0</v>
      </c>
      <c r="K68" s="419"/>
      <c r="L68" s="444">
        <f>'12. RTSR - Historical Wholesale'!L67</f>
        <v>0</v>
      </c>
      <c r="M68" s="438">
        <f t="shared" si="20"/>
        <v>0</v>
      </c>
      <c r="N68" s="445">
        <f t="shared" si="16"/>
        <v>0</v>
      </c>
      <c r="O68" s="419"/>
      <c r="P68" s="425">
        <f t="shared" si="17"/>
        <v>0</v>
      </c>
      <c r="Q68" s="369"/>
    </row>
    <row r="69" spans="2:17" x14ac:dyDescent="0.35">
      <c r="B69" s="420" t="s">
        <v>373</v>
      </c>
      <c r="C69" s="419"/>
      <c r="D69" s="444">
        <f>'12. RTSR - Historical Wholesale'!D68</f>
        <v>0</v>
      </c>
      <c r="E69" s="438">
        <f t="shared" si="18"/>
        <v>0</v>
      </c>
      <c r="F69" s="445">
        <f t="shared" si="14"/>
        <v>0</v>
      </c>
      <c r="G69" s="419"/>
      <c r="H69" s="444">
        <f>'12. RTSR - Historical Wholesale'!H68</f>
        <v>0</v>
      </c>
      <c r="I69" s="438">
        <f t="shared" si="19"/>
        <v>0</v>
      </c>
      <c r="J69" s="445">
        <f t="shared" si="15"/>
        <v>0</v>
      </c>
      <c r="K69" s="419"/>
      <c r="L69" s="444">
        <f>'12. RTSR - Historical Wholesale'!L68</f>
        <v>0</v>
      </c>
      <c r="M69" s="438">
        <f t="shared" si="20"/>
        <v>0</v>
      </c>
      <c r="N69" s="445">
        <f t="shared" si="16"/>
        <v>0</v>
      </c>
      <c r="O69" s="419"/>
      <c r="P69" s="425">
        <f t="shared" si="17"/>
        <v>0</v>
      </c>
      <c r="Q69" s="369"/>
    </row>
    <row r="70" spans="2:17" x14ac:dyDescent="0.35">
      <c r="B70" s="419"/>
      <c r="C70" s="419"/>
      <c r="D70" s="419"/>
      <c r="E70" s="419"/>
      <c r="F70" s="419"/>
      <c r="G70" s="419"/>
      <c r="H70" s="419"/>
      <c r="I70" s="419"/>
      <c r="J70" s="419"/>
      <c r="K70" s="419"/>
      <c r="L70" s="419"/>
      <c r="M70" s="419"/>
      <c r="N70" s="419"/>
      <c r="O70" s="419"/>
      <c r="P70" s="419"/>
      <c r="Q70" s="369"/>
    </row>
    <row r="71" spans="2:17" ht="15" thickBot="1" x14ac:dyDescent="0.4">
      <c r="B71" s="416" t="s">
        <v>268</v>
      </c>
      <c r="C71" s="419"/>
      <c r="D71" s="426">
        <f>SUM(D58:D69)</f>
        <v>0</v>
      </c>
      <c r="E71" s="427">
        <f>IF(D71&lt;&gt;0,F71/D71,0)</f>
        <v>0</v>
      </c>
      <c r="F71" s="428">
        <f>SUM(F58:F69)</f>
        <v>0</v>
      </c>
      <c r="G71" s="419"/>
      <c r="H71" s="426">
        <f>SUM(H58:H69)</f>
        <v>0</v>
      </c>
      <c r="I71" s="427">
        <f>IF(H71&lt;&gt;0,J71/H71,0)</f>
        <v>0</v>
      </c>
      <c r="J71" s="428">
        <f>SUM(J58:J69)</f>
        <v>0</v>
      </c>
      <c r="K71" s="419"/>
      <c r="L71" s="426">
        <f>SUM(L58:L69)</f>
        <v>0</v>
      </c>
      <c r="M71" s="427">
        <f>IF(L71&lt;&gt;0,N71/L71,0)</f>
        <v>0</v>
      </c>
      <c r="N71" s="428">
        <f>SUM(N58:N69)</f>
        <v>0</v>
      </c>
      <c r="O71" s="419"/>
      <c r="P71" s="428">
        <f>SUM(P58:P69)</f>
        <v>0</v>
      </c>
      <c r="Q71" s="369"/>
    </row>
    <row r="72" spans="2:17" x14ac:dyDescent="0.35">
      <c r="B72" s="419"/>
      <c r="C72" s="419"/>
      <c r="D72" s="419"/>
      <c r="E72" s="419"/>
      <c r="F72" s="419"/>
      <c r="G72" s="419"/>
      <c r="H72" s="419"/>
      <c r="I72" s="419"/>
      <c r="J72" s="419"/>
      <c r="K72" s="419"/>
      <c r="L72" s="419"/>
      <c r="M72" s="419"/>
      <c r="N72" s="419"/>
      <c r="O72" s="419"/>
      <c r="P72" s="419"/>
      <c r="Q72" s="369"/>
    </row>
    <row r="73" spans="2:17" x14ac:dyDescent="0.35">
      <c r="B73" s="413" t="str">
        <f>'12. RTSR - Historical Wholesale'!B72</f>
        <v>Add Extra Host Here (II)</v>
      </c>
      <c r="C73" s="419"/>
      <c r="D73" s="714" t="s">
        <v>355</v>
      </c>
      <c r="E73" s="714"/>
      <c r="F73" s="714"/>
      <c r="G73" s="414"/>
      <c r="H73" s="714" t="s">
        <v>356</v>
      </c>
      <c r="I73" s="714"/>
      <c r="J73" s="714"/>
      <c r="K73" s="414"/>
      <c r="L73" s="714" t="s">
        <v>357</v>
      </c>
      <c r="M73" s="714"/>
      <c r="N73" s="714"/>
      <c r="O73" s="414"/>
      <c r="P73" s="413" t="s">
        <v>358</v>
      </c>
      <c r="Q73" s="369"/>
    </row>
    <row r="74" spans="2:17" x14ac:dyDescent="0.35">
      <c r="B74" s="416"/>
      <c r="C74" s="419"/>
      <c r="D74" s="443"/>
      <c r="E74" s="443"/>
      <c r="F74" s="443"/>
      <c r="G74" s="419"/>
      <c r="H74" s="443"/>
      <c r="I74" s="443"/>
      <c r="J74" s="443"/>
      <c r="K74" s="419"/>
      <c r="L74" s="443"/>
      <c r="M74" s="443"/>
      <c r="N74" s="443"/>
      <c r="O74" s="419"/>
      <c r="P74" s="443"/>
      <c r="Q74" s="369"/>
    </row>
    <row r="75" spans="2:17" x14ac:dyDescent="0.35">
      <c r="B75" s="416" t="s">
        <v>359</v>
      </c>
      <c r="C75" s="419"/>
      <c r="D75" s="443" t="s">
        <v>360</v>
      </c>
      <c r="E75" s="443" t="s">
        <v>325</v>
      </c>
      <c r="F75" s="443" t="s">
        <v>361</v>
      </c>
      <c r="G75" s="419"/>
      <c r="H75" s="443" t="s">
        <v>360</v>
      </c>
      <c r="I75" s="443" t="s">
        <v>325</v>
      </c>
      <c r="J75" s="443" t="s">
        <v>361</v>
      </c>
      <c r="K75" s="419"/>
      <c r="L75" s="443" t="s">
        <v>360</v>
      </c>
      <c r="M75" s="443" t="s">
        <v>325</v>
      </c>
      <c r="N75" s="443" t="s">
        <v>361</v>
      </c>
      <c r="O75" s="419"/>
      <c r="P75" s="443" t="s">
        <v>361</v>
      </c>
      <c r="Q75" s="369"/>
    </row>
    <row r="76" spans="2:17" x14ac:dyDescent="0.35">
      <c r="B76" s="419"/>
      <c r="C76" s="419"/>
      <c r="D76" s="419"/>
      <c r="E76" s="419"/>
      <c r="F76" s="419"/>
      <c r="G76" s="419"/>
      <c r="H76" s="419"/>
      <c r="I76" s="419"/>
      <c r="J76" s="419"/>
      <c r="K76" s="419"/>
      <c r="L76" s="419"/>
      <c r="M76" s="419"/>
      <c r="N76" s="419"/>
      <c r="O76" s="419"/>
      <c r="P76" s="419"/>
      <c r="Q76" s="369"/>
    </row>
    <row r="77" spans="2:17" x14ac:dyDescent="0.35">
      <c r="B77" s="420" t="s">
        <v>362</v>
      </c>
      <c r="C77" s="419"/>
      <c r="D77" s="444">
        <f>'12. RTSR - Historical Wholesale'!D76</f>
        <v>0</v>
      </c>
      <c r="E77" s="438">
        <f>'11. RTSR - UTRs &amp; Sub-Tx'!L65</f>
        <v>0</v>
      </c>
      <c r="F77" s="445">
        <f t="shared" ref="F77:F88" si="21">D77*E77</f>
        <v>0</v>
      </c>
      <c r="G77" s="419"/>
      <c r="H77" s="444">
        <f>'12. RTSR - Historical Wholesale'!H76</f>
        <v>0</v>
      </c>
      <c r="I77" s="438">
        <f>'11. RTSR - UTRs &amp; Sub-Tx'!L67</f>
        <v>0</v>
      </c>
      <c r="J77" s="445">
        <f t="shared" ref="J77:J88" si="22">H77*I77</f>
        <v>0</v>
      </c>
      <c r="K77" s="419"/>
      <c r="L77" s="444">
        <f>'12. RTSR - Historical Wholesale'!L76</f>
        <v>0</v>
      </c>
      <c r="M77" s="438">
        <f>'11. RTSR - UTRs &amp; Sub-Tx'!L69</f>
        <v>0</v>
      </c>
      <c r="N77" s="445">
        <f t="shared" ref="N77:N88" si="23">L77*M77</f>
        <v>0</v>
      </c>
      <c r="O77" s="419"/>
      <c r="P77" s="425">
        <f t="shared" ref="P77:P88" si="24">J77+N77</f>
        <v>0</v>
      </c>
      <c r="Q77" s="369"/>
    </row>
    <row r="78" spans="2:17" x14ac:dyDescent="0.35">
      <c r="B78" s="420" t="s">
        <v>363</v>
      </c>
      <c r="C78" s="419"/>
      <c r="D78" s="444">
        <f>'12. RTSR - Historical Wholesale'!D77</f>
        <v>0</v>
      </c>
      <c r="E78" s="438">
        <f t="shared" ref="E78:E88" si="25">E77</f>
        <v>0</v>
      </c>
      <c r="F78" s="445">
        <f t="shared" si="21"/>
        <v>0</v>
      </c>
      <c r="G78" s="419"/>
      <c r="H78" s="444">
        <f>'12. RTSR - Historical Wholesale'!H77</f>
        <v>0</v>
      </c>
      <c r="I78" s="438">
        <f t="shared" ref="I78:I88" si="26">I77</f>
        <v>0</v>
      </c>
      <c r="J78" s="445">
        <f t="shared" si="22"/>
        <v>0</v>
      </c>
      <c r="K78" s="419"/>
      <c r="L78" s="444">
        <f>'12. RTSR - Historical Wholesale'!L77</f>
        <v>0</v>
      </c>
      <c r="M78" s="438">
        <f t="shared" ref="M78:M88" si="27">M77</f>
        <v>0</v>
      </c>
      <c r="N78" s="445">
        <f t="shared" si="23"/>
        <v>0</v>
      </c>
      <c r="O78" s="419"/>
      <c r="P78" s="425">
        <f t="shared" si="24"/>
        <v>0</v>
      </c>
      <c r="Q78" s="369"/>
    </row>
    <row r="79" spans="2:17" x14ac:dyDescent="0.35">
      <c r="B79" s="420" t="s">
        <v>364</v>
      </c>
      <c r="C79" s="419"/>
      <c r="D79" s="444">
        <f>'12. RTSR - Historical Wholesale'!D78</f>
        <v>0</v>
      </c>
      <c r="E79" s="438">
        <f t="shared" si="25"/>
        <v>0</v>
      </c>
      <c r="F79" s="445">
        <f t="shared" si="21"/>
        <v>0</v>
      </c>
      <c r="G79" s="419"/>
      <c r="H79" s="444">
        <f>'12. RTSR - Historical Wholesale'!H78</f>
        <v>0</v>
      </c>
      <c r="I79" s="438">
        <f t="shared" si="26"/>
        <v>0</v>
      </c>
      <c r="J79" s="445">
        <f t="shared" si="22"/>
        <v>0</v>
      </c>
      <c r="K79" s="419"/>
      <c r="L79" s="444">
        <f>'12. RTSR - Historical Wholesale'!L78</f>
        <v>0</v>
      </c>
      <c r="M79" s="438">
        <f t="shared" si="27"/>
        <v>0</v>
      </c>
      <c r="N79" s="445">
        <f t="shared" si="23"/>
        <v>0</v>
      </c>
      <c r="O79" s="419"/>
      <c r="P79" s="425">
        <f t="shared" si="24"/>
        <v>0</v>
      </c>
      <c r="Q79" s="369"/>
    </row>
    <row r="80" spans="2:17" x14ac:dyDescent="0.35">
      <c r="B80" s="420" t="s">
        <v>365</v>
      </c>
      <c r="C80" s="419"/>
      <c r="D80" s="444">
        <f>'12. RTSR - Historical Wholesale'!D79</f>
        <v>0</v>
      </c>
      <c r="E80" s="438">
        <f t="shared" si="25"/>
        <v>0</v>
      </c>
      <c r="F80" s="445">
        <f t="shared" si="21"/>
        <v>0</v>
      </c>
      <c r="G80" s="419"/>
      <c r="H80" s="444">
        <f>'12. RTSR - Historical Wholesale'!H79</f>
        <v>0</v>
      </c>
      <c r="I80" s="438">
        <f t="shared" si="26"/>
        <v>0</v>
      </c>
      <c r="J80" s="445">
        <f t="shared" si="22"/>
        <v>0</v>
      </c>
      <c r="K80" s="419"/>
      <c r="L80" s="444">
        <f>'12. RTSR - Historical Wholesale'!L79</f>
        <v>0</v>
      </c>
      <c r="M80" s="438">
        <f t="shared" si="27"/>
        <v>0</v>
      </c>
      <c r="N80" s="445">
        <f t="shared" si="23"/>
        <v>0</v>
      </c>
      <c r="O80" s="419"/>
      <c r="P80" s="425">
        <f t="shared" si="24"/>
        <v>0</v>
      </c>
      <c r="Q80" s="369"/>
    </row>
    <row r="81" spans="2:17" x14ac:dyDescent="0.35">
      <c r="B81" s="420" t="s">
        <v>366</v>
      </c>
      <c r="C81" s="419"/>
      <c r="D81" s="444">
        <f>'12. RTSR - Historical Wholesale'!D80</f>
        <v>0</v>
      </c>
      <c r="E81" s="438">
        <f t="shared" si="25"/>
        <v>0</v>
      </c>
      <c r="F81" s="445">
        <f t="shared" si="21"/>
        <v>0</v>
      </c>
      <c r="G81" s="419"/>
      <c r="H81" s="444">
        <f>'12. RTSR - Historical Wholesale'!H80</f>
        <v>0</v>
      </c>
      <c r="I81" s="438">
        <f t="shared" si="26"/>
        <v>0</v>
      </c>
      <c r="J81" s="445">
        <f t="shared" si="22"/>
        <v>0</v>
      </c>
      <c r="K81" s="419"/>
      <c r="L81" s="444">
        <f>'12. RTSR - Historical Wholesale'!L80</f>
        <v>0</v>
      </c>
      <c r="M81" s="438">
        <f t="shared" si="27"/>
        <v>0</v>
      </c>
      <c r="N81" s="445">
        <f t="shared" si="23"/>
        <v>0</v>
      </c>
      <c r="O81" s="419"/>
      <c r="P81" s="425">
        <f t="shared" si="24"/>
        <v>0</v>
      </c>
      <c r="Q81" s="369"/>
    </row>
    <row r="82" spans="2:17" x14ac:dyDescent="0.35">
      <c r="B82" s="420" t="s">
        <v>367</v>
      </c>
      <c r="C82" s="419"/>
      <c r="D82" s="444">
        <f>'12. RTSR - Historical Wholesale'!D81</f>
        <v>0</v>
      </c>
      <c r="E82" s="438">
        <f t="shared" si="25"/>
        <v>0</v>
      </c>
      <c r="F82" s="445">
        <f t="shared" si="21"/>
        <v>0</v>
      </c>
      <c r="G82" s="419"/>
      <c r="H82" s="444">
        <f>'12. RTSR - Historical Wholesale'!H81</f>
        <v>0</v>
      </c>
      <c r="I82" s="438">
        <f t="shared" si="26"/>
        <v>0</v>
      </c>
      <c r="J82" s="445">
        <f t="shared" si="22"/>
        <v>0</v>
      </c>
      <c r="K82" s="419"/>
      <c r="L82" s="444">
        <f>'12. RTSR - Historical Wholesale'!L81</f>
        <v>0</v>
      </c>
      <c r="M82" s="438">
        <f t="shared" si="27"/>
        <v>0</v>
      </c>
      <c r="N82" s="445">
        <f t="shared" si="23"/>
        <v>0</v>
      </c>
      <c r="O82" s="419"/>
      <c r="P82" s="425">
        <f t="shared" si="24"/>
        <v>0</v>
      </c>
      <c r="Q82" s="369"/>
    </row>
    <row r="83" spans="2:17" x14ac:dyDescent="0.35">
      <c r="B83" s="420" t="s">
        <v>368</v>
      </c>
      <c r="C83" s="419"/>
      <c r="D83" s="444">
        <f>'12. RTSR - Historical Wholesale'!D82</f>
        <v>0</v>
      </c>
      <c r="E83" s="438">
        <f t="shared" si="25"/>
        <v>0</v>
      </c>
      <c r="F83" s="445">
        <f t="shared" si="21"/>
        <v>0</v>
      </c>
      <c r="G83" s="419"/>
      <c r="H83" s="444">
        <f>'12. RTSR - Historical Wholesale'!H82</f>
        <v>0</v>
      </c>
      <c r="I83" s="438">
        <f t="shared" si="26"/>
        <v>0</v>
      </c>
      <c r="J83" s="445">
        <f t="shared" si="22"/>
        <v>0</v>
      </c>
      <c r="K83" s="419"/>
      <c r="L83" s="444">
        <f>'12. RTSR - Historical Wholesale'!L82</f>
        <v>0</v>
      </c>
      <c r="M83" s="438">
        <f t="shared" si="27"/>
        <v>0</v>
      </c>
      <c r="N83" s="445">
        <f t="shared" si="23"/>
        <v>0</v>
      </c>
      <c r="O83" s="419"/>
      <c r="P83" s="425">
        <f t="shared" si="24"/>
        <v>0</v>
      </c>
      <c r="Q83" s="369"/>
    </row>
    <row r="84" spans="2:17" x14ac:dyDescent="0.35">
      <c r="B84" s="420" t="s">
        <v>369</v>
      </c>
      <c r="C84" s="419"/>
      <c r="D84" s="444">
        <f>'12. RTSR - Historical Wholesale'!D83</f>
        <v>0</v>
      </c>
      <c r="E84" s="438">
        <f t="shared" si="25"/>
        <v>0</v>
      </c>
      <c r="F84" s="445">
        <f t="shared" si="21"/>
        <v>0</v>
      </c>
      <c r="G84" s="419"/>
      <c r="H84" s="444">
        <f>'12. RTSR - Historical Wholesale'!H83</f>
        <v>0</v>
      </c>
      <c r="I84" s="438">
        <f t="shared" si="26"/>
        <v>0</v>
      </c>
      <c r="J84" s="445">
        <f t="shared" si="22"/>
        <v>0</v>
      </c>
      <c r="K84" s="419"/>
      <c r="L84" s="444">
        <f>'12. RTSR - Historical Wholesale'!L83</f>
        <v>0</v>
      </c>
      <c r="M84" s="438">
        <f t="shared" si="27"/>
        <v>0</v>
      </c>
      <c r="N84" s="445">
        <f t="shared" si="23"/>
        <v>0</v>
      </c>
      <c r="O84" s="419"/>
      <c r="P84" s="425">
        <f t="shared" si="24"/>
        <v>0</v>
      </c>
      <c r="Q84" s="369"/>
    </row>
    <row r="85" spans="2:17" x14ac:dyDescent="0.35">
      <c r="B85" s="420" t="s">
        <v>370</v>
      </c>
      <c r="C85" s="419"/>
      <c r="D85" s="444">
        <f>'12. RTSR - Historical Wholesale'!D84</f>
        <v>0</v>
      </c>
      <c r="E85" s="438">
        <f t="shared" si="25"/>
        <v>0</v>
      </c>
      <c r="F85" s="445">
        <f t="shared" si="21"/>
        <v>0</v>
      </c>
      <c r="G85" s="419"/>
      <c r="H85" s="444">
        <f>'12. RTSR - Historical Wholesale'!H84</f>
        <v>0</v>
      </c>
      <c r="I85" s="438">
        <f t="shared" si="26"/>
        <v>0</v>
      </c>
      <c r="J85" s="445">
        <f t="shared" si="22"/>
        <v>0</v>
      </c>
      <c r="K85" s="419"/>
      <c r="L85" s="444">
        <f>'12. RTSR - Historical Wholesale'!L84</f>
        <v>0</v>
      </c>
      <c r="M85" s="438">
        <f t="shared" si="27"/>
        <v>0</v>
      </c>
      <c r="N85" s="445">
        <f t="shared" si="23"/>
        <v>0</v>
      </c>
      <c r="O85" s="419"/>
      <c r="P85" s="425">
        <f t="shared" si="24"/>
        <v>0</v>
      </c>
      <c r="Q85" s="369"/>
    </row>
    <row r="86" spans="2:17" x14ac:dyDescent="0.35">
      <c r="B86" s="420" t="s">
        <v>371</v>
      </c>
      <c r="C86" s="419"/>
      <c r="D86" s="444">
        <f>'12. RTSR - Historical Wholesale'!D85</f>
        <v>0</v>
      </c>
      <c r="E86" s="438">
        <f t="shared" si="25"/>
        <v>0</v>
      </c>
      <c r="F86" s="445">
        <f t="shared" si="21"/>
        <v>0</v>
      </c>
      <c r="G86" s="419"/>
      <c r="H86" s="444">
        <f>'12. RTSR - Historical Wholesale'!H85</f>
        <v>0</v>
      </c>
      <c r="I86" s="438">
        <f t="shared" si="26"/>
        <v>0</v>
      </c>
      <c r="J86" s="445">
        <f t="shared" si="22"/>
        <v>0</v>
      </c>
      <c r="K86" s="419"/>
      <c r="L86" s="444">
        <f>'12. RTSR - Historical Wholesale'!L85</f>
        <v>0</v>
      </c>
      <c r="M86" s="438">
        <f t="shared" si="27"/>
        <v>0</v>
      </c>
      <c r="N86" s="445">
        <f t="shared" si="23"/>
        <v>0</v>
      </c>
      <c r="O86" s="419"/>
      <c r="P86" s="425">
        <f t="shared" si="24"/>
        <v>0</v>
      </c>
      <c r="Q86" s="369"/>
    </row>
    <row r="87" spans="2:17" x14ac:dyDescent="0.35">
      <c r="B87" s="420" t="s">
        <v>372</v>
      </c>
      <c r="C87" s="419"/>
      <c r="D87" s="444">
        <f>'12. RTSR - Historical Wholesale'!D86</f>
        <v>0</v>
      </c>
      <c r="E87" s="438">
        <f t="shared" si="25"/>
        <v>0</v>
      </c>
      <c r="F87" s="445">
        <f t="shared" si="21"/>
        <v>0</v>
      </c>
      <c r="G87" s="419"/>
      <c r="H87" s="444">
        <f>'12. RTSR - Historical Wholesale'!H86</f>
        <v>0</v>
      </c>
      <c r="I87" s="438">
        <f t="shared" si="26"/>
        <v>0</v>
      </c>
      <c r="J87" s="445">
        <f t="shared" si="22"/>
        <v>0</v>
      </c>
      <c r="K87" s="419"/>
      <c r="L87" s="444">
        <f>'12. RTSR - Historical Wholesale'!L86</f>
        <v>0</v>
      </c>
      <c r="M87" s="438">
        <f t="shared" si="27"/>
        <v>0</v>
      </c>
      <c r="N87" s="445">
        <f t="shared" si="23"/>
        <v>0</v>
      </c>
      <c r="O87" s="419"/>
      <c r="P87" s="425">
        <f t="shared" si="24"/>
        <v>0</v>
      </c>
      <c r="Q87" s="369"/>
    </row>
    <row r="88" spans="2:17" x14ac:dyDescent="0.35">
      <c r="B88" s="420" t="s">
        <v>373</v>
      </c>
      <c r="C88" s="419"/>
      <c r="D88" s="444">
        <f>'12. RTSR - Historical Wholesale'!D87</f>
        <v>0</v>
      </c>
      <c r="E88" s="438">
        <f t="shared" si="25"/>
        <v>0</v>
      </c>
      <c r="F88" s="445">
        <f t="shared" si="21"/>
        <v>0</v>
      </c>
      <c r="G88" s="419"/>
      <c r="H88" s="444">
        <f>'12. RTSR - Historical Wholesale'!H87</f>
        <v>0</v>
      </c>
      <c r="I88" s="438">
        <f t="shared" si="26"/>
        <v>0</v>
      </c>
      <c r="J88" s="445">
        <f t="shared" si="22"/>
        <v>0</v>
      </c>
      <c r="K88" s="419"/>
      <c r="L88" s="444">
        <f>'12. RTSR - Historical Wholesale'!L87</f>
        <v>0</v>
      </c>
      <c r="M88" s="438">
        <f t="shared" si="27"/>
        <v>0</v>
      </c>
      <c r="N88" s="445">
        <f t="shared" si="23"/>
        <v>0</v>
      </c>
      <c r="O88" s="419"/>
      <c r="P88" s="425">
        <f t="shared" si="24"/>
        <v>0</v>
      </c>
      <c r="Q88" s="369"/>
    </row>
    <row r="89" spans="2:17" x14ac:dyDescent="0.35">
      <c r="B89" s="419"/>
      <c r="C89" s="419"/>
      <c r="D89" s="419"/>
      <c r="E89" s="419"/>
      <c r="F89" s="419"/>
      <c r="G89" s="419"/>
      <c r="H89" s="419"/>
      <c r="I89" s="419"/>
      <c r="J89" s="419"/>
      <c r="K89" s="419"/>
      <c r="L89" s="419"/>
      <c r="M89" s="419"/>
      <c r="N89" s="419"/>
      <c r="O89" s="419"/>
      <c r="P89" s="419"/>
      <c r="Q89" s="369"/>
    </row>
    <row r="90" spans="2:17" ht="15" thickBot="1" x14ac:dyDescent="0.4">
      <c r="B90" s="416" t="s">
        <v>268</v>
      </c>
      <c r="C90" s="419"/>
      <c r="D90" s="426">
        <f>SUM(D77:D88)</f>
        <v>0</v>
      </c>
      <c r="E90" s="427">
        <f>IF(D90&lt;&gt;0,F90/D90,0)</f>
        <v>0</v>
      </c>
      <c r="F90" s="428">
        <f>SUM(F77:F88)</f>
        <v>0</v>
      </c>
      <c r="G90" s="419"/>
      <c r="H90" s="426">
        <f>SUM(H77:H88)</f>
        <v>0</v>
      </c>
      <c r="I90" s="427">
        <f>IF(H90&lt;&gt;0,J90/H90,0)</f>
        <v>0</v>
      </c>
      <c r="J90" s="428">
        <f>SUM(J77:J88)</f>
        <v>0</v>
      </c>
      <c r="K90" s="419"/>
      <c r="L90" s="426">
        <f>SUM(L77:L88)</f>
        <v>0</v>
      </c>
      <c r="M90" s="427">
        <f>IF(L90&lt;&gt;0,N90/L90,0)</f>
        <v>0</v>
      </c>
      <c r="N90" s="428">
        <f>SUM(N77:N88)</f>
        <v>0</v>
      </c>
      <c r="O90" s="419"/>
      <c r="P90" s="428">
        <f>SUM(P77:P88)</f>
        <v>0</v>
      </c>
      <c r="Q90" s="369"/>
    </row>
    <row r="91" spans="2:17" x14ac:dyDescent="0.35">
      <c r="B91" s="419"/>
      <c r="C91" s="419"/>
      <c r="D91" s="419"/>
      <c r="E91" s="419"/>
      <c r="F91" s="419"/>
      <c r="G91" s="419"/>
      <c r="H91" s="419"/>
      <c r="I91" s="419"/>
      <c r="J91" s="419"/>
      <c r="K91" s="419"/>
      <c r="L91" s="419"/>
      <c r="M91" s="419"/>
      <c r="N91" s="419"/>
      <c r="O91" s="419"/>
      <c r="P91" s="419"/>
      <c r="Q91" s="369"/>
    </row>
    <row r="92" spans="2:17" x14ac:dyDescent="0.35">
      <c r="B92" s="413" t="s">
        <v>268</v>
      </c>
      <c r="C92" s="419"/>
      <c r="D92" s="714" t="s">
        <v>355</v>
      </c>
      <c r="E92" s="714"/>
      <c r="F92" s="714"/>
      <c r="G92" s="414"/>
      <c r="H92" s="714" t="s">
        <v>356</v>
      </c>
      <c r="I92" s="714"/>
      <c r="J92" s="714"/>
      <c r="K92" s="414"/>
      <c r="L92" s="714" t="s">
        <v>357</v>
      </c>
      <c r="M92" s="714"/>
      <c r="N92" s="714"/>
      <c r="O92" s="414"/>
      <c r="P92" s="413" t="s">
        <v>358</v>
      </c>
      <c r="Q92" s="369"/>
    </row>
    <row r="93" spans="2:17" x14ac:dyDescent="0.35">
      <c r="B93" s="419"/>
      <c r="C93" s="419"/>
      <c r="D93" s="715"/>
      <c r="E93" s="715"/>
      <c r="F93" s="715"/>
      <c r="G93" s="435"/>
      <c r="H93" s="715"/>
      <c r="I93" s="715"/>
      <c r="J93" s="715"/>
      <c r="K93" s="435"/>
      <c r="L93" s="715"/>
      <c r="M93" s="715"/>
      <c r="N93" s="715"/>
      <c r="O93" s="435"/>
      <c r="P93" s="436"/>
      <c r="Q93" s="369"/>
    </row>
    <row r="94" spans="2:17" x14ac:dyDescent="0.35">
      <c r="B94" s="416" t="s">
        <v>359</v>
      </c>
      <c r="C94" s="419"/>
      <c r="D94" s="443" t="s">
        <v>360</v>
      </c>
      <c r="E94" s="443" t="s">
        <v>325</v>
      </c>
      <c r="F94" s="443" t="s">
        <v>361</v>
      </c>
      <c r="G94" s="419"/>
      <c r="H94" s="443" t="s">
        <v>360</v>
      </c>
      <c r="I94" s="443" t="s">
        <v>325</v>
      </c>
      <c r="J94" s="443" t="s">
        <v>361</v>
      </c>
      <c r="K94" s="419"/>
      <c r="L94" s="443" t="s">
        <v>360</v>
      </c>
      <c r="M94" s="443" t="s">
        <v>325</v>
      </c>
      <c r="N94" s="443" t="s">
        <v>361</v>
      </c>
      <c r="O94" s="419"/>
      <c r="P94" s="443" t="s">
        <v>361</v>
      </c>
      <c r="Q94" s="369"/>
    </row>
    <row r="95" spans="2:17" x14ac:dyDescent="0.35">
      <c r="B95" s="419"/>
      <c r="C95" s="419"/>
      <c r="D95" s="419"/>
      <c r="E95" s="419"/>
      <c r="F95" s="419"/>
      <c r="G95" s="419"/>
      <c r="H95" s="419"/>
      <c r="I95" s="419"/>
      <c r="J95" s="419"/>
      <c r="K95" s="419"/>
      <c r="L95" s="419"/>
      <c r="M95" s="419"/>
      <c r="N95" s="419"/>
      <c r="O95" s="419"/>
      <c r="P95" s="419"/>
      <c r="Q95" s="369"/>
    </row>
    <row r="96" spans="2:17" x14ac:dyDescent="0.35">
      <c r="B96" s="420" t="s">
        <v>362</v>
      </c>
      <c r="C96" s="419"/>
      <c r="D96" s="437">
        <f>D20+D39+D58+D77</f>
        <v>3478681</v>
      </c>
      <c r="E96" s="446">
        <f t="shared" ref="E96:E107" si="28">IF(D96&lt;&gt;0,F96/D96,0)</f>
        <v>4.9000000000000004</v>
      </c>
      <c r="F96" s="425">
        <f>F20+F39+F58+F77</f>
        <v>17045536.900000002</v>
      </c>
      <c r="G96" s="419"/>
      <c r="H96" s="437">
        <f>H20+H39+H58+H77</f>
        <v>3487971</v>
      </c>
      <c r="I96" s="446">
        <f t="shared" ref="I96:I107" si="29">IF(H96&lt;&gt;0,J96/H96,0)</f>
        <v>0.81</v>
      </c>
      <c r="J96" s="425">
        <f>J20+J39+J58+J77</f>
        <v>2825256.5100000002</v>
      </c>
      <c r="K96" s="419"/>
      <c r="L96" s="437">
        <f>L20+L39+L58+L77</f>
        <v>3564191</v>
      </c>
      <c r="M96" s="446">
        <f t="shared" ref="M96:M107" si="30">IF(L96&lt;&gt;0,N96/L96,0)</f>
        <v>2.65</v>
      </c>
      <c r="N96" s="425">
        <f>N20+N39+N58+N77</f>
        <v>9445106.1500000004</v>
      </c>
      <c r="O96" s="419"/>
      <c r="P96" s="425">
        <f t="shared" ref="P96:P107" si="31">J96+N96</f>
        <v>12270362.66</v>
      </c>
      <c r="Q96" s="369"/>
    </row>
    <row r="97" spans="2:17" x14ac:dyDescent="0.35">
      <c r="B97" s="420" t="s">
        <v>363</v>
      </c>
      <c r="C97" s="419"/>
      <c r="D97" s="437">
        <f t="shared" ref="D97:D107" si="32">D21+D40+D59+D78</f>
        <v>3513456</v>
      </c>
      <c r="E97" s="446">
        <f t="shared" si="28"/>
        <v>4.9000000000000004</v>
      </c>
      <c r="F97" s="425">
        <f t="shared" ref="F97:F107" si="33">F21+F40+F59+F78</f>
        <v>17215934.400000002</v>
      </c>
      <c r="G97" s="419"/>
      <c r="H97" s="437">
        <f t="shared" ref="H97:H107" si="34">H21+H40+H59+H78</f>
        <v>3483216</v>
      </c>
      <c r="I97" s="446">
        <f t="shared" si="29"/>
        <v>0.80999999999999994</v>
      </c>
      <c r="J97" s="425">
        <f t="shared" ref="J97:J107" si="35">J21+J40+J59+J78</f>
        <v>2821404.96</v>
      </c>
      <c r="K97" s="419"/>
      <c r="L97" s="437">
        <f t="shared" ref="L97:L107" si="36">L21+L40+L59+L78</f>
        <v>3550506</v>
      </c>
      <c r="M97" s="446">
        <f t="shared" si="30"/>
        <v>2.65</v>
      </c>
      <c r="N97" s="425">
        <f t="shared" ref="N97:N107" si="37">N21+N40+N59+N78</f>
        <v>9408840.9000000004</v>
      </c>
      <c r="O97" s="419"/>
      <c r="P97" s="425">
        <f t="shared" si="31"/>
        <v>12230245.859999999</v>
      </c>
      <c r="Q97" s="369"/>
    </row>
    <row r="98" spans="2:17" x14ac:dyDescent="0.35">
      <c r="B98" s="420" t="s">
        <v>364</v>
      </c>
      <c r="C98" s="419"/>
      <c r="D98" s="437">
        <f t="shared" si="32"/>
        <v>3250363</v>
      </c>
      <c r="E98" s="446">
        <f t="shared" si="28"/>
        <v>4.9000000000000004</v>
      </c>
      <c r="F98" s="425">
        <f t="shared" si="33"/>
        <v>15926778.700000001</v>
      </c>
      <c r="G98" s="419"/>
      <c r="H98" s="437">
        <f t="shared" si="34"/>
        <v>3247015</v>
      </c>
      <c r="I98" s="446">
        <f t="shared" si="29"/>
        <v>0.81000000000000016</v>
      </c>
      <c r="J98" s="425">
        <f t="shared" si="35"/>
        <v>2630082.1500000004</v>
      </c>
      <c r="K98" s="419"/>
      <c r="L98" s="437">
        <f t="shared" si="36"/>
        <v>3294380</v>
      </c>
      <c r="M98" s="446">
        <f t="shared" si="30"/>
        <v>2.65</v>
      </c>
      <c r="N98" s="425">
        <f t="shared" si="37"/>
        <v>8730107</v>
      </c>
      <c r="O98" s="419"/>
      <c r="P98" s="425">
        <f t="shared" si="31"/>
        <v>11360189.15</v>
      </c>
      <c r="Q98" s="369"/>
    </row>
    <row r="99" spans="2:17" x14ac:dyDescent="0.35">
      <c r="B99" s="420" t="s">
        <v>365</v>
      </c>
      <c r="C99" s="419"/>
      <c r="D99" s="437">
        <f t="shared" si="32"/>
        <v>2790782</v>
      </c>
      <c r="E99" s="446">
        <f t="shared" si="28"/>
        <v>4.9000000000000004</v>
      </c>
      <c r="F99" s="425">
        <f t="shared" si="33"/>
        <v>13674831.800000001</v>
      </c>
      <c r="G99" s="419"/>
      <c r="H99" s="437">
        <f t="shared" si="34"/>
        <v>3070891</v>
      </c>
      <c r="I99" s="446">
        <f t="shared" si="29"/>
        <v>0.80999999999999994</v>
      </c>
      <c r="J99" s="425">
        <f t="shared" si="35"/>
        <v>2487421.71</v>
      </c>
      <c r="K99" s="419"/>
      <c r="L99" s="437">
        <f t="shared" si="36"/>
        <v>3122734</v>
      </c>
      <c r="M99" s="446">
        <f t="shared" si="30"/>
        <v>2.65</v>
      </c>
      <c r="N99" s="425">
        <f t="shared" si="37"/>
        <v>8275245.0999999996</v>
      </c>
      <c r="O99" s="419"/>
      <c r="P99" s="425">
        <f t="shared" si="31"/>
        <v>10762666.809999999</v>
      </c>
      <c r="Q99" s="369"/>
    </row>
    <row r="100" spans="2:17" x14ac:dyDescent="0.35">
      <c r="B100" s="420" t="s">
        <v>366</v>
      </c>
      <c r="C100" s="419"/>
      <c r="D100" s="437">
        <f t="shared" si="32"/>
        <v>3651536</v>
      </c>
      <c r="E100" s="446">
        <f t="shared" si="28"/>
        <v>4.9000000000000004</v>
      </c>
      <c r="F100" s="425">
        <f t="shared" si="33"/>
        <v>17892526.400000002</v>
      </c>
      <c r="G100" s="419"/>
      <c r="H100" s="437">
        <f t="shared" si="34"/>
        <v>3583048</v>
      </c>
      <c r="I100" s="446">
        <f t="shared" si="29"/>
        <v>0.81</v>
      </c>
      <c r="J100" s="425">
        <f t="shared" si="35"/>
        <v>2902268.8800000004</v>
      </c>
      <c r="K100" s="419"/>
      <c r="L100" s="437">
        <f t="shared" si="36"/>
        <v>3671638</v>
      </c>
      <c r="M100" s="446">
        <f t="shared" si="30"/>
        <v>2.65</v>
      </c>
      <c r="N100" s="425">
        <f t="shared" si="37"/>
        <v>9729840.6999999993</v>
      </c>
      <c r="O100" s="419"/>
      <c r="P100" s="425">
        <f t="shared" si="31"/>
        <v>12632109.58</v>
      </c>
      <c r="Q100" s="369"/>
    </row>
    <row r="101" spans="2:17" x14ac:dyDescent="0.35">
      <c r="B101" s="420" t="s">
        <v>367</v>
      </c>
      <c r="C101" s="419"/>
      <c r="D101" s="437">
        <f t="shared" si="32"/>
        <v>3846862</v>
      </c>
      <c r="E101" s="446">
        <f t="shared" si="28"/>
        <v>4.9000000000000004</v>
      </c>
      <c r="F101" s="425">
        <f t="shared" si="33"/>
        <v>18849623.800000001</v>
      </c>
      <c r="G101" s="419"/>
      <c r="H101" s="437">
        <f t="shared" si="34"/>
        <v>3846873</v>
      </c>
      <c r="I101" s="446">
        <f t="shared" si="29"/>
        <v>0.81</v>
      </c>
      <c r="J101" s="425">
        <f t="shared" si="35"/>
        <v>3115967.1300000004</v>
      </c>
      <c r="K101" s="419"/>
      <c r="L101" s="437">
        <f t="shared" si="36"/>
        <v>3927674</v>
      </c>
      <c r="M101" s="446">
        <f t="shared" si="30"/>
        <v>2.65</v>
      </c>
      <c r="N101" s="425">
        <f t="shared" si="37"/>
        <v>10408336.1</v>
      </c>
      <c r="O101" s="419"/>
      <c r="P101" s="425">
        <f t="shared" si="31"/>
        <v>13524303.23</v>
      </c>
      <c r="Q101" s="369"/>
    </row>
    <row r="102" spans="2:17" x14ac:dyDescent="0.35">
      <c r="B102" s="420" t="s">
        <v>368</v>
      </c>
      <c r="C102" s="419"/>
      <c r="D102" s="437">
        <f t="shared" si="32"/>
        <v>4503087</v>
      </c>
      <c r="E102" s="446">
        <f t="shared" si="28"/>
        <v>4.9000000000000004</v>
      </c>
      <c r="F102" s="425">
        <f t="shared" si="33"/>
        <v>22065126.300000001</v>
      </c>
      <c r="G102" s="419"/>
      <c r="H102" s="437">
        <f t="shared" si="34"/>
        <v>4403331</v>
      </c>
      <c r="I102" s="446">
        <f t="shared" si="29"/>
        <v>0.81</v>
      </c>
      <c r="J102" s="425">
        <f t="shared" si="35"/>
        <v>3566698.1100000003</v>
      </c>
      <c r="K102" s="419"/>
      <c r="L102" s="437">
        <f t="shared" si="36"/>
        <v>4474032</v>
      </c>
      <c r="M102" s="446">
        <f t="shared" si="30"/>
        <v>2.65</v>
      </c>
      <c r="N102" s="425">
        <f t="shared" si="37"/>
        <v>11856184.799999999</v>
      </c>
      <c r="O102" s="419"/>
      <c r="P102" s="425">
        <f t="shared" si="31"/>
        <v>15422882.91</v>
      </c>
      <c r="Q102" s="369"/>
    </row>
    <row r="103" spans="2:17" x14ac:dyDescent="0.35">
      <c r="B103" s="420" t="s">
        <v>369</v>
      </c>
      <c r="C103" s="419"/>
      <c r="D103" s="437">
        <f t="shared" si="32"/>
        <v>4348672</v>
      </c>
      <c r="E103" s="446">
        <f t="shared" si="28"/>
        <v>4.9000000000000004</v>
      </c>
      <c r="F103" s="425">
        <f t="shared" si="33"/>
        <v>21308492.800000001</v>
      </c>
      <c r="G103" s="419"/>
      <c r="H103" s="437">
        <f t="shared" si="34"/>
        <v>4214534</v>
      </c>
      <c r="I103" s="446">
        <f t="shared" si="29"/>
        <v>0.81</v>
      </c>
      <c r="J103" s="425">
        <f t="shared" si="35"/>
        <v>3413772.54</v>
      </c>
      <c r="K103" s="419"/>
      <c r="L103" s="437">
        <f t="shared" si="36"/>
        <v>4291383</v>
      </c>
      <c r="M103" s="446">
        <f t="shared" si="30"/>
        <v>2.65</v>
      </c>
      <c r="N103" s="425">
        <f t="shared" si="37"/>
        <v>11372164.949999999</v>
      </c>
      <c r="O103" s="419"/>
      <c r="P103" s="425">
        <f t="shared" si="31"/>
        <v>14785937.489999998</v>
      </c>
      <c r="Q103" s="369"/>
    </row>
    <row r="104" spans="2:17" x14ac:dyDescent="0.35">
      <c r="B104" s="420" t="s">
        <v>370</v>
      </c>
      <c r="C104" s="419"/>
      <c r="D104" s="437">
        <f t="shared" si="32"/>
        <v>3695042</v>
      </c>
      <c r="E104" s="446">
        <f t="shared" si="28"/>
        <v>4.9000000000000004</v>
      </c>
      <c r="F104" s="425">
        <f t="shared" si="33"/>
        <v>18105705.800000001</v>
      </c>
      <c r="G104" s="419"/>
      <c r="H104" s="437">
        <f t="shared" si="34"/>
        <v>3610007</v>
      </c>
      <c r="I104" s="446">
        <f t="shared" si="29"/>
        <v>0.81</v>
      </c>
      <c r="J104" s="425">
        <f t="shared" si="35"/>
        <v>2924105.6700000004</v>
      </c>
      <c r="K104" s="419"/>
      <c r="L104" s="437">
        <f t="shared" si="36"/>
        <v>3671785</v>
      </c>
      <c r="M104" s="446">
        <f t="shared" si="30"/>
        <v>2.65</v>
      </c>
      <c r="N104" s="425">
        <f t="shared" si="37"/>
        <v>9730230.25</v>
      </c>
      <c r="O104" s="419"/>
      <c r="P104" s="425">
        <f t="shared" si="31"/>
        <v>12654335.92</v>
      </c>
      <c r="Q104" s="369"/>
    </row>
    <row r="105" spans="2:17" x14ac:dyDescent="0.35">
      <c r="B105" s="420" t="s">
        <v>371</v>
      </c>
      <c r="C105" s="419"/>
      <c r="D105" s="437">
        <f t="shared" si="32"/>
        <v>3020275</v>
      </c>
      <c r="E105" s="446">
        <f t="shared" si="28"/>
        <v>4.9000000000000004</v>
      </c>
      <c r="F105" s="425">
        <f t="shared" si="33"/>
        <v>14799347.500000002</v>
      </c>
      <c r="G105" s="419"/>
      <c r="H105" s="437">
        <f t="shared" si="34"/>
        <v>3008608</v>
      </c>
      <c r="I105" s="446">
        <f t="shared" si="29"/>
        <v>0.80999999999999994</v>
      </c>
      <c r="J105" s="425">
        <f t="shared" si="35"/>
        <v>2436972.48</v>
      </c>
      <c r="K105" s="419"/>
      <c r="L105" s="437">
        <f t="shared" si="36"/>
        <v>3023913</v>
      </c>
      <c r="M105" s="446">
        <f t="shared" si="30"/>
        <v>2.65</v>
      </c>
      <c r="N105" s="425">
        <f t="shared" si="37"/>
        <v>8013369.4500000002</v>
      </c>
      <c r="O105" s="419"/>
      <c r="P105" s="425">
        <f t="shared" si="31"/>
        <v>10450341.93</v>
      </c>
      <c r="Q105" s="369"/>
    </row>
    <row r="106" spans="2:17" x14ac:dyDescent="0.35">
      <c r="B106" s="420" t="s">
        <v>372</v>
      </c>
      <c r="C106" s="419"/>
      <c r="D106" s="437">
        <f t="shared" si="32"/>
        <v>3320584</v>
      </c>
      <c r="E106" s="446">
        <f t="shared" si="28"/>
        <v>4.9000000000000004</v>
      </c>
      <c r="F106" s="425">
        <f t="shared" si="33"/>
        <v>16270861.600000001</v>
      </c>
      <c r="G106" s="419"/>
      <c r="H106" s="437">
        <f t="shared" si="34"/>
        <v>3309690</v>
      </c>
      <c r="I106" s="446">
        <f t="shared" si="29"/>
        <v>0.81000000000000016</v>
      </c>
      <c r="J106" s="425">
        <f t="shared" si="35"/>
        <v>2680848.9000000004</v>
      </c>
      <c r="K106" s="419"/>
      <c r="L106" s="437">
        <f t="shared" si="36"/>
        <v>3344567</v>
      </c>
      <c r="M106" s="446">
        <f t="shared" si="30"/>
        <v>2.6499999999999995</v>
      </c>
      <c r="N106" s="425">
        <f t="shared" si="37"/>
        <v>8863102.5499999989</v>
      </c>
      <c r="O106" s="419"/>
      <c r="P106" s="425">
        <f t="shared" si="31"/>
        <v>11543951.449999999</v>
      </c>
      <c r="Q106" s="369"/>
    </row>
    <row r="107" spans="2:17" x14ac:dyDescent="0.35">
      <c r="B107" s="420" t="s">
        <v>373</v>
      </c>
      <c r="C107" s="419"/>
      <c r="D107" s="437">
        <f t="shared" si="32"/>
        <v>3548237</v>
      </c>
      <c r="E107" s="446">
        <f t="shared" si="28"/>
        <v>4.9000000000000004</v>
      </c>
      <c r="F107" s="425">
        <f t="shared" si="33"/>
        <v>17386361.300000001</v>
      </c>
      <c r="G107" s="419"/>
      <c r="H107" s="437">
        <f t="shared" si="34"/>
        <v>3429058</v>
      </c>
      <c r="I107" s="446">
        <f t="shared" si="29"/>
        <v>0.80999999999999994</v>
      </c>
      <c r="J107" s="425">
        <f t="shared" si="35"/>
        <v>2777536.98</v>
      </c>
      <c r="K107" s="419"/>
      <c r="L107" s="437">
        <f t="shared" si="36"/>
        <v>3475432</v>
      </c>
      <c r="M107" s="446">
        <f t="shared" si="30"/>
        <v>2.6499999999999995</v>
      </c>
      <c r="N107" s="425">
        <f t="shared" si="37"/>
        <v>9209894.7999999989</v>
      </c>
      <c r="O107" s="419"/>
      <c r="P107" s="425">
        <f t="shared" si="31"/>
        <v>11987431.779999999</v>
      </c>
      <c r="Q107" s="369"/>
    </row>
    <row r="108" spans="2:17" x14ac:dyDescent="0.35">
      <c r="B108" s="419"/>
      <c r="C108" s="419"/>
      <c r="D108" s="419"/>
      <c r="E108" s="419"/>
      <c r="F108" s="419"/>
      <c r="G108" s="419"/>
      <c r="H108" s="419"/>
      <c r="I108" s="419"/>
      <c r="J108" s="419"/>
      <c r="K108" s="419"/>
      <c r="L108" s="419"/>
      <c r="M108" s="419"/>
      <c r="N108" s="419"/>
      <c r="O108" s="419"/>
      <c r="P108" s="425"/>
      <c r="Q108" s="369"/>
    </row>
    <row r="109" spans="2:17" ht="15" thickBot="1" x14ac:dyDescent="0.4">
      <c r="B109" s="416" t="s">
        <v>268</v>
      </c>
      <c r="C109" s="419"/>
      <c r="D109" s="426">
        <f>SUM(D96:D107)</f>
        <v>42967577</v>
      </c>
      <c r="E109" s="427">
        <f>IF(D109&lt;&gt;0,F109/D109,0)</f>
        <v>4.9000000000000012</v>
      </c>
      <c r="F109" s="428">
        <f>SUM(F96:F107)</f>
        <v>210541127.30000004</v>
      </c>
      <c r="G109" s="419"/>
      <c r="H109" s="426">
        <f>SUM(H96:H107)</f>
        <v>42694242</v>
      </c>
      <c r="I109" s="427">
        <f>IF(H109&lt;&gt;0,J109/H109,0)</f>
        <v>0.81</v>
      </c>
      <c r="J109" s="428">
        <f>SUM(J96:J107)</f>
        <v>34582336.020000003</v>
      </c>
      <c r="K109" s="419"/>
      <c r="L109" s="426">
        <f>SUM(L96:L107)</f>
        <v>43412235</v>
      </c>
      <c r="M109" s="427">
        <f>IF(L109&lt;&gt;0,N109/L109,0)</f>
        <v>2.65</v>
      </c>
      <c r="N109" s="428">
        <f>SUM(N96:N107)</f>
        <v>115042422.75</v>
      </c>
      <c r="O109" s="419"/>
      <c r="P109" s="428">
        <f>SUM(P96:P107)</f>
        <v>149624758.76999998</v>
      </c>
      <c r="Q109" s="369"/>
    </row>
    <row r="110" spans="2:17" x14ac:dyDescent="0.35">
      <c r="B110" s="85"/>
      <c r="C110" s="85"/>
      <c r="D110" s="85"/>
      <c r="E110" s="85"/>
      <c r="F110" s="85"/>
      <c r="G110" s="85"/>
      <c r="H110" s="85"/>
      <c r="I110" s="85"/>
      <c r="J110" s="85"/>
      <c r="K110" s="85"/>
      <c r="L110" s="85"/>
      <c r="M110" s="85"/>
      <c r="N110" s="85"/>
      <c r="O110" s="85"/>
      <c r="P110" s="85"/>
    </row>
    <row r="111" spans="2:17" x14ac:dyDescent="0.35">
      <c r="B111" s="85"/>
      <c r="C111" s="85"/>
      <c r="D111" s="85"/>
      <c r="E111" s="85"/>
      <c r="F111" s="85"/>
      <c r="G111" s="85"/>
      <c r="H111" s="85"/>
      <c r="I111" s="85"/>
      <c r="J111" s="85"/>
      <c r="K111" s="85"/>
      <c r="L111" s="85"/>
      <c r="M111" s="85"/>
      <c r="N111" s="440" t="s">
        <v>378</v>
      </c>
      <c r="O111" s="85"/>
      <c r="P111" s="441">
        <f>'11. RTSR - UTRs &amp; Sub-Tx'!L74</f>
        <v>-11318758</v>
      </c>
    </row>
    <row r="112" spans="2:17" x14ac:dyDescent="0.35">
      <c r="B112" s="85"/>
      <c r="C112" s="85"/>
      <c r="D112" s="85"/>
      <c r="E112" s="85"/>
      <c r="F112" s="85"/>
      <c r="G112" s="85"/>
      <c r="H112" s="85"/>
      <c r="I112" s="85"/>
      <c r="J112" s="85"/>
      <c r="K112" s="85"/>
      <c r="L112" s="85"/>
      <c r="M112" s="85"/>
      <c r="N112" s="85"/>
      <c r="O112" s="85"/>
      <c r="P112" s="85"/>
    </row>
    <row r="113" spans="2:16" ht="15" thickBot="1" x14ac:dyDescent="0.4">
      <c r="B113" s="85"/>
      <c r="C113" s="85"/>
      <c r="D113" s="85"/>
      <c r="E113" s="85"/>
      <c r="F113" s="85"/>
      <c r="G113" s="85"/>
      <c r="H113" s="85"/>
      <c r="I113" s="85"/>
      <c r="J113" s="85"/>
      <c r="K113" s="85"/>
      <c r="L113" s="85"/>
      <c r="M113" s="85"/>
      <c r="N113" s="442" t="s">
        <v>379</v>
      </c>
      <c r="O113" s="85"/>
      <c r="P113" s="428">
        <f>P109+P111</f>
        <v>138306000.76999998</v>
      </c>
    </row>
    <row r="114" spans="2:16" x14ac:dyDescent="0.35">
      <c r="F114" s="507"/>
      <c r="G114" s="507"/>
      <c r="H114" s="507"/>
      <c r="I114" s="507"/>
      <c r="J114" s="507"/>
      <c r="K114" s="507"/>
      <c r="L114" s="507"/>
      <c r="M114" s="507"/>
      <c r="N114" s="507"/>
      <c r="O114" s="507"/>
      <c r="P114" s="507"/>
    </row>
    <row r="115" spans="2:16" x14ac:dyDescent="0.35">
      <c r="F115" s="550"/>
      <c r="G115" s="507"/>
      <c r="H115" s="507"/>
      <c r="I115" s="507"/>
      <c r="J115" s="507"/>
      <c r="K115" s="507"/>
      <c r="L115" s="507"/>
      <c r="M115" s="507"/>
      <c r="N115" s="507"/>
      <c r="O115" s="507"/>
      <c r="P115" s="550"/>
    </row>
  </sheetData>
  <mergeCells count="22">
    <mergeCell ref="B13:P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rintOptions horizontalCentered="1"/>
  <pageMargins left="0.70866141732283472" right="0.70866141732283472" top="1.3385826771653544" bottom="0.47244094488188981" header="0.31496062992125984" footer="0.31496062992125984"/>
  <pageSetup scale="40" orientation="portrait" r:id="rId1"/>
  <headerFooter scaleWithDoc="0">
    <oddHeader>&amp;R&amp;7&amp;K000000Toronto Hydro-Electric System Limited 
EB-2021-0060
Tab 3
Schedule 1
ORIGINAL
Page &amp;P of &amp;N</oddHeader>
    <oddFooter>&amp;C&amp;7&amp;A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49C3-61DB-43CE-87CF-8CFD87AB07B2}">
  <sheetPr>
    <pageSetUpPr fitToPage="1"/>
  </sheetPr>
  <dimension ref="A3:M60"/>
  <sheetViews>
    <sheetView showGridLines="0" zoomScale="60" zoomScaleNormal="60" workbookViewId="0">
      <selection activeCell="B15" sqref="B15"/>
    </sheetView>
  </sheetViews>
  <sheetFormatPr defaultColWidth="8.4140625" defaultRowHeight="14.5" x14ac:dyDescent="0.35"/>
  <cols>
    <col min="1" max="1" width="51" style="353" customWidth="1"/>
    <col min="2" max="2" width="71.6640625" style="353" customWidth="1"/>
    <col min="3" max="3" width="8.4140625" style="447"/>
    <col min="4" max="4" width="14.6640625" style="447" customWidth="1"/>
    <col min="5" max="5" width="15.6640625" style="447" customWidth="1"/>
    <col min="6" max="6" width="14.6640625" style="447" customWidth="1"/>
    <col min="7" max="7" width="13.08203125" style="447" customWidth="1"/>
    <col min="8" max="8" width="10.4140625" style="447" customWidth="1"/>
    <col min="9" max="9" width="12.9140625" style="447" customWidth="1"/>
    <col min="10" max="10" width="13" style="447" customWidth="1"/>
    <col min="11" max="16384" width="8.4140625" style="353"/>
  </cols>
  <sheetData>
    <row r="3" spans="1:10" x14ac:dyDescent="0.35">
      <c r="D3" s="448"/>
      <c r="E3" s="449"/>
      <c r="F3" s="449"/>
      <c r="G3" s="449"/>
      <c r="H3" s="450"/>
      <c r="I3" s="449"/>
      <c r="J3" s="448"/>
    </row>
    <row r="4" spans="1:10" x14ac:dyDescent="0.35">
      <c r="D4" s="448"/>
      <c r="E4" s="449"/>
      <c r="F4" s="449"/>
      <c r="G4" s="449"/>
      <c r="H4" s="450"/>
      <c r="I4" s="449"/>
      <c r="J4" s="448"/>
    </row>
    <row r="5" spans="1:10" x14ac:dyDescent="0.35">
      <c r="D5" s="448"/>
      <c r="E5" s="449"/>
      <c r="F5" s="449"/>
      <c r="G5" s="449"/>
      <c r="H5" s="450"/>
      <c r="I5" s="449"/>
      <c r="J5" s="448"/>
    </row>
    <row r="6" spans="1:10" x14ac:dyDescent="0.35">
      <c r="D6" s="448"/>
      <c r="E6" s="449"/>
      <c r="F6" s="449"/>
      <c r="G6" s="449"/>
      <c r="H6" s="450"/>
      <c r="I6" s="449"/>
      <c r="J6" s="448"/>
    </row>
    <row r="7" spans="1:10" x14ac:dyDescent="0.35">
      <c r="D7" s="448"/>
      <c r="E7" s="449"/>
      <c r="F7" s="449"/>
      <c r="G7" s="449"/>
      <c r="H7" s="450"/>
      <c r="I7" s="449"/>
      <c r="J7" s="448"/>
    </row>
    <row r="8" spans="1:10" x14ac:dyDescent="0.35">
      <c r="D8" s="448"/>
      <c r="E8" s="449"/>
      <c r="F8" s="449"/>
      <c r="G8" s="449"/>
      <c r="H8" s="450"/>
      <c r="I8" s="449"/>
      <c r="J8" s="448"/>
    </row>
    <row r="9" spans="1:10" x14ac:dyDescent="0.35">
      <c r="D9" s="448"/>
      <c r="E9" s="449"/>
      <c r="F9" s="449"/>
      <c r="G9" s="449"/>
      <c r="H9" s="450"/>
      <c r="I9" s="449"/>
      <c r="J9" s="448"/>
    </row>
    <row r="10" spans="1:10" x14ac:dyDescent="0.35">
      <c r="D10" s="448"/>
      <c r="E10" s="449"/>
      <c r="F10" s="449"/>
      <c r="G10" s="449"/>
      <c r="H10" s="450"/>
      <c r="I10" s="449"/>
      <c r="J10" s="448"/>
    </row>
    <row r="11" spans="1:10" x14ac:dyDescent="0.35">
      <c r="D11" s="448"/>
      <c r="E11" s="449"/>
      <c r="F11" s="449"/>
      <c r="G11" s="449"/>
      <c r="H11" s="450"/>
      <c r="I11" s="449"/>
      <c r="J11" s="448"/>
    </row>
    <row r="12" spans="1:10" x14ac:dyDescent="0.35">
      <c r="D12" s="448"/>
      <c r="E12" s="449"/>
      <c r="F12" s="449"/>
      <c r="G12" s="449"/>
      <c r="H12" s="450"/>
      <c r="I12" s="449"/>
      <c r="J12" s="448"/>
    </row>
    <row r="13" spans="1:10" ht="15.5" x14ac:dyDescent="0.35">
      <c r="A13" s="451" t="s">
        <v>382</v>
      </c>
      <c r="D13" s="448"/>
      <c r="E13" s="449"/>
      <c r="F13" s="449"/>
      <c r="G13" s="449"/>
      <c r="H13" s="450"/>
      <c r="I13" s="449"/>
      <c r="J13" s="448"/>
    </row>
    <row r="14" spans="1:10" x14ac:dyDescent="0.35">
      <c r="D14" s="448"/>
      <c r="E14" s="449"/>
      <c r="F14" s="449"/>
      <c r="G14" s="449"/>
      <c r="H14" s="450"/>
      <c r="I14" s="449"/>
      <c r="J14" s="448"/>
    </row>
    <row r="15" spans="1:10" ht="46.5" x14ac:dyDescent="0.35">
      <c r="A15" s="452" t="s">
        <v>70</v>
      </c>
      <c r="B15" s="452" t="s">
        <v>324</v>
      </c>
      <c r="C15" s="453" t="s">
        <v>265</v>
      </c>
      <c r="D15" s="454" t="s">
        <v>383</v>
      </c>
      <c r="E15" s="455" t="s">
        <v>329</v>
      </c>
      <c r="F15" s="456" t="s">
        <v>384</v>
      </c>
      <c r="G15" s="457" t="s">
        <v>385</v>
      </c>
      <c r="H15" s="458" t="s">
        <v>386</v>
      </c>
      <c r="I15" s="456" t="s">
        <v>387</v>
      </c>
      <c r="J15" s="459" t="s">
        <v>388</v>
      </c>
    </row>
    <row r="16" spans="1:10" x14ac:dyDescent="0.35">
      <c r="G16" s="460"/>
    </row>
    <row r="17" spans="1:12" x14ac:dyDescent="0.35">
      <c r="A17" s="353" t="s">
        <v>330</v>
      </c>
      <c r="B17" s="353" t="s">
        <v>238</v>
      </c>
      <c r="C17" s="447" t="s">
        <v>63</v>
      </c>
      <c r="D17" s="500">
        <f>'10. RTSR Current Rates'!D17</f>
        <v>8.2100000000000003E-3</v>
      </c>
      <c r="E17" s="460">
        <f>'10. RTSR Current Rates'!H17</f>
        <v>5204350195.5445004</v>
      </c>
      <c r="F17" s="460">
        <v>0</v>
      </c>
      <c r="G17" s="460">
        <f>IF(ISERROR(D17*E17), 0, ROUND(D17*E17, 2))</f>
        <v>42727715.109999999</v>
      </c>
      <c r="H17" s="461">
        <f t="shared" ref="H17:H24" si="0">G17/SUM($G$17:$G$24)</f>
        <v>0.25749346138639423</v>
      </c>
      <c r="I17" s="460">
        <f t="shared" ref="I17:I24" si="1">H17*total_current_wholesale_network</f>
        <v>52997005.761876568</v>
      </c>
      <c r="J17" s="500">
        <f>IF(ISERROR(I17/E17), 0, I17/E17)</f>
        <v>1.0183212845140181E-2</v>
      </c>
      <c r="L17" s="502"/>
    </row>
    <row r="18" spans="1:12" x14ac:dyDescent="0.35">
      <c r="A18" s="353" t="s">
        <v>331</v>
      </c>
      <c r="B18" s="353" t="s">
        <v>238</v>
      </c>
      <c r="C18" s="447" t="s">
        <v>63</v>
      </c>
      <c r="D18" s="500">
        <f>'10. RTSR Current Rates'!D19</f>
        <v>8.2100000000000003E-3</v>
      </c>
      <c r="E18" s="460">
        <f>'10. RTSR Current Rates'!H19</f>
        <v>311653120.54100001</v>
      </c>
      <c r="F18" s="460">
        <v>0</v>
      </c>
      <c r="G18" s="460">
        <f>IF(ISERROR(D18*E18), 0, ROUND(D18*E18, 2))</f>
        <v>2558672.12</v>
      </c>
      <c r="H18" s="461">
        <f t="shared" si="0"/>
        <v>1.5419531305044398E-2</v>
      </c>
      <c r="I18" s="460">
        <f t="shared" si="1"/>
        <v>3173630.0604255022</v>
      </c>
      <c r="J18" s="500">
        <f>IF(ISERROR(I18/E18), 0, I18/E18)</f>
        <v>1.0183212845475072E-2</v>
      </c>
      <c r="L18" s="502"/>
    </row>
    <row r="19" spans="1:12" x14ac:dyDescent="0.35">
      <c r="A19" s="353" t="s">
        <v>332</v>
      </c>
      <c r="B19" s="353" t="s">
        <v>238</v>
      </c>
      <c r="C19" s="447" t="s">
        <v>63</v>
      </c>
      <c r="D19" s="500">
        <f>'10. RTSR Current Rates'!D21</f>
        <v>7.9900000000000006E-3</v>
      </c>
      <c r="E19" s="460">
        <f>'10. RTSR Current Rates'!H21</f>
        <v>2240894354.7555003</v>
      </c>
      <c r="F19" s="460">
        <v>0</v>
      </c>
      <c r="G19" s="460">
        <f>IF(ISERROR(D19*E19), 0, ROUND(D19*E19, 2))</f>
        <v>17904745.890000001</v>
      </c>
      <c r="H19" s="461">
        <f t="shared" si="0"/>
        <v>0.10790080823631283</v>
      </c>
      <c r="I19" s="460">
        <f t="shared" si="1"/>
        <v>22208019.28337108</v>
      </c>
      <c r="J19" s="500">
        <f>IF(ISERROR(I19/E19), 0, I19/E19)</f>
        <v>9.9103374669325516E-3</v>
      </c>
      <c r="L19" s="502"/>
    </row>
    <row r="20" spans="1:12" x14ac:dyDescent="0.35">
      <c r="A20" s="353" t="s">
        <v>333</v>
      </c>
      <c r="B20" s="353" t="s">
        <v>238</v>
      </c>
      <c r="C20" s="447" t="s">
        <v>242</v>
      </c>
      <c r="D20" s="448">
        <f>'10. RTSR Current Rates'!D23</f>
        <v>2.7025999999999999</v>
      </c>
      <c r="E20" s="460"/>
      <c r="F20" s="460">
        <f>'10. RTSR Current Rates'!F23</f>
        <v>23556700</v>
      </c>
      <c r="G20" s="506">
        <f>IF(ISERROR(D20*F20), 0, ROUND((D20/30*365/12)*F20, 2))</f>
        <v>64548564.329999998</v>
      </c>
      <c r="H20" s="461">
        <f t="shared" si="0"/>
        <v>0.38899419765519122</v>
      </c>
      <c r="I20" s="460">
        <f t="shared" si="1"/>
        <v>80062334.878216952</v>
      </c>
      <c r="J20" s="501">
        <f>((+(I20/F20)*12)/365)*30</f>
        <v>3.3521499431081909</v>
      </c>
      <c r="L20" s="502"/>
    </row>
    <row r="21" spans="1:12" x14ac:dyDescent="0.35">
      <c r="A21" s="353" t="s">
        <v>334</v>
      </c>
      <c r="B21" s="353" t="s">
        <v>238</v>
      </c>
      <c r="C21" s="447" t="s">
        <v>242</v>
      </c>
      <c r="D21" s="448">
        <f>'10. RTSR Current Rates'!D25</f>
        <v>2.6113</v>
      </c>
      <c r="E21" s="460"/>
      <c r="F21" s="460">
        <f>'10. RTSR Current Rates'!F25</f>
        <v>9211281</v>
      </c>
      <c r="G21" s="506">
        <f t="shared" ref="G21:G24" si="2">IF(ISERROR(D21*F21), 0, ROUND((D21/30*365/12)*F21, 2))</f>
        <v>24387493.329999998</v>
      </c>
      <c r="H21" s="461">
        <f t="shared" si="0"/>
        <v>0.14696830981747533</v>
      </c>
      <c r="I21" s="460">
        <f t="shared" si="1"/>
        <v>30248847.175664864</v>
      </c>
      <c r="J21" s="501">
        <f>((+(I21/F21)*12)/365)*30</f>
        <v>3.2389066630510142</v>
      </c>
      <c r="L21" s="502"/>
    </row>
    <row r="22" spans="1:12" x14ac:dyDescent="0.35">
      <c r="A22" s="353" t="s">
        <v>335</v>
      </c>
      <c r="B22" s="353" t="s">
        <v>238</v>
      </c>
      <c r="C22" s="447" t="s">
        <v>242</v>
      </c>
      <c r="D22" s="448">
        <f>'10. RTSR Current Rates'!D27</f>
        <v>2.9767000000000001</v>
      </c>
      <c r="E22" s="460"/>
      <c r="F22" s="460">
        <f>'10. RTSR Current Rates'!F27</f>
        <v>4240467</v>
      </c>
      <c r="G22" s="506">
        <f t="shared" si="2"/>
        <v>12797911.98</v>
      </c>
      <c r="H22" s="461">
        <f t="shared" si="0"/>
        <v>7.7125084872075256E-2</v>
      </c>
      <c r="I22" s="460">
        <f t="shared" si="1"/>
        <v>15873795.572684655</v>
      </c>
      <c r="J22" s="501">
        <f>((+(I22/F22)*12)/365)*30</f>
        <v>3.6921278524899064</v>
      </c>
      <c r="L22" s="502"/>
    </row>
    <row r="23" spans="1:12" x14ac:dyDescent="0.35">
      <c r="A23" s="353" t="s">
        <v>336</v>
      </c>
      <c r="B23" s="353" t="s">
        <v>238</v>
      </c>
      <c r="C23" s="447" t="s">
        <v>63</v>
      </c>
      <c r="D23" s="500">
        <f>'10. RTSR Current Rates'!D29</f>
        <v>4.9699999999999996E-3</v>
      </c>
      <c r="E23" s="460">
        <f>'10. RTSR Current Rates'!H29</f>
        <v>41302237.682500005</v>
      </c>
      <c r="F23" s="460">
        <v>0</v>
      </c>
      <c r="G23" s="460">
        <f>IF(ISERROR(D23*E23), 0, ROUND(D23*E23, 2))</f>
        <v>205272.12</v>
      </c>
      <c r="H23" s="461">
        <f t="shared" si="0"/>
        <v>1.2370478638712137E-3</v>
      </c>
      <c r="I23" s="460">
        <f t="shared" si="1"/>
        <v>254607.75747979421</v>
      </c>
      <c r="J23" s="500">
        <f>IF(ISERROR(I23/E23), 0, I23/E23)</f>
        <v>6.1645027428543653E-3</v>
      </c>
      <c r="L23" s="502"/>
    </row>
    <row r="24" spans="1:12" x14ac:dyDescent="0.35">
      <c r="A24" s="353" t="s">
        <v>337</v>
      </c>
      <c r="B24" s="353" t="s">
        <v>238</v>
      </c>
      <c r="C24" s="447" t="s">
        <v>242</v>
      </c>
      <c r="D24" s="448">
        <f>'10. RTSR Current Rates'!D31</f>
        <v>2.4039000000000001</v>
      </c>
      <c r="E24" s="460"/>
      <c r="F24" s="460">
        <f>'10. RTSR Current Rates'!F31</f>
        <v>330988</v>
      </c>
      <c r="G24" s="506">
        <f t="shared" si="2"/>
        <v>806712.92</v>
      </c>
      <c r="H24" s="461">
        <f t="shared" si="0"/>
        <v>4.8615588636357898E-3</v>
      </c>
      <c r="I24" s="460">
        <f t="shared" si="1"/>
        <v>1000600.4102806394</v>
      </c>
      <c r="J24" s="501">
        <f>((+(I24/F24)*12)/365)*30</f>
        <v>2.9816596231443078</v>
      </c>
      <c r="L24" s="502"/>
    </row>
    <row r="26" spans="1:12" ht="15.5" x14ac:dyDescent="0.35">
      <c r="A26" s="451" t="s">
        <v>389</v>
      </c>
    </row>
    <row r="27" spans="1:12" ht="46.5" x14ac:dyDescent="0.35">
      <c r="A27" s="452" t="s">
        <v>70</v>
      </c>
      <c r="B27" s="452" t="s">
        <v>324</v>
      </c>
      <c r="C27" s="453" t="s">
        <v>265</v>
      </c>
      <c r="D27" s="454" t="s">
        <v>390</v>
      </c>
      <c r="E27" s="455" t="s">
        <v>329</v>
      </c>
      <c r="F27" s="456" t="s">
        <v>384</v>
      </c>
      <c r="G27" s="457" t="s">
        <v>385</v>
      </c>
      <c r="H27" s="458" t="s">
        <v>386</v>
      </c>
      <c r="I27" s="456" t="s">
        <v>387</v>
      </c>
      <c r="J27" s="459" t="s">
        <v>391</v>
      </c>
    </row>
    <row r="29" spans="1:12" x14ac:dyDescent="0.35">
      <c r="A29" s="353" t="s">
        <v>330</v>
      </c>
      <c r="B29" s="353" t="s">
        <v>239</v>
      </c>
      <c r="C29" s="447" t="s">
        <v>63</v>
      </c>
      <c r="D29" s="500">
        <f>'10. RTSR Current Rates'!D18</f>
        <v>6.62E-3</v>
      </c>
      <c r="E29" s="460">
        <f>'10. RTSR Current Rates'!H18</f>
        <v>5204350195.5445004</v>
      </c>
      <c r="F29" s="460">
        <v>0</v>
      </c>
      <c r="G29" s="460">
        <f>IF(ISERROR(D29*E29), 0, ROUND(D29*E29, 2))</f>
        <v>34452798.289999999</v>
      </c>
      <c r="H29" s="508">
        <f>G29/SUM($G$29:$G$36)</f>
        <v>0.26086327068165172</v>
      </c>
      <c r="I29" s="460">
        <f t="shared" ref="I29:I36" si="3">H29*Total_Current_Wholesale_Lineplus</f>
        <v>35201282.462392926</v>
      </c>
      <c r="J29" s="500">
        <f>IF(ISERROR(I29/E29), 0, I29/E29)</f>
        <v>6.7638189475660417E-3</v>
      </c>
      <c r="L29" s="502"/>
    </row>
    <row r="30" spans="1:12" x14ac:dyDescent="0.35">
      <c r="A30" s="353" t="s">
        <v>331</v>
      </c>
      <c r="B30" s="353" t="s">
        <v>239</v>
      </c>
      <c r="C30" s="447" t="s">
        <v>63</v>
      </c>
      <c r="D30" s="500">
        <f>'10. RTSR Current Rates'!D20</f>
        <v>6.62E-3</v>
      </c>
      <c r="E30" s="460">
        <f>'10. RTSR Current Rates'!H20</f>
        <v>311653120.54100001</v>
      </c>
      <c r="F30" s="460">
        <v>0</v>
      </c>
      <c r="G30" s="460">
        <f>IF(ISERROR(D30*E30), 0, ROUND(D30*E30, 2))</f>
        <v>2063143.66</v>
      </c>
      <c r="H30" s="508">
        <f t="shared" ref="H30:H36" si="4">G30/SUM($G$29:$G$36)</f>
        <v>1.5621326270903424E-2</v>
      </c>
      <c r="I30" s="460">
        <f t="shared" si="3"/>
        <v>2107965.2841213425</v>
      </c>
      <c r="J30" s="500">
        <f>IF(ISERROR(I30/E30), 0, I30/E30)</f>
        <v>6.7638189550681101E-3</v>
      </c>
      <c r="L30" s="502"/>
    </row>
    <row r="31" spans="1:12" x14ac:dyDescent="0.35">
      <c r="A31" s="353" t="s">
        <v>332</v>
      </c>
      <c r="B31" s="353" t="s">
        <v>239</v>
      </c>
      <c r="C31" s="447" t="s">
        <v>63</v>
      </c>
      <c r="D31" s="500">
        <f>'10. RTSR Current Rates'!D22</f>
        <v>5.9199999999999999E-3</v>
      </c>
      <c r="E31" s="460">
        <f>'10. RTSR Current Rates'!H22</f>
        <v>2240894354.7555003</v>
      </c>
      <c r="F31" s="460">
        <v>0</v>
      </c>
      <c r="G31" s="460">
        <f>IF(ISERROR(D31*E31), 0, ROUND(D31*E31, 2))</f>
        <v>13266094.58</v>
      </c>
      <c r="H31" s="508">
        <f t="shared" si="4"/>
        <v>0.10044574005808377</v>
      </c>
      <c r="I31" s="460">
        <f t="shared" si="3"/>
        <v>13554299.379477192</v>
      </c>
      <c r="J31" s="500">
        <f>IF(ISERROR(I31/E31), 0, I31/E31)</f>
        <v>6.0486115067017853E-3</v>
      </c>
      <c r="L31" s="502"/>
    </row>
    <row r="32" spans="1:12" x14ac:dyDescent="0.35">
      <c r="A32" s="353" t="s">
        <v>333</v>
      </c>
      <c r="B32" s="353" t="s">
        <v>239</v>
      </c>
      <c r="C32" s="447" t="s">
        <v>242</v>
      </c>
      <c r="D32" s="448">
        <f>'10. RTSR Current Rates'!D24</f>
        <v>2.1393</v>
      </c>
      <c r="E32" s="460"/>
      <c r="F32" s="460">
        <f>'10. RTSR Current Rates'!F24</f>
        <v>23556700</v>
      </c>
      <c r="G32" s="506">
        <f>IF(ISERROR(D32*F32), 0, ROUND((D32/30*365/12)*F32, 2))</f>
        <v>51094776.759999998</v>
      </c>
      <c r="H32" s="508">
        <f t="shared" si="4"/>
        <v>0.38686989858327836</v>
      </c>
      <c r="I32" s="460">
        <f t="shared" si="3"/>
        <v>52204806.528116398</v>
      </c>
      <c r="J32" s="501">
        <f>((+(I32/F32)*12)/365)*30</f>
        <v>2.1857761143163006</v>
      </c>
      <c r="L32" s="502"/>
    </row>
    <row r="33" spans="1:13" x14ac:dyDescent="0.35">
      <c r="A33" s="353" t="s">
        <v>334</v>
      </c>
      <c r="B33" s="353" t="s">
        <v>239</v>
      </c>
      <c r="C33" s="447" t="s">
        <v>242</v>
      </c>
      <c r="D33" s="448">
        <f>'10. RTSR Current Rates'!D26</f>
        <v>2.1371000000000002</v>
      </c>
      <c r="E33" s="460"/>
      <c r="F33" s="460">
        <f>'10. RTSR Current Rates'!F26</f>
        <v>9211281</v>
      </c>
      <c r="G33" s="506">
        <f t="shared" ref="G33:G34" si="5">IF(ISERROR(D33*F33), 0, ROUND((D33/30*365/12)*F33, 2))</f>
        <v>19958837.359999999</v>
      </c>
      <c r="H33" s="508">
        <f t="shared" si="4"/>
        <v>0.15112060126169632</v>
      </c>
      <c r="I33" s="460">
        <f t="shared" si="3"/>
        <v>20392441.438762471</v>
      </c>
      <c r="J33" s="501">
        <f>((+(I33/F33)*12)/365)*30</f>
        <v>2.1835283198832722</v>
      </c>
      <c r="L33" s="502"/>
    </row>
    <row r="34" spans="1:13" x14ac:dyDescent="0.35">
      <c r="A34" s="353" t="s">
        <v>335</v>
      </c>
      <c r="B34" s="353" t="s">
        <v>239</v>
      </c>
      <c r="C34" s="447" t="s">
        <v>242</v>
      </c>
      <c r="D34" s="448">
        <f>'10. RTSR Current Rates'!D28</f>
        <v>2.3742999999999999</v>
      </c>
      <c r="E34" s="460"/>
      <c r="F34" s="460">
        <f>'10. RTSR Current Rates'!F28</f>
        <v>4240467</v>
      </c>
      <c r="G34" s="506">
        <f t="shared" si="5"/>
        <v>10207976.09</v>
      </c>
      <c r="H34" s="508">
        <f t="shared" si="4"/>
        <v>7.7290848988902219E-2</v>
      </c>
      <c r="I34" s="460">
        <f t="shared" si="3"/>
        <v>10429743.520071074</v>
      </c>
      <c r="J34" s="501">
        <f>((+(I34/F34)*12)/365)*30</f>
        <v>2.4258814704054981</v>
      </c>
      <c r="L34" s="502"/>
    </row>
    <row r="35" spans="1:13" x14ac:dyDescent="0.35">
      <c r="A35" s="353" t="s">
        <v>336</v>
      </c>
      <c r="B35" s="353" t="s">
        <v>239</v>
      </c>
      <c r="C35" s="447" t="s">
        <v>63</v>
      </c>
      <c r="D35" s="500">
        <f>'10. RTSR Current Rates'!D30</f>
        <v>4.1799999999999997E-3</v>
      </c>
      <c r="E35" s="460">
        <f>'10. RTSR Current Rates'!H30</f>
        <v>41302237.682500005</v>
      </c>
      <c r="F35" s="460">
        <v>0</v>
      </c>
      <c r="G35" s="460">
        <f>IF(ISERROR(D35*E35), 0, ROUND(D35*E35, 2))</f>
        <v>172643.35</v>
      </c>
      <c r="H35" s="508">
        <f t="shared" si="4"/>
        <v>1.307188709705157E-3</v>
      </c>
      <c r="I35" s="460">
        <f t="shared" si="3"/>
        <v>176394.01239485689</v>
      </c>
      <c r="J35" s="500">
        <f>IF(ISERROR(I35/E35), 0, I35/E35)</f>
        <v>4.2708100648405313E-3</v>
      </c>
      <c r="L35" s="502"/>
    </row>
    <row r="36" spans="1:13" x14ac:dyDescent="0.35">
      <c r="A36" s="353" t="s">
        <v>337</v>
      </c>
      <c r="B36" s="353" t="s">
        <v>239</v>
      </c>
      <c r="C36" s="447" t="s">
        <v>242</v>
      </c>
      <c r="D36" s="448">
        <f>'10. RTSR Current Rates'!D32</f>
        <v>2.5507</v>
      </c>
      <c r="E36" s="460"/>
      <c r="F36" s="460">
        <f>'10. RTSR Current Rates'!F32</f>
        <v>330988</v>
      </c>
      <c r="G36" s="506">
        <f t="shared" ref="G36" si="6">IF(ISERROR(D36*F36), 0, ROUND((D36/30*365/12)*F36, 2))</f>
        <v>855976.8</v>
      </c>
      <c r="H36" s="508">
        <f t="shared" si="4"/>
        <v>6.4811254457791114E-3</v>
      </c>
      <c r="I36" s="460">
        <f t="shared" si="3"/>
        <v>874572.82466373558</v>
      </c>
      <c r="J36" s="501">
        <f>((+(I36/F36)*12)/365)*30</f>
        <v>2.6061137413163245</v>
      </c>
      <c r="L36" s="502"/>
    </row>
    <row r="38" spans="1:13" ht="15.5" x14ac:dyDescent="0.35">
      <c r="A38" s="451" t="s">
        <v>392</v>
      </c>
    </row>
    <row r="39" spans="1:13" ht="46.5" x14ac:dyDescent="0.35">
      <c r="A39" s="452" t="s">
        <v>70</v>
      </c>
      <c r="B39" s="452" t="s">
        <v>324</v>
      </c>
      <c r="C39" s="453" t="s">
        <v>265</v>
      </c>
      <c r="D39" s="454" t="s">
        <v>393</v>
      </c>
      <c r="E39" s="455" t="s">
        <v>329</v>
      </c>
      <c r="F39" s="456" t="s">
        <v>384</v>
      </c>
      <c r="G39" s="457" t="s">
        <v>385</v>
      </c>
      <c r="H39" s="458" t="s">
        <v>386</v>
      </c>
      <c r="I39" s="456" t="s">
        <v>394</v>
      </c>
      <c r="J39" s="459" t="s">
        <v>395</v>
      </c>
    </row>
    <row r="41" spans="1:13" x14ac:dyDescent="0.35">
      <c r="A41" s="353" t="s">
        <v>330</v>
      </c>
      <c r="B41" s="353" t="s">
        <v>238</v>
      </c>
      <c r="C41" s="447" t="s">
        <v>63</v>
      </c>
      <c r="D41" s="500">
        <f>J17</f>
        <v>1.0183212845140181E-2</v>
      </c>
      <c r="E41" s="460">
        <f>E17</f>
        <v>5204350195.5445004</v>
      </c>
      <c r="F41" s="460">
        <f>F17</f>
        <v>0</v>
      </c>
      <c r="G41" s="460">
        <f>IF(ISERROR(D41*E41), 0, ROUND(D41*E41, 2))</f>
        <v>52997005.759999998</v>
      </c>
      <c r="H41" s="508">
        <f>G41/SUM($G$41:$G$48)</f>
        <v>0.25749346137727669</v>
      </c>
      <c r="I41" s="460">
        <f t="shared" ref="I41:I48" si="7">H41*forecast_wholesale_network</f>
        <v>54212963.630750857</v>
      </c>
      <c r="J41" s="500">
        <f>IF(ISERROR(I41/E41), 0, I41/E41)</f>
        <v>1.0416855437046329E-2</v>
      </c>
      <c r="L41" s="504"/>
      <c r="M41" s="504"/>
    </row>
    <row r="42" spans="1:13" x14ac:dyDescent="0.35">
      <c r="A42" s="353" t="s">
        <v>331</v>
      </c>
      <c r="B42" s="353" t="s">
        <v>238</v>
      </c>
      <c r="C42" s="447" t="s">
        <v>63</v>
      </c>
      <c r="D42" s="500">
        <f t="shared" ref="D42:D48" si="8">J18</f>
        <v>1.0183212845475072E-2</v>
      </c>
      <c r="E42" s="460">
        <f t="shared" ref="E42:F46" si="9">E18</f>
        <v>311653120.54100001</v>
      </c>
      <c r="F42" s="460">
        <f t="shared" si="9"/>
        <v>0</v>
      </c>
      <c r="G42" s="460">
        <f>IF(ISERROR(D42*E42), 0, ROUND(D42*E42, 2))</f>
        <v>3173630.06</v>
      </c>
      <c r="H42" s="508">
        <f t="shared" ref="H42:H48" si="10">G42/SUM($G$41:$G$48)</f>
        <v>1.5419531302977036E-2</v>
      </c>
      <c r="I42" s="460">
        <f t="shared" si="7"/>
        <v>3246445.5029664235</v>
      </c>
      <c r="J42" s="500">
        <f>IF(ISERROR(I42/E42), 0, I42/E42)</f>
        <v>1.041685543636112E-2</v>
      </c>
      <c r="L42" s="504"/>
      <c r="M42" s="504"/>
    </row>
    <row r="43" spans="1:13" x14ac:dyDescent="0.35">
      <c r="A43" s="353" t="s">
        <v>332</v>
      </c>
      <c r="B43" s="353" t="s">
        <v>238</v>
      </c>
      <c r="C43" s="447" t="s">
        <v>63</v>
      </c>
      <c r="D43" s="500">
        <f t="shared" si="8"/>
        <v>9.9103374669325516E-3</v>
      </c>
      <c r="E43" s="460">
        <f t="shared" si="9"/>
        <v>2240894354.7555003</v>
      </c>
      <c r="F43" s="460">
        <f t="shared" si="9"/>
        <v>0</v>
      </c>
      <c r="G43" s="460">
        <f>IF(ISERROR(D43*E43), 0, ROUND(D43*E43, 2))</f>
        <v>22208019.280000001</v>
      </c>
      <c r="H43" s="508">
        <f t="shared" si="10"/>
        <v>0.10790080821993397</v>
      </c>
      <c r="I43" s="460">
        <f t="shared" si="7"/>
        <v>22717557.799206011</v>
      </c>
      <c r="J43" s="500">
        <f>IF(ISERROR(I43/E43), 0, I43/E43)</f>
        <v>1.0137719232946473E-2</v>
      </c>
      <c r="L43" s="504"/>
      <c r="M43" s="504"/>
    </row>
    <row r="44" spans="1:13" x14ac:dyDescent="0.35">
      <c r="A44" s="353" t="s">
        <v>333</v>
      </c>
      <c r="B44" s="353" t="s">
        <v>238</v>
      </c>
      <c r="C44" s="447" t="s">
        <v>242</v>
      </c>
      <c r="D44" s="448">
        <f t="shared" si="8"/>
        <v>3.3521499431081909</v>
      </c>
      <c r="E44" s="460">
        <f t="shared" si="9"/>
        <v>0</v>
      </c>
      <c r="F44" s="460">
        <f t="shared" si="9"/>
        <v>23556700</v>
      </c>
      <c r="G44" s="506">
        <f>IF(ISERROR(D44*F44), 0, ROUND((D44/30*365/12)*F44, 2))</f>
        <v>80062334.879999995</v>
      </c>
      <c r="H44" s="508">
        <f t="shared" si="10"/>
        <v>0.3889941976638544</v>
      </c>
      <c r="I44" s="460">
        <f t="shared" si="7"/>
        <v>81899276.889306948</v>
      </c>
      <c r="J44" s="501">
        <f>((+(I44/F44)*12)/365)*30</f>
        <v>3.4290613280601145</v>
      </c>
      <c r="L44" s="504"/>
      <c r="M44" s="504"/>
    </row>
    <row r="45" spans="1:13" x14ac:dyDescent="0.35">
      <c r="A45" s="353" t="s">
        <v>334</v>
      </c>
      <c r="B45" s="353" t="s">
        <v>238</v>
      </c>
      <c r="C45" s="447" t="s">
        <v>242</v>
      </c>
      <c r="D45" s="448">
        <f t="shared" si="8"/>
        <v>3.2389066630510142</v>
      </c>
      <c r="E45" s="460">
        <f t="shared" si="9"/>
        <v>0</v>
      </c>
      <c r="F45" s="460">
        <f t="shared" si="9"/>
        <v>9211281</v>
      </c>
      <c r="G45" s="506">
        <f t="shared" ref="G45:G46" si="11">IF(ISERROR(D45*F45), 0, ROUND((D45/30*365/12)*F45, 2))</f>
        <v>30248847.18</v>
      </c>
      <c r="H45" s="508">
        <f t="shared" si="10"/>
        <v>0.14696830983853823</v>
      </c>
      <c r="I45" s="460">
        <f t="shared" si="7"/>
        <v>30942873.630781528</v>
      </c>
      <c r="J45" s="501">
        <f>((+(I45/F45)*12)/365)*30</f>
        <v>3.3132198061852578</v>
      </c>
      <c r="L45" s="504"/>
      <c r="M45" s="504"/>
    </row>
    <row r="46" spans="1:13" x14ac:dyDescent="0.35">
      <c r="A46" s="353" t="s">
        <v>335</v>
      </c>
      <c r="B46" s="353" t="s">
        <v>238</v>
      </c>
      <c r="C46" s="447" t="s">
        <v>242</v>
      </c>
      <c r="D46" s="448">
        <f t="shared" si="8"/>
        <v>3.6921278524899064</v>
      </c>
      <c r="E46" s="460">
        <f t="shared" si="9"/>
        <v>0</v>
      </c>
      <c r="F46" s="460">
        <f t="shared" si="9"/>
        <v>4240467</v>
      </c>
      <c r="G46" s="506">
        <f t="shared" si="11"/>
        <v>15873795.57</v>
      </c>
      <c r="H46" s="508">
        <f t="shared" si="10"/>
        <v>7.7125084859031495E-2</v>
      </c>
      <c r="I46" s="460">
        <f t="shared" si="7"/>
        <v>16238002.309328657</v>
      </c>
      <c r="J46" s="501">
        <f>((+(I46/F46)*12)/365)*30</f>
        <v>3.7768396550496988</v>
      </c>
      <c r="L46" s="504"/>
      <c r="M46" s="504"/>
    </row>
    <row r="47" spans="1:13" x14ac:dyDescent="0.35">
      <c r="A47" s="353" t="s">
        <v>336</v>
      </c>
      <c r="B47" s="353" t="s">
        <v>238</v>
      </c>
      <c r="C47" s="447" t="s">
        <v>63</v>
      </c>
      <c r="D47" s="500">
        <f t="shared" si="8"/>
        <v>6.1645027428543653E-3</v>
      </c>
      <c r="E47" s="460">
        <f t="shared" ref="E47:F48" si="12">E23</f>
        <v>41302237.682500005</v>
      </c>
      <c r="F47" s="460">
        <f t="shared" si="12"/>
        <v>0</v>
      </c>
      <c r="G47" s="460">
        <f>IF(ISERROR(D47*E47), 0, ROUND(D47*E47, 2))</f>
        <v>254607.76</v>
      </c>
      <c r="H47" s="508">
        <f t="shared" si="10"/>
        <v>1.237047876115991E-3</v>
      </c>
      <c r="I47" s="460">
        <f t="shared" si="7"/>
        <v>260449.45436153153</v>
      </c>
      <c r="J47" s="500">
        <f>IF(ISERROR(I47/E47), 0, I47/E47)</f>
        <v>6.3059405246676369E-3</v>
      </c>
      <c r="L47" s="504"/>
      <c r="M47" s="504"/>
    </row>
    <row r="48" spans="1:13" x14ac:dyDescent="0.35">
      <c r="A48" s="353" t="s">
        <v>337</v>
      </c>
      <c r="B48" s="353" t="s">
        <v>238</v>
      </c>
      <c r="C48" s="447" t="s">
        <v>242</v>
      </c>
      <c r="D48" s="448">
        <f t="shared" si="8"/>
        <v>2.9816596231443078</v>
      </c>
      <c r="E48" s="460">
        <f t="shared" si="12"/>
        <v>0</v>
      </c>
      <c r="F48" s="460">
        <f t="shared" si="12"/>
        <v>330988</v>
      </c>
      <c r="G48" s="506">
        <f t="shared" ref="G48" si="13">IF(ISERROR(D48*F48), 0, ROUND((D48/30*365/12)*F48, 2))</f>
        <v>1000600.41</v>
      </c>
      <c r="H48" s="508">
        <f t="shared" si="10"/>
        <v>4.8615588622722642E-3</v>
      </c>
      <c r="I48" s="460">
        <f t="shared" si="7"/>
        <v>1023558.0832981082</v>
      </c>
      <c r="J48" s="501">
        <f>((+(I48/F48)*12)/365)*30</f>
        <v>3.0500705152189349</v>
      </c>
      <c r="L48" s="504"/>
      <c r="M48" s="504"/>
    </row>
    <row r="49" spans="1:13" x14ac:dyDescent="0.35">
      <c r="L49" s="507"/>
      <c r="M49" s="507"/>
    </row>
    <row r="50" spans="1:13" ht="15.5" x14ac:dyDescent="0.35">
      <c r="A50" s="451" t="s">
        <v>396</v>
      </c>
      <c r="L50" s="507"/>
      <c r="M50" s="507"/>
    </row>
    <row r="51" spans="1:13" ht="46.5" x14ac:dyDescent="0.35">
      <c r="A51" s="452" t="s">
        <v>70</v>
      </c>
      <c r="B51" s="452" t="s">
        <v>324</v>
      </c>
      <c r="C51" s="453" t="s">
        <v>265</v>
      </c>
      <c r="D51" s="454" t="s">
        <v>391</v>
      </c>
      <c r="E51" s="455" t="s">
        <v>329</v>
      </c>
      <c r="F51" s="456" t="s">
        <v>384</v>
      </c>
      <c r="G51" s="457" t="s">
        <v>385</v>
      </c>
      <c r="H51" s="458" t="s">
        <v>386</v>
      </c>
      <c r="I51" s="456" t="s">
        <v>394</v>
      </c>
      <c r="J51" s="459" t="s">
        <v>397</v>
      </c>
      <c r="L51" s="507"/>
      <c r="M51" s="507"/>
    </row>
    <row r="52" spans="1:13" x14ac:dyDescent="0.35">
      <c r="L52" s="507"/>
      <c r="M52" s="507"/>
    </row>
    <row r="53" spans="1:13" x14ac:dyDescent="0.35">
      <c r="A53" s="353" t="s">
        <v>330</v>
      </c>
      <c r="B53" s="353" t="s">
        <v>239</v>
      </c>
      <c r="C53" s="447" t="s">
        <v>63</v>
      </c>
      <c r="D53" s="500">
        <f>J29</f>
        <v>6.7638189475660417E-3</v>
      </c>
      <c r="E53" s="460">
        <f>E29</f>
        <v>5204350195.5445004</v>
      </c>
      <c r="F53" s="460">
        <f t="shared" ref="F53:F60" si="14">F29</f>
        <v>0</v>
      </c>
      <c r="G53" s="460">
        <f>IF(ISERROR(D53*E53), 0, ROUND(D53*E53, 2))</f>
        <v>35201282.460000001</v>
      </c>
      <c r="H53" s="508">
        <f>G53/SUM($G$53:$G$60)</f>
        <v>0.26086327068325021</v>
      </c>
      <c r="I53" s="460">
        <f t="shared" ref="I53:I60" si="15">H53*forecast_wholesale_lineplus</f>
        <v>36078955.715982318</v>
      </c>
      <c r="J53" s="500">
        <f>IF(ISERROR(I53/E53), 0, I53/E53)</f>
        <v>6.932461183505656E-3</v>
      </c>
      <c r="L53" s="504"/>
      <c r="M53" s="504"/>
    </row>
    <row r="54" spans="1:13" x14ac:dyDescent="0.35">
      <c r="A54" s="353" t="s">
        <v>331</v>
      </c>
      <c r="B54" s="353" t="s">
        <v>239</v>
      </c>
      <c r="C54" s="447" t="s">
        <v>63</v>
      </c>
      <c r="D54" s="500">
        <f t="shared" ref="D54:D60" si="16">J30</f>
        <v>6.7638189550681101E-3</v>
      </c>
      <c r="E54" s="460">
        <f t="shared" ref="E54" si="17">E30</f>
        <v>311653120.54100001</v>
      </c>
      <c r="F54" s="460">
        <f t="shared" si="14"/>
        <v>0</v>
      </c>
      <c r="G54" s="460">
        <f>IF(ISERROR(D54*E54), 0, ROUND(D54*E54, 2))</f>
        <v>2107965.2799999998</v>
      </c>
      <c r="H54" s="508">
        <f t="shared" ref="H54:H60" si="18">G54/SUM($G$53:$G$60)</f>
        <v>1.5621326241519363E-2</v>
      </c>
      <c r="I54" s="460">
        <f t="shared" si="15"/>
        <v>2160523.1591879982</v>
      </c>
      <c r="J54" s="500">
        <f>IF(ISERROR(I54/E54), 0, I54/E54)</f>
        <v>6.9324611781121804E-3</v>
      </c>
      <c r="L54" s="504"/>
      <c r="M54" s="504"/>
    </row>
    <row r="55" spans="1:13" x14ac:dyDescent="0.35">
      <c r="A55" s="353" t="s">
        <v>332</v>
      </c>
      <c r="B55" s="353" t="s">
        <v>239</v>
      </c>
      <c r="C55" s="447" t="s">
        <v>63</v>
      </c>
      <c r="D55" s="500">
        <f t="shared" si="16"/>
        <v>6.0486115067017853E-3</v>
      </c>
      <c r="E55" s="460">
        <f t="shared" ref="E55" si="19">E31</f>
        <v>2240894354.7555003</v>
      </c>
      <c r="F55" s="460">
        <f t="shared" si="14"/>
        <v>0</v>
      </c>
      <c r="G55" s="460">
        <f>IF(ISERROR(D55*E55), 0, ROUND(D55*E55, 2))</f>
        <v>13554299.380000001</v>
      </c>
      <c r="H55" s="508">
        <f t="shared" si="18"/>
        <v>0.10044574006940174</v>
      </c>
      <c r="I55" s="460">
        <f t="shared" si="15"/>
        <v>13892248.603381895</v>
      </c>
      <c r="J55" s="500">
        <f>IF(ISERROR(I55/E55), 0, I55/E55)</f>
        <v>6.1994214827220855E-3</v>
      </c>
      <c r="L55" s="504"/>
      <c r="M55" s="504"/>
    </row>
    <row r="56" spans="1:13" x14ac:dyDescent="0.35">
      <c r="A56" s="353" t="s">
        <v>333</v>
      </c>
      <c r="B56" s="353" t="s">
        <v>239</v>
      </c>
      <c r="C56" s="447" t="s">
        <v>242</v>
      </c>
      <c r="D56" s="448">
        <f t="shared" si="16"/>
        <v>2.1857761143163006</v>
      </c>
      <c r="E56" s="460">
        <f t="shared" ref="E56" si="20">E32</f>
        <v>0</v>
      </c>
      <c r="F56" s="460">
        <f t="shared" si="14"/>
        <v>23556700</v>
      </c>
      <c r="G56" s="506">
        <f>IF(ISERROR(D56*F56), 0, ROUND((D56/30*365/12)*F56, 2))</f>
        <v>52204806.530000001</v>
      </c>
      <c r="H56" s="508">
        <f t="shared" si="18"/>
        <v>0.38686989862590643</v>
      </c>
      <c r="I56" s="460">
        <f t="shared" si="15"/>
        <v>53506428.497244433</v>
      </c>
      <c r="J56" s="501">
        <f>((+(I56/F56)*12)/365)*30</f>
        <v>2.2402740504106933</v>
      </c>
      <c r="L56" s="504"/>
      <c r="M56" s="504"/>
    </row>
    <row r="57" spans="1:13" x14ac:dyDescent="0.35">
      <c r="A57" s="353" t="s">
        <v>334</v>
      </c>
      <c r="B57" s="353" t="s">
        <v>239</v>
      </c>
      <c r="C57" s="447" t="s">
        <v>242</v>
      </c>
      <c r="D57" s="448">
        <f t="shared" si="16"/>
        <v>2.1835283198832722</v>
      </c>
      <c r="E57" s="460">
        <f t="shared" ref="E57" si="21">E33</f>
        <v>0</v>
      </c>
      <c r="F57" s="460">
        <f t="shared" si="14"/>
        <v>9211281</v>
      </c>
      <c r="G57" s="506">
        <f t="shared" ref="G57:G58" si="22">IF(ISERROR(D57*F57), 0, ROUND((D57/30*365/12)*F57, 2))</f>
        <v>20392441.440000001</v>
      </c>
      <c r="H57" s="508">
        <f t="shared" si="18"/>
        <v>0.15112060128206617</v>
      </c>
      <c r="I57" s="460">
        <f t="shared" si="15"/>
        <v>20900885.997280303</v>
      </c>
      <c r="J57" s="501">
        <f>((+(I57/F57)*12)/365)*30</f>
        <v>2.2379702117944551</v>
      </c>
      <c r="L57" s="504"/>
      <c r="M57" s="504"/>
    </row>
    <row r="58" spans="1:13" x14ac:dyDescent="0.35">
      <c r="A58" s="353" t="s">
        <v>335</v>
      </c>
      <c r="B58" s="353" t="s">
        <v>239</v>
      </c>
      <c r="C58" s="447" t="s">
        <v>242</v>
      </c>
      <c r="D58" s="448">
        <f t="shared" si="16"/>
        <v>2.4258814704054981</v>
      </c>
      <c r="E58" s="460">
        <f t="shared" ref="E58" si="23">E34</f>
        <v>0</v>
      </c>
      <c r="F58" s="460">
        <f t="shared" si="14"/>
        <v>4240467</v>
      </c>
      <c r="G58" s="506">
        <f t="shared" si="22"/>
        <v>10429743.52</v>
      </c>
      <c r="H58" s="508">
        <f t="shared" si="18"/>
        <v>7.7290848994103226E-2</v>
      </c>
      <c r="I58" s="460">
        <f t="shared" si="15"/>
        <v>10689788.220492393</v>
      </c>
      <c r="J58" s="501">
        <f>((+(I58/F58)*12)/365)*30</f>
        <v>2.4863659510655673</v>
      </c>
      <c r="L58" s="504"/>
      <c r="M58" s="504"/>
    </row>
    <row r="59" spans="1:13" x14ac:dyDescent="0.35">
      <c r="A59" s="353" t="s">
        <v>336</v>
      </c>
      <c r="B59" s="353" t="s">
        <v>239</v>
      </c>
      <c r="C59" s="447" t="s">
        <v>63</v>
      </c>
      <c r="D59" s="500">
        <f t="shared" si="16"/>
        <v>4.2708100648405313E-3</v>
      </c>
      <c r="E59" s="460">
        <f t="shared" ref="E59" si="24">E35</f>
        <v>41302237.682500005</v>
      </c>
      <c r="F59" s="460">
        <f t="shared" si="14"/>
        <v>0</v>
      </c>
      <c r="G59" s="460">
        <f>IF(ISERROR(D59*E59), 0, ROUND(D59*E59, 2))</f>
        <v>176394.01</v>
      </c>
      <c r="H59" s="508">
        <f t="shared" si="18"/>
        <v>1.3071886920546572E-3</v>
      </c>
      <c r="I59" s="460">
        <f t="shared" si="15"/>
        <v>180792.0402498467</v>
      </c>
      <c r="J59" s="500">
        <f>IF(ISERROR(I59/E59), 0, I59/E59)</f>
        <v>4.37729407398305E-3</v>
      </c>
      <c r="L59" s="504"/>
      <c r="M59" s="504"/>
    </row>
    <row r="60" spans="1:13" x14ac:dyDescent="0.35">
      <c r="A60" s="353" t="s">
        <v>337</v>
      </c>
      <c r="B60" s="353" t="s">
        <v>239</v>
      </c>
      <c r="C60" s="447" t="s">
        <v>242</v>
      </c>
      <c r="D60" s="448">
        <f t="shared" si="16"/>
        <v>2.6061137413163245</v>
      </c>
      <c r="E60" s="460">
        <f t="shared" ref="E60" si="25">E36</f>
        <v>0</v>
      </c>
      <c r="F60" s="460">
        <f t="shared" si="14"/>
        <v>330988</v>
      </c>
      <c r="G60" s="506">
        <f t="shared" ref="G60" si="26">IF(ISERROR(D60*F60), 0, ROUND((D60/30*365/12)*F60, 2))</f>
        <v>874572.82</v>
      </c>
      <c r="H60" s="508">
        <f t="shared" si="18"/>
        <v>6.4811254116982379E-3</v>
      </c>
      <c r="I60" s="460">
        <f t="shared" si="15"/>
        <v>896378.53618080297</v>
      </c>
      <c r="J60" s="501">
        <f>((+(I60/F60)*12)/365)*30</f>
        <v>2.6710919373237969</v>
      </c>
      <c r="L60" s="504"/>
      <c r="M60" s="504"/>
    </row>
  </sheetData>
  <pageMargins left="0.70866141732283472" right="0.70866141732283472" top="1.7322834645669292" bottom="0.74803149606299213" header="0.70866141732283472" footer="0.31496062992125984"/>
  <pageSetup scale="43" orientation="landscape" r:id="rId1"/>
  <headerFooter scaleWithDoc="0">
    <oddHeader>&amp;R&amp;7&amp;K000000Toronto Hydro-Electric System Limited 
EB-2021-0060
Tab 3
Schedule 1
ORIGINAL
Page &amp;P of &amp;N</oddHeader>
    <oddFooter>&amp;C&amp;7&amp;A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8F06-3E7C-4C8B-9E47-714B3AB9D69F}">
  <sheetPr>
    <pageSetUpPr fitToPage="1"/>
  </sheetPr>
  <dimension ref="A1:AC104"/>
  <sheetViews>
    <sheetView showGridLines="0" zoomScale="60" zoomScaleNormal="60" zoomScaleSheetLayoutView="50" workbookViewId="0">
      <selection activeCell="B15" sqref="B15"/>
    </sheetView>
  </sheetViews>
  <sheetFormatPr defaultColWidth="8.4140625" defaultRowHeight="15.5" x14ac:dyDescent="0.35"/>
  <cols>
    <col min="1" max="1" width="51" style="48" customWidth="1"/>
    <col min="2" max="2" width="10.33203125" style="48" customWidth="1"/>
    <col min="3" max="3" width="14" style="48" customWidth="1"/>
    <col min="4" max="4" width="15.58203125" style="48" customWidth="1"/>
    <col min="5" max="5" width="26.6640625" style="48" bestFit="1" customWidth="1"/>
    <col min="6" max="6" width="15" style="48" customWidth="1"/>
    <col min="7" max="7" width="16.5" style="48" customWidth="1"/>
    <col min="8" max="8" width="12.9140625" style="48" customWidth="1"/>
    <col min="9" max="9" width="14.83203125" style="48" customWidth="1"/>
    <col min="10" max="10" width="8.4140625" style="48"/>
    <col min="11" max="11" width="12.1640625" style="48" customWidth="1"/>
    <col min="12" max="12" width="12" style="48" customWidth="1"/>
    <col min="13" max="13" width="10.33203125" style="48" customWidth="1"/>
    <col min="14" max="24" width="8.4140625" style="48"/>
    <col min="25" max="26" width="8.4140625" style="48" hidden="1" customWidth="1"/>
    <col min="27" max="28" width="0" style="48" hidden="1" customWidth="1"/>
    <col min="29" max="16384" width="8.4140625" style="48"/>
  </cols>
  <sheetData>
    <row r="1" spans="1:29" x14ac:dyDescent="0.35">
      <c r="Y1" s="48" t="b">
        <v>0</v>
      </c>
      <c r="Z1" s="48">
        <v>0</v>
      </c>
      <c r="AC1" s="462" t="s">
        <v>398</v>
      </c>
    </row>
    <row r="2" spans="1:29" x14ac:dyDescent="0.35">
      <c r="Y2" s="48" t="b">
        <v>1</v>
      </c>
    </row>
    <row r="3" spans="1:29" x14ac:dyDescent="0.35">
      <c r="K3" s="463"/>
      <c r="L3" s="464"/>
      <c r="M3" s="464"/>
    </row>
    <row r="4" spans="1:29" x14ac:dyDescent="0.35">
      <c r="I4" s="464"/>
      <c r="J4" s="464"/>
      <c r="K4" s="464"/>
      <c r="M4" s="464"/>
    </row>
    <row r="5" spans="1:29" x14ac:dyDescent="0.35">
      <c r="K5" s="464"/>
    </row>
    <row r="6" spans="1:29" x14ac:dyDescent="0.35">
      <c r="K6" s="464"/>
    </row>
    <row r="7" spans="1:29" x14ac:dyDescent="0.35">
      <c r="K7" s="464"/>
    </row>
    <row r="8" spans="1:29" x14ac:dyDescent="0.35">
      <c r="B8" s="48">
        <v>0</v>
      </c>
      <c r="K8" s="464"/>
    </row>
    <row r="9" spans="1:29" x14ac:dyDescent="0.35">
      <c r="B9" s="48">
        <v>0</v>
      </c>
    </row>
    <row r="10" spans="1:29" x14ac:dyDescent="0.35">
      <c r="B10" s="465">
        <v>0</v>
      </c>
    </row>
    <row r="11" spans="1:29" ht="35.25" customHeight="1" x14ac:dyDescent="0.35">
      <c r="A11" s="719" t="s">
        <v>399</v>
      </c>
      <c r="B11" s="710"/>
      <c r="C11" s="710"/>
      <c r="D11" s="710"/>
      <c r="E11" s="710"/>
      <c r="F11" s="710"/>
      <c r="G11" s="710"/>
      <c r="H11" s="710"/>
      <c r="I11" s="710"/>
    </row>
    <row r="12" spans="1:29" ht="65.25" customHeight="1" thickBot="1" x14ac:dyDescent="0.4">
      <c r="A12" s="466" t="s">
        <v>400</v>
      </c>
      <c r="B12" s="467">
        <v>2.1999999999999999E-2</v>
      </c>
      <c r="C12" s="468" t="s">
        <v>401</v>
      </c>
      <c r="D12" s="469">
        <v>0</v>
      </c>
      <c r="E12" s="470" t="s">
        <v>402</v>
      </c>
      <c r="F12" s="471"/>
      <c r="G12" s="472" t="s">
        <v>403</v>
      </c>
      <c r="H12" s="514" t="s">
        <v>429</v>
      </c>
      <c r="I12" s="515">
        <v>1.5599999999999999E-2</v>
      </c>
      <c r="J12" s="518" t="s">
        <v>430</v>
      </c>
      <c r="K12" s="519">
        <v>3.0000000000000001E-3</v>
      </c>
    </row>
    <row r="13" spans="1:29" ht="58.25" customHeight="1" thickBot="1" x14ac:dyDescent="0.4">
      <c r="A13" s="473" t="s">
        <v>404</v>
      </c>
      <c r="B13" s="474" t="s">
        <v>433</v>
      </c>
      <c r="C13" s="468" t="s">
        <v>405</v>
      </c>
      <c r="D13" s="510">
        <f>(B12-D12-B14)*0+ROUND(B12-B14-(B12*I13)+I12-I14-(K12*I13),4)</f>
        <v>1.18E-2</v>
      </c>
      <c r="E13" s="470" t="s">
        <v>406</v>
      </c>
      <c r="F13" s="471"/>
      <c r="G13" s="475" t="s">
        <v>407</v>
      </c>
      <c r="H13" s="522" t="s">
        <v>431</v>
      </c>
      <c r="I13" s="516">
        <v>0.71379999999999999</v>
      </c>
      <c r="J13" s="520"/>
      <c r="K13" s="520"/>
    </row>
    <row r="14" spans="1:29" s="464" customFormat="1" ht="30" customHeight="1" x14ac:dyDescent="0.35">
      <c r="A14" s="466" t="s">
        <v>408</v>
      </c>
      <c r="B14" s="476">
        <f>IF(B13="I", 0%, IF(B13="II", 0.15%, IF(B13="III", 0.3%, IF(B13="IV", 0.45%,IF(B13="V",0.6%, 0)))))</f>
        <v>6.0000000000000001E-3</v>
      </c>
      <c r="C14" s="477"/>
      <c r="D14" s="477"/>
      <c r="E14" s="478" t="s">
        <v>409</v>
      </c>
      <c r="F14" s="479"/>
      <c r="G14" s="480"/>
      <c r="H14" s="517" t="s">
        <v>432</v>
      </c>
      <c r="I14" s="515">
        <v>2E-3</v>
      </c>
      <c r="J14" s="521"/>
      <c r="K14" s="521"/>
    </row>
    <row r="15" spans="1:29" s="464" customFormat="1" ht="64.5" customHeight="1" x14ac:dyDescent="0.35">
      <c r="A15" s="481" t="s">
        <v>70</v>
      </c>
      <c r="B15" s="482" t="s">
        <v>410</v>
      </c>
      <c r="C15" s="482" t="s">
        <v>411</v>
      </c>
      <c r="D15" s="482" t="s">
        <v>412</v>
      </c>
      <c r="E15" s="482" t="s">
        <v>413</v>
      </c>
      <c r="F15" s="482" t="s">
        <v>414</v>
      </c>
      <c r="G15" s="482" t="s">
        <v>415</v>
      </c>
      <c r="H15" s="482" t="s">
        <v>416</v>
      </c>
    </row>
    <row r="16" spans="1:29" x14ac:dyDescent="0.35">
      <c r="B16" s="330"/>
      <c r="C16" s="330"/>
      <c r="D16" s="330"/>
      <c r="E16" s="330"/>
      <c r="F16" s="330"/>
      <c r="G16" s="330"/>
      <c r="H16" s="330"/>
    </row>
    <row r="17" spans="1:9" x14ac:dyDescent="0.35">
      <c r="A17" s="48" t="s">
        <v>62</v>
      </c>
      <c r="B17" s="490">
        <v>40.1</v>
      </c>
      <c r="C17" s="483"/>
      <c r="D17" s="330">
        <v>0</v>
      </c>
      <c r="E17" s="483"/>
      <c r="F17" s="484">
        <f>D13</f>
        <v>1.18E-2</v>
      </c>
      <c r="G17" s="512">
        <f>ROUND((B17+C17)*(1+D13),2)</f>
        <v>40.57</v>
      </c>
      <c r="H17" s="509"/>
    </row>
    <row r="18" spans="1:9" x14ac:dyDescent="0.35">
      <c r="A18" s="48" t="s">
        <v>64</v>
      </c>
      <c r="B18" s="490">
        <v>32.9</v>
      </c>
      <c r="C18" s="486"/>
      <c r="D18" s="330">
        <v>0</v>
      </c>
      <c r="E18" s="486"/>
      <c r="F18" s="484">
        <f>D13</f>
        <v>1.18E-2</v>
      </c>
      <c r="G18" s="512">
        <f>ROUND((B18+C18)*(1+D13),2)</f>
        <v>33.29</v>
      </c>
      <c r="H18" s="509"/>
    </row>
    <row r="19" spans="1:9" x14ac:dyDescent="0.35">
      <c r="A19" s="48" t="s">
        <v>240</v>
      </c>
      <c r="B19" s="490">
        <v>38.68</v>
      </c>
      <c r="C19" s="486"/>
      <c r="D19" s="523">
        <v>3.5779999999999999E-2</v>
      </c>
      <c r="E19" s="486"/>
      <c r="F19" s="484">
        <f>D13</f>
        <v>1.18E-2</v>
      </c>
      <c r="G19" s="512">
        <f>ROUND((B19+C19)*(1+D13),2)</f>
        <v>39.14</v>
      </c>
      <c r="H19" s="509">
        <f>ROUND((D19+E19)*(1+D13),5)</f>
        <v>3.6200000000000003E-2</v>
      </c>
    </row>
    <row r="20" spans="1:9" x14ac:dyDescent="0.35">
      <c r="A20" s="48" t="s">
        <v>241</v>
      </c>
      <c r="B20" s="330">
        <v>51.4</v>
      </c>
      <c r="C20" s="486"/>
      <c r="D20" s="523">
        <v>8.2545000000000002</v>
      </c>
      <c r="E20" s="486"/>
      <c r="F20" s="484">
        <f>D13</f>
        <v>1.18E-2</v>
      </c>
      <c r="G20" s="512">
        <f>ROUND((B20+C20)*(1+D13),2)</f>
        <v>52.01</v>
      </c>
      <c r="H20" s="505">
        <f>ROUND((D20+E20)*(1+D13),4)</f>
        <v>8.3519000000000005</v>
      </c>
    </row>
    <row r="21" spans="1:9" x14ac:dyDescent="0.35">
      <c r="A21" s="48" t="s">
        <v>243</v>
      </c>
      <c r="B21" s="490">
        <v>968.5</v>
      </c>
      <c r="C21" s="486"/>
      <c r="D21" s="523">
        <v>6.8212999999999999</v>
      </c>
      <c r="E21" s="486"/>
      <c r="F21" s="484">
        <f>D13</f>
        <v>1.18E-2</v>
      </c>
      <c r="G21" s="512">
        <f>ROUND((B21+C21)*(1+D13),2)</f>
        <v>979.93</v>
      </c>
      <c r="H21" s="505">
        <f>ROUND((D21+E21)*(1+D13),4)</f>
        <v>6.9017999999999997</v>
      </c>
    </row>
    <row r="22" spans="1:9" x14ac:dyDescent="0.35">
      <c r="A22" s="48" t="s">
        <v>65</v>
      </c>
      <c r="B22" s="330">
        <v>4287.29</v>
      </c>
      <c r="C22" s="487"/>
      <c r="D22" s="330">
        <v>7.3909000000000002</v>
      </c>
      <c r="E22" s="487"/>
      <c r="F22" s="484">
        <f>D13</f>
        <v>1.18E-2</v>
      </c>
      <c r="G22" s="512">
        <f>ROUND((B22+C22)*(1+D13),2)</f>
        <v>4337.88</v>
      </c>
      <c r="H22" s="505">
        <f>ROUND((D22+E22)*(1+D13),4)</f>
        <v>7.4781000000000004</v>
      </c>
    </row>
    <row r="23" spans="1:9" x14ac:dyDescent="0.35">
      <c r="A23" s="48" t="s">
        <v>66</v>
      </c>
      <c r="B23" s="490">
        <v>250.74</v>
      </c>
      <c r="C23" s="488"/>
      <c r="D23" s="330">
        <v>0</v>
      </c>
      <c r="E23" s="488"/>
      <c r="F23" s="484">
        <f>D13</f>
        <v>1.18E-2</v>
      </c>
      <c r="G23" s="554">
        <f>ROUND((B23+C23)*(1+D13),2)</f>
        <v>253.7</v>
      </c>
      <c r="H23" s="513"/>
    </row>
    <row r="24" spans="1:9" x14ac:dyDescent="0.35">
      <c r="A24" s="525" t="s">
        <v>434</v>
      </c>
      <c r="B24" s="524"/>
      <c r="C24" s="527"/>
      <c r="D24" s="524">
        <v>8.2545000000000002</v>
      </c>
      <c r="E24" s="528"/>
      <c r="F24" s="526">
        <f>D13</f>
        <v>1.18E-2</v>
      </c>
      <c r="G24" s="530"/>
      <c r="H24" s="532">
        <f>ROUND((D24+E24)*(1+D13),4)</f>
        <v>8.3519000000000005</v>
      </c>
    </row>
    <row r="25" spans="1:9" x14ac:dyDescent="0.35">
      <c r="A25" s="525" t="s">
        <v>435</v>
      </c>
      <c r="B25" s="524"/>
      <c r="C25" s="527"/>
      <c r="D25" s="524">
        <v>6.8212999999999999</v>
      </c>
      <c r="E25" s="528"/>
      <c r="F25" s="526">
        <f>D13</f>
        <v>1.18E-2</v>
      </c>
      <c r="G25" s="530"/>
      <c r="H25" s="532">
        <f>ROUND((D25+E25)*(1+D13),4)</f>
        <v>6.9017999999999997</v>
      </c>
    </row>
    <row r="26" spans="1:9" x14ac:dyDescent="0.35">
      <c r="A26" s="525" t="s">
        <v>436</v>
      </c>
      <c r="B26" s="524"/>
      <c r="C26" s="527"/>
      <c r="D26" s="524">
        <v>7.3909000000000002</v>
      </c>
      <c r="E26" s="528"/>
      <c r="F26" s="526">
        <f>D13</f>
        <v>1.18E-2</v>
      </c>
      <c r="G26" s="530"/>
      <c r="H26" s="532">
        <f>ROUND((D26+E26)*(1+D13),4)</f>
        <v>7.4781000000000004</v>
      </c>
    </row>
    <row r="27" spans="1:9" x14ac:dyDescent="0.35">
      <c r="A27" s="48" t="s">
        <v>68</v>
      </c>
      <c r="B27" s="330">
        <v>6.34</v>
      </c>
      <c r="C27" s="483"/>
      <c r="D27" s="523">
        <v>7.9680000000000001E-2</v>
      </c>
      <c r="E27" s="483"/>
      <c r="F27" s="484">
        <f>D13</f>
        <v>1.18E-2</v>
      </c>
      <c r="G27" s="512">
        <f>ROUND((B27+C27)*(1+D13),2)</f>
        <v>6.41</v>
      </c>
      <c r="H27" s="509">
        <f>ROUND((D27+E27)*(1+D13),5)</f>
        <v>8.0619999999999997E-2</v>
      </c>
    </row>
    <row r="28" spans="1:9" x14ac:dyDescent="0.35">
      <c r="A28" s="534" t="s">
        <v>437</v>
      </c>
      <c r="B28" s="533">
        <v>0.66</v>
      </c>
      <c r="C28" s="535"/>
      <c r="D28" s="529"/>
      <c r="E28" s="535"/>
      <c r="F28" s="536">
        <f>D13</f>
        <v>1.18E-2</v>
      </c>
      <c r="G28" s="530">
        <f>ROUND((B28+C28)*(1+D13),2)</f>
        <v>0.67</v>
      </c>
      <c r="H28" s="531"/>
    </row>
    <row r="29" spans="1:9" x14ac:dyDescent="0.35">
      <c r="A29" s="48" t="s">
        <v>69</v>
      </c>
      <c r="B29" s="330">
        <v>1.63</v>
      </c>
      <c r="C29" s="487"/>
      <c r="D29" s="330">
        <v>36.392299999999999</v>
      </c>
      <c r="E29" s="487"/>
      <c r="F29" s="484">
        <f>D13</f>
        <v>1.18E-2</v>
      </c>
      <c r="G29" s="512">
        <f>ROUND((B29+C29)*(1+D13),2)</f>
        <v>1.65</v>
      </c>
      <c r="H29" s="505">
        <f>ROUND((D29+E29)*(1+D13),4)</f>
        <v>36.8217</v>
      </c>
    </row>
    <row r="30" spans="1:9" x14ac:dyDescent="0.35">
      <c r="A30" s="48" t="s">
        <v>244</v>
      </c>
      <c r="B30" s="330">
        <v>4.49</v>
      </c>
      <c r="C30" s="488"/>
      <c r="D30" s="330"/>
      <c r="E30" s="488"/>
      <c r="F30" s="330"/>
      <c r="G30" s="330">
        <f>B30</f>
        <v>4.49</v>
      </c>
      <c r="H30" s="330"/>
    </row>
    <row r="31" spans="1:9" x14ac:dyDescent="0.35">
      <c r="B31" s="330"/>
      <c r="C31" s="330"/>
      <c r="D31" s="330"/>
      <c r="E31" s="330"/>
      <c r="F31" s="330"/>
      <c r="G31" s="330"/>
      <c r="H31" s="330"/>
    </row>
    <row r="32" spans="1:9" ht="39" hidden="1" x14ac:dyDescent="0.35">
      <c r="A32" s="489" t="s">
        <v>417</v>
      </c>
      <c r="B32" s="330"/>
      <c r="C32" s="351" t="s">
        <v>418</v>
      </c>
      <c r="D32" s="351" t="s">
        <v>419</v>
      </c>
      <c r="E32" s="351" t="s">
        <v>420</v>
      </c>
      <c r="F32" s="351" t="s">
        <v>421</v>
      </c>
      <c r="G32" s="351" t="s">
        <v>422</v>
      </c>
      <c r="H32" s="351" t="s">
        <v>423</v>
      </c>
      <c r="I32" s="351" t="s">
        <v>424</v>
      </c>
    </row>
    <row r="33" spans="1:9" hidden="1" x14ac:dyDescent="0.35">
      <c r="A33" s="48" t="s">
        <v>425</v>
      </c>
      <c r="B33" s="485">
        <f>B17+C17</f>
        <v>40.1</v>
      </c>
      <c r="C33" s="348">
        <f>B33*COS_RES_CUSTOMERS*12</f>
        <v>0</v>
      </c>
      <c r="D33" s="350">
        <f>IF(ISERROR(C33/C35), 0, C33/C35)</f>
        <v>0</v>
      </c>
      <c r="E33" s="350">
        <f>IF(ISERROR((1-D33)/YRS_LEFT), 0, (1-D33)/YRS_LEFT)</f>
        <v>0</v>
      </c>
      <c r="F33" s="490">
        <f>IF(ISERROR(ROUND(E33*C35/COS_RES_CUSTOMERS/12, 2)), 0, ROUND(E33*C35/COS_RES_CUSTOMERS/12, 2))</f>
        <v>0</v>
      </c>
      <c r="G33" s="350">
        <f>E33+D33</f>
        <v>0</v>
      </c>
      <c r="H33" s="491">
        <f>IF(ISERROR(ROUND(G33*C35/COS_RES_CUSTOMERS/12, 2)), 0, ROUND(G33*C35/COS_RES_CUSTOMERS/12, 2))</f>
        <v>0</v>
      </c>
      <c r="I33" s="348">
        <f>ROUND(H33*COS_RES_CUSTOMERS*12, 2)</f>
        <v>0</v>
      </c>
    </row>
    <row r="34" spans="1:9" ht="16" hidden="1" thickBot="1" x14ac:dyDescent="0.4">
      <c r="A34" s="48" t="s">
        <v>426</v>
      </c>
      <c r="B34" s="485">
        <f>D17+E17</f>
        <v>0</v>
      </c>
      <c r="C34" s="349">
        <f>B34*COS_RES_KWH</f>
        <v>0</v>
      </c>
      <c r="D34" s="350">
        <f>IF(ISERROR(C34/C35), 0, C34/C35)</f>
        <v>0</v>
      </c>
      <c r="E34" s="330"/>
      <c r="F34" s="330"/>
      <c r="G34" s="350">
        <f>1-G33</f>
        <v>1</v>
      </c>
      <c r="H34" s="492">
        <f>IF(ISERROR(ROUND(G34*C35/COS_RES_KWH, 4)), 0, ROUND(G34*C35/COS_RES_KWH, 4))</f>
        <v>0</v>
      </c>
      <c r="I34" s="349">
        <f>ROUND(H34*COS_RES_KWH, 2)</f>
        <v>0</v>
      </c>
    </row>
    <row r="35" spans="1:9" hidden="1" x14ac:dyDescent="0.35">
      <c r="B35" s="330"/>
      <c r="C35" s="348">
        <f>SUM(C33+C34)</f>
        <v>0</v>
      </c>
      <c r="D35" s="330"/>
      <c r="E35" s="330"/>
      <c r="F35" s="330"/>
      <c r="G35" s="330"/>
      <c r="H35" s="330"/>
      <c r="I35" s="348">
        <f>SUM(I33+I34)</f>
        <v>0</v>
      </c>
    </row>
    <row r="36" spans="1:9" hidden="1" x14ac:dyDescent="0.35">
      <c r="B36" s="330"/>
      <c r="C36" s="330"/>
      <c r="D36" s="330"/>
      <c r="E36" s="330"/>
      <c r="F36" s="330"/>
      <c r="G36" s="330"/>
      <c r="H36" s="330"/>
    </row>
    <row r="37" spans="1:9" hidden="1" x14ac:dyDescent="0.35">
      <c r="B37" s="330"/>
      <c r="C37" s="330"/>
      <c r="D37" s="330"/>
      <c r="E37" s="330"/>
      <c r="F37" s="330"/>
      <c r="G37" s="330"/>
      <c r="H37" s="330"/>
    </row>
    <row r="38" spans="1:9" x14ac:dyDescent="0.35">
      <c r="A38" s="493" t="str">
        <f>IF((H33-B33)&gt;=4, "The Rate Design Transition has calculated a monthly fixed charge greater than or equal to $4.  Please refer to Section 3.2.3 of the Chapter 3 Filing Requirements for mitigation instructions.", "")</f>
        <v/>
      </c>
      <c r="B38" s="330"/>
      <c r="C38" s="330"/>
      <c r="D38" s="330"/>
      <c r="E38" s="330"/>
      <c r="F38" s="330"/>
      <c r="G38" s="330"/>
      <c r="H38" s="330"/>
    </row>
    <row r="39" spans="1:9" x14ac:dyDescent="0.35">
      <c r="B39" s="330"/>
      <c r="C39" s="330"/>
      <c r="D39" s="330"/>
      <c r="E39" s="330"/>
      <c r="F39" s="330"/>
      <c r="G39" s="330"/>
      <c r="H39" s="330"/>
    </row>
    <row r="40" spans="1:9" ht="16.5" x14ac:dyDescent="0.35">
      <c r="A40" s="309"/>
      <c r="B40" s="330"/>
      <c r="C40" s="330"/>
      <c r="D40" s="330"/>
      <c r="E40" s="330"/>
      <c r="F40" s="330"/>
      <c r="G40" s="330"/>
      <c r="H40" s="330"/>
    </row>
    <row r="41" spans="1:9" x14ac:dyDescent="0.35">
      <c r="A41" s="48" t="s">
        <v>427</v>
      </c>
      <c r="B41" s="330"/>
      <c r="C41" s="330"/>
      <c r="D41" s="330"/>
      <c r="E41" s="330"/>
      <c r="F41" s="330"/>
      <c r="G41" s="330"/>
      <c r="H41" s="330"/>
    </row>
    <row r="42" spans="1:9" ht="17.5" x14ac:dyDescent="0.35">
      <c r="A42" s="494" t="s">
        <v>428</v>
      </c>
      <c r="B42" s="330"/>
      <c r="C42" s="330"/>
      <c r="D42" s="330"/>
      <c r="E42" s="330"/>
      <c r="F42" s="330"/>
      <c r="G42" s="330"/>
      <c r="H42" s="330"/>
    </row>
    <row r="43" spans="1:9" x14ac:dyDescent="0.35">
      <c r="B43" s="330"/>
      <c r="C43" s="330"/>
      <c r="D43" s="330"/>
      <c r="E43" s="330"/>
      <c r="F43" s="330"/>
      <c r="G43" s="330"/>
      <c r="H43" s="330"/>
    </row>
    <row r="44" spans="1:9" x14ac:dyDescent="0.35">
      <c r="B44" s="330"/>
      <c r="C44" s="330"/>
      <c r="D44" s="330"/>
      <c r="E44" s="330"/>
      <c r="F44" s="330"/>
      <c r="G44" s="330"/>
      <c r="H44" s="330"/>
    </row>
    <row r="45" spans="1:9" x14ac:dyDescent="0.35">
      <c r="B45" s="330"/>
      <c r="C45" s="330"/>
      <c r="D45" s="330"/>
      <c r="E45" s="330"/>
      <c r="F45" s="330"/>
      <c r="G45" s="330"/>
      <c r="H45" s="330"/>
    </row>
    <row r="46" spans="1:9" x14ac:dyDescent="0.35">
      <c r="B46" s="330"/>
      <c r="C46" s="330"/>
      <c r="D46" s="330"/>
      <c r="E46" s="330"/>
      <c r="F46" s="330"/>
      <c r="G46" s="330"/>
      <c r="H46" s="330"/>
    </row>
    <row r="47" spans="1:9" x14ac:dyDescent="0.35">
      <c r="B47" s="330"/>
      <c r="C47" s="330"/>
      <c r="D47" s="330"/>
      <c r="E47" s="330"/>
      <c r="F47" s="330"/>
      <c r="G47" s="330"/>
      <c r="H47" s="330"/>
    </row>
    <row r="48" spans="1:9" x14ac:dyDescent="0.35">
      <c r="B48" s="330"/>
      <c r="C48" s="330"/>
      <c r="D48" s="330"/>
      <c r="E48" s="330"/>
      <c r="F48" s="330"/>
      <c r="G48" s="330"/>
      <c r="H48" s="330"/>
    </row>
    <row r="49" spans="2:8" x14ac:dyDescent="0.35">
      <c r="B49" s="330"/>
      <c r="C49" s="330"/>
      <c r="D49" s="330"/>
      <c r="E49" s="330"/>
      <c r="F49" s="330"/>
      <c r="G49" s="330"/>
      <c r="H49" s="330"/>
    </row>
    <row r="50" spans="2:8" x14ac:dyDescent="0.35">
      <c r="B50" s="330"/>
      <c r="C50" s="330"/>
      <c r="D50" s="330"/>
      <c r="E50" s="330"/>
      <c r="F50" s="330"/>
      <c r="G50" s="330"/>
      <c r="H50" s="330"/>
    </row>
    <row r="51" spans="2:8" x14ac:dyDescent="0.35">
      <c r="B51" s="330"/>
      <c r="C51" s="330"/>
      <c r="D51" s="330"/>
      <c r="E51" s="330"/>
      <c r="F51" s="330"/>
      <c r="G51" s="330"/>
      <c r="H51" s="330"/>
    </row>
    <row r="52" spans="2:8" x14ac:dyDescent="0.35">
      <c r="B52" s="330"/>
      <c r="C52" s="330"/>
      <c r="D52" s="330"/>
      <c r="E52" s="330"/>
      <c r="F52" s="330"/>
      <c r="G52" s="330"/>
      <c r="H52" s="330"/>
    </row>
    <row r="53" spans="2:8" x14ac:dyDescent="0.35">
      <c r="B53" s="330"/>
      <c r="C53" s="330"/>
      <c r="D53" s="330"/>
      <c r="E53" s="330"/>
      <c r="F53" s="330"/>
      <c r="G53" s="330"/>
      <c r="H53" s="330"/>
    </row>
    <row r="54" spans="2:8" x14ac:dyDescent="0.35">
      <c r="B54" s="330"/>
      <c r="C54" s="330"/>
      <c r="D54" s="330"/>
      <c r="E54" s="330"/>
      <c r="F54" s="330"/>
      <c r="G54" s="330"/>
      <c r="H54" s="330"/>
    </row>
    <row r="55" spans="2:8" x14ac:dyDescent="0.35">
      <c r="B55" s="330"/>
      <c r="C55" s="330"/>
      <c r="D55" s="330"/>
      <c r="E55" s="330"/>
      <c r="F55" s="330"/>
      <c r="G55" s="330"/>
      <c r="H55" s="330"/>
    </row>
    <row r="56" spans="2:8" x14ac:dyDescent="0.35">
      <c r="B56" s="330"/>
      <c r="C56" s="330"/>
      <c r="D56" s="330"/>
      <c r="E56" s="330"/>
      <c r="F56" s="330"/>
      <c r="G56" s="330"/>
      <c r="H56" s="330"/>
    </row>
    <row r="57" spans="2:8" x14ac:dyDescent="0.35">
      <c r="B57" s="330"/>
      <c r="C57" s="330"/>
      <c r="D57" s="330"/>
      <c r="E57" s="330"/>
      <c r="F57" s="330"/>
      <c r="G57" s="330"/>
      <c r="H57" s="330"/>
    </row>
    <row r="58" spans="2:8" x14ac:dyDescent="0.35">
      <c r="B58" s="330"/>
      <c r="C58" s="330"/>
      <c r="D58" s="330"/>
      <c r="E58" s="330"/>
      <c r="F58" s="330"/>
      <c r="G58" s="330"/>
      <c r="H58" s="330"/>
    </row>
    <row r="59" spans="2:8" x14ac:dyDescent="0.35">
      <c r="B59" s="330"/>
      <c r="C59" s="330"/>
      <c r="D59" s="330"/>
      <c r="E59" s="330"/>
      <c r="F59" s="330"/>
      <c r="G59" s="330"/>
      <c r="H59" s="330"/>
    </row>
    <row r="60" spans="2:8" x14ac:dyDescent="0.35">
      <c r="B60" s="330"/>
      <c r="C60" s="330"/>
      <c r="D60" s="330"/>
      <c r="E60" s="330"/>
      <c r="F60" s="330"/>
      <c r="G60" s="330"/>
      <c r="H60" s="330"/>
    </row>
    <row r="61" spans="2:8" x14ac:dyDescent="0.35">
      <c r="B61" s="330"/>
      <c r="C61" s="330"/>
      <c r="D61" s="330"/>
      <c r="E61" s="330"/>
      <c r="F61" s="330"/>
      <c r="G61" s="330"/>
      <c r="H61" s="330"/>
    </row>
    <row r="62" spans="2:8" x14ac:dyDescent="0.35">
      <c r="B62" s="330"/>
      <c r="C62" s="330"/>
      <c r="D62" s="330"/>
      <c r="E62" s="330"/>
      <c r="F62" s="330"/>
      <c r="G62" s="330"/>
      <c r="H62" s="330"/>
    </row>
    <row r="63" spans="2:8" x14ac:dyDescent="0.35">
      <c r="B63" s="330"/>
      <c r="C63" s="330"/>
      <c r="D63" s="330"/>
      <c r="E63" s="330"/>
      <c r="F63" s="330"/>
      <c r="G63" s="330"/>
      <c r="H63" s="330"/>
    </row>
    <row r="64" spans="2:8" x14ac:dyDescent="0.35">
      <c r="B64" s="330"/>
      <c r="C64" s="330"/>
      <c r="D64" s="330"/>
      <c r="E64" s="330"/>
      <c r="F64" s="330"/>
      <c r="G64" s="330"/>
      <c r="H64" s="330"/>
    </row>
    <row r="65" spans="2:8" x14ac:dyDescent="0.35">
      <c r="B65" s="330"/>
      <c r="C65" s="330"/>
      <c r="D65" s="330"/>
      <c r="E65" s="330"/>
      <c r="F65" s="330"/>
      <c r="G65" s="330"/>
      <c r="H65" s="330"/>
    </row>
    <row r="66" spans="2:8" x14ac:dyDescent="0.35">
      <c r="B66" s="330"/>
      <c r="C66" s="330"/>
      <c r="D66" s="330"/>
      <c r="E66" s="330"/>
      <c r="F66" s="330"/>
      <c r="G66" s="330"/>
      <c r="H66" s="330"/>
    </row>
    <row r="67" spans="2:8" x14ac:dyDescent="0.35">
      <c r="B67" s="330"/>
      <c r="C67" s="330"/>
      <c r="D67" s="330"/>
      <c r="E67" s="330"/>
      <c r="F67" s="330"/>
      <c r="G67" s="330"/>
      <c r="H67" s="330"/>
    </row>
    <row r="68" spans="2:8" x14ac:dyDescent="0.35">
      <c r="B68" s="330"/>
      <c r="C68" s="330"/>
      <c r="D68" s="330"/>
      <c r="E68" s="330"/>
      <c r="F68" s="330"/>
      <c r="G68" s="330"/>
      <c r="H68" s="330"/>
    </row>
    <row r="69" spans="2:8" x14ac:dyDescent="0.35">
      <c r="B69" s="330"/>
      <c r="C69" s="330"/>
      <c r="D69" s="330"/>
      <c r="E69" s="330"/>
      <c r="F69" s="330"/>
      <c r="G69" s="330"/>
      <c r="H69" s="330"/>
    </row>
    <row r="70" spans="2:8" x14ac:dyDescent="0.35">
      <c r="B70" s="330"/>
      <c r="C70" s="330"/>
      <c r="D70" s="330"/>
      <c r="E70" s="330"/>
      <c r="F70" s="330"/>
      <c r="G70" s="330"/>
      <c r="H70" s="330"/>
    </row>
    <row r="71" spans="2:8" x14ac:dyDescent="0.35">
      <c r="B71" s="330"/>
      <c r="C71" s="330"/>
      <c r="D71" s="330"/>
      <c r="E71" s="330"/>
      <c r="F71" s="330"/>
      <c r="G71" s="330"/>
      <c r="H71" s="330"/>
    </row>
    <row r="72" spans="2:8" x14ac:dyDescent="0.35">
      <c r="B72" s="330"/>
      <c r="C72" s="330"/>
      <c r="D72" s="330"/>
      <c r="E72" s="330"/>
      <c r="F72" s="330"/>
      <c r="G72" s="330"/>
      <c r="H72" s="330"/>
    </row>
    <row r="73" spans="2:8" x14ac:dyDescent="0.35">
      <c r="B73" s="330"/>
      <c r="C73" s="330"/>
      <c r="D73" s="330"/>
      <c r="E73" s="330"/>
      <c r="F73" s="330"/>
      <c r="G73" s="330"/>
      <c r="H73" s="330"/>
    </row>
    <row r="74" spans="2:8" x14ac:dyDescent="0.35">
      <c r="B74" s="330"/>
      <c r="C74" s="330"/>
      <c r="D74" s="330"/>
      <c r="E74" s="330"/>
      <c r="F74" s="330"/>
      <c r="G74" s="330"/>
      <c r="H74" s="330"/>
    </row>
    <row r="75" spans="2:8" x14ac:dyDescent="0.35">
      <c r="B75" s="330"/>
      <c r="C75" s="330"/>
      <c r="D75" s="330"/>
      <c r="E75" s="330"/>
      <c r="F75" s="330"/>
      <c r="G75" s="330"/>
      <c r="H75" s="330"/>
    </row>
    <row r="76" spans="2:8" x14ac:dyDescent="0.35">
      <c r="B76" s="330"/>
      <c r="C76" s="330"/>
      <c r="D76" s="330"/>
      <c r="E76" s="330"/>
      <c r="F76" s="330"/>
      <c r="G76" s="330"/>
      <c r="H76" s="330"/>
    </row>
    <row r="77" spans="2:8" x14ac:dyDescent="0.35">
      <c r="B77" s="330"/>
      <c r="C77" s="330"/>
      <c r="D77" s="330"/>
      <c r="E77" s="330"/>
      <c r="F77" s="330"/>
      <c r="G77" s="330"/>
      <c r="H77" s="330"/>
    </row>
    <row r="78" spans="2:8" x14ac:dyDescent="0.35">
      <c r="B78" s="330"/>
      <c r="C78" s="330"/>
      <c r="D78" s="330"/>
      <c r="E78" s="330"/>
      <c r="F78" s="330"/>
      <c r="G78" s="330"/>
      <c r="H78" s="330"/>
    </row>
    <row r="79" spans="2:8" x14ac:dyDescent="0.35">
      <c r="B79" s="330"/>
      <c r="C79" s="330"/>
      <c r="D79" s="330"/>
      <c r="E79" s="330"/>
      <c r="F79" s="330"/>
      <c r="G79" s="330"/>
      <c r="H79" s="330"/>
    </row>
    <row r="80" spans="2:8" x14ac:dyDescent="0.35">
      <c r="B80" s="330"/>
      <c r="C80" s="330"/>
      <c r="D80" s="330"/>
      <c r="E80" s="330"/>
      <c r="F80" s="330"/>
      <c r="G80" s="330"/>
      <c r="H80" s="330"/>
    </row>
    <row r="81" spans="2:8" x14ac:dyDescent="0.35">
      <c r="B81" s="330"/>
      <c r="C81" s="330"/>
      <c r="D81" s="330"/>
      <c r="E81" s="330"/>
      <c r="F81" s="330"/>
      <c r="G81" s="330"/>
      <c r="H81" s="330"/>
    </row>
    <row r="82" spans="2:8" x14ac:dyDescent="0.35">
      <c r="B82" s="330"/>
      <c r="C82" s="330"/>
      <c r="D82" s="330"/>
      <c r="E82" s="330"/>
      <c r="F82" s="330"/>
      <c r="G82" s="330"/>
      <c r="H82" s="330"/>
    </row>
    <row r="83" spans="2:8" x14ac:dyDescent="0.35">
      <c r="B83" s="330"/>
      <c r="C83" s="330"/>
      <c r="D83" s="330"/>
      <c r="E83" s="330"/>
      <c r="F83" s="330"/>
      <c r="G83" s="330"/>
      <c r="H83" s="330"/>
    </row>
    <row r="84" spans="2:8" x14ac:dyDescent="0.35">
      <c r="B84" s="330"/>
      <c r="C84" s="330"/>
      <c r="D84" s="330"/>
      <c r="E84" s="330"/>
      <c r="F84" s="330"/>
      <c r="G84" s="330"/>
      <c r="H84" s="330"/>
    </row>
    <row r="85" spans="2:8" x14ac:dyDescent="0.35">
      <c r="B85" s="330"/>
      <c r="C85" s="330"/>
      <c r="D85" s="330"/>
      <c r="E85" s="330"/>
      <c r="F85" s="330"/>
      <c r="G85" s="330"/>
      <c r="H85" s="330"/>
    </row>
    <row r="86" spans="2:8" x14ac:dyDescent="0.35">
      <c r="B86" s="330"/>
      <c r="C86" s="330"/>
      <c r="D86" s="330"/>
      <c r="E86" s="330"/>
      <c r="F86" s="330"/>
      <c r="G86" s="330"/>
      <c r="H86" s="330"/>
    </row>
    <row r="87" spans="2:8" x14ac:dyDescent="0.35">
      <c r="B87" s="330"/>
      <c r="C87" s="330"/>
      <c r="D87" s="330"/>
      <c r="E87" s="330"/>
      <c r="F87" s="330"/>
      <c r="G87" s="330"/>
      <c r="H87" s="330"/>
    </row>
    <row r="88" spans="2:8" x14ac:dyDescent="0.35">
      <c r="B88" s="330"/>
      <c r="C88" s="330"/>
      <c r="D88" s="330"/>
      <c r="E88" s="330"/>
      <c r="F88" s="330"/>
      <c r="G88" s="330"/>
      <c r="H88" s="330"/>
    </row>
    <row r="89" spans="2:8" x14ac:dyDescent="0.35">
      <c r="B89" s="330"/>
      <c r="C89" s="330"/>
      <c r="D89" s="330"/>
      <c r="E89" s="330"/>
      <c r="F89" s="330"/>
      <c r="G89" s="330"/>
      <c r="H89" s="330"/>
    </row>
    <row r="90" spans="2:8" x14ac:dyDescent="0.35">
      <c r="B90" s="330"/>
      <c r="C90" s="330"/>
      <c r="D90" s="330"/>
      <c r="E90" s="330"/>
      <c r="F90" s="330"/>
      <c r="G90" s="330"/>
      <c r="H90" s="330"/>
    </row>
    <row r="91" spans="2:8" x14ac:dyDescent="0.35">
      <c r="B91" s="330"/>
      <c r="C91" s="330"/>
      <c r="D91" s="330"/>
      <c r="E91" s="330"/>
      <c r="F91" s="330"/>
      <c r="G91" s="330"/>
      <c r="H91" s="330"/>
    </row>
    <row r="92" spans="2:8" x14ac:dyDescent="0.35">
      <c r="B92" s="330"/>
      <c r="C92" s="330"/>
      <c r="D92" s="330"/>
      <c r="E92" s="330"/>
      <c r="F92" s="330"/>
      <c r="G92" s="330"/>
      <c r="H92" s="330"/>
    </row>
    <row r="93" spans="2:8" x14ac:dyDescent="0.35">
      <c r="B93" s="330"/>
      <c r="C93" s="330"/>
      <c r="D93" s="330"/>
      <c r="E93" s="330"/>
      <c r="F93" s="330"/>
      <c r="G93" s="330"/>
      <c r="H93" s="330"/>
    </row>
    <row r="94" spans="2:8" x14ac:dyDescent="0.35">
      <c r="B94" s="330"/>
      <c r="C94" s="330"/>
      <c r="D94" s="330"/>
      <c r="E94" s="330"/>
      <c r="F94" s="330"/>
      <c r="G94" s="330"/>
      <c r="H94" s="330"/>
    </row>
    <row r="95" spans="2:8" x14ac:dyDescent="0.35">
      <c r="B95" s="330"/>
      <c r="C95" s="330"/>
      <c r="D95" s="330"/>
      <c r="E95" s="330"/>
      <c r="F95" s="330"/>
      <c r="G95" s="330"/>
      <c r="H95" s="330"/>
    </row>
    <row r="96" spans="2:8" x14ac:dyDescent="0.35">
      <c r="B96" s="330"/>
      <c r="C96" s="330"/>
      <c r="D96" s="330"/>
      <c r="E96" s="330"/>
      <c r="F96" s="330"/>
      <c r="G96" s="330"/>
      <c r="H96" s="330"/>
    </row>
    <row r="97" spans="2:8" x14ac:dyDescent="0.35">
      <c r="B97" s="330"/>
      <c r="C97" s="330"/>
      <c r="D97" s="330"/>
      <c r="E97" s="330"/>
      <c r="F97" s="330"/>
      <c r="G97" s="330"/>
      <c r="H97" s="330"/>
    </row>
    <row r="98" spans="2:8" x14ac:dyDescent="0.35">
      <c r="B98" s="330"/>
      <c r="C98" s="330"/>
      <c r="D98" s="330"/>
      <c r="E98" s="330"/>
      <c r="F98" s="330"/>
      <c r="G98" s="330"/>
      <c r="H98" s="330"/>
    </row>
    <row r="99" spans="2:8" x14ac:dyDescent="0.35">
      <c r="B99" s="330"/>
      <c r="C99" s="330"/>
      <c r="D99" s="330"/>
      <c r="E99" s="330"/>
      <c r="F99" s="330"/>
      <c r="G99" s="330"/>
      <c r="H99" s="330"/>
    </row>
    <row r="100" spans="2:8" x14ac:dyDescent="0.35">
      <c r="B100" s="330"/>
      <c r="C100" s="330"/>
      <c r="D100" s="330"/>
      <c r="E100" s="330"/>
      <c r="F100" s="330"/>
      <c r="G100" s="330"/>
      <c r="H100" s="330"/>
    </row>
    <row r="101" spans="2:8" x14ac:dyDescent="0.35">
      <c r="B101" s="330"/>
      <c r="C101" s="330"/>
      <c r="D101" s="330"/>
      <c r="E101" s="330"/>
      <c r="F101" s="330"/>
      <c r="G101" s="330"/>
      <c r="H101" s="330"/>
    </row>
    <row r="102" spans="2:8" x14ac:dyDescent="0.35">
      <c r="B102" s="330"/>
      <c r="C102" s="330"/>
      <c r="D102" s="330"/>
      <c r="E102" s="330"/>
      <c r="F102" s="330"/>
      <c r="G102" s="330"/>
      <c r="H102" s="330"/>
    </row>
    <row r="103" spans="2:8" x14ac:dyDescent="0.35">
      <c r="B103" s="330"/>
      <c r="C103" s="330"/>
      <c r="D103" s="330"/>
      <c r="E103" s="330"/>
      <c r="F103" s="330"/>
      <c r="G103" s="330"/>
      <c r="H103" s="330"/>
    </row>
    <row r="104" spans="2:8" x14ac:dyDescent="0.35">
      <c r="B104" s="330"/>
      <c r="C104" s="330"/>
      <c r="D104" s="330"/>
      <c r="E104" s="330"/>
      <c r="F104" s="330"/>
      <c r="G104" s="330"/>
      <c r="H104" s="330"/>
    </row>
  </sheetData>
  <mergeCells count="1">
    <mergeCell ref="A11:I11"/>
  </mergeCells>
  <dataValidations count="2">
    <dataValidation type="list" allowBlank="1" showInputMessage="1" showErrorMessage="1" sqref="AC1" xr:uid="{DA6BFDCF-B664-4BBF-9D3A-21079A04EFA4}">
      <formula1>"YES, NO"</formula1>
    </dataValidation>
    <dataValidation type="list" allowBlank="1" showInputMessage="1" showErrorMessage="1" sqref="B13" xr:uid="{E96B6279-0AE1-493F-BAFC-CE9B8C4F85BD}">
      <formula1>"I, II, III, IV, V"</formula1>
    </dataValidation>
  </dataValidations>
  <pageMargins left="0.70866141732283472" right="0.70866141732283472" top="1.7322834645669292" bottom="0.74803149606299213" header="0.70866141732283472" footer="0.31496062992125984"/>
  <pageSetup scale="57" orientation="landscape" r:id="rId1"/>
  <headerFooter scaleWithDoc="0">
    <oddHeader>&amp;R&amp;7&amp;K000000Toronto Hydro-Electric System Limited 
EB-2021-0060
Tab 3
Schedule 1
ORIGINAL
Page &amp;P of &amp;N</oddHeader>
    <oddFooter>&amp;C&amp;7&amp;A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6A86-3C71-4D99-82F5-DF51C690CFAE}">
  <dimension ref="A1:F69"/>
  <sheetViews>
    <sheetView showGridLines="0" zoomScale="80" zoomScaleNormal="80" workbookViewId="0">
      <selection activeCell="B15" sqref="B15:C15"/>
    </sheetView>
  </sheetViews>
  <sheetFormatPr defaultColWidth="8.1640625" defaultRowHeight="15.5" x14ac:dyDescent="0.35"/>
  <cols>
    <col min="1" max="1" width="17" customWidth="1"/>
    <col min="2" max="2" width="3.6640625" customWidth="1"/>
    <col min="3" max="3" width="37.4140625" customWidth="1"/>
    <col min="5" max="5" width="111.6640625" style="2" customWidth="1"/>
  </cols>
  <sheetData>
    <row r="1" spans="1:6" ht="18.5" x14ac:dyDescent="0.45">
      <c r="A1" s="1" t="s">
        <v>0</v>
      </c>
      <c r="B1" s="1"/>
    </row>
    <row r="2" spans="1:6" ht="16" thickBot="1" x14ac:dyDescent="0.4"/>
    <row r="3" spans="1:6" ht="15" customHeight="1" thickBot="1" x14ac:dyDescent="0.5">
      <c r="B3" s="561" t="s">
        <v>1</v>
      </c>
      <c r="C3" s="562"/>
      <c r="D3" s="562"/>
      <c r="E3" s="563"/>
    </row>
    <row r="4" spans="1:6" x14ac:dyDescent="0.35">
      <c r="B4" s="3"/>
      <c r="C4" s="4"/>
      <c r="D4" s="5"/>
      <c r="E4" s="6"/>
    </row>
    <row r="5" spans="1:6" s="5" customFormat="1" x14ac:dyDescent="0.35">
      <c r="B5" s="7">
        <v>1</v>
      </c>
      <c r="C5" s="564" t="s">
        <v>2</v>
      </c>
      <c r="D5" s="565"/>
      <c r="E5" s="566"/>
      <c r="F5" s="8"/>
    </row>
    <row r="6" spans="1:6" s="5" customFormat="1" ht="15" customHeight="1" x14ac:dyDescent="0.35">
      <c r="B6" s="7"/>
      <c r="C6" s="9"/>
      <c r="E6" s="6"/>
    </row>
    <row r="7" spans="1:6" s="5" customFormat="1" ht="35.9" customHeight="1" x14ac:dyDescent="0.35">
      <c r="B7" s="7">
        <v>2</v>
      </c>
      <c r="C7" s="567" t="s">
        <v>3</v>
      </c>
      <c r="D7" s="568"/>
      <c r="E7" s="569"/>
    </row>
    <row r="8" spans="1:6" s="5" customFormat="1" x14ac:dyDescent="0.35">
      <c r="B8" s="7"/>
      <c r="C8" s="9"/>
      <c r="E8" s="6"/>
    </row>
    <row r="9" spans="1:6" s="5" customFormat="1" ht="30" customHeight="1" thickBot="1" x14ac:dyDescent="0.4">
      <c r="B9" s="10">
        <v>3</v>
      </c>
      <c r="C9" s="570" t="s">
        <v>4</v>
      </c>
      <c r="D9" s="571"/>
      <c r="E9" s="572"/>
      <c r="F9" s="8"/>
    </row>
    <row r="10" spans="1:6" x14ac:dyDescent="0.35">
      <c r="B10" s="11"/>
      <c r="C10" s="5"/>
      <c r="D10" s="5"/>
      <c r="E10" s="12"/>
    </row>
    <row r="11" spans="1:6" x14ac:dyDescent="0.35">
      <c r="C11" s="5"/>
      <c r="D11" s="5"/>
      <c r="E11" s="12"/>
    </row>
    <row r="12" spans="1:6" x14ac:dyDescent="0.35">
      <c r="C12" s="5"/>
      <c r="D12" s="5"/>
      <c r="E12" s="12"/>
    </row>
    <row r="14" spans="1:6" ht="19" thickBot="1" x14ac:dyDescent="0.5">
      <c r="A14" s="13" t="s">
        <v>5</v>
      </c>
      <c r="B14" s="14"/>
      <c r="C14" s="15"/>
      <c r="D14" s="15"/>
      <c r="E14" s="16"/>
    </row>
    <row r="15" spans="1:6" ht="16" thickBot="1" x14ac:dyDescent="0.4">
      <c r="A15" s="17" t="s">
        <v>6</v>
      </c>
      <c r="B15" s="573" t="s">
        <v>7</v>
      </c>
      <c r="C15" s="574"/>
      <c r="D15" s="18" t="s">
        <v>8</v>
      </c>
      <c r="E15" s="19" t="s">
        <v>9</v>
      </c>
    </row>
    <row r="16" spans="1:6" x14ac:dyDescent="0.35">
      <c r="A16" s="555" t="s">
        <v>10</v>
      </c>
      <c r="B16" s="557" t="s">
        <v>11</v>
      </c>
      <c r="C16" s="558"/>
      <c r="D16" s="20">
        <v>1</v>
      </c>
      <c r="E16" s="21" t="s">
        <v>12</v>
      </c>
    </row>
    <row r="17" spans="1:5" x14ac:dyDescent="0.35">
      <c r="A17" s="555"/>
      <c r="B17" s="557"/>
      <c r="C17" s="558"/>
      <c r="D17" s="20"/>
      <c r="E17" s="22" t="s">
        <v>13</v>
      </c>
    </row>
    <row r="18" spans="1:5" ht="31" x14ac:dyDescent="0.35">
      <c r="A18" s="555"/>
      <c r="B18" s="557"/>
      <c r="C18" s="558"/>
      <c r="D18" s="20"/>
      <c r="E18" s="21" t="s">
        <v>14</v>
      </c>
    </row>
    <row r="19" spans="1:5" ht="62" x14ac:dyDescent="0.35">
      <c r="A19" s="555"/>
      <c r="B19" s="557"/>
      <c r="C19" s="558"/>
      <c r="D19" s="20"/>
      <c r="E19" s="21" t="s">
        <v>15</v>
      </c>
    </row>
    <row r="20" spans="1:5" x14ac:dyDescent="0.35">
      <c r="A20" s="555"/>
      <c r="B20" s="557"/>
      <c r="C20" s="558"/>
      <c r="D20" s="20"/>
      <c r="E20" s="21"/>
    </row>
    <row r="21" spans="1:5" x14ac:dyDescent="0.35">
      <c r="A21" s="555"/>
      <c r="B21" s="557"/>
      <c r="C21" s="558"/>
      <c r="D21" s="20"/>
      <c r="E21" s="21" t="s">
        <v>16</v>
      </c>
    </row>
    <row r="22" spans="1:5" x14ac:dyDescent="0.35">
      <c r="A22" s="555"/>
      <c r="B22" s="557"/>
      <c r="C22" s="558"/>
      <c r="D22" s="20"/>
      <c r="E22" s="21" t="s">
        <v>17</v>
      </c>
    </row>
    <row r="23" spans="1:5" ht="31" x14ac:dyDescent="0.35">
      <c r="A23" s="555"/>
      <c r="B23" s="557"/>
      <c r="C23" s="558"/>
      <c r="D23" s="20"/>
      <c r="E23" s="21" t="s">
        <v>18</v>
      </c>
    </row>
    <row r="24" spans="1:5" ht="31" x14ac:dyDescent="0.35">
      <c r="A24" s="555"/>
      <c r="B24" s="557"/>
      <c r="C24" s="558"/>
      <c r="D24" s="20"/>
      <c r="E24" s="21" t="s">
        <v>19</v>
      </c>
    </row>
    <row r="25" spans="1:5" x14ac:dyDescent="0.35">
      <c r="A25" s="556"/>
      <c r="B25" s="559"/>
      <c r="C25" s="560"/>
      <c r="D25" s="23"/>
      <c r="E25" s="24"/>
    </row>
    <row r="26" spans="1:5" x14ac:dyDescent="0.35">
      <c r="A26" s="575" t="s">
        <v>20</v>
      </c>
      <c r="B26" s="576" t="s">
        <v>21</v>
      </c>
      <c r="C26" s="577"/>
      <c r="D26" s="20">
        <v>2</v>
      </c>
      <c r="E26" s="21" t="s">
        <v>22</v>
      </c>
    </row>
    <row r="27" spans="1:5" x14ac:dyDescent="0.35">
      <c r="A27" s="555"/>
      <c r="B27" s="557"/>
      <c r="C27" s="558"/>
      <c r="D27" s="20"/>
      <c r="E27" s="21"/>
    </row>
    <row r="28" spans="1:5" ht="75.5" x14ac:dyDescent="0.35">
      <c r="A28" s="555"/>
      <c r="B28" s="557"/>
      <c r="C28" s="558"/>
      <c r="D28" s="20"/>
      <c r="E28" s="21" t="s">
        <v>23</v>
      </c>
    </row>
    <row r="29" spans="1:5" x14ac:dyDescent="0.35">
      <c r="A29" s="555"/>
      <c r="B29" s="557"/>
      <c r="C29" s="558"/>
      <c r="D29" s="20"/>
      <c r="E29" s="21"/>
    </row>
    <row r="30" spans="1:5" ht="180" x14ac:dyDescent="0.35">
      <c r="A30" s="555"/>
      <c r="B30" s="557"/>
      <c r="C30" s="558"/>
      <c r="D30" s="20"/>
      <c r="E30" s="25" t="s">
        <v>24</v>
      </c>
    </row>
    <row r="31" spans="1:5" x14ac:dyDescent="0.35">
      <c r="A31" s="555"/>
      <c r="B31" s="557"/>
      <c r="C31" s="558"/>
      <c r="D31" s="20"/>
      <c r="E31" s="25"/>
    </row>
    <row r="32" spans="1:5" x14ac:dyDescent="0.35">
      <c r="A32" s="555"/>
      <c r="B32" s="557"/>
      <c r="C32" s="558"/>
      <c r="D32" s="20">
        <v>3</v>
      </c>
      <c r="E32" s="25" t="s">
        <v>25</v>
      </c>
    </row>
    <row r="33" spans="1:5" x14ac:dyDescent="0.35">
      <c r="A33" s="556"/>
      <c r="B33" s="559"/>
      <c r="C33" s="560"/>
      <c r="D33" s="20"/>
      <c r="E33" s="25"/>
    </row>
    <row r="34" spans="1:5" x14ac:dyDescent="0.35">
      <c r="A34" s="575" t="s">
        <v>26</v>
      </c>
      <c r="B34" s="576" t="s">
        <v>27</v>
      </c>
      <c r="C34" s="577"/>
      <c r="D34" s="26">
        <v>4</v>
      </c>
      <c r="E34" s="27" t="s">
        <v>28</v>
      </c>
    </row>
    <row r="35" spans="1:5" x14ac:dyDescent="0.35">
      <c r="A35" s="555"/>
      <c r="B35" s="557"/>
      <c r="C35" s="558"/>
      <c r="D35" s="20"/>
      <c r="E35" s="25"/>
    </row>
    <row r="36" spans="1:5" x14ac:dyDescent="0.35">
      <c r="A36" s="555"/>
      <c r="B36" s="557"/>
      <c r="C36" s="558"/>
      <c r="D36" s="20">
        <v>5</v>
      </c>
      <c r="E36" s="28" t="s">
        <v>29</v>
      </c>
    </row>
    <row r="37" spans="1:5" x14ac:dyDescent="0.35">
      <c r="A37" s="556"/>
      <c r="B37" s="559"/>
      <c r="C37" s="560"/>
      <c r="D37" s="23"/>
      <c r="E37" s="24"/>
    </row>
    <row r="38" spans="1:5" ht="30" customHeight="1" x14ac:dyDescent="0.35">
      <c r="A38" s="575" t="s">
        <v>30</v>
      </c>
      <c r="B38" s="576" t="s">
        <v>31</v>
      </c>
      <c r="C38" s="577"/>
      <c r="D38" s="26">
        <v>6</v>
      </c>
      <c r="E38" s="29" t="s">
        <v>32</v>
      </c>
    </row>
    <row r="39" spans="1:5" x14ac:dyDescent="0.35">
      <c r="A39" s="555"/>
      <c r="B39" s="557"/>
      <c r="C39" s="558"/>
      <c r="D39" s="20"/>
      <c r="E39" s="30"/>
    </row>
    <row r="40" spans="1:5" ht="31" x14ac:dyDescent="0.35">
      <c r="A40" s="555"/>
      <c r="B40" s="557"/>
      <c r="C40" s="558"/>
      <c r="D40" s="20">
        <v>7</v>
      </c>
      <c r="E40" s="21" t="s">
        <v>33</v>
      </c>
    </row>
    <row r="41" spans="1:5" x14ac:dyDescent="0.35">
      <c r="A41" s="555"/>
      <c r="B41" s="557"/>
      <c r="C41" s="558"/>
      <c r="D41" s="20"/>
      <c r="E41" s="21"/>
    </row>
    <row r="42" spans="1:5" ht="31" x14ac:dyDescent="0.35">
      <c r="A42" s="555"/>
      <c r="B42" s="557"/>
      <c r="C42" s="558"/>
      <c r="D42" s="20"/>
      <c r="E42" s="21" t="s">
        <v>34</v>
      </c>
    </row>
    <row r="43" spans="1:5" x14ac:dyDescent="0.35">
      <c r="A43" s="555"/>
      <c r="B43" s="557"/>
      <c r="C43" s="558"/>
      <c r="D43" s="20"/>
      <c r="E43" s="21"/>
    </row>
    <row r="44" spans="1:5" ht="184.5" customHeight="1" x14ac:dyDescent="0.35">
      <c r="A44" s="555"/>
      <c r="B44" s="557"/>
      <c r="C44" s="558"/>
      <c r="D44" s="20">
        <v>8</v>
      </c>
      <c r="E44" s="31" t="s">
        <v>35</v>
      </c>
    </row>
    <row r="45" spans="1:5" x14ac:dyDescent="0.35">
      <c r="A45" s="555"/>
      <c r="B45" s="557"/>
      <c r="C45" s="558"/>
      <c r="D45" s="20"/>
      <c r="E45" s="21"/>
    </row>
    <row r="46" spans="1:5" ht="72.5" x14ac:dyDescent="0.35">
      <c r="A46" s="555"/>
      <c r="B46" s="557"/>
      <c r="C46" s="558"/>
      <c r="D46" s="20">
        <v>9</v>
      </c>
      <c r="E46" s="31" t="s">
        <v>36</v>
      </c>
    </row>
    <row r="47" spans="1:5" x14ac:dyDescent="0.35">
      <c r="A47" s="556"/>
      <c r="B47" s="559"/>
      <c r="C47" s="560"/>
      <c r="D47" s="23"/>
      <c r="E47" s="24"/>
    </row>
    <row r="48" spans="1:5" ht="30" customHeight="1" x14ac:dyDescent="0.35">
      <c r="A48" s="575" t="s">
        <v>37</v>
      </c>
      <c r="B48" s="576" t="s">
        <v>38</v>
      </c>
      <c r="C48" s="577"/>
      <c r="D48" s="26">
        <v>10</v>
      </c>
      <c r="E48" s="32" t="s">
        <v>39</v>
      </c>
    </row>
    <row r="49" spans="1:5" x14ac:dyDescent="0.35">
      <c r="A49" s="555"/>
      <c r="B49" s="557"/>
      <c r="C49" s="558"/>
      <c r="D49" s="20"/>
      <c r="E49" s="25"/>
    </row>
    <row r="50" spans="1:5" x14ac:dyDescent="0.35">
      <c r="A50" s="555"/>
      <c r="B50" s="557"/>
      <c r="C50" s="558"/>
      <c r="D50" s="20"/>
      <c r="E50" s="25" t="s">
        <v>40</v>
      </c>
    </row>
    <row r="51" spans="1:5" x14ac:dyDescent="0.35">
      <c r="A51" s="555"/>
      <c r="B51" s="557"/>
      <c r="C51" s="558"/>
      <c r="D51" s="20"/>
      <c r="E51" s="25"/>
    </row>
    <row r="52" spans="1:5" ht="54.75" customHeight="1" x14ac:dyDescent="0.35">
      <c r="A52" s="555"/>
      <c r="B52" s="557"/>
      <c r="C52" s="558"/>
      <c r="D52" s="20"/>
      <c r="E52" s="25" t="s">
        <v>41</v>
      </c>
    </row>
    <row r="53" spans="1:5" x14ac:dyDescent="0.35">
      <c r="A53" s="556"/>
      <c r="B53" s="559"/>
      <c r="C53" s="560"/>
      <c r="D53" s="23"/>
      <c r="E53" s="24"/>
    </row>
    <row r="54" spans="1:5" ht="45" customHeight="1" x14ac:dyDescent="0.35">
      <c r="A54" s="575" t="s">
        <v>42</v>
      </c>
      <c r="B54" s="578" t="s">
        <v>43</v>
      </c>
      <c r="C54" s="579"/>
      <c r="D54" s="26">
        <v>11</v>
      </c>
      <c r="E54" s="32" t="s">
        <v>44</v>
      </c>
    </row>
    <row r="55" spans="1:5" x14ac:dyDescent="0.35">
      <c r="A55" s="556"/>
      <c r="B55" s="580"/>
      <c r="C55" s="581"/>
      <c r="D55" s="23"/>
      <c r="E55" s="24"/>
    </row>
    <row r="56" spans="1:5" ht="30" customHeight="1" x14ac:dyDescent="0.35">
      <c r="A56" s="575" t="s">
        <v>45</v>
      </c>
      <c r="B56" s="576" t="s">
        <v>46</v>
      </c>
      <c r="C56" s="577"/>
      <c r="D56" s="26">
        <v>12</v>
      </c>
      <c r="E56" s="32" t="s">
        <v>47</v>
      </c>
    </row>
    <row r="57" spans="1:5" x14ac:dyDescent="0.35">
      <c r="A57" s="555"/>
      <c r="B57" s="557"/>
      <c r="C57" s="558"/>
      <c r="D57" s="20"/>
      <c r="E57" s="25"/>
    </row>
    <row r="58" spans="1:5" x14ac:dyDescent="0.35">
      <c r="A58" s="555"/>
      <c r="B58" s="557"/>
      <c r="C58" s="558"/>
      <c r="D58" s="20"/>
      <c r="E58" s="31" t="s">
        <v>48</v>
      </c>
    </row>
    <row r="59" spans="1:5" x14ac:dyDescent="0.35">
      <c r="A59" s="555"/>
      <c r="B59" s="557"/>
      <c r="C59" s="558"/>
      <c r="D59" s="20"/>
      <c r="E59" s="31"/>
    </row>
    <row r="60" spans="1:5" ht="46.5" x14ac:dyDescent="0.35">
      <c r="A60" s="555"/>
      <c r="B60" s="557"/>
      <c r="C60" s="558"/>
      <c r="D60" s="20"/>
      <c r="E60" s="25" t="s">
        <v>49</v>
      </c>
    </row>
    <row r="61" spans="1:5" x14ac:dyDescent="0.35">
      <c r="A61" s="556"/>
      <c r="B61" s="559"/>
      <c r="C61" s="560"/>
      <c r="D61" s="23"/>
      <c r="E61" s="24"/>
    </row>
    <row r="62" spans="1:5" ht="30" customHeight="1" x14ac:dyDescent="0.35">
      <c r="A62" s="575" t="s">
        <v>50</v>
      </c>
      <c r="B62" s="576" t="s">
        <v>51</v>
      </c>
      <c r="C62" s="577"/>
      <c r="D62" s="26">
        <v>13</v>
      </c>
      <c r="E62" s="33" t="s">
        <v>52</v>
      </c>
    </row>
    <row r="63" spans="1:5" x14ac:dyDescent="0.35">
      <c r="A63" s="555"/>
      <c r="B63" s="557"/>
      <c r="C63" s="558"/>
      <c r="D63" s="20"/>
      <c r="E63" s="31"/>
    </row>
    <row r="64" spans="1:5" ht="62" x14ac:dyDescent="0.35">
      <c r="A64" s="555"/>
      <c r="B64" s="557"/>
      <c r="C64" s="558"/>
      <c r="D64" s="20"/>
      <c r="E64" s="25" t="s">
        <v>53</v>
      </c>
    </row>
    <row r="65" spans="1:5" x14ac:dyDescent="0.35">
      <c r="A65" s="556"/>
      <c r="B65" s="559"/>
      <c r="C65" s="560"/>
      <c r="D65" s="23"/>
      <c r="E65" s="24"/>
    </row>
    <row r="66" spans="1:5" ht="30" customHeight="1" x14ac:dyDescent="0.35">
      <c r="A66" s="575" t="s">
        <v>54</v>
      </c>
      <c r="B66" s="578" t="s">
        <v>55</v>
      </c>
      <c r="C66" s="579"/>
      <c r="D66" s="20">
        <v>14</v>
      </c>
      <c r="E66" s="27" t="s">
        <v>56</v>
      </c>
    </row>
    <row r="67" spans="1:5" x14ac:dyDescent="0.35">
      <c r="A67" s="556"/>
      <c r="B67" s="580"/>
      <c r="C67" s="581"/>
      <c r="D67" s="20"/>
      <c r="E67" s="21"/>
    </row>
    <row r="68" spans="1:5" ht="30" customHeight="1" x14ac:dyDescent="0.35">
      <c r="A68" s="575" t="s">
        <v>57</v>
      </c>
      <c r="B68" s="578" t="s">
        <v>58</v>
      </c>
      <c r="C68" s="579"/>
      <c r="D68" s="26">
        <v>15</v>
      </c>
      <c r="E68" s="32" t="s">
        <v>59</v>
      </c>
    </row>
    <row r="69" spans="1:5" ht="16" thickBot="1" x14ac:dyDescent="0.4">
      <c r="A69" s="582"/>
      <c r="B69" s="583"/>
      <c r="C69" s="584"/>
      <c r="D69" s="34"/>
      <c r="E69" s="35"/>
    </row>
  </sheetData>
  <mergeCells count="25">
    <mergeCell ref="A62:A65"/>
    <mergeCell ref="B62:C65"/>
    <mergeCell ref="A66:A67"/>
    <mergeCell ref="B66:C67"/>
    <mergeCell ref="A68:A69"/>
    <mergeCell ref="B68:C69"/>
    <mergeCell ref="A48:A53"/>
    <mergeCell ref="B48:C53"/>
    <mergeCell ref="A54:A55"/>
    <mergeCell ref="B54:C55"/>
    <mergeCell ref="A56:A61"/>
    <mergeCell ref="B56:C61"/>
    <mergeCell ref="A26:A33"/>
    <mergeCell ref="B26:C33"/>
    <mergeCell ref="A34:A37"/>
    <mergeCell ref="B34:C37"/>
    <mergeCell ref="A38:A47"/>
    <mergeCell ref="B38:C47"/>
    <mergeCell ref="A16:A25"/>
    <mergeCell ref="B16:C25"/>
    <mergeCell ref="B3:E3"/>
    <mergeCell ref="C5:E5"/>
    <mergeCell ref="C7:E7"/>
    <mergeCell ref="C9:E9"/>
    <mergeCell ref="B15:C15"/>
  </mergeCells>
  <pageMargins left="0.70866141732283472" right="0.70866141732283472" top="1.7322834645669292" bottom="0.74803149606299213" header="0.70866141732283472" footer="0.31496062992125984"/>
  <pageSetup scale="63" fitToHeight="4" orientation="landscape" r:id="rId1"/>
  <headerFooter scaleWithDoc="0">
    <oddHeader>&amp;R&amp;7&amp;K000000Toronto Hydro-Electric System Limited 
EB-2021-0060
Tab 3
Schedule 1
ORIGINAL
Page &amp;P of &amp;N</oddHeader>
    <oddFooter>&amp;C&amp;7&amp;A</oddFooter>
  </headerFooter>
  <rowBreaks count="3" manualBreakCount="3">
    <brk id="25" max="16383" man="1"/>
    <brk id="37" max="16383" man="1"/>
    <brk id="5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94C9-8957-466B-A774-CF0DF44D7CA1}">
  <sheetPr>
    <pageSetUpPr fitToPage="1"/>
  </sheetPr>
  <dimension ref="A1:U78"/>
  <sheetViews>
    <sheetView showGridLines="0" topLeftCell="A7" zoomScale="80" zoomScaleNormal="80" workbookViewId="0">
      <selection activeCell="B15" sqref="B15"/>
    </sheetView>
  </sheetViews>
  <sheetFormatPr defaultColWidth="8.4140625" defaultRowHeight="15.5" x14ac:dyDescent="0.35"/>
  <cols>
    <col min="1" max="1" width="12" style="48" customWidth="1"/>
    <col min="2" max="2" width="3.08203125" style="48" customWidth="1"/>
    <col min="3" max="4" width="8.4140625" style="48"/>
    <col min="5" max="5" width="46.33203125" style="48" customWidth="1"/>
    <col min="6" max="7" width="8.4140625" style="48"/>
    <col min="8" max="8" width="14.4140625" style="48" customWidth="1"/>
    <col min="9" max="10" width="8.4140625" style="48"/>
    <col min="11" max="11" width="10.1640625" style="48" bestFit="1" customWidth="1"/>
    <col min="12" max="12" width="8.4140625" style="48"/>
    <col min="13" max="13" width="12.08203125" style="48" customWidth="1"/>
    <col min="14" max="16384" width="8.4140625" style="48"/>
  </cols>
  <sheetData>
    <row r="1" spans="2:21" x14ac:dyDescent="0.35">
      <c r="U1" s="49" t="s">
        <v>106</v>
      </c>
    </row>
    <row r="2" spans="2:21" x14ac:dyDescent="0.35">
      <c r="C2" s="48" t="b">
        <v>0</v>
      </c>
    </row>
    <row r="3" spans="2:21" x14ac:dyDescent="0.35">
      <c r="C3" s="48" t="b">
        <v>0</v>
      </c>
    </row>
    <row r="11" spans="2:21" x14ac:dyDescent="0.35">
      <c r="G11" s="50"/>
    </row>
    <row r="12" spans="2:21" x14ac:dyDescent="0.35">
      <c r="B12" s="51"/>
      <c r="C12" s="51"/>
      <c r="D12" s="51"/>
      <c r="E12" s="51"/>
      <c r="F12" s="51"/>
      <c r="G12" s="50"/>
      <c r="M12" s="52" t="s">
        <v>107</v>
      </c>
      <c r="N12" s="53">
        <v>1</v>
      </c>
    </row>
    <row r="13" spans="2:21" ht="16" thickBot="1" x14ac:dyDescent="0.4">
      <c r="G13" s="50"/>
    </row>
    <row r="14" spans="2:21" ht="16.5" customHeight="1" thickTop="1" thickBot="1" x14ac:dyDescent="0.4">
      <c r="E14" s="54" t="s">
        <v>108</v>
      </c>
      <c r="F14" s="591" t="s">
        <v>109</v>
      </c>
      <c r="G14" s="592"/>
      <c r="H14" s="592"/>
      <c r="I14" s="592"/>
      <c r="J14" s="592"/>
      <c r="K14" s="592"/>
      <c r="L14" s="593"/>
    </row>
    <row r="15" spans="2:21" hidden="1" x14ac:dyDescent="0.35">
      <c r="E15" s="55"/>
      <c r="F15" s="56"/>
      <c r="G15" s="57"/>
      <c r="H15" s="56"/>
      <c r="I15" s="56"/>
      <c r="J15" s="56"/>
    </row>
    <row r="16" spans="2:21" ht="16.5" hidden="1" thickTop="1" thickBot="1" x14ac:dyDescent="0.4">
      <c r="E16" s="58" t="s">
        <v>110</v>
      </c>
      <c r="F16" s="594" t="s">
        <v>295</v>
      </c>
      <c r="G16" s="595"/>
      <c r="H16" s="595"/>
      <c r="I16" s="595"/>
      <c r="J16" s="596"/>
    </row>
    <row r="17" spans="1:13" ht="16" thickBot="1" x14ac:dyDescent="0.4">
      <c r="E17" s="59"/>
    </row>
    <row r="18" spans="1:13" ht="16.5" thickTop="1" thickBot="1" x14ac:dyDescent="0.4">
      <c r="E18" s="58" t="s">
        <v>111</v>
      </c>
      <c r="F18" s="597" t="s">
        <v>456</v>
      </c>
      <c r="G18" s="598"/>
      <c r="H18" s="598"/>
    </row>
    <row r="19" spans="1:13" ht="16" thickBot="1" x14ac:dyDescent="0.4">
      <c r="E19" s="59"/>
    </row>
    <row r="20" spans="1:13" ht="16.5" thickTop="1" thickBot="1" x14ac:dyDescent="0.4">
      <c r="E20" s="58" t="s">
        <v>112</v>
      </c>
      <c r="F20" s="597" t="s">
        <v>457</v>
      </c>
      <c r="G20" s="598"/>
      <c r="H20" s="598"/>
      <c r="I20" s="598"/>
      <c r="J20" s="598"/>
      <c r="K20" s="598"/>
      <c r="M20" s="60"/>
    </row>
    <row r="21" spans="1:13" ht="16" thickBot="1" x14ac:dyDescent="0.4">
      <c r="E21" s="61"/>
      <c r="F21" s="56"/>
      <c r="G21" s="57"/>
      <c r="H21" s="56"/>
      <c r="I21" s="56"/>
      <c r="J21" s="56"/>
    </row>
    <row r="22" spans="1:13" ht="16.5" thickTop="1" thickBot="1" x14ac:dyDescent="0.4">
      <c r="E22" s="54" t="s">
        <v>113</v>
      </c>
      <c r="F22" s="597" t="s">
        <v>458</v>
      </c>
      <c r="G22" s="598"/>
      <c r="H22" s="598"/>
    </row>
    <row r="23" spans="1:13" ht="16" thickBot="1" x14ac:dyDescent="0.4">
      <c r="E23" s="61"/>
      <c r="F23" s="56"/>
      <c r="G23" s="57"/>
      <c r="H23" s="56"/>
      <c r="I23" s="56"/>
      <c r="J23" s="56"/>
    </row>
    <row r="24" spans="1:13" ht="16.5" thickTop="1" thickBot="1" x14ac:dyDescent="0.4">
      <c r="E24" s="54" t="s">
        <v>114</v>
      </c>
      <c r="F24" s="585" t="s">
        <v>459</v>
      </c>
      <c r="G24" s="586"/>
      <c r="H24" s="586"/>
      <c r="I24" s="586"/>
      <c r="J24" s="587"/>
    </row>
    <row r="25" spans="1:13" ht="16" thickBot="1" x14ac:dyDescent="0.4">
      <c r="E25" s="61"/>
      <c r="F25" s="56"/>
      <c r="G25" s="57"/>
      <c r="H25" s="56"/>
      <c r="I25" s="56"/>
      <c r="J25" s="56"/>
      <c r="M25" s="63"/>
    </row>
    <row r="26" spans="1:13" ht="16.5" customHeight="1" thickTop="1" thickBot="1" x14ac:dyDescent="0.4">
      <c r="E26" s="54" t="s">
        <v>115</v>
      </c>
      <c r="F26" s="604">
        <v>44562</v>
      </c>
      <c r="G26" s="605"/>
      <c r="H26" s="605"/>
      <c r="K26" s="62"/>
    </row>
    <row r="27" spans="1:13" ht="16" thickBot="1" x14ac:dyDescent="0.4">
      <c r="K27" s="63"/>
    </row>
    <row r="28" spans="1:13" ht="16.5" thickTop="1" thickBot="1" x14ac:dyDescent="0.4">
      <c r="E28" s="64" t="s">
        <v>116</v>
      </c>
      <c r="F28" s="606" t="s">
        <v>117</v>
      </c>
      <c r="G28" s="607"/>
      <c r="H28" s="608"/>
    </row>
    <row r="29" spans="1:13" ht="16" thickBot="1" x14ac:dyDescent="0.4"/>
    <row r="30" spans="1:13" ht="30.75" customHeight="1" thickTop="1" thickBot="1" x14ac:dyDescent="0.4">
      <c r="A30" s="588" t="s">
        <v>118</v>
      </c>
      <c r="B30" s="588"/>
      <c r="C30" s="588"/>
      <c r="D30" s="588"/>
      <c r="E30" s="609"/>
      <c r="F30" s="606">
        <v>2020</v>
      </c>
      <c r="G30" s="607"/>
      <c r="H30" s="608"/>
    </row>
    <row r="31" spans="1:13" ht="78" customHeight="1" thickBot="1" x14ac:dyDescent="0.4">
      <c r="A31" s="588" t="s">
        <v>296</v>
      </c>
      <c r="B31" s="588"/>
      <c r="C31" s="588"/>
      <c r="D31" s="588"/>
      <c r="E31" s="588"/>
      <c r="F31" s="588"/>
      <c r="G31" s="588"/>
      <c r="H31" s="588"/>
      <c r="I31" s="588"/>
      <c r="J31" s="588"/>
    </row>
    <row r="32" spans="1:13" ht="30.75" customHeight="1" thickTop="1" thickBot="1" x14ac:dyDescent="0.4">
      <c r="A32" s="588" t="s">
        <v>297</v>
      </c>
      <c r="B32" s="588"/>
      <c r="C32" s="588"/>
      <c r="D32" s="588"/>
      <c r="E32" s="609"/>
      <c r="F32" s="329">
        <v>2019</v>
      </c>
      <c r="G32" s="66"/>
      <c r="H32" s="66"/>
    </row>
    <row r="33" spans="1:8" ht="6.75" customHeight="1" thickTop="1" thickBot="1" x14ac:dyDescent="0.4">
      <c r="A33" s="67"/>
      <c r="B33" s="67"/>
      <c r="C33" s="67"/>
      <c r="D33" s="67"/>
      <c r="E33" s="68"/>
    </row>
    <row r="34" spans="1:8" ht="74.25" customHeight="1" thickTop="1" x14ac:dyDescent="0.35">
      <c r="A34" s="588" t="s">
        <v>298</v>
      </c>
      <c r="B34" s="588"/>
      <c r="C34" s="588"/>
      <c r="D34" s="588"/>
      <c r="E34" s="599"/>
      <c r="F34" s="600">
        <v>2019</v>
      </c>
      <c r="G34" s="69"/>
      <c r="H34" s="69"/>
    </row>
    <row r="35" spans="1:8" ht="30.5" customHeight="1" x14ac:dyDescent="0.35">
      <c r="A35" s="588" t="s">
        <v>299</v>
      </c>
      <c r="B35" s="588"/>
      <c r="C35" s="588"/>
      <c r="D35" s="588"/>
      <c r="E35" s="588"/>
      <c r="F35" s="601"/>
      <c r="G35" s="69"/>
      <c r="H35" s="69"/>
    </row>
    <row r="36" spans="1:8" ht="86.25" customHeight="1" x14ac:dyDescent="0.35">
      <c r="A36" s="603" t="s">
        <v>300</v>
      </c>
      <c r="B36" s="603"/>
      <c r="C36" s="603"/>
      <c r="D36" s="603"/>
      <c r="E36" s="603"/>
      <c r="F36" s="601"/>
      <c r="G36" s="69"/>
      <c r="H36" s="69"/>
    </row>
    <row r="37" spans="1:8" ht="4.5" customHeight="1" thickBot="1" x14ac:dyDescent="0.4">
      <c r="A37" s="588"/>
      <c r="B37" s="588"/>
      <c r="C37" s="588"/>
      <c r="D37" s="588"/>
      <c r="E37" s="588"/>
      <c r="F37" s="602"/>
      <c r="G37" s="69"/>
      <c r="H37" s="69"/>
    </row>
    <row r="38" spans="1:8" ht="30.75" customHeight="1" thickTop="1" thickBot="1" x14ac:dyDescent="0.4">
      <c r="A38" s="67"/>
      <c r="B38" s="67"/>
      <c r="C38" s="67"/>
      <c r="D38" s="67"/>
      <c r="E38" s="68"/>
      <c r="F38" s="69"/>
      <c r="G38" s="69"/>
      <c r="H38" s="69"/>
    </row>
    <row r="39" spans="1:8" ht="17.25" customHeight="1" thickTop="1" x14ac:dyDescent="0.35">
      <c r="A39" s="588" t="s">
        <v>301</v>
      </c>
      <c r="B39" s="588"/>
      <c r="C39" s="588"/>
      <c r="D39" s="588"/>
      <c r="E39" s="588"/>
      <c r="F39" s="589">
        <v>2019</v>
      </c>
      <c r="G39" s="69"/>
      <c r="H39" s="69"/>
    </row>
    <row r="40" spans="1:8" ht="15" customHeight="1" thickBot="1" x14ac:dyDescent="0.4">
      <c r="A40" s="588"/>
      <c r="B40" s="588"/>
      <c r="C40" s="588"/>
      <c r="D40" s="588"/>
      <c r="E40" s="588"/>
      <c r="F40" s="590"/>
      <c r="G40" s="69"/>
      <c r="H40" s="69"/>
    </row>
    <row r="41" spans="1:8" ht="16.5" customHeight="1" thickTop="1" thickBot="1" x14ac:dyDescent="0.4">
      <c r="A41" s="588" t="s">
        <v>302</v>
      </c>
      <c r="B41" s="588"/>
      <c r="C41" s="588"/>
      <c r="D41" s="588"/>
      <c r="E41" s="588"/>
      <c r="F41" s="66"/>
      <c r="G41" s="69"/>
      <c r="H41" s="69"/>
    </row>
    <row r="42" spans="1:8" ht="45.75" customHeight="1" thickTop="1" x14ac:dyDescent="0.35">
      <c r="A42" s="588" t="s">
        <v>303</v>
      </c>
      <c r="B42" s="588"/>
      <c r="C42" s="588"/>
      <c r="D42" s="588"/>
      <c r="E42" s="588"/>
      <c r="F42" s="600">
        <v>2019</v>
      </c>
      <c r="G42" s="69"/>
      <c r="H42" s="69"/>
    </row>
    <row r="43" spans="1:8" ht="18.75" customHeight="1" x14ac:dyDescent="0.35">
      <c r="A43" s="588" t="s">
        <v>119</v>
      </c>
      <c r="B43" s="588"/>
      <c r="C43" s="588"/>
      <c r="D43" s="588"/>
      <c r="E43" s="588"/>
      <c r="F43" s="601"/>
      <c r="G43" s="69"/>
      <c r="H43" s="69"/>
    </row>
    <row r="44" spans="1:8" ht="46.5" customHeight="1" x14ac:dyDescent="0.35">
      <c r="A44" s="603" t="s">
        <v>304</v>
      </c>
      <c r="B44" s="603"/>
      <c r="C44" s="603"/>
      <c r="D44" s="603"/>
      <c r="E44" s="603"/>
      <c r="F44" s="601"/>
      <c r="G44" s="69"/>
      <c r="H44" s="69"/>
    </row>
    <row r="45" spans="1:8" ht="48" customHeight="1" thickBot="1" x14ac:dyDescent="0.4">
      <c r="A45" s="603" t="s">
        <v>305</v>
      </c>
      <c r="B45" s="603"/>
      <c r="C45" s="603"/>
      <c r="D45" s="603"/>
      <c r="E45" s="603"/>
      <c r="F45" s="602"/>
      <c r="G45" s="69"/>
      <c r="H45" s="69"/>
    </row>
    <row r="46" spans="1:8" ht="7.4" customHeight="1" thickTop="1" thickBot="1" x14ac:dyDescent="0.4">
      <c r="A46" s="67"/>
      <c r="B46" s="67"/>
      <c r="C46" s="67"/>
      <c r="D46" s="67"/>
      <c r="E46" s="67"/>
      <c r="F46" s="69"/>
      <c r="G46" s="69"/>
      <c r="H46" s="69"/>
    </row>
    <row r="47" spans="1:8" ht="24" customHeight="1" thickTop="1" thickBot="1" x14ac:dyDescent="0.4">
      <c r="A47" s="599" t="s">
        <v>120</v>
      </c>
      <c r="B47" s="599"/>
      <c r="C47" s="599"/>
      <c r="D47" s="599"/>
      <c r="E47" s="599"/>
      <c r="F47" s="70">
        <v>2016</v>
      </c>
      <c r="G47" s="69"/>
      <c r="H47" s="69"/>
    </row>
    <row r="48" spans="1:8" ht="34.5" customHeight="1" thickTop="1" thickBot="1" x14ac:dyDescent="0.4">
      <c r="A48" s="612" t="s">
        <v>121</v>
      </c>
      <c r="B48" s="612"/>
      <c r="C48" s="612"/>
      <c r="D48" s="612"/>
      <c r="E48" s="612"/>
    </row>
    <row r="49" spans="1:19" ht="44.25" customHeight="1" thickTop="1" thickBot="1" x14ac:dyDescent="0.4">
      <c r="A49" s="599" t="s">
        <v>122</v>
      </c>
      <c r="B49" s="599"/>
      <c r="C49" s="599"/>
      <c r="D49" s="599"/>
      <c r="E49" s="599"/>
      <c r="F49" s="70" t="s">
        <v>123</v>
      </c>
      <c r="G49" s="69"/>
      <c r="H49" s="69"/>
    </row>
    <row r="50" spans="1:19" ht="3.75" customHeight="1" thickTop="1" thickBot="1" x14ac:dyDescent="0.4">
      <c r="A50" s="599"/>
      <c r="B50" s="599"/>
      <c r="C50" s="599"/>
      <c r="D50" s="599"/>
      <c r="E50" s="599"/>
    </row>
    <row r="51" spans="1:19" ht="54" customHeight="1" thickTop="1" thickBot="1" x14ac:dyDescent="0.4">
      <c r="A51" s="599" t="s">
        <v>124</v>
      </c>
      <c r="B51" s="599"/>
      <c r="C51" s="599"/>
      <c r="D51" s="599"/>
      <c r="E51" s="599"/>
      <c r="F51" s="70" t="s">
        <v>123</v>
      </c>
      <c r="G51" s="69"/>
      <c r="H51" s="69"/>
    </row>
    <row r="52" spans="1:19" ht="1.5" customHeight="1" thickTop="1" thickBot="1" x14ac:dyDescent="0.4">
      <c r="A52" s="67"/>
      <c r="B52" s="67"/>
      <c r="C52" s="67"/>
      <c r="D52" s="67"/>
      <c r="E52" s="68"/>
    </row>
    <row r="53" spans="1:19" ht="22.5" customHeight="1" thickTop="1" thickBot="1" x14ac:dyDescent="0.4">
      <c r="A53" s="588" t="str">
        <f>"7. Retail Transmission Service Rates:    " &amp; LDCNAME1 &amp; " is:"</f>
        <v>7. Retail Transmission Service Rates:    Toronto Hydro-Electric System Limited is:</v>
      </c>
      <c r="B53" s="588"/>
      <c r="C53" s="588"/>
      <c r="D53" s="588"/>
      <c r="E53" s="609"/>
      <c r="F53" s="606" t="s">
        <v>125</v>
      </c>
      <c r="G53" s="607"/>
      <c r="H53" s="608"/>
      <c r="I53" s="52" t="str">
        <f>IF(F53="Partially Embedded","Within","")</f>
        <v/>
      </c>
      <c r="J53" s="613"/>
      <c r="K53" s="613"/>
      <c r="L53" s="613"/>
      <c r="M53" s="613"/>
      <c r="N53" s="613"/>
      <c r="O53" s="613"/>
      <c r="P53" s="613"/>
      <c r="Q53" s="613"/>
      <c r="R53" s="613"/>
      <c r="S53" s="52" t="str">
        <f>IF(F53="Partially Embedded","Distribution System(s)","")</f>
        <v/>
      </c>
    </row>
    <row r="54" spans="1:19" ht="1.5" customHeight="1" thickBot="1" x14ac:dyDescent="0.4">
      <c r="A54" s="65"/>
      <c r="B54" s="65"/>
      <c r="C54" s="65"/>
      <c r="D54" s="65"/>
      <c r="E54" s="65"/>
      <c r="J54" s="72" t="str">
        <f>IF(F53="Partially Embedded","(If necessary, enter all host-distributors' names in the above green shaded cell.)","")</f>
        <v/>
      </c>
    </row>
    <row r="55" spans="1:19" ht="24" customHeight="1" thickTop="1" thickBot="1" x14ac:dyDescent="0.4">
      <c r="A55" s="599" t="s">
        <v>126</v>
      </c>
      <c r="B55" s="599"/>
      <c r="C55" s="599"/>
      <c r="D55" s="599"/>
      <c r="E55" s="599"/>
      <c r="F55" s="606" t="s">
        <v>123</v>
      </c>
      <c r="G55" s="607"/>
      <c r="H55" s="608"/>
    </row>
    <row r="56" spans="1:19" ht="3.75" customHeight="1" x14ac:dyDescent="0.35">
      <c r="A56" s="73"/>
      <c r="B56" s="73"/>
      <c r="C56" s="73"/>
      <c r="D56" s="73"/>
      <c r="E56" s="74"/>
    </row>
    <row r="57" spans="1:19" ht="11.25" customHeight="1" x14ac:dyDescent="0.35">
      <c r="A57" s="73"/>
      <c r="B57" s="73"/>
      <c r="C57" s="73"/>
      <c r="D57" s="73"/>
      <c r="E57" s="74"/>
    </row>
    <row r="58" spans="1:19" ht="11.25" customHeight="1" x14ac:dyDescent="0.35">
      <c r="A58" s="73"/>
      <c r="B58" s="73"/>
      <c r="C58" s="73"/>
      <c r="D58" s="73"/>
      <c r="E58" s="74"/>
    </row>
    <row r="59" spans="1:19" ht="11.25" customHeight="1" x14ac:dyDescent="0.35">
      <c r="A59" s="73"/>
      <c r="B59" s="73"/>
      <c r="C59" s="73"/>
      <c r="D59" s="73"/>
      <c r="E59" s="74"/>
    </row>
    <row r="60" spans="1:19" ht="11.25" customHeight="1" x14ac:dyDescent="0.35">
      <c r="A60" s="73"/>
      <c r="B60" s="73"/>
      <c r="C60" s="73"/>
      <c r="D60" s="73"/>
      <c r="E60" s="74"/>
    </row>
    <row r="61" spans="1:19" ht="11.25" customHeight="1" x14ac:dyDescent="0.35">
      <c r="A61" s="73"/>
      <c r="B61" s="73"/>
      <c r="C61" s="73"/>
      <c r="D61" s="73"/>
      <c r="E61" s="74"/>
    </row>
    <row r="62" spans="1:19" ht="9.75" customHeight="1" x14ac:dyDescent="0.35"/>
    <row r="63" spans="1:19" ht="21.75" customHeight="1" x14ac:dyDescent="0.35">
      <c r="B63" s="75" t="s">
        <v>127</v>
      </c>
    </row>
    <row r="64" spans="1:19" ht="16" thickBot="1" x14ac:dyDescent="0.4"/>
    <row r="65" spans="1:14" ht="16" thickBot="1" x14ac:dyDescent="0.4">
      <c r="B65" s="76"/>
      <c r="C65" s="614" t="s">
        <v>128</v>
      </c>
      <c r="D65" s="614"/>
      <c r="E65" s="614"/>
      <c r="F65" s="614"/>
      <c r="G65" s="614"/>
      <c r="H65" s="614"/>
      <c r="I65" s="614"/>
      <c r="J65" s="614"/>
      <c r="K65" s="614"/>
      <c r="L65" s="614"/>
    </row>
    <row r="66" spans="1:14" ht="16" thickBot="1" x14ac:dyDescent="0.4">
      <c r="C66" s="77"/>
      <c r="D66" s="77"/>
      <c r="E66" s="77"/>
      <c r="F66" s="77"/>
      <c r="G66" s="77"/>
      <c r="H66" s="77"/>
      <c r="I66" s="77"/>
      <c r="J66" s="77"/>
      <c r="K66" s="77"/>
      <c r="L66" s="77"/>
    </row>
    <row r="67" spans="1:14" ht="15" customHeight="1" thickBot="1" x14ac:dyDescent="0.4">
      <c r="B67" s="78"/>
      <c r="C67" s="610" t="s">
        <v>129</v>
      </c>
      <c r="D67" s="611"/>
      <c r="E67" s="611"/>
      <c r="F67" s="611"/>
      <c r="G67" s="611"/>
      <c r="H67" s="611"/>
      <c r="I67" s="611"/>
      <c r="J67" s="611"/>
      <c r="K67" s="611"/>
      <c r="L67" s="611"/>
      <c r="M67" s="611"/>
      <c r="N67" s="611"/>
    </row>
    <row r="68" spans="1:14" ht="16" thickBot="1" x14ac:dyDescent="0.4"/>
    <row r="69" spans="1:14" ht="16" thickBot="1" x14ac:dyDescent="0.4">
      <c r="B69" s="79"/>
      <c r="C69" s="610" t="s">
        <v>130</v>
      </c>
      <c r="D69" s="611"/>
      <c r="E69" s="611"/>
      <c r="F69" s="611"/>
      <c r="G69" s="611"/>
      <c r="H69" s="611"/>
      <c r="I69" s="611"/>
      <c r="J69" s="611"/>
      <c r="K69" s="611"/>
      <c r="L69" s="611"/>
      <c r="M69" s="611"/>
      <c r="N69" s="611"/>
    </row>
    <row r="70" spans="1:14" ht="16" thickBot="1" x14ac:dyDescent="0.4">
      <c r="B70" s="80"/>
      <c r="C70" s="81"/>
      <c r="D70" s="81"/>
      <c r="E70" s="81"/>
      <c r="F70" s="81"/>
      <c r="G70" s="81"/>
      <c r="H70" s="81"/>
      <c r="I70" s="81"/>
      <c r="J70" s="81"/>
      <c r="K70" s="81"/>
      <c r="L70" s="81"/>
      <c r="M70" s="81"/>
      <c r="N70" s="81"/>
    </row>
    <row r="71" spans="1:14" ht="16" thickBot="1" x14ac:dyDescent="0.4">
      <c r="B71" s="82"/>
      <c r="C71" s="610" t="s">
        <v>131</v>
      </c>
      <c r="D71" s="611"/>
      <c r="E71" s="611"/>
      <c r="F71" s="611"/>
      <c r="G71" s="611"/>
      <c r="H71" s="611"/>
      <c r="I71" s="611"/>
      <c r="J71" s="611"/>
      <c r="K71" s="611"/>
      <c r="L71" s="611"/>
      <c r="M71" s="81"/>
      <c r="N71" s="81"/>
    </row>
    <row r="72" spans="1:14" ht="15.75" customHeight="1" thickBot="1" x14ac:dyDescent="0.4">
      <c r="B72" s="83"/>
    </row>
    <row r="73" spans="1:14" ht="16" thickBot="1" x14ac:dyDescent="0.4">
      <c r="B73" s="84"/>
      <c r="C73" s="615" t="s">
        <v>132</v>
      </c>
      <c r="D73" s="616"/>
      <c r="E73" s="616"/>
      <c r="F73" s="616"/>
      <c r="G73" s="616"/>
      <c r="H73" s="616"/>
      <c r="I73" s="616"/>
      <c r="J73" s="616"/>
      <c r="K73" s="616"/>
      <c r="L73" s="616"/>
      <c r="M73" s="616"/>
    </row>
    <row r="74" spans="1:14" ht="15.75" customHeight="1" x14ac:dyDescent="0.35"/>
    <row r="75" spans="1:14" ht="4.5" customHeight="1" x14ac:dyDescent="0.35"/>
    <row r="76" spans="1:14" ht="25.5" customHeight="1" x14ac:dyDescent="0.35">
      <c r="A76" s="617"/>
      <c r="B76" s="617"/>
      <c r="C76" s="617"/>
      <c r="D76" s="617"/>
      <c r="E76" s="617"/>
      <c r="F76" s="617"/>
      <c r="G76" s="617"/>
    </row>
    <row r="77" spans="1:14" ht="8.25" customHeight="1" x14ac:dyDescent="0.35">
      <c r="A77" s="617"/>
      <c r="B77" s="617"/>
      <c r="C77" s="617"/>
      <c r="D77" s="617"/>
      <c r="E77" s="617"/>
      <c r="F77" s="617"/>
      <c r="G77" s="617"/>
    </row>
    <row r="78" spans="1:14" ht="5.25" customHeight="1" x14ac:dyDescent="0.35"/>
  </sheetData>
  <mergeCells count="42">
    <mergeCell ref="C69:N69"/>
    <mergeCell ref="C71:L71"/>
    <mergeCell ref="C73:M73"/>
    <mergeCell ref="A76:G76"/>
    <mergeCell ref="A77:G77"/>
    <mergeCell ref="C67:N67"/>
    <mergeCell ref="A47:E47"/>
    <mergeCell ref="A48:E48"/>
    <mergeCell ref="A49:E49"/>
    <mergeCell ref="A50:E50"/>
    <mergeCell ref="A51:E51"/>
    <mergeCell ref="A53:E53"/>
    <mergeCell ref="F53:H53"/>
    <mergeCell ref="J53:R53"/>
    <mergeCell ref="A55:E55"/>
    <mergeCell ref="F55:H55"/>
    <mergeCell ref="C65:L65"/>
    <mergeCell ref="A30:E30"/>
    <mergeCell ref="F30:H30"/>
    <mergeCell ref="A32:E32"/>
    <mergeCell ref="A39:E40"/>
    <mergeCell ref="A42:E42"/>
    <mergeCell ref="F42:F45"/>
    <mergeCell ref="A43:E43"/>
    <mergeCell ref="A44:E44"/>
    <mergeCell ref="A45:E45"/>
    <mergeCell ref="F24:J24"/>
    <mergeCell ref="A31:J31"/>
    <mergeCell ref="F39:F40"/>
    <mergeCell ref="A41:E41"/>
    <mergeCell ref="F14:L14"/>
    <mergeCell ref="F16:J16"/>
    <mergeCell ref="F18:H18"/>
    <mergeCell ref="F20:K20"/>
    <mergeCell ref="F22:H22"/>
    <mergeCell ref="A34:E34"/>
    <mergeCell ref="F34:F37"/>
    <mergeCell ref="A35:E35"/>
    <mergeCell ref="A36:E36"/>
    <mergeCell ref="A37:E37"/>
    <mergeCell ref="F26:H26"/>
    <mergeCell ref="F28:H28"/>
  </mergeCells>
  <conditionalFormatting sqref="J53">
    <cfRule type="expression" dxfId="0" priority="1">
      <formula>$F$53="Partially Embedded"</formula>
    </cfRule>
  </conditionalFormatting>
  <dataValidations count="9">
    <dataValidation allowBlank="1" showInputMessage="1" showErrorMessage="1" prompt="First and last name, title" sqref="F20:K20" xr:uid="{1E618A35-C89E-4C63-9F2C-475ADD49DACD}"/>
    <dataValidation type="list" showErrorMessage="1" errorTitle="Selection Needed" error="Please select an option from the drop-down list." prompt="Use the following format eg: January 1, 2013" sqref="F28:H28" xr:uid="{A7FE1720-803E-4824-8227-6235721FF59D}">
      <formula1>"Price Cap IR, Annual IR Index"</formula1>
    </dataValidation>
    <dataValidation type="list" errorTitle="Selection Needed" error="Please select an option from the drop-down list." prompt="Use the following format eg: January 1, 2013" sqref="F55:H55 F49 F51" xr:uid="{C5536DFF-11A7-4FBD-9EFF-7422C698925E}">
      <formula1>"Yes,No"</formula1>
    </dataValidation>
    <dataValidation type="list" showErrorMessage="1" errorTitle="Selection Needed" error="Please select an option from the drop-down list." prompt="Use the following format eg: January 1, 2013" sqref="F53:H53" xr:uid="{C8B03375-424A-4EAF-90F3-DF63B8B14593}">
      <formula1>"Transmission Connected, Partially Embedded, Fully Embedded"</formula1>
    </dataValidation>
    <dataValidation errorTitle="Selection Needed" error="Please select an option from the drop-down list." prompt="Use the following format eg: January 1, 2013" sqref="G51:H51 G34:H42 G47:H47 G49:H49 F38" xr:uid="{E423B947-3C70-40DA-8E00-3AC7AA7292CB}"/>
    <dataValidation type="list" errorTitle="Selection Needed" error="Please select an option from the drop-down list." prompt="Use the following format eg: January 1, 2013" sqref="F34:F37 F42:F45" xr:uid="{47D23FB9-CB41-4C25-8316-4819344FDF8A}">
      <formula1>"2014, 2015, 2016, 2017,2018,2019"</formula1>
    </dataValidation>
    <dataValidation type="list" allowBlank="1" showInputMessage="1" showErrorMessage="1" sqref="F16:J16" xr:uid="{0123CCD7-437B-4F1E-B645-240556A8DC7D}">
      <formula1>ERTH_SA</formula1>
    </dataValidation>
    <dataValidation type="list" errorTitle="Selection Needed" error="Please select an option from the drop-down list." prompt="Use the following format eg: January 1, 2013" sqref="F47" xr:uid="{0BE4EF07-31E5-4275-918A-5E7710B0EE8D}">
      <formula1>"2013, 2014, 2015, 2016, 2017,2018,2019"</formula1>
    </dataValidation>
    <dataValidation type="list" errorTitle="Selection Needed" error="Please select an option from the drop-down list." prompt="Use the following format eg: January 1, 2013" sqref="F30:H30" xr:uid="{4D465ED1-CFFC-42B6-9B63-8AA4CC4F4AC8}">
      <formula1>"2013, 2014, 2015, 2016, 2017, 2018, 2019,2020,2021"</formula1>
    </dataValidation>
  </dataValidations>
  <hyperlinks>
    <hyperlink ref="F24" r:id="rId1" xr:uid="{C1D7F711-B0FA-4603-9269-CA571A9B6603}"/>
  </hyperlinks>
  <pageMargins left="0.70866141732283472" right="0.70866141732283472" top="1.3385826771653544" bottom="0.47244094488188981" header="0.31496062992125984" footer="0.31496062992125984"/>
  <pageSetup scale="40" orientation="portrait" r:id="rId2"/>
  <headerFooter scaleWithDoc="0">
    <oddHeader>&amp;R&amp;7&amp;K000000Toronto Hydro-Electric System Limited 
EB-2021-0060
Tab 3
Schedule 1
ORIGINAL
Page &amp;P of &amp;N</oddHeader>
    <oddFooter>&amp;C&amp;7&amp;A</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122" r:id="rId5" name="Check Box 2">
              <controlPr defaultSize="0" autoFill="0" autoLine="0" autoPict="0">
                <anchor moveWithCells="1">
                  <from>
                    <xdr:col>19</xdr:col>
                    <xdr:colOff>342900</xdr:colOff>
                    <xdr:row>27</xdr:row>
                    <xdr:rowOff>38100</xdr:rowOff>
                  </from>
                  <to>
                    <xdr:col>20</xdr:col>
                    <xdr:colOff>165100</xdr:colOff>
                    <xdr:row>28</xdr:row>
                    <xdr:rowOff>63500</xdr:rowOff>
                  </to>
                </anchor>
              </controlPr>
            </control>
          </mc:Choice>
        </mc:AlternateContent>
        <mc:AlternateContent xmlns:mc="http://schemas.openxmlformats.org/markup-compatibility/2006">
          <mc:Choice Requires="x14">
            <control shapeId="5124" r:id="rId6" name="Button 4">
              <controlPr defaultSize="0" print="0" autoFill="0" autoPict="0" macro="[3]!loadCalendar">
                <anchor moveWithCells="1" sizeWithCells="1">
                  <from>
                    <xdr:col>8</xdr:col>
                    <xdr:colOff>38100</xdr:colOff>
                    <xdr:row>25</xdr:row>
                    <xdr:rowOff>0</xdr:rowOff>
                  </from>
                  <to>
                    <xdr:col>8</xdr:col>
                    <xdr:colOff>254000</xdr:colOff>
                    <xdr:row>25</xdr:row>
                    <xdr:rowOff>190500</xdr:rowOff>
                  </to>
                </anchor>
              </controlPr>
            </control>
          </mc:Choice>
        </mc:AlternateContent>
        <mc:AlternateContent xmlns:mc="http://schemas.openxmlformats.org/markup-compatibility/2006">
          <mc:Choice Requires="x14">
            <control shapeId="5125" r:id="rId7" name="Check Box 5">
              <controlPr defaultSize="0" autoFill="0" autoLine="0" autoPict="0" macro="[3]!CheckBox5_Click">
                <anchor moveWithCells="1">
                  <from>
                    <xdr:col>19</xdr:col>
                    <xdr:colOff>342900</xdr:colOff>
                    <xdr:row>27</xdr:row>
                    <xdr:rowOff>38100</xdr:rowOff>
                  </from>
                  <to>
                    <xdr:col>20</xdr:col>
                    <xdr:colOff>165100</xdr:colOff>
                    <xdr:row>28</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D50B-3772-4BAB-BDBE-D56587CF1B48}">
  <dimension ref="A1:CB62"/>
  <sheetViews>
    <sheetView showGridLines="0" topLeftCell="B10" zoomScale="50" zoomScaleNormal="50" zoomScaleSheetLayoutView="20" workbookViewId="0">
      <pane xSplit="13" ySplit="10" topLeftCell="BG36" activePane="bottomRight" state="frozen"/>
      <selection activeCell="B15" sqref="B15"/>
      <selection pane="topRight" activeCell="B15" sqref="B15"/>
      <selection pane="bottomLeft" activeCell="B15" sqref="B15"/>
      <selection pane="bottomRight" activeCell="B15" sqref="B15"/>
    </sheetView>
  </sheetViews>
  <sheetFormatPr defaultColWidth="8.4140625" defaultRowHeight="15.5" x14ac:dyDescent="0.35"/>
  <cols>
    <col min="1" max="1" width="8.4140625" style="85" hidden="1" customWidth="1"/>
    <col min="2" max="2" width="2.4140625" style="85" bestFit="1" customWidth="1"/>
    <col min="3" max="3" width="81.5" style="85" customWidth="1"/>
    <col min="4" max="4" width="14.9140625" style="85" customWidth="1"/>
    <col min="5" max="5" width="14.6640625" style="238" hidden="1" customWidth="1"/>
    <col min="6" max="6" width="21" style="238" hidden="1" customWidth="1"/>
    <col min="7" max="8" width="16.58203125" style="238" hidden="1" customWidth="1"/>
    <col min="9" max="9" width="13.1640625" style="238" hidden="1" customWidth="1"/>
    <col min="10" max="10" width="12.9140625" style="238" hidden="1" customWidth="1"/>
    <col min="11" max="13" width="13.1640625" style="238" hidden="1" customWidth="1"/>
    <col min="14" max="14" width="13.9140625" style="238" hidden="1" customWidth="1"/>
    <col min="15" max="15" width="14.6640625" style="238" customWidth="1"/>
    <col min="16" max="16" width="21" style="238" customWidth="1"/>
    <col min="17" max="18" width="16.58203125" style="238" customWidth="1"/>
    <col min="19" max="19" width="13.1640625" style="238" customWidth="1"/>
    <col min="20" max="20" width="12.9140625" style="238" customWidth="1"/>
    <col min="21" max="23" width="13.1640625" style="238" customWidth="1"/>
    <col min="24" max="24" width="13.9140625" style="238" customWidth="1"/>
    <col min="25" max="25" width="14.6640625" style="238" customWidth="1"/>
    <col min="26" max="26" width="21" style="238" customWidth="1"/>
    <col min="27" max="28" width="16.58203125" style="238" customWidth="1"/>
    <col min="29" max="29" width="13.1640625" style="238" customWidth="1"/>
    <col min="30" max="30" width="12.9140625" style="238" customWidth="1"/>
    <col min="31" max="33" width="13.1640625" style="238" customWidth="1"/>
    <col min="34" max="34" width="13.9140625" style="238" customWidth="1"/>
    <col min="35" max="35" width="14.6640625" style="238" customWidth="1"/>
    <col min="36" max="36" width="21" style="238" customWidth="1"/>
    <col min="37" max="38" width="16.58203125" style="238" customWidth="1"/>
    <col min="39" max="39" width="13.1640625" style="238" customWidth="1"/>
    <col min="40" max="40" width="12.9140625" style="238" customWidth="1"/>
    <col min="41" max="43" width="13.1640625" style="238" customWidth="1"/>
    <col min="44" max="44" width="13.9140625" style="238" customWidth="1"/>
    <col min="45" max="45" width="14.6640625" style="238" customWidth="1"/>
    <col min="46" max="46" width="21" style="238" customWidth="1"/>
    <col min="47" max="48" width="16.58203125" style="238" customWidth="1"/>
    <col min="49" max="49" width="13.1640625" style="238" customWidth="1"/>
    <col min="50" max="50" width="12.9140625" style="238" customWidth="1"/>
    <col min="51" max="53" width="13.1640625" style="238" customWidth="1"/>
    <col min="54" max="54" width="13.9140625" style="238" customWidth="1"/>
    <col min="55" max="55" width="14.6640625" style="238" customWidth="1"/>
    <col min="56" max="56" width="21" style="238" customWidth="1"/>
    <col min="57" max="58" width="16.58203125" style="238" customWidth="1"/>
    <col min="59" max="59" width="13.1640625" style="238" customWidth="1"/>
    <col min="60" max="60" width="12.9140625" style="238" customWidth="1"/>
    <col min="61" max="63" width="13.1640625" style="238" customWidth="1"/>
    <col min="64" max="64" width="13.9140625" style="238" customWidth="1"/>
    <col min="65" max="66" width="13.1640625" style="238" customWidth="1"/>
    <col min="67" max="67" width="15" style="238" customWidth="1"/>
    <col min="68" max="68" width="15.58203125" style="238" customWidth="1"/>
    <col min="69" max="70" width="24" style="238" customWidth="1"/>
    <col min="71" max="71" width="16.5" style="238" customWidth="1"/>
    <col min="72" max="72" width="12.33203125" style="238" customWidth="1"/>
    <col min="73" max="73" width="13" style="238" customWidth="1"/>
    <col min="74" max="74" width="20.1640625" style="238" bestFit="1" customWidth="1"/>
    <col min="75" max="75" width="17.58203125" style="238" bestFit="1" customWidth="1"/>
    <col min="76" max="76" width="8.4140625" style="98"/>
    <col min="77" max="16384" width="8.4140625" style="85"/>
  </cols>
  <sheetData>
    <row r="1" spans="3:80" ht="12.75" customHeight="1" x14ac:dyDescent="0.35">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7"/>
      <c r="BY1" s="88"/>
      <c r="BZ1" s="88"/>
      <c r="CA1" s="88"/>
      <c r="CB1" s="89" t="b">
        <v>0</v>
      </c>
    </row>
    <row r="2" spans="3:80" ht="12.75" customHeight="1" x14ac:dyDescent="0.35">
      <c r="C2" s="88" t="b">
        <v>0</v>
      </c>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7"/>
      <c r="BY2" s="88"/>
      <c r="BZ2" s="88"/>
      <c r="CA2" s="88"/>
      <c r="CB2" s="89" t="b">
        <v>0</v>
      </c>
    </row>
    <row r="3" spans="3:80" ht="12.75" customHeight="1" x14ac:dyDescent="0.35">
      <c r="C3" s="88" t="b">
        <v>1</v>
      </c>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7"/>
      <c r="BY3" s="88"/>
      <c r="BZ3" s="88"/>
      <c r="CA3" s="88"/>
      <c r="CB3" s="89" t="b">
        <v>0</v>
      </c>
    </row>
    <row r="4" spans="3:80" ht="12.75" customHeight="1" x14ac:dyDescent="0.35">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7"/>
      <c r="BY4" s="88"/>
      <c r="BZ4" s="88"/>
      <c r="CA4" s="88"/>
      <c r="CB4" s="89" t="b">
        <v>0</v>
      </c>
    </row>
    <row r="5" spans="3:80" ht="12.75" customHeight="1" x14ac:dyDescent="0.35">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7"/>
      <c r="BY5" s="88"/>
      <c r="BZ5" s="88"/>
      <c r="CA5" s="88"/>
      <c r="CB5" s="89" t="b">
        <v>0</v>
      </c>
    </row>
    <row r="6" spans="3:80" ht="12.75" customHeight="1" x14ac:dyDescent="0.35">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7"/>
      <c r="BY6" s="88"/>
      <c r="BZ6" s="88"/>
      <c r="CA6" s="88"/>
      <c r="CB6" s="89" t="b">
        <v>0</v>
      </c>
    </row>
    <row r="7" spans="3:80" x14ac:dyDescent="0.35">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7"/>
      <c r="BY7" s="88"/>
      <c r="BZ7" s="88"/>
      <c r="CA7" s="88"/>
      <c r="CB7" s="89" t="b">
        <v>0</v>
      </c>
    </row>
    <row r="8" spans="3:80" x14ac:dyDescent="0.35">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7"/>
      <c r="BY8" s="88"/>
      <c r="BZ8" s="88"/>
      <c r="CA8" s="88"/>
      <c r="CB8" s="89" t="b">
        <v>0</v>
      </c>
    </row>
    <row r="9" spans="3:80" x14ac:dyDescent="0.35">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7"/>
      <c r="BY9" s="88"/>
      <c r="BZ9" s="88"/>
      <c r="CA9" s="88"/>
      <c r="CB9" s="89" t="b">
        <v>0</v>
      </c>
    </row>
    <row r="10" spans="3:80" x14ac:dyDescent="0.35">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7"/>
      <c r="BY10" s="88"/>
      <c r="BZ10" s="88"/>
      <c r="CA10" s="88"/>
      <c r="CB10" s="89" t="b">
        <v>1</v>
      </c>
    </row>
    <row r="11" spans="3:80" x14ac:dyDescent="0.35">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7"/>
      <c r="BY11" s="88"/>
      <c r="BZ11" s="88"/>
      <c r="CA11" s="88"/>
      <c r="CB11" s="89" t="b">
        <v>1</v>
      </c>
    </row>
    <row r="12" spans="3:80" ht="63" customHeight="1" x14ac:dyDescent="0.35">
      <c r="C12" s="657" t="s">
        <v>133</v>
      </c>
      <c r="D12" s="657"/>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7"/>
      <c r="BY12" s="88"/>
      <c r="BZ12" s="88"/>
      <c r="CA12" s="88"/>
      <c r="CB12" s="88"/>
    </row>
    <row r="13" spans="3:80" ht="24.75" customHeight="1" thickBot="1" x14ac:dyDescent="0.4">
      <c r="C13" s="657"/>
      <c r="D13" s="657"/>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7"/>
      <c r="BY13" s="88"/>
      <c r="BZ13" s="88"/>
      <c r="CA13" s="88"/>
      <c r="CB13" s="88"/>
    </row>
    <row r="14" spans="3:80" ht="44.25" hidden="1" customHeight="1" x14ac:dyDescent="0.35">
      <c r="C14" s="657"/>
      <c r="D14" s="657"/>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90"/>
      <c r="BW14" s="86"/>
      <c r="BX14" s="87"/>
      <c r="BY14" s="88"/>
      <c r="BZ14" s="88"/>
      <c r="CA14" s="88"/>
      <c r="CB14" s="88"/>
    </row>
    <row r="15" spans="3:80" ht="101.25" hidden="1" customHeight="1" x14ac:dyDescent="0.35">
      <c r="C15" s="657"/>
      <c r="D15" s="657"/>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91"/>
      <c r="BU15" s="91"/>
      <c r="BV15" s="92"/>
      <c r="BW15" s="86"/>
      <c r="BX15" s="87"/>
      <c r="BY15" s="88"/>
      <c r="BZ15" s="88"/>
      <c r="CA15" s="88"/>
      <c r="CB15" s="88"/>
    </row>
    <row r="16" spans="3:80" ht="33" thickBot="1" x14ac:dyDescent="0.7">
      <c r="C16" s="93"/>
      <c r="D16" s="94"/>
      <c r="E16" s="645">
        <v>2015</v>
      </c>
      <c r="F16" s="646"/>
      <c r="G16" s="646"/>
      <c r="H16" s="646"/>
      <c r="I16" s="646"/>
      <c r="J16" s="646"/>
      <c r="K16" s="646"/>
      <c r="L16" s="646"/>
      <c r="M16" s="646"/>
      <c r="N16" s="647"/>
      <c r="O16" s="645">
        <f>E16+1</f>
        <v>2016</v>
      </c>
      <c r="P16" s="646"/>
      <c r="Q16" s="646"/>
      <c r="R16" s="646"/>
      <c r="S16" s="646"/>
      <c r="T16" s="646"/>
      <c r="U16" s="646"/>
      <c r="V16" s="646"/>
      <c r="W16" s="646"/>
      <c r="X16" s="647"/>
      <c r="Y16" s="645">
        <f>O16+1</f>
        <v>2017</v>
      </c>
      <c r="Z16" s="646"/>
      <c r="AA16" s="646"/>
      <c r="AB16" s="646"/>
      <c r="AC16" s="646"/>
      <c r="AD16" s="646"/>
      <c r="AE16" s="646"/>
      <c r="AF16" s="646"/>
      <c r="AG16" s="646"/>
      <c r="AH16" s="647"/>
      <c r="AI16" s="645">
        <f>Y16+1</f>
        <v>2018</v>
      </c>
      <c r="AJ16" s="646"/>
      <c r="AK16" s="646"/>
      <c r="AL16" s="646"/>
      <c r="AM16" s="646"/>
      <c r="AN16" s="646"/>
      <c r="AO16" s="646"/>
      <c r="AP16" s="646"/>
      <c r="AQ16" s="646"/>
      <c r="AR16" s="647"/>
      <c r="AS16" s="645">
        <f>AI16+1</f>
        <v>2019</v>
      </c>
      <c r="AT16" s="646"/>
      <c r="AU16" s="646"/>
      <c r="AV16" s="646"/>
      <c r="AW16" s="646"/>
      <c r="AX16" s="646"/>
      <c r="AY16" s="646"/>
      <c r="AZ16" s="646"/>
      <c r="BA16" s="646"/>
      <c r="BB16" s="646"/>
      <c r="BC16" s="645">
        <f>AS16+1</f>
        <v>2020</v>
      </c>
      <c r="BD16" s="646"/>
      <c r="BE16" s="646"/>
      <c r="BF16" s="646"/>
      <c r="BG16" s="646"/>
      <c r="BH16" s="646"/>
      <c r="BI16" s="646"/>
      <c r="BJ16" s="646"/>
      <c r="BK16" s="646"/>
      <c r="BL16" s="647"/>
      <c r="BM16" s="645">
        <f>BC16+1</f>
        <v>2021</v>
      </c>
      <c r="BN16" s="646"/>
      <c r="BO16" s="646"/>
      <c r="BP16" s="646"/>
      <c r="BQ16" s="648" t="s">
        <v>134</v>
      </c>
      <c r="BR16" s="649"/>
      <c r="BS16" s="649"/>
      <c r="BT16" s="650"/>
      <c r="BU16" s="95"/>
      <c r="BV16" s="96" t="s">
        <v>135</v>
      </c>
      <c r="BW16" s="97"/>
    </row>
    <row r="17" spans="3:80" ht="12.75" customHeight="1" x14ac:dyDescent="0.25">
      <c r="C17" s="651" t="s">
        <v>136</v>
      </c>
      <c r="D17" s="653" t="s">
        <v>137</v>
      </c>
      <c r="E17" s="627" t="s">
        <v>138</v>
      </c>
      <c r="F17" s="619" t="s">
        <v>139</v>
      </c>
      <c r="G17" s="636" t="s">
        <v>140</v>
      </c>
      <c r="H17" s="636" t="s">
        <v>141</v>
      </c>
      <c r="I17" s="636" t="s">
        <v>142</v>
      </c>
      <c r="J17" s="636" t="s">
        <v>143</v>
      </c>
      <c r="K17" s="636" t="s">
        <v>144</v>
      </c>
      <c r="L17" s="636" t="s">
        <v>140</v>
      </c>
      <c r="M17" s="636" t="s">
        <v>145</v>
      </c>
      <c r="N17" s="639" t="s">
        <v>146</v>
      </c>
      <c r="O17" s="642" t="s">
        <v>147</v>
      </c>
      <c r="P17" s="636" t="s">
        <v>148</v>
      </c>
      <c r="Q17" s="636" t="s">
        <v>149</v>
      </c>
      <c r="R17" s="636" t="s">
        <v>150</v>
      </c>
      <c r="S17" s="636" t="s">
        <v>151</v>
      </c>
      <c r="T17" s="636" t="s">
        <v>152</v>
      </c>
      <c r="U17" s="636" t="s">
        <v>153</v>
      </c>
      <c r="V17" s="636" t="s">
        <v>149</v>
      </c>
      <c r="W17" s="619" t="s">
        <v>154</v>
      </c>
      <c r="X17" s="630" t="s">
        <v>155</v>
      </c>
      <c r="Y17" s="627" t="s">
        <v>156</v>
      </c>
      <c r="Z17" s="619" t="s">
        <v>157</v>
      </c>
      <c r="AA17" s="619" t="s">
        <v>158</v>
      </c>
      <c r="AB17" s="619" t="s">
        <v>159</v>
      </c>
      <c r="AC17" s="619" t="s">
        <v>160</v>
      </c>
      <c r="AD17" s="619" t="s">
        <v>161</v>
      </c>
      <c r="AE17" s="619" t="s">
        <v>162</v>
      </c>
      <c r="AF17" s="619" t="s">
        <v>158</v>
      </c>
      <c r="AG17" s="619" t="s">
        <v>163</v>
      </c>
      <c r="AH17" s="630" t="s">
        <v>164</v>
      </c>
      <c r="AI17" s="627" t="s">
        <v>165</v>
      </c>
      <c r="AJ17" s="619" t="s">
        <v>166</v>
      </c>
      <c r="AK17" s="619" t="s">
        <v>167</v>
      </c>
      <c r="AL17" s="619" t="s">
        <v>168</v>
      </c>
      <c r="AM17" s="619" t="s">
        <v>169</v>
      </c>
      <c r="AN17" s="619" t="s">
        <v>170</v>
      </c>
      <c r="AO17" s="619" t="s">
        <v>171</v>
      </c>
      <c r="AP17" s="619" t="s">
        <v>167</v>
      </c>
      <c r="AQ17" s="619" t="s">
        <v>172</v>
      </c>
      <c r="AR17" s="630" t="s">
        <v>173</v>
      </c>
      <c r="AS17" s="627" t="s">
        <v>174</v>
      </c>
      <c r="AT17" s="619" t="s">
        <v>175</v>
      </c>
      <c r="AU17" s="619" t="s">
        <v>176</v>
      </c>
      <c r="AV17" s="619" t="s">
        <v>177</v>
      </c>
      <c r="AW17" s="619" t="s">
        <v>178</v>
      </c>
      <c r="AX17" s="619" t="s">
        <v>179</v>
      </c>
      <c r="AY17" s="619" t="s">
        <v>180</v>
      </c>
      <c r="AZ17" s="619" t="s">
        <v>176</v>
      </c>
      <c r="BA17" s="619" t="s">
        <v>181</v>
      </c>
      <c r="BB17" s="619" t="s">
        <v>182</v>
      </c>
      <c r="BC17" s="627" t="s">
        <v>183</v>
      </c>
      <c r="BD17" s="619" t="s">
        <v>184</v>
      </c>
      <c r="BE17" s="619" t="s">
        <v>185</v>
      </c>
      <c r="BF17" s="619" t="s">
        <v>186</v>
      </c>
      <c r="BG17" s="619" t="s">
        <v>187</v>
      </c>
      <c r="BH17" s="619" t="s">
        <v>188</v>
      </c>
      <c r="BI17" s="619" t="s">
        <v>189</v>
      </c>
      <c r="BJ17" s="619" t="s">
        <v>185</v>
      </c>
      <c r="BK17" s="619" t="s">
        <v>190</v>
      </c>
      <c r="BL17" s="630" t="s">
        <v>191</v>
      </c>
      <c r="BM17" s="627" t="s">
        <v>192</v>
      </c>
      <c r="BN17" s="619" t="s">
        <v>193</v>
      </c>
      <c r="BO17" s="619" t="s">
        <v>194</v>
      </c>
      <c r="BP17" s="619" t="s">
        <v>195</v>
      </c>
      <c r="BQ17" s="627" t="s">
        <v>196</v>
      </c>
      <c r="BR17" s="619" t="s">
        <v>197</v>
      </c>
      <c r="BS17" s="619" t="s">
        <v>198</v>
      </c>
      <c r="BT17" s="619" t="s">
        <v>199</v>
      </c>
      <c r="BU17" s="622" t="s">
        <v>200</v>
      </c>
      <c r="BV17" s="630" t="s">
        <v>201</v>
      </c>
      <c r="BW17" s="630" t="s">
        <v>202</v>
      </c>
    </row>
    <row r="18" spans="3:80" ht="30.75" customHeight="1" x14ac:dyDescent="0.25">
      <c r="C18" s="652"/>
      <c r="D18" s="654"/>
      <c r="E18" s="628"/>
      <c r="F18" s="620"/>
      <c r="G18" s="655"/>
      <c r="H18" s="637"/>
      <c r="I18" s="655"/>
      <c r="J18" s="637"/>
      <c r="K18" s="655"/>
      <c r="L18" s="655"/>
      <c r="M18" s="637"/>
      <c r="N18" s="640"/>
      <c r="O18" s="643"/>
      <c r="P18" s="637"/>
      <c r="Q18" s="637"/>
      <c r="R18" s="637"/>
      <c r="S18" s="637"/>
      <c r="T18" s="637"/>
      <c r="U18" s="637"/>
      <c r="V18" s="637"/>
      <c r="W18" s="620"/>
      <c r="X18" s="631"/>
      <c r="Y18" s="628"/>
      <c r="Z18" s="620"/>
      <c r="AA18" s="625"/>
      <c r="AB18" s="625"/>
      <c r="AC18" s="625"/>
      <c r="AD18" s="620"/>
      <c r="AE18" s="625"/>
      <c r="AF18" s="625"/>
      <c r="AG18" s="625"/>
      <c r="AH18" s="631"/>
      <c r="AI18" s="628"/>
      <c r="AJ18" s="620"/>
      <c r="AK18" s="625"/>
      <c r="AL18" s="625"/>
      <c r="AM18" s="625"/>
      <c r="AN18" s="620"/>
      <c r="AO18" s="625"/>
      <c r="AP18" s="625"/>
      <c r="AQ18" s="625"/>
      <c r="AR18" s="631"/>
      <c r="AS18" s="628"/>
      <c r="AT18" s="620"/>
      <c r="AU18" s="625"/>
      <c r="AV18" s="625"/>
      <c r="AW18" s="625"/>
      <c r="AX18" s="620"/>
      <c r="AY18" s="625"/>
      <c r="AZ18" s="625"/>
      <c r="BA18" s="625"/>
      <c r="BB18" s="620"/>
      <c r="BC18" s="628"/>
      <c r="BD18" s="620"/>
      <c r="BE18" s="625"/>
      <c r="BF18" s="625"/>
      <c r="BG18" s="625"/>
      <c r="BH18" s="620"/>
      <c r="BI18" s="625"/>
      <c r="BJ18" s="625"/>
      <c r="BK18" s="625"/>
      <c r="BL18" s="631"/>
      <c r="BM18" s="634"/>
      <c r="BN18" s="625"/>
      <c r="BO18" s="625"/>
      <c r="BP18" s="625"/>
      <c r="BQ18" s="628"/>
      <c r="BR18" s="620"/>
      <c r="BS18" s="620"/>
      <c r="BT18" s="620"/>
      <c r="BU18" s="623"/>
      <c r="BV18" s="631"/>
      <c r="BW18" s="631"/>
    </row>
    <row r="19" spans="3:80" ht="48" customHeight="1" thickBot="1" x14ac:dyDescent="0.3">
      <c r="C19" s="652"/>
      <c r="D19" s="654"/>
      <c r="E19" s="629"/>
      <c r="F19" s="621"/>
      <c r="G19" s="656"/>
      <c r="H19" s="638"/>
      <c r="I19" s="656"/>
      <c r="J19" s="638"/>
      <c r="K19" s="656"/>
      <c r="L19" s="656"/>
      <c r="M19" s="638"/>
      <c r="N19" s="641"/>
      <c r="O19" s="644"/>
      <c r="P19" s="638"/>
      <c r="Q19" s="638"/>
      <c r="R19" s="638"/>
      <c r="S19" s="638"/>
      <c r="T19" s="638"/>
      <c r="U19" s="638"/>
      <c r="V19" s="638"/>
      <c r="W19" s="621"/>
      <c r="X19" s="633"/>
      <c r="Y19" s="629"/>
      <c r="Z19" s="621"/>
      <c r="AA19" s="626"/>
      <c r="AB19" s="626"/>
      <c r="AC19" s="626"/>
      <c r="AD19" s="621"/>
      <c r="AE19" s="626"/>
      <c r="AF19" s="626"/>
      <c r="AG19" s="626"/>
      <c r="AH19" s="633"/>
      <c r="AI19" s="629"/>
      <c r="AJ19" s="621"/>
      <c r="AK19" s="626"/>
      <c r="AL19" s="626"/>
      <c r="AM19" s="626"/>
      <c r="AN19" s="621"/>
      <c r="AO19" s="626"/>
      <c r="AP19" s="626"/>
      <c r="AQ19" s="626"/>
      <c r="AR19" s="633"/>
      <c r="AS19" s="629"/>
      <c r="AT19" s="621"/>
      <c r="AU19" s="626"/>
      <c r="AV19" s="626"/>
      <c r="AW19" s="626"/>
      <c r="AX19" s="621"/>
      <c r="AY19" s="626"/>
      <c r="AZ19" s="626"/>
      <c r="BA19" s="626"/>
      <c r="BB19" s="621"/>
      <c r="BC19" s="629"/>
      <c r="BD19" s="621"/>
      <c r="BE19" s="626"/>
      <c r="BF19" s="626"/>
      <c r="BG19" s="626"/>
      <c r="BH19" s="621"/>
      <c r="BI19" s="626"/>
      <c r="BJ19" s="626"/>
      <c r="BK19" s="626"/>
      <c r="BL19" s="633"/>
      <c r="BM19" s="635"/>
      <c r="BN19" s="626"/>
      <c r="BO19" s="626"/>
      <c r="BP19" s="626"/>
      <c r="BQ19" s="629"/>
      <c r="BR19" s="621"/>
      <c r="BS19" s="621"/>
      <c r="BT19" s="621" t="s">
        <v>203</v>
      </c>
      <c r="BU19" s="624"/>
      <c r="BV19" s="632"/>
      <c r="BW19" s="632"/>
    </row>
    <row r="20" spans="3:80" ht="23.5" thickBot="1" x14ac:dyDescent="0.4">
      <c r="C20" s="99" t="s">
        <v>204</v>
      </c>
      <c r="D20" s="100"/>
      <c r="E20" s="101"/>
      <c r="F20" s="102"/>
      <c r="G20" s="103"/>
      <c r="H20" s="103"/>
      <c r="I20" s="103"/>
      <c r="J20" s="103"/>
      <c r="K20" s="103"/>
      <c r="L20" s="103"/>
      <c r="M20" s="103"/>
      <c r="N20" s="104"/>
      <c r="O20" s="105"/>
      <c r="P20" s="106"/>
      <c r="Q20" s="103"/>
      <c r="R20" s="103"/>
      <c r="S20" s="103"/>
      <c r="T20" s="103"/>
      <c r="U20" s="103"/>
      <c r="V20" s="103"/>
      <c r="W20" s="107"/>
      <c r="X20" s="108"/>
      <c r="Y20" s="109"/>
      <c r="Z20" s="110"/>
      <c r="AA20" s="107"/>
      <c r="AB20" s="107"/>
      <c r="AC20" s="107"/>
      <c r="AD20" s="107"/>
      <c r="AE20" s="107"/>
      <c r="AF20" s="107"/>
      <c r="AG20" s="107"/>
      <c r="AH20" s="108"/>
      <c r="AI20" s="109"/>
      <c r="AJ20" s="102"/>
      <c r="AK20" s="107"/>
      <c r="AL20" s="107"/>
      <c r="AM20" s="107"/>
      <c r="AN20" s="107"/>
      <c r="AO20" s="107"/>
      <c r="AP20" s="107"/>
      <c r="AQ20" s="107"/>
      <c r="AR20" s="108"/>
      <c r="AS20" s="109"/>
      <c r="AT20" s="102"/>
      <c r="AU20" s="107"/>
      <c r="AV20" s="107"/>
      <c r="AW20" s="107"/>
      <c r="AX20" s="107"/>
      <c r="AY20" s="107"/>
      <c r="AZ20" s="107"/>
      <c r="BA20" s="107"/>
      <c r="BB20" s="111"/>
      <c r="BC20" s="109"/>
      <c r="BD20" s="102"/>
      <c r="BE20" s="107"/>
      <c r="BF20" s="107"/>
      <c r="BG20" s="107"/>
      <c r="BH20" s="107"/>
      <c r="BI20" s="107"/>
      <c r="BJ20" s="107"/>
      <c r="BK20" s="107"/>
      <c r="BL20" s="108"/>
      <c r="BM20" s="112"/>
      <c r="BN20" s="113"/>
      <c r="BO20" s="107"/>
      <c r="BP20" s="113"/>
      <c r="BQ20" s="114"/>
      <c r="BR20" s="115"/>
      <c r="BS20" s="115"/>
      <c r="BT20" s="115"/>
      <c r="BU20" s="116"/>
      <c r="BV20" s="117"/>
      <c r="BW20" s="118"/>
    </row>
    <row r="21" spans="3:80" ht="14.5" thickBot="1" x14ac:dyDescent="0.35">
      <c r="C21" s="119" t="s">
        <v>205</v>
      </c>
      <c r="D21" s="120">
        <v>1550</v>
      </c>
      <c r="E21" s="121"/>
      <c r="F21" s="122"/>
      <c r="G21" s="122"/>
      <c r="H21" s="122"/>
      <c r="I21" s="123">
        <f>E21+F21-G21+H21</f>
        <v>0</v>
      </c>
      <c r="J21" s="122"/>
      <c r="K21" s="122"/>
      <c r="L21" s="122"/>
      <c r="M21" s="122"/>
      <c r="N21" s="123">
        <f>J21+K21-L21+M21</f>
        <v>0</v>
      </c>
      <c r="O21" s="124">
        <f>I21</f>
        <v>0</v>
      </c>
      <c r="P21" s="122"/>
      <c r="Q21" s="122"/>
      <c r="R21" s="122"/>
      <c r="S21" s="123">
        <f t="shared" ref="S21:S31" si="0">O21+P21-Q21+SUM(R21:R21)</f>
        <v>0</v>
      </c>
      <c r="T21" s="123">
        <f t="shared" ref="T21:T37" si="1">N21</f>
        <v>0</v>
      </c>
      <c r="U21" s="122"/>
      <c r="V21" s="122"/>
      <c r="W21" s="122"/>
      <c r="X21" s="125">
        <f>T21+U21-V21+W21</f>
        <v>0</v>
      </c>
      <c r="Y21" s="126">
        <f>S21</f>
        <v>0</v>
      </c>
      <c r="Z21" s="122"/>
      <c r="AA21" s="122"/>
      <c r="AB21" s="122"/>
      <c r="AC21" s="123">
        <f>Y21+Z21-AA21+SUM(AB21:AB21)</f>
        <v>0</v>
      </c>
      <c r="AD21" s="127">
        <f t="shared" ref="AD21:AD37" si="2">X21</f>
        <v>0</v>
      </c>
      <c r="AE21" s="122"/>
      <c r="AF21" s="122"/>
      <c r="AG21" s="122"/>
      <c r="AH21" s="125">
        <f>AD21+AE21-AF21+AG21</f>
        <v>0</v>
      </c>
      <c r="AI21" s="126">
        <f t="shared" ref="AI21:AI37" si="3">AC21</f>
        <v>0</v>
      </c>
      <c r="AJ21" s="122"/>
      <c r="AK21" s="122"/>
      <c r="AL21" s="128"/>
      <c r="AM21" s="123">
        <f t="shared" ref="AM21:AM37" si="4">AI21+AJ21-AK21+SUM(AL21:AL21)</f>
        <v>0</v>
      </c>
      <c r="AN21" s="127">
        <f t="shared" ref="AN21:AN37" si="5">AH21</f>
        <v>0</v>
      </c>
      <c r="AO21" s="122"/>
      <c r="AP21" s="122"/>
      <c r="AQ21" s="128"/>
      <c r="AR21" s="125">
        <f>AN21+AO21-AP21+AQ21</f>
        <v>0</v>
      </c>
      <c r="AS21" s="126">
        <f t="shared" ref="AS21:AS37" si="6">AM21</f>
        <v>0</v>
      </c>
      <c r="AT21" s="129"/>
      <c r="AU21" s="122"/>
      <c r="AV21" s="130">
        <v>716112.46000000066</v>
      </c>
      <c r="AW21" s="123">
        <f t="shared" ref="AW21:AW37" si="7">AS21+AT21-AU21+SUM(AV21:AV21)</f>
        <v>716112.46000000066</v>
      </c>
      <c r="AX21" s="127">
        <f t="shared" ref="AX21:AX37" si="8">AR21</f>
        <v>0</v>
      </c>
      <c r="AY21" s="129"/>
      <c r="AZ21" s="122"/>
      <c r="BA21" s="130">
        <v>14723.7867015335</v>
      </c>
      <c r="BB21" s="123">
        <f>AX21+AY21-AZ21+BA21</f>
        <v>14723.7867015335</v>
      </c>
      <c r="BC21" s="126">
        <f t="shared" ref="BC21:BC37" si="9">AW21</f>
        <v>716112.46000000066</v>
      </c>
      <c r="BD21" s="131">
        <v>539673.42000000004</v>
      </c>
      <c r="BE21" s="130">
        <v>320000.45000000048</v>
      </c>
      <c r="BF21" s="132"/>
      <c r="BG21" s="123">
        <f t="shared" ref="BG21:BG37" si="10">BC21+BD21-BE21+SUM(BF21:BF21)</f>
        <v>935785.4300000004</v>
      </c>
      <c r="BH21" s="127">
        <f t="shared" ref="BH21:BH37" si="11">BB21</f>
        <v>14723.7867015335</v>
      </c>
      <c r="BI21" s="131">
        <v>8847.4932984665029</v>
      </c>
      <c r="BJ21" s="130">
        <v>11865.6208825335</v>
      </c>
      <c r="BK21" s="132"/>
      <c r="BL21" s="125">
        <f>BH21+BI21-BJ21+BK21</f>
        <v>11705.659117466503</v>
      </c>
      <c r="BM21" s="133">
        <v>396112.01000000018</v>
      </c>
      <c r="BN21" s="133">
        <v>9467.3679331666626</v>
      </c>
      <c r="BO21" s="127">
        <f>BG21-BM21</f>
        <v>539673.42000000016</v>
      </c>
      <c r="BP21" s="134">
        <f>BL21-BN21</f>
        <v>2238.2911842998401</v>
      </c>
      <c r="BQ21" s="135">
        <v>3076.1358719999976</v>
      </c>
      <c r="BR21" s="133"/>
      <c r="BS21" s="136">
        <f>BP21+BQ21+BR21</f>
        <v>5314.4270562998372</v>
      </c>
      <c r="BT21" s="137">
        <f>SUM(BO21:BR21)</f>
        <v>544987.84705630003</v>
      </c>
      <c r="BU21" s="123"/>
      <c r="BV21" s="138">
        <v>947490.65</v>
      </c>
      <c r="BW21" s="139">
        <f>ROUND(BV21-SUM(BG21,BL21),2)</f>
        <v>-0.44</v>
      </c>
      <c r="BX21" s="87" t="str">
        <f>IF(ABS(BW21)&gt;1,"Please provide an explanation of the variance in the Manager's Summary","")</f>
        <v/>
      </c>
      <c r="BY21" s="88"/>
      <c r="BZ21" s="88"/>
      <c r="CA21" s="88"/>
      <c r="CB21" s="88"/>
    </row>
    <row r="22" spans="3:80" ht="14.5" thickBot="1" x14ac:dyDescent="0.35">
      <c r="C22" s="119" t="s">
        <v>206</v>
      </c>
      <c r="D22" s="120">
        <v>1551</v>
      </c>
      <c r="E22" s="121"/>
      <c r="F22" s="122"/>
      <c r="G22" s="122"/>
      <c r="H22" s="122"/>
      <c r="I22" s="123">
        <f>E22+F22-G22+H22</f>
        <v>0</v>
      </c>
      <c r="J22" s="122"/>
      <c r="K22" s="122"/>
      <c r="L22" s="122"/>
      <c r="M22" s="122"/>
      <c r="N22" s="123">
        <f>J22+K22-L22+M22</f>
        <v>0</v>
      </c>
      <c r="O22" s="124">
        <f>I22</f>
        <v>0</v>
      </c>
      <c r="P22" s="122"/>
      <c r="Q22" s="122"/>
      <c r="R22" s="122"/>
      <c r="S22" s="123">
        <f t="shared" si="0"/>
        <v>0</v>
      </c>
      <c r="T22" s="123">
        <f t="shared" si="1"/>
        <v>0</v>
      </c>
      <c r="U22" s="122"/>
      <c r="V22" s="122"/>
      <c r="W22" s="122"/>
      <c r="X22" s="125">
        <f>T22+U22-V22+W22</f>
        <v>0</v>
      </c>
      <c r="Y22" s="126">
        <f t="shared" ref="Y22:Y37" si="12">S22</f>
        <v>0</v>
      </c>
      <c r="Z22" s="122"/>
      <c r="AA22" s="122"/>
      <c r="AB22" s="122"/>
      <c r="AC22" s="123">
        <f>Y22+Z22-AA22+SUM(AB22:AB22)</f>
        <v>0</v>
      </c>
      <c r="AD22" s="127">
        <f>X22</f>
        <v>0</v>
      </c>
      <c r="AE22" s="122"/>
      <c r="AF22" s="140"/>
      <c r="AG22" s="141"/>
      <c r="AH22" s="125">
        <f>AD22+AE22-AF22+AG22</f>
        <v>0</v>
      </c>
      <c r="AI22" s="126">
        <f t="shared" si="3"/>
        <v>0</v>
      </c>
      <c r="AJ22" s="122"/>
      <c r="AK22" s="122"/>
      <c r="AL22" s="142"/>
      <c r="AM22" s="123">
        <f t="shared" si="4"/>
        <v>0</v>
      </c>
      <c r="AN22" s="127">
        <f t="shared" si="5"/>
        <v>0</v>
      </c>
      <c r="AO22" s="122"/>
      <c r="AP22" s="140"/>
      <c r="AQ22" s="142"/>
      <c r="AR22" s="125">
        <f>AN22+AO22-AP22+AQ22</f>
        <v>0</v>
      </c>
      <c r="AS22" s="126">
        <f t="shared" si="6"/>
        <v>0</v>
      </c>
      <c r="AT22" s="143"/>
      <c r="AU22" s="122"/>
      <c r="AV22" s="130">
        <v>-767707.41400000057</v>
      </c>
      <c r="AW22" s="123">
        <f t="shared" si="7"/>
        <v>-767707.41400000057</v>
      </c>
      <c r="AX22" s="127">
        <f t="shared" si="8"/>
        <v>0</v>
      </c>
      <c r="AY22" s="143"/>
      <c r="AZ22" s="140"/>
      <c r="BA22" s="144">
        <v>-29663.673576452726</v>
      </c>
      <c r="BB22" s="123">
        <f>AX22+AY22-AZ22+BA22</f>
        <v>-29663.673576452726</v>
      </c>
      <c r="BC22" s="126">
        <f t="shared" si="9"/>
        <v>-767707.41400000057</v>
      </c>
      <c r="BD22" s="131">
        <v>-417085.24373747013</v>
      </c>
      <c r="BE22" s="130">
        <v>-727041.93400000106</v>
      </c>
      <c r="BF22" s="132"/>
      <c r="BG22" s="123">
        <f t="shared" si="10"/>
        <v>-457750.72373746964</v>
      </c>
      <c r="BH22" s="127">
        <f t="shared" si="11"/>
        <v>-29663.673576452726</v>
      </c>
      <c r="BI22" s="131">
        <v>-23619.64577387286</v>
      </c>
      <c r="BJ22" s="145">
        <v>-14319.823087795536</v>
      </c>
      <c r="BK22" s="146"/>
      <c r="BL22" s="125">
        <f>BH22+BI22-BJ22+BK22</f>
        <v>-38963.496262530054</v>
      </c>
      <c r="BM22" s="133">
        <v>-40665.479999999749</v>
      </c>
      <c r="BN22" s="133">
        <v>-18544.519239690515</v>
      </c>
      <c r="BO22" s="127">
        <f t="shared" ref="BO22:BO37" si="13">BG22-BM22</f>
        <v>-417085.24373746989</v>
      </c>
      <c r="BP22" s="134">
        <f t="shared" ref="BP22:BP37" si="14">BL22-BN22</f>
        <v>-20418.977022839539</v>
      </c>
      <c r="BQ22" s="135">
        <v>-2377.3336428520347</v>
      </c>
      <c r="BR22" s="133"/>
      <c r="BS22" s="136">
        <f t="shared" ref="BS22:BS37" si="15">BP22+BQ22+BR22</f>
        <v>-22796.310665691573</v>
      </c>
      <c r="BT22" s="137">
        <f>SUM(BO22:BR22)</f>
        <v>-439881.55440316146</v>
      </c>
      <c r="BU22" s="123"/>
      <c r="BV22" s="138">
        <v>-496714.22</v>
      </c>
      <c r="BW22" s="139">
        <f t="shared" ref="BW22:BW36" si="16">ROUND(BV22-SUM(BG22,BL22),2)</f>
        <v>0</v>
      </c>
      <c r="BX22" s="87" t="str">
        <f t="shared" ref="BX22:BX46" si="17">IF(ABS(BW22)&gt;1,"Please provide an explanation of the variance in the Manager's Summary","")</f>
        <v/>
      </c>
      <c r="BY22" s="88"/>
      <c r="BZ22" s="88"/>
      <c r="CA22" s="88"/>
      <c r="CB22" s="88"/>
    </row>
    <row r="23" spans="3:80" ht="17" thickBot="1" x14ac:dyDescent="0.35">
      <c r="C23" s="147" t="s">
        <v>207</v>
      </c>
      <c r="D23" s="120">
        <v>1580</v>
      </c>
      <c r="E23" s="121"/>
      <c r="F23" s="122"/>
      <c r="G23" s="122"/>
      <c r="H23" s="122"/>
      <c r="I23" s="123">
        <f t="shared" ref="I23:I37" si="18">E23+F23-G23+H23</f>
        <v>0</v>
      </c>
      <c r="J23" s="122"/>
      <c r="K23" s="122"/>
      <c r="L23" s="122"/>
      <c r="M23" s="122"/>
      <c r="N23" s="123">
        <f t="shared" ref="N23:N37" si="19">J23+K23-L23+M23</f>
        <v>0</v>
      </c>
      <c r="O23" s="124">
        <f t="shared" ref="O23:O37" si="20">I23</f>
        <v>0</v>
      </c>
      <c r="P23" s="122"/>
      <c r="Q23" s="122"/>
      <c r="R23" s="122"/>
      <c r="S23" s="123">
        <f t="shared" si="0"/>
        <v>0</v>
      </c>
      <c r="T23" s="123">
        <f t="shared" si="1"/>
        <v>0</v>
      </c>
      <c r="U23" s="122"/>
      <c r="V23" s="122"/>
      <c r="W23" s="122"/>
      <c r="X23" s="125">
        <f t="shared" ref="X23:X37" si="21">T23+U23-V23+W23</f>
        <v>0</v>
      </c>
      <c r="Y23" s="126">
        <f t="shared" si="12"/>
        <v>0</v>
      </c>
      <c r="Z23" s="122"/>
      <c r="AA23" s="122"/>
      <c r="AB23" s="122"/>
      <c r="AC23" s="123">
        <f t="shared" ref="AC23:AC31" si="22">Y23+Z23-AA23+SUM(AB23:AB23)</f>
        <v>0</v>
      </c>
      <c r="AD23" s="127">
        <f t="shared" si="2"/>
        <v>0</v>
      </c>
      <c r="AE23" s="122"/>
      <c r="AF23" s="122"/>
      <c r="AG23" s="122"/>
      <c r="AH23" s="125">
        <f t="shared" ref="AH23:AH37" si="23">AD23+AE23-AF23+AG23</f>
        <v>0</v>
      </c>
      <c r="AI23" s="126">
        <f t="shared" si="3"/>
        <v>0</v>
      </c>
      <c r="AJ23" s="122"/>
      <c r="AK23" s="122"/>
      <c r="AL23" s="148"/>
      <c r="AM23" s="123">
        <f t="shared" si="4"/>
        <v>0</v>
      </c>
      <c r="AN23" s="127">
        <f t="shared" si="5"/>
        <v>0</v>
      </c>
      <c r="AO23" s="122"/>
      <c r="AP23" s="122"/>
      <c r="AQ23" s="148"/>
      <c r="AR23" s="125">
        <f t="shared" ref="AR23:AR37" si="24">AN23+AO23-AP23+AQ23</f>
        <v>0</v>
      </c>
      <c r="AS23" s="126">
        <f t="shared" si="6"/>
        <v>0</v>
      </c>
      <c r="AT23" s="129"/>
      <c r="AU23" s="122"/>
      <c r="AV23" s="130">
        <v>-9501407.2727703415</v>
      </c>
      <c r="AW23" s="123">
        <f t="shared" si="7"/>
        <v>-9501407.2727703415</v>
      </c>
      <c r="AX23" s="127">
        <f t="shared" si="8"/>
        <v>0</v>
      </c>
      <c r="AY23" s="129"/>
      <c r="AZ23" s="122"/>
      <c r="BA23" s="130">
        <v>-121981.62761738291</v>
      </c>
      <c r="BB23" s="123">
        <f t="shared" ref="BB23:BB37" si="25">AX23+AY23-AZ23+BA23</f>
        <v>-121981.62761738291</v>
      </c>
      <c r="BC23" s="126">
        <f t="shared" si="9"/>
        <v>-9501407.2727703415</v>
      </c>
      <c r="BD23" s="131">
        <v>-11119035.279999997</v>
      </c>
      <c r="BE23" s="130">
        <v>-4206091.6938775005</v>
      </c>
      <c r="BF23" s="132"/>
      <c r="BG23" s="123">
        <f t="shared" si="10"/>
        <v>-16414350.858892839</v>
      </c>
      <c r="BH23" s="127">
        <f t="shared" si="11"/>
        <v>-121981.62761738291</v>
      </c>
      <c r="BI23" s="131">
        <v>-197745.20961235312</v>
      </c>
      <c r="BJ23" s="130">
        <v>-155386.7880055343</v>
      </c>
      <c r="BK23" s="132"/>
      <c r="BL23" s="125">
        <f t="shared" ref="BL23:BL37" si="26">BH23+BI23-BJ23+BK23</f>
        <v>-164340.04922420174</v>
      </c>
      <c r="BM23" s="133">
        <v>-5295315.5788927674</v>
      </c>
      <c r="BN23" s="133">
        <v>-54687.572484306409</v>
      </c>
      <c r="BO23" s="127">
        <f t="shared" si="13"/>
        <v>-11119035.280000072</v>
      </c>
      <c r="BP23" s="134">
        <f t="shared" si="14"/>
        <v>-109652.47673989533</v>
      </c>
      <c r="BQ23" s="135">
        <v>-63378.501118101725</v>
      </c>
      <c r="BR23" s="133"/>
      <c r="BS23" s="136">
        <f t="shared" si="15"/>
        <v>-173030.97785799706</v>
      </c>
      <c r="BT23" s="137">
        <f>SUM(BO23:BR23)</f>
        <v>-11292066.257858068</v>
      </c>
      <c r="BU23" s="123"/>
      <c r="BV23" s="138">
        <v>-18614524.670000002</v>
      </c>
      <c r="BW23" s="139">
        <f t="shared" si="16"/>
        <v>-2035833.76</v>
      </c>
      <c r="BX23" s="87" t="str">
        <f>IF(ROUND(BW23,0)=ROUND(BV25,0),"","The variance does not match the value in cell BV25. Please provide an explanation of the variance in the Manager's Summary")</f>
        <v/>
      </c>
      <c r="BY23" s="88"/>
      <c r="BZ23" s="88"/>
      <c r="CA23" s="88"/>
      <c r="CB23" s="88"/>
    </row>
    <row r="24" spans="3:80" ht="17" thickBot="1" x14ac:dyDescent="0.35">
      <c r="C24" s="147" t="s">
        <v>208</v>
      </c>
      <c r="D24" s="120">
        <v>1580</v>
      </c>
      <c r="E24" s="121"/>
      <c r="F24" s="122"/>
      <c r="G24" s="122"/>
      <c r="H24" s="122"/>
      <c r="I24" s="123">
        <f t="shared" si="18"/>
        <v>0</v>
      </c>
      <c r="J24" s="122"/>
      <c r="K24" s="122"/>
      <c r="L24" s="122"/>
      <c r="M24" s="122"/>
      <c r="N24" s="123">
        <f t="shared" si="19"/>
        <v>0</v>
      </c>
      <c r="O24" s="124">
        <f t="shared" si="20"/>
        <v>0</v>
      </c>
      <c r="P24" s="122"/>
      <c r="Q24" s="122"/>
      <c r="R24" s="122"/>
      <c r="S24" s="123">
        <f t="shared" si="0"/>
        <v>0</v>
      </c>
      <c r="T24" s="123">
        <f t="shared" si="1"/>
        <v>0</v>
      </c>
      <c r="U24" s="122"/>
      <c r="V24" s="122"/>
      <c r="W24" s="122"/>
      <c r="X24" s="125">
        <f t="shared" si="21"/>
        <v>0</v>
      </c>
      <c r="Y24" s="126">
        <f t="shared" si="12"/>
        <v>0</v>
      </c>
      <c r="Z24" s="122"/>
      <c r="AA24" s="122"/>
      <c r="AB24" s="122"/>
      <c r="AC24" s="123">
        <f t="shared" si="22"/>
        <v>0</v>
      </c>
      <c r="AD24" s="127">
        <f t="shared" si="2"/>
        <v>0</v>
      </c>
      <c r="AE24" s="122"/>
      <c r="AF24" s="122"/>
      <c r="AG24" s="122"/>
      <c r="AH24" s="125">
        <f t="shared" si="23"/>
        <v>0</v>
      </c>
      <c r="AI24" s="126">
        <f t="shared" si="3"/>
        <v>0</v>
      </c>
      <c r="AJ24" s="122"/>
      <c r="AK24" s="122"/>
      <c r="AL24" s="122"/>
      <c r="AM24" s="123">
        <f t="shared" si="4"/>
        <v>0</v>
      </c>
      <c r="AN24" s="127">
        <f t="shared" si="5"/>
        <v>0</v>
      </c>
      <c r="AO24" s="122"/>
      <c r="AP24" s="122"/>
      <c r="AQ24" s="122"/>
      <c r="AR24" s="125">
        <f t="shared" si="24"/>
        <v>0</v>
      </c>
      <c r="AS24" s="126">
        <f t="shared" si="6"/>
        <v>0</v>
      </c>
      <c r="AT24" s="122"/>
      <c r="AU24" s="122"/>
      <c r="AV24" s="130">
        <v>0</v>
      </c>
      <c r="AW24" s="123">
        <f t="shared" si="7"/>
        <v>0</v>
      </c>
      <c r="AX24" s="127">
        <f t="shared" si="8"/>
        <v>0</v>
      </c>
      <c r="AY24" s="122"/>
      <c r="AZ24" s="122"/>
      <c r="BA24" s="130">
        <v>0</v>
      </c>
      <c r="BB24" s="123">
        <f t="shared" si="25"/>
        <v>0</v>
      </c>
      <c r="BC24" s="126">
        <f t="shared" si="9"/>
        <v>0</v>
      </c>
      <c r="BD24" s="130"/>
      <c r="BE24" s="130">
        <v>0</v>
      </c>
      <c r="BF24" s="132"/>
      <c r="BG24" s="123">
        <f>BC24+BD24-BE24+SUM(BF24:BF24)</f>
        <v>0</v>
      </c>
      <c r="BH24" s="127">
        <f t="shared" si="11"/>
        <v>0</v>
      </c>
      <c r="BI24" s="130"/>
      <c r="BJ24" s="130">
        <v>0</v>
      </c>
      <c r="BK24" s="132"/>
      <c r="BL24" s="125">
        <f t="shared" si="26"/>
        <v>0</v>
      </c>
      <c r="BM24" s="149">
        <v>0</v>
      </c>
      <c r="BN24" s="132">
        <v>0</v>
      </c>
      <c r="BO24" s="127">
        <f t="shared" si="13"/>
        <v>0</v>
      </c>
      <c r="BP24" s="134">
        <f t="shared" si="14"/>
        <v>0</v>
      </c>
      <c r="BQ24" s="150"/>
      <c r="BR24" s="133"/>
      <c r="BS24" s="136">
        <f t="shared" si="15"/>
        <v>0</v>
      </c>
      <c r="BT24" s="137">
        <f>IF(CB5=TRUE, 0, 0)</f>
        <v>0</v>
      </c>
      <c r="BU24" s="123"/>
      <c r="BV24" s="138">
        <v>0</v>
      </c>
      <c r="BW24" s="139">
        <f t="shared" si="16"/>
        <v>0</v>
      </c>
      <c r="BX24" s="87" t="str">
        <f t="shared" si="17"/>
        <v/>
      </c>
      <c r="BY24" s="88"/>
      <c r="BZ24" s="88"/>
      <c r="CA24" s="88"/>
      <c r="CB24" s="88"/>
    </row>
    <row r="25" spans="3:80" ht="17" thickBot="1" x14ac:dyDescent="0.35">
      <c r="C25" s="147" t="s">
        <v>209</v>
      </c>
      <c r="D25" s="120">
        <v>1580</v>
      </c>
      <c r="E25" s="121"/>
      <c r="F25" s="122"/>
      <c r="G25" s="122"/>
      <c r="H25" s="122"/>
      <c r="I25" s="123">
        <f t="shared" si="18"/>
        <v>0</v>
      </c>
      <c r="J25" s="122"/>
      <c r="K25" s="122"/>
      <c r="L25" s="122"/>
      <c r="M25" s="122"/>
      <c r="N25" s="123">
        <f t="shared" si="19"/>
        <v>0</v>
      </c>
      <c r="O25" s="124">
        <f t="shared" si="20"/>
        <v>0</v>
      </c>
      <c r="P25" s="122"/>
      <c r="Q25" s="122"/>
      <c r="R25" s="122"/>
      <c r="S25" s="123">
        <f t="shared" si="0"/>
        <v>0</v>
      </c>
      <c r="T25" s="123">
        <f t="shared" si="1"/>
        <v>0</v>
      </c>
      <c r="U25" s="122"/>
      <c r="V25" s="122"/>
      <c r="W25" s="122"/>
      <c r="X25" s="125">
        <f t="shared" si="21"/>
        <v>0</v>
      </c>
      <c r="Y25" s="126">
        <f t="shared" si="12"/>
        <v>0</v>
      </c>
      <c r="Z25" s="122"/>
      <c r="AA25" s="122"/>
      <c r="AB25" s="122"/>
      <c r="AC25" s="123">
        <f t="shared" si="22"/>
        <v>0</v>
      </c>
      <c r="AD25" s="127">
        <f t="shared" si="2"/>
        <v>0</v>
      </c>
      <c r="AE25" s="122"/>
      <c r="AF25" s="122"/>
      <c r="AG25" s="122"/>
      <c r="AH25" s="125">
        <f t="shared" si="23"/>
        <v>0</v>
      </c>
      <c r="AI25" s="126">
        <f t="shared" si="3"/>
        <v>0</v>
      </c>
      <c r="AJ25" s="122"/>
      <c r="AK25" s="122"/>
      <c r="AL25" s="122"/>
      <c r="AM25" s="123">
        <f t="shared" si="4"/>
        <v>0</v>
      </c>
      <c r="AN25" s="127">
        <f t="shared" si="5"/>
        <v>0</v>
      </c>
      <c r="AO25" s="122"/>
      <c r="AP25" s="122"/>
      <c r="AQ25" s="122"/>
      <c r="AR25" s="125">
        <f t="shared" si="24"/>
        <v>0</v>
      </c>
      <c r="AS25" s="126">
        <f t="shared" si="6"/>
        <v>0</v>
      </c>
      <c r="AT25" s="122"/>
      <c r="AU25" s="122"/>
      <c r="AV25" s="130">
        <v>-2157938.1799999992</v>
      </c>
      <c r="AW25" s="123">
        <f t="shared" si="7"/>
        <v>-2157938.1799999992</v>
      </c>
      <c r="AX25" s="127">
        <f t="shared" si="8"/>
        <v>0</v>
      </c>
      <c r="AY25" s="122"/>
      <c r="AZ25" s="122"/>
      <c r="BA25" s="130">
        <v>-25293.335781419366</v>
      </c>
      <c r="BB25" s="123">
        <f t="shared" si="25"/>
        <v>-25293.335781419366</v>
      </c>
      <c r="BC25" s="126">
        <f t="shared" si="9"/>
        <v>-2157938.1799999992</v>
      </c>
      <c r="BD25" s="130">
        <v>-498545.64999999973</v>
      </c>
      <c r="BE25" s="130">
        <v>-570685.89999999944</v>
      </c>
      <c r="BF25" s="132"/>
      <c r="BG25" s="123">
        <f t="shared" si="10"/>
        <v>-2085797.9299999997</v>
      </c>
      <c r="BH25" s="127">
        <f t="shared" si="11"/>
        <v>-25293.335781419366</v>
      </c>
      <c r="BI25" s="130">
        <v>57868.395781418556</v>
      </c>
      <c r="BJ25" s="130">
        <v>-17389.107401752703</v>
      </c>
      <c r="BK25" s="132"/>
      <c r="BL25" s="125">
        <f t="shared" si="26"/>
        <v>49964.167401751896</v>
      </c>
      <c r="BM25" s="149">
        <v>-1587252.2799999998</v>
      </c>
      <c r="BN25" s="132">
        <v>-31802.433832999992</v>
      </c>
      <c r="BO25" s="127">
        <f t="shared" si="13"/>
        <v>-498545.64999999991</v>
      </c>
      <c r="BP25" s="134">
        <f t="shared" si="14"/>
        <v>81766.601234751884</v>
      </c>
      <c r="BQ25" s="135">
        <v>-2841.7079250000043</v>
      </c>
      <c r="BR25" s="133"/>
      <c r="BS25" s="136">
        <f t="shared" si="15"/>
        <v>78924.893309751875</v>
      </c>
      <c r="BT25" s="137">
        <f>SUM(BO25:BR25)</f>
        <v>-419620.75669024803</v>
      </c>
      <c r="BU25" s="123"/>
      <c r="BV25" s="138">
        <v>-2035833.76</v>
      </c>
      <c r="BW25" s="139">
        <f t="shared" si="16"/>
        <v>0</v>
      </c>
      <c r="BX25" s="87" t="str">
        <f t="shared" si="17"/>
        <v/>
      </c>
      <c r="BY25" s="88"/>
      <c r="BZ25" s="88"/>
      <c r="CA25" s="88"/>
      <c r="CB25" s="88"/>
    </row>
    <row r="26" spans="3:80" ht="14.5" thickBot="1" x14ac:dyDescent="0.35">
      <c r="C26" s="147" t="s">
        <v>210</v>
      </c>
      <c r="D26" s="120">
        <v>1584</v>
      </c>
      <c r="E26" s="121"/>
      <c r="F26" s="122"/>
      <c r="G26" s="122"/>
      <c r="H26" s="122"/>
      <c r="I26" s="123">
        <f t="shared" si="18"/>
        <v>0</v>
      </c>
      <c r="J26" s="122"/>
      <c r="K26" s="122"/>
      <c r="L26" s="122"/>
      <c r="M26" s="122"/>
      <c r="N26" s="123">
        <f t="shared" si="19"/>
        <v>0</v>
      </c>
      <c r="O26" s="124">
        <f t="shared" si="20"/>
        <v>0</v>
      </c>
      <c r="P26" s="122"/>
      <c r="Q26" s="122"/>
      <c r="R26" s="122"/>
      <c r="S26" s="123">
        <f t="shared" si="0"/>
        <v>0</v>
      </c>
      <c r="T26" s="123">
        <f t="shared" si="1"/>
        <v>0</v>
      </c>
      <c r="U26" s="122"/>
      <c r="V26" s="122"/>
      <c r="W26" s="122"/>
      <c r="X26" s="125">
        <f t="shared" si="21"/>
        <v>0</v>
      </c>
      <c r="Y26" s="126">
        <f t="shared" si="12"/>
        <v>0</v>
      </c>
      <c r="Z26" s="122"/>
      <c r="AA26" s="122"/>
      <c r="AB26" s="122"/>
      <c r="AC26" s="123">
        <f t="shared" si="22"/>
        <v>0</v>
      </c>
      <c r="AD26" s="127">
        <f t="shared" si="2"/>
        <v>0</v>
      </c>
      <c r="AE26" s="122"/>
      <c r="AF26" s="122"/>
      <c r="AG26" s="122"/>
      <c r="AH26" s="125">
        <f t="shared" si="23"/>
        <v>0</v>
      </c>
      <c r="AI26" s="126">
        <f t="shared" si="3"/>
        <v>0</v>
      </c>
      <c r="AJ26" s="122"/>
      <c r="AK26" s="122"/>
      <c r="AL26" s="151"/>
      <c r="AM26" s="123">
        <f t="shared" si="4"/>
        <v>0</v>
      </c>
      <c r="AN26" s="127">
        <f t="shared" si="5"/>
        <v>0</v>
      </c>
      <c r="AO26" s="122"/>
      <c r="AP26" s="122"/>
      <c r="AQ26" s="151"/>
      <c r="AR26" s="125">
        <f t="shared" si="24"/>
        <v>0</v>
      </c>
      <c r="AS26" s="126">
        <f t="shared" si="6"/>
        <v>0</v>
      </c>
      <c r="AT26" s="152"/>
      <c r="AU26" s="122"/>
      <c r="AV26" s="130">
        <v>17222678.356302302</v>
      </c>
      <c r="AW26" s="123">
        <f t="shared" si="7"/>
        <v>17222678.356302302</v>
      </c>
      <c r="AX26" s="127">
        <f t="shared" si="8"/>
        <v>0</v>
      </c>
      <c r="AY26" s="152"/>
      <c r="AZ26" s="122"/>
      <c r="BA26" s="130">
        <v>337112.74498931854</v>
      </c>
      <c r="BB26" s="123">
        <f t="shared" si="25"/>
        <v>337112.74498931854</v>
      </c>
      <c r="BC26" s="126">
        <f t="shared" si="9"/>
        <v>17222678.356302302</v>
      </c>
      <c r="BD26" s="131">
        <v>739237.16000000061</v>
      </c>
      <c r="BE26" s="130">
        <v>8947316.3987709023</v>
      </c>
      <c r="BF26" s="132"/>
      <c r="BG26" s="123">
        <f t="shared" si="10"/>
        <v>9014599.1175314002</v>
      </c>
      <c r="BH26" s="127">
        <f t="shared" si="11"/>
        <v>337112.74498931854</v>
      </c>
      <c r="BI26" s="131">
        <v>147188.50383466668</v>
      </c>
      <c r="BJ26" s="130">
        <v>289257.70701056463</v>
      </c>
      <c r="BK26" s="132"/>
      <c r="BL26" s="125">
        <f t="shared" si="26"/>
        <v>195043.5418134206</v>
      </c>
      <c r="BM26" s="133">
        <v>8275361.9575314</v>
      </c>
      <c r="BN26" s="133">
        <v>194149.83380224503</v>
      </c>
      <c r="BO26" s="127">
        <f t="shared" si="13"/>
        <v>739237.16000000015</v>
      </c>
      <c r="BP26" s="134">
        <f t="shared" si="14"/>
        <v>893.70801117556402</v>
      </c>
      <c r="BQ26" s="135">
        <v>4213.6460120710281</v>
      </c>
      <c r="BR26" s="133"/>
      <c r="BS26" s="136">
        <f t="shared" si="15"/>
        <v>5107.3540232465921</v>
      </c>
      <c r="BT26" s="137">
        <f>SUM(BO26:BR26)</f>
        <v>744344.51402324671</v>
      </c>
      <c r="BU26" s="123"/>
      <c r="BV26" s="138">
        <v>9209642.1999999993</v>
      </c>
      <c r="BW26" s="139">
        <f t="shared" si="16"/>
        <v>-0.46</v>
      </c>
      <c r="BX26" s="87" t="str">
        <f t="shared" si="17"/>
        <v/>
      </c>
      <c r="BY26" s="88"/>
      <c r="BZ26" s="88"/>
      <c r="CA26" s="88"/>
      <c r="CB26" s="88"/>
    </row>
    <row r="27" spans="3:80" ht="14.5" thickBot="1" x14ac:dyDescent="0.35">
      <c r="C27" s="153" t="s">
        <v>211</v>
      </c>
      <c r="D27" s="120">
        <v>1586</v>
      </c>
      <c r="E27" s="121"/>
      <c r="F27" s="122"/>
      <c r="G27" s="122"/>
      <c r="H27" s="122"/>
      <c r="I27" s="123">
        <f t="shared" si="18"/>
        <v>0</v>
      </c>
      <c r="J27" s="122"/>
      <c r="K27" s="122"/>
      <c r="L27" s="122"/>
      <c r="M27" s="122"/>
      <c r="N27" s="123">
        <f t="shared" si="19"/>
        <v>0</v>
      </c>
      <c r="O27" s="126">
        <f t="shared" si="20"/>
        <v>0</v>
      </c>
      <c r="P27" s="122"/>
      <c r="Q27" s="122"/>
      <c r="R27" s="122"/>
      <c r="S27" s="123">
        <f t="shared" si="0"/>
        <v>0</v>
      </c>
      <c r="T27" s="123">
        <f t="shared" si="1"/>
        <v>0</v>
      </c>
      <c r="U27" s="122"/>
      <c r="V27" s="122"/>
      <c r="W27" s="122"/>
      <c r="X27" s="125">
        <f t="shared" si="21"/>
        <v>0</v>
      </c>
      <c r="Y27" s="126">
        <f t="shared" si="12"/>
        <v>0</v>
      </c>
      <c r="Z27" s="122"/>
      <c r="AA27" s="122"/>
      <c r="AB27" s="122"/>
      <c r="AC27" s="123">
        <f t="shared" si="22"/>
        <v>0</v>
      </c>
      <c r="AD27" s="127">
        <f t="shared" si="2"/>
        <v>0</v>
      </c>
      <c r="AE27" s="122"/>
      <c r="AF27" s="122"/>
      <c r="AG27" s="122"/>
      <c r="AH27" s="125">
        <f t="shared" si="23"/>
        <v>0</v>
      </c>
      <c r="AI27" s="126">
        <f t="shared" si="3"/>
        <v>0</v>
      </c>
      <c r="AJ27" s="122"/>
      <c r="AK27" s="122"/>
      <c r="AL27" s="151"/>
      <c r="AM27" s="123">
        <f t="shared" si="4"/>
        <v>0</v>
      </c>
      <c r="AN27" s="127">
        <f t="shared" si="5"/>
        <v>0</v>
      </c>
      <c r="AO27" s="122"/>
      <c r="AP27" s="122"/>
      <c r="AQ27" s="151"/>
      <c r="AR27" s="125">
        <f t="shared" si="24"/>
        <v>0</v>
      </c>
      <c r="AS27" s="126">
        <f t="shared" si="6"/>
        <v>0</v>
      </c>
      <c r="AT27" s="143"/>
      <c r="AU27" s="122"/>
      <c r="AV27" s="130">
        <v>11645736.531006236</v>
      </c>
      <c r="AW27" s="123">
        <f t="shared" si="7"/>
        <v>11645736.531006236</v>
      </c>
      <c r="AX27" s="127">
        <f t="shared" si="8"/>
        <v>0</v>
      </c>
      <c r="AY27" s="143"/>
      <c r="AZ27" s="122"/>
      <c r="BA27" s="130">
        <v>478803.00316825707</v>
      </c>
      <c r="BB27" s="123">
        <f t="shared" si="25"/>
        <v>478803.00316825707</v>
      </c>
      <c r="BC27" s="126">
        <f t="shared" si="9"/>
        <v>11645736.531006236</v>
      </c>
      <c r="BD27" s="131">
        <v>-6832963.3799999999</v>
      </c>
      <c r="BE27" s="130">
        <v>17363767.777724765</v>
      </c>
      <c r="BF27" s="132"/>
      <c r="BG27" s="123">
        <f t="shared" si="10"/>
        <v>-12550994.626718529</v>
      </c>
      <c r="BH27" s="127">
        <f t="shared" si="11"/>
        <v>478803.00316825707</v>
      </c>
      <c r="BI27" s="131">
        <v>-47615.731637916695</v>
      </c>
      <c r="BJ27" s="130">
        <v>581638.49233175523</v>
      </c>
      <c r="BK27" s="132"/>
      <c r="BL27" s="125">
        <f t="shared" si="26"/>
        <v>-150451.22080141486</v>
      </c>
      <c r="BM27" s="133">
        <v>-5718031.2467185296</v>
      </c>
      <c r="BN27" s="133">
        <v>-118370.06306552683</v>
      </c>
      <c r="BO27" s="127">
        <f t="shared" si="13"/>
        <v>-6832963.379999999</v>
      </c>
      <c r="BP27" s="134">
        <f t="shared" si="14"/>
        <v>-32081.157735888031</v>
      </c>
      <c r="BQ27" s="135">
        <v>-38947.891512704395</v>
      </c>
      <c r="BR27" s="133"/>
      <c r="BS27" s="136">
        <f t="shared" si="15"/>
        <v>-71029.049248592433</v>
      </c>
      <c r="BT27" s="137">
        <f>SUM(BO27:BR27)</f>
        <v>-6903992.429248591</v>
      </c>
      <c r="BU27" s="123"/>
      <c r="BV27" s="138">
        <v>-12701446</v>
      </c>
      <c r="BW27" s="139">
        <f t="shared" si="16"/>
        <v>-0.15</v>
      </c>
      <c r="BX27" s="87" t="str">
        <f t="shared" si="17"/>
        <v/>
      </c>
      <c r="BY27" s="88"/>
      <c r="BZ27" s="88"/>
      <c r="CA27" s="88"/>
      <c r="CB27" s="88"/>
    </row>
    <row r="28" spans="3:80" ht="17" thickBot="1" x14ac:dyDescent="0.35">
      <c r="C28" s="154" t="s">
        <v>212</v>
      </c>
      <c r="D28" s="120">
        <v>1588</v>
      </c>
      <c r="E28" s="121"/>
      <c r="F28" s="122"/>
      <c r="G28" s="122"/>
      <c r="H28" s="122"/>
      <c r="I28" s="123">
        <f t="shared" si="18"/>
        <v>0</v>
      </c>
      <c r="J28" s="122"/>
      <c r="K28" s="122"/>
      <c r="L28" s="122"/>
      <c r="M28" s="122"/>
      <c r="N28" s="123">
        <f t="shared" si="19"/>
        <v>0</v>
      </c>
      <c r="O28" s="126">
        <f t="shared" si="20"/>
        <v>0</v>
      </c>
      <c r="P28" s="122"/>
      <c r="Q28" s="122"/>
      <c r="R28" s="122"/>
      <c r="S28" s="123">
        <f t="shared" si="0"/>
        <v>0</v>
      </c>
      <c r="T28" s="123">
        <f t="shared" si="1"/>
        <v>0</v>
      </c>
      <c r="U28" s="122"/>
      <c r="V28" s="122"/>
      <c r="W28" s="122"/>
      <c r="X28" s="125">
        <f t="shared" si="21"/>
        <v>0</v>
      </c>
      <c r="Y28" s="126">
        <f t="shared" si="12"/>
        <v>0</v>
      </c>
      <c r="Z28" s="122"/>
      <c r="AA28" s="122"/>
      <c r="AB28" s="122"/>
      <c r="AC28" s="123">
        <f t="shared" si="22"/>
        <v>0</v>
      </c>
      <c r="AD28" s="127">
        <f t="shared" si="2"/>
        <v>0</v>
      </c>
      <c r="AE28" s="122"/>
      <c r="AF28" s="122"/>
      <c r="AG28" s="122"/>
      <c r="AH28" s="125">
        <f t="shared" si="23"/>
        <v>0</v>
      </c>
      <c r="AI28" s="126">
        <f t="shared" si="3"/>
        <v>0</v>
      </c>
      <c r="AJ28" s="122"/>
      <c r="AK28" s="122"/>
      <c r="AL28" s="151"/>
      <c r="AM28" s="123">
        <f t="shared" si="4"/>
        <v>0</v>
      </c>
      <c r="AN28" s="127">
        <f t="shared" si="5"/>
        <v>0</v>
      </c>
      <c r="AO28" s="122"/>
      <c r="AP28" s="122"/>
      <c r="AQ28" s="151"/>
      <c r="AR28" s="125">
        <f t="shared" si="24"/>
        <v>0</v>
      </c>
      <c r="AS28" s="126">
        <f t="shared" si="6"/>
        <v>0</v>
      </c>
      <c r="AT28" s="143"/>
      <c r="AU28" s="122"/>
      <c r="AV28" s="130">
        <v>3825770.3726818012</v>
      </c>
      <c r="AW28" s="123">
        <f t="shared" si="7"/>
        <v>3825770.3726818012</v>
      </c>
      <c r="AX28" s="127">
        <f t="shared" si="8"/>
        <v>0</v>
      </c>
      <c r="AY28" s="143"/>
      <c r="AZ28" s="122"/>
      <c r="BA28" s="130">
        <v>-220317.25181307807</v>
      </c>
      <c r="BB28" s="123">
        <f t="shared" si="25"/>
        <v>-220317.25181307807</v>
      </c>
      <c r="BC28" s="126">
        <f t="shared" si="9"/>
        <v>3825770.3726818012</v>
      </c>
      <c r="BD28" s="131">
        <v>12261250.36000004</v>
      </c>
      <c r="BE28" s="130">
        <v>-5431100.2200000295</v>
      </c>
      <c r="BF28" s="132">
        <v>-5377148.3767781258</v>
      </c>
      <c r="BG28" s="123">
        <f t="shared" si="10"/>
        <v>16140972.575903744</v>
      </c>
      <c r="BH28" s="127">
        <f t="shared" si="11"/>
        <v>-220317.25181307807</v>
      </c>
      <c r="BI28" s="131">
        <v>-39560.333159414324</v>
      </c>
      <c r="BJ28" s="130">
        <v>-234641.7662279795</v>
      </c>
      <c r="BK28" s="132"/>
      <c r="BL28" s="125">
        <f t="shared" si="26"/>
        <v>-25235.818744512886</v>
      </c>
      <c r="BM28" s="133">
        <v>9256870.5926818307</v>
      </c>
      <c r="BN28" s="133">
        <v>121873.48759827661</v>
      </c>
      <c r="BO28" s="127">
        <f t="shared" si="13"/>
        <v>6884101.9832219128</v>
      </c>
      <c r="BP28" s="134">
        <f t="shared" si="14"/>
        <v>-147109.3063427895</v>
      </c>
      <c r="BQ28" s="135">
        <v>39239.381304364797</v>
      </c>
      <c r="BR28" s="133"/>
      <c r="BS28" s="136">
        <f t="shared" si="15"/>
        <v>-107869.9250384247</v>
      </c>
      <c r="BT28" s="137">
        <f>IF(BU28="Yes", SUM(BO28:BR28), 0)</f>
        <v>6776232.0581834875</v>
      </c>
      <c r="BU28" s="155" t="s">
        <v>123</v>
      </c>
      <c r="BV28" s="138">
        <v>9734669.3499999996</v>
      </c>
      <c r="BW28" s="139">
        <f t="shared" si="16"/>
        <v>-6381067.4100000001</v>
      </c>
      <c r="BX28" s="87" t="str">
        <f t="shared" si="17"/>
        <v>Please provide an explanation of the variance in the Manager's Summary</v>
      </c>
      <c r="BY28" s="88"/>
      <c r="BZ28" s="88"/>
      <c r="CA28" s="88"/>
      <c r="CB28" s="88"/>
    </row>
    <row r="29" spans="3:80" ht="17" thickBot="1" x14ac:dyDescent="0.35">
      <c r="C29" s="154" t="s">
        <v>213</v>
      </c>
      <c r="D29" s="120">
        <v>1589</v>
      </c>
      <c r="E29" s="121"/>
      <c r="F29" s="122"/>
      <c r="G29" s="122"/>
      <c r="H29" s="122"/>
      <c r="I29" s="123">
        <f t="shared" si="18"/>
        <v>0</v>
      </c>
      <c r="J29" s="122"/>
      <c r="K29" s="122"/>
      <c r="L29" s="122"/>
      <c r="M29" s="122"/>
      <c r="N29" s="123">
        <f t="shared" si="19"/>
        <v>0</v>
      </c>
      <c r="O29" s="126">
        <f t="shared" si="20"/>
        <v>0</v>
      </c>
      <c r="P29" s="122"/>
      <c r="Q29" s="122"/>
      <c r="R29" s="122"/>
      <c r="S29" s="123">
        <f t="shared" si="0"/>
        <v>0</v>
      </c>
      <c r="T29" s="123">
        <f t="shared" si="1"/>
        <v>0</v>
      </c>
      <c r="U29" s="122"/>
      <c r="V29" s="122"/>
      <c r="W29" s="122"/>
      <c r="X29" s="125">
        <f t="shared" si="21"/>
        <v>0</v>
      </c>
      <c r="Y29" s="126">
        <f t="shared" si="12"/>
        <v>0</v>
      </c>
      <c r="Z29" s="122"/>
      <c r="AA29" s="122"/>
      <c r="AB29" s="122"/>
      <c r="AC29" s="123">
        <f t="shared" si="22"/>
        <v>0</v>
      </c>
      <c r="AD29" s="127">
        <f t="shared" si="2"/>
        <v>0</v>
      </c>
      <c r="AE29" s="122"/>
      <c r="AF29" s="122"/>
      <c r="AG29" s="122"/>
      <c r="AH29" s="125">
        <f t="shared" si="23"/>
        <v>0</v>
      </c>
      <c r="AI29" s="126">
        <f t="shared" si="3"/>
        <v>0</v>
      </c>
      <c r="AJ29" s="122"/>
      <c r="AK29" s="122"/>
      <c r="AL29" s="151"/>
      <c r="AM29" s="123">
        <f t="shared" si="4"/>
        <v>0</v>
      </c>
      <c r="AN29" s="127">
        <f t="shared" si="5"/>
        <v>0</v>
      </c>
      <c r="AO29" s="122"/>
      <c r="AP29" s="122"/>
      <c r="AQ29" s="151"/>
      <c r="AR29" s="125">
        <f t="shared" si="24"/>
        <v>0</v>
      </c>
      <c r="AS29" s="126">
        <f t="shared" si="6"/>
        <v>0</v>
      </c>
      <c r="AT29" s="143"/>
      <c r="AU29" s="122"/>
      <c r="AV29" s="130">
        <v>-5271859.3762982488</v>
      </c>
      <c r="AW29" s="123">
        <f t="shared" si="7"/>
        <v>-5271859.3762982488</v>
      </c>
      <c r="AX29" s="127">
        <f t="shared" si="8"/>
        <v>0</v>
      </c>
      <c r="AY29" s="143"/>
      <c r="AZ29" s="122"/>
      <c r="BA29" s="130">
        <v>288680.00947143137</v>
      </c>
      <c r="BB29" s="123">
        <f t="shared" si="25"/>
        <v>288680.00947143137</v>
      </c>
      <c r="BC29" s="126">
        <f t="shared" si="9"/>
        <v>-5271859.3762982488</v>
      </c>
      <c r="BD29" s="131">
        <v>10649938.070000006</v>
      </c>
      <c r="BE29" s="130">
        <v>-23898523.388491735</v>
      </c>
      <c r="BF29" s="132">
        <v>-12259094.529281616</v>
      </c>
      <c r="BG29" s="123">
        <f t="shared" si="10"/>
        <v>17017507.552911878</v>
      </c>
      <c r="BH29" s="127">
        <f t="shared" si="11"/>
        <v>288680.00947143137</v>
      </c>
      <c r="BI29" s="131">
        <v>356177.99008652871</v>
      </c>
      <c r="BJ29" s="130">
        <v>-471631.13216249458</v>
      </c>
      <c r="BK29" s="132"/>
      <c r="BL29" s="125">
        <f t="shared" si="26"/>
        <v>1116489.1317204547</v>
      </c>
      <c r="BM29" s="133">
        <v>18626664.012193248</v>
      </c>
      <c r="BN29" s="133">
        <v>929596.45817349164</v>
      </c>
      <c r="BO29" s="127">
        <f t="shared" si="13"/>
        <v>-1609156.45928137</v>
      </c>
      <c r="BP29" s="134">
        <f t="shared" si="14"/>
        <v>186892.67354696302</v>
      </c>
      <c r="BQ29" s="135">
        <v>-9172.1967769050279</v>
      </c>
      <c r="BR29" s="133"/>
      <c r="BS29" s="136">
        <f t="shared" si="15"/>
        <v>177720.47677005798</v>
      </c>
      <c r="BT29" s="137">
        <f>IF(BU29="Yes", SUM(BO29:BR29), 0)</f>
        <v>-1431435.9825113122</v>
      </c>
      <c r="BU29" s="155" t="s">
        <v>123</v>
      </c>
      <c r="BV29" s="138">
        <v>20295855.77</v>
      </c>
      <c r="BW29" s="139">
        <f t="shared" si="16"/>
        <v>2161859.09</v>
      </c>
      <c r="BX29" s="87" t="str">
        <f t="shared" si="17"/>
        <v>Please provide an explanation of the variance in the Manager's Summary</v>
      </c>
      <c r="BY29" s="88"/>
      <c r="BZ29" s="88"/>
      <c r="CA29" s="88"/>
      <c r="CB29" s="88"/>
    </row>
    <row r="30" spans="3:80" ht="17" hidden="1" thickBot="1" x14ac:dyDescent="0.35">
      <c r="C30" s="154" t="s">
        <v>214</v>
      </c>
      <c r="D30" s="120">
        <v>1595</v>
      </c>
      <c r="E30" s="156"/>
      <c r="F30" s="132"/>
      <c r="G30" s="132"/>
      <c r="H30" s="132"/>
      <c r="I30" s="123">
        <f t="shared" si="18"/>
        <v>0</v>
      </c>
      <c r="J30" s="132"/>
      <c r="K30" s="132"/>
      <c r="L30" s="132"/>
      <c r="M30" s="132"/>
      <c r="N30" s="123">
        <f t="shared" si="19"/>
        <v>0</v>
      </c>
      <c r="O30" s="126">
        <f t="shared" si="20"/>
        <v>0</v>
      </c>
      <c r="P30" s="132"/>
      <c r="Q30" s="132"/>
      <c r="R30" s="132"/>
      <c r="S30" s="123">
        <f t="shared" si="0"/>
        <v>0</v>
      </c>
      <c r="T30" s="123">
        <f t="shared" si="1"/>
        <v>0</v>
      </c>
      <c r="U30" s="132"/>
      <c r="V30" s="132"/>
      <c r="W30" s="132"/>
      <c r="X30" s="125">
        <f t="shared" si="21"/>
        <v>0</v>
      </c>
      <c r="Y30" s="126">
        <f t="shared" si="12"/>
        <v>0</v>
      </c>
      <c r="Z30" s="132"/>
      <c r="AA30" s="132"/>
      <c r="AB30" s="132"/>
      <c r="AC30" s="123">
        <f t="shared" si="22"/>
        <v>0</v>
      </c>
      <c r="AD30" s="127">
        <f t="shared" si="2"/>
        <v>0</v>
      </c>
      <c r="AE30" s="132"/>
      <c r="AF30" s="132"/>
      <c r="AG30" s="132"/>
      <c r="AH30" s="125">
        <f t="shared" si="23"/>
        <v>0</v>
      </c>
      <c r="AI30" s="126">
        <f t="shared" si="3"/>
        <v>0</v>
      </c>
      <c r="AJ30" s="132"/>
      <c r="AK30" s="132"/>
      <c r="AL30" s="157"/>
      <c r="AM30" s="123">
        <f t="shared" si="4"/>
        <v>0</v>
      </c>
      <c r="AN30" s="127">
        <f t="shared" si="5"/>
        <v>0</v>
      </c>
      <c r="AO30" s="132"/>
      <c r="AP30" s="132"/>
      <c r="AQ30" s="157"/>
      <c r="AR30" s="125">
        <f t="shared" si="24"/>
        <v>0</v>
      </c>
      <c r="AS30" s="126">
        <f t="shared" si="6"/>
        <v>0</v>
      </c>
      <c r="AT30" s="133"/>
      <c r="AU30" s="132"/>
      <c r="AV30" s="132"/>
      <c r="AW30" s="123">
        <f t="shared" si="7"/>
        <v>0</v>
      </c>
      <c r="AX30" s="127">
        <f t="shared" si="8"/>
        <v>0</v>
      </c>
      <c r="AY30" s="133"/>
      <c r="AZ30" s="132"/>
      <c r="BA30" s="132"/>
      <c r="BB30" s="123">
        <f t="shared" si="25"/>
        <v>0</v>
      </c>
      <c r="BC30" s="126">
        <f t="shared" si="9"/>
        <v>0</v>
      </c>
      <c r="BD30" s="133"/>
      <c r="BE30" s="132"/>
      <c r="BF30" s="132"/>
      <c r="BG30" s="123">
        <f t="shared" si="10"/>
        <v>0</v>
      </c>
      <c r="BH30" s="127">
        <f t="shared" si="11"/>
        <v>0</v>
      </c>
      <c r="BI30" s="133"/>
      <c r="BJ30" s="132"/>
      <c r="BK30" s="132"/>
      <c r="BL30" s="125">
        <f t="shared" si="26"/>
        <v>0</v>
      </c>
      <c r="BM30" s="133"/>
      <c r="BN30" s="133"/>
      <c r="BO30" s="127">
        <f t="shared" si="13"/>
        <v>0</v>
      </c>
      <c r="BP30" s="134">
        <f t="shared" si="14"/>
        <v>0</v>
      </c>
      <c r="BQ30" s="135"/>
      <c r="BR30" s="133"/>
      <c r="BS30" s="136">
        <f t="shared" si="15"/>
        <v>0</v>
      </c>
      <c r="BT30" s="137">
        <f>IF(CB7=TRUE, SUM(BO30:BR30), 0)</f>
        <v>0</v>
      </c>
      <c r="BU30" s="158" t="s">
        <v>123</v>
      </c>
      <c r="BV30" s="138"/>
      <c r="BW30" s="139">
        <f t="shared" si="16"/>
        <v>0</v>
      </c>
      <c r="BX30" s="87" t="str">
        <f t="shared" si="17"/>
        <v/>
      </c>
      <c r="BY30" s="88"/>
      <c r="BZ30" s="88"/>
      <c r="CA30" s="88"/>
      <c r="CB30" s="88"/>
    </row>
    <row r="31" spans="3:80" ht="17" thickBot="1" x14ac:dyDescent="0.35">
      <c r="C31" s="154" t="s">
        <v>215</v>
      </c>
      <c r="D31" s="120">
        <v>1595</v>
      </c>
      <c r="E31" s="121"/>
      <c r="F31" s="122"/>
      <c r="G31" s="122"/>
      <c r="H31" s="122"/>
      <c r="I31" s="123">
        <f t="shared" si="18"/>
        <v>0</v>
      </c>
      <c r="J31" s="122"/>
      <c r="K31" s="122"/>
      <c r="L31" s="122"/>
      <c r="M31" s="122"/>
      <c r="N31" s="123">
        <f t="shared" si="19"/>
        <v>0</v>
      </c>
      <c r="O31" s="126">
        <f t="shared" si="20"/>
        <v>0</v>
      </c>
      <c r="P31" s="130"/>
      <c r="Q31" s="130"/>
      <c r="R31" s="130"/>
      <c r="S31" s="123">
        <f t="shared" si="0"/>
        <v>0</v>
      </c>
      <c r="T31" s="123">
        <f t="shared" si="1"/>
        <v>0</v>
      </c>
      <c r="U31" s="130"/>
      <c r="V31" s="130"/>
      <c r="W31" s="130"/>
      <c r="X31" s="125">
        <f t="shared" si="21"/>
        <v>0</v>
      </c>
      <c r="Y31" s="126">
        <f t="shared" si="12"/>
        <v>0</v>
      </c>
      <c r="Z31" s="130"/>
      <c r="AA31" s="130"/>
      <c r="AB31" s="130"/>
      <c r="AC31" s="123">
        <f t="shared" si="22"/>
        <v>0</v>
      </c>
      <c r="AD31" s="127">
        <f t="shared" si="2"/>
        <v>0</v>
      </c>
      <c r="AE31" s="130"/>
      <c r="AF31" s="130"/>
      <c r="AG31" s="130"/>
      <c r="AH31" s="125">
        <f t="shared" si="23"/>
        <v>0</v>
      </c>
      <c r="AI31" s="126">
        <f t="shared" si="3"/>
        <v>0</v>
      </c>
      <c r="AJ31" s="130"/>
      <c r="AK31" s="130"/>
      <c r="AL31" s="159"/>
      <c r="AM31" s="123">
        <f t="shared" si="4"/>
        <v>0</v>
      </c>
      <c r="AN31" s="127">
        <f t="shared" si="5"/>
        <v>0</v>
      </c>
      <c r="AO31" s="130"/>
      <c r="AP31" s="130"/>
      <c r="AQ31" s="159"/>
      <c r="AR31" s="125">
        <f t="shared" si="24"/>
        <v>0</v>
      </c>
      <c r="AS31" s="126">
        <f t="shared" si="6"/>
        <v>0</v>
      </c>
      <c r="AT31" s="131"/>
      <c r="AU31" s="130"/>
      <c r="AV31" s="130"/>
      <c r="AW31" s="123">
        <f t="shared" si="7"/>
        <v>0</v>
      </c>
      <c r="AX31" s="127">
        <f t="shared" si="8"/>
        <v>0</v>
      </c>
      <c r="AY31" s="131"/>
      <c r="AZ31" s="130"/>
      <c r="BA31" s="130"/>
      <c r="BB31" s="123">
        <f t="shared" si="25"/>
        <v>0</v>
      </c>
      <c r="BC31" s="126">
        <f t="shared" si="9"/>
        <v>0</v>
      </c>
      <c r="BD31" s="133"/>
      <c r="BE31" s="132"/>
      <c r="BF31" s="132"/>
      <c r="BG31" s="123">
        <f t="shared" si="10"/>
        <v>0</v>
      </c>
      <c r="BH31" s="127">
        <f t="shared" si="11"/>
        <v>0</v>
      </c>
      <c r="BI31" s="133"/>
      <c r="BJ31" s="132"/>
      <c r="BK31" s="132"/>
      <c r="BL31" s="125">
        <f t="shared" si="26"/>
        <v>0</v>
      </c>
      <c r="BM31" s="133"/>
      <c r="BN31" s="133"/>
      <c r="BO31" s="127">
        <f t="shared" si="13"/>
        <v>0</v>
      </c>
      <c r="BP31" s="134">
        <f t="shared" si="14"/>
        <v>0</v>
      </c>
      <c r="BQ31" s="135"/>
      <c r="BR31" s="133"/>
      <c r="BS31" s="136">
        <f t="shared" si="15"/>
        <v>0</v>
      </c>
      <c r="BT31" s="137">
        <f>IF(BU31="Yes", SUM(BO31:BR31), 0)</f>
        <v>0</v>
      </c>
      <c r="BU31" s="158" t="s">
        <v>216</v>
      </c>
      <c r="BV31" s="138">
        <v>0</v>
      </c>
      <c r="BW31" s="139">
        <f t="shared" si="16"/>
        <v>0</v>
      </c>
      <c r="BX31" s="87" t="str">
        <f t="shared" si="17"/>
        <v/>
      </c>
      <c r="BY31" s="88"/>
      <c r="BZ31" s="88"/>
      <c r="CA31" s="88"/>
      <c r="CB31" s="88"/>
    </row>
    <row r="32" spans="3:80" ht="17" thickBot="1" x14ac:dyDescent="0.35">
      <c r="C32" s="154" t="s">
        <v>217</v>
      </c>
      <c r="D32" s="120">
        <v>1595</v>
      </c>
      <c r="E32" s="121"/>
      <c r="F32" s="122"/>
      <c r="G32" s="122"/>
      <c r="H32" s="122"/>
      <c r="I32" s="123">
        <f t="shared" si="18"/>
        <v>0</v>
      </c>
      <c r="J32" s="122"/>
      <c r="K32" s="122"/>
      <c r="L32" s="122"/>
      <c r="M32" s="122"/>
      <c r="N32" s="123">
        <f t="shared" si="19"/>
        <v>0</v>
      </c>
      <c r="O32" s="126">
        <f t="shared" si="20"/>
        <v>0</v>
      </c>
      <c r="P32" s="130">
        <v>8704229.6100000031</v>
      </c>
      <c r="Q32" s="130">
        <v>-45304159.969011679</v>
      </c>
      <c r="R32" s="130"/>
      <c r="S32" s="123">
        <f t="shared" ref="S32:S37" si="27">O32+P32-Q32+SUM(R32:R32)</f>
        <v>54008389.579011679</v>
      </c>
      <c r="T32" s="123">
        <f t="shared" si="1"/>
        <v>0</v>
      </c>
      <c r="U32" s="130">
        <v>-28061.198057183276</v>
      </c>
      <c r="V32" s="130">
        <v>-131074</v>
      </c>
      <c r="W32" s="130"/>
      <c r="X32" s="125">
        <f t="shared" si="21"/>
        <v>103012.80194281673</v>
      </c>
      <c r="Y32" s="126">
        <f t="shared" si="12"/>
        <v>54008389.579011679</v>
      </c>
      <c r="Z32" s="130">
        <v>-13829256.90078878</v>
      </c>
      <c r="AA32" s="130"/>
      <c r="AB32" s="130"/>
      <c r="AC32" s="123">
        <f t="shared" ref="AC32:AC37" si="28">Y32+Z32-AA32+SUM(AB32:AB32)</f>
        <v>40179132.678222895</v>
      </c>
      <c r="AD32" s="127">
        <f t="shared" si="2"/>
        <v>103012.80194281673</v>
      </c>
      <c r="AE32" s="130">
        <v>-18717.852148954393</v>
      </c>
      <c r="AF32" s="130"/>
      <c r="AG32" s="130">
        <v>-993537.3783982849</v>
      </c>
      <c r="AH32" s="125">
        <f t="shared" si="23"/>
        <v>-909242.4286044226</v>
      </c>
      <c r="AI32" s="126">
        <f t="shared" si="3"/>
        <v>40179132.678222895</v>
      </c>
      <c r="AJ32" s="130">
        <v>-14888042.711739117</v>
      </c>
      <c r="AK32" s="130"/>
      <c r="AL32" s="159"/>
      <c r="AM32" s="123">
        <f t="shared" si="4"/>
        <v>25291089.966483779</v>
      </c>
      <c r="AN32" s="127">
        <f t="shared" si="5"/>
        <v>-909242.4286044226</v>
      </c>
      <c r="AO32" s="130">
        <v>-91079.899395416491</v>
      </c>
      <c r="AP32" s="130"/>
      <c r="AQ32" s="159"/>
      <c r="AR32" s="125">
        <f t="shared" si="24"/>
        <v>-1000322.3279998391</v>
      </c>
      <c r="AS32" s="126">
        <f t="shared" si="6"/>
        <v>25291089.966483779</v>
      </c>
      <c r="AT32" s="131">
        <v>-21877042.044977568</v>
      </c>
      <c r="AU32" s="130"/>
      <c r="AV32" s="130"/>
      <c r="AW32" s="123">
        <f t="shared" si="7"/>
        <v>3414047.9215062112</v>
      </c>
      <c r="AX32" s="127">
        <f t="shared" si="8"/>
        <v>-1000322.3279998391</v>
      </c>
      <c r="AY32" s="131">
        <v>-4307.158076833337</v>
      </c>
      <c r="AZ32" s="130"/>
      <c r="BA32" s="130"/>
      <c r="BB32" s="123">
        <f t="shared" si="25"/>
        <v>-1004629.4860766724</v>
      </c>
      <c r="BC32" s="126">
        <f t="shared" si="9"/>
        <v>3414047.9215062112</v>
      </c>
      <c r="BD32" s="133">
        <v>-1556448.8999999987</v>
      </c>
      <c r="BE32" s="132"/>
      <c r="BF32" s="132"/>
      <c r="BG32" s="123">
        <f t="shared" si="10"/>
        <v>1857599.0215062124</v>
      </c>
      <c r="BH32" s="127">
        <f t="shared" si="11"/>
        <v>-1004629.4860766724</v>
      </c>
      <c r="BI32" s="133">
        <v>-1819.7718315833372</v>
      </c>
      <c r="BJ32" s="132"/>
      <c r="BK32" s="132"/>
      <c r="BL32" s="125">
        <f t="shared" si="26"/>
        <v>-1006449.2579082558</v>
      </c>
      <c r="BM32" s="133"/>
      <c r="BN32" s="133"/>
      <c r="BO32" s="127">
        <f t="shared" si="13"/>
        <v>1857599.0215062124</v>
      </c>
      <c r="BP32" s="134">
        <f t="shared" si="14"/>
        <v>-1006449.2579082558</v>
      </c>
      <c r="BQ32" s="135"/>
      <c r="BR32" s="133"/>
      <c r="BS32" s="136">
        <f t="shared" si="15"/>
        <v>-1006449.2579082558</v>
      </c>
      <c r="BT32" s="137">
        <f t="shared" ref="BT32:BT37" si="29">IF(BU32="Yes", SUM(BO32:BR32), 0)</f>
        <v>0</v>
      </c>
      <c r="BU32" s="158" t="s">
        <v>216</v>
      </c>
      <c r="BV32" s="138">
        <v>851149.97</v>
      </c>
      <c r="BW32" s="139">
        <f t="shared" si="16"/>
        <v>0.21</v>
      </c>
      <c r="BX32" s="87" t="str">
        <f t="shared" si="17"/>
        <v/>
      </c>
      <c r="BY32" s="88"/>
      <c r="BZ32" s="88"/>
      <c r="CA32" s="88"/>
      <c r="CB32" s="88"/>
    </row>
    <row r="33" spans="1:80" ht="17" thickBot="1" x14ac:dyDescent="0.35">
      <c r="C33" s="154" t="s">
        <v>218</v>
      </c>
      <c r="D33" s="120">
        <v>1595</v>
      </c>
      <c r="E33" s="121"/>
      <c r="F33" s="122"/>
      <c r="G33" s="122"/>
      <c r="H33" s="122"/>
      <c r="I33" s="123">
        <f t="shared" si="18"/>
        <v>0</v>
      </c>
      <c r="J33" s="122"/>
      <c r="K33" s="122"/>
      <c r="L33" s="122"/>
      <c r="M33" s="122"/>
      <c r="N33" s="123">
        <f t="shared" si="19"/>
        <v>0</v>
      </c>
      <c r="O33" s="126">
        <f t="shared" si="20"/>
        <v>0</v>
      </c>
      <c r="P33" s="130"/>
      <c r="Q33" s="130"/>
      <c r="R33" s="130"/>
      <c r="S33" s="123">
        <f t="shared" si="27"/>
        <v>0</v>
      </c>
      <c r="T33" s="123">
        <f t="shared" si="1"/>
        <v>0</v>
      </c>
      <c r="U33" s="130"/>
      <c r="V33" s="130"/>
      <c r="W33" s="130"/>
      <c r="X33" s="125">
        <f t="shared" si="21"/>
        <v>0</v>
      </c>
      <c r="Y33" s="126">
        <f t="shared" si="12"/>
        <v>0</v>
      </c>
      <c r="Z33" s="130">
        <v>2791740.0655779429</v>
      </c>
      <c r="AA33" s="130"/>
      <c r="AB33" s="130"/>
      <c r="AC33" s="123">
        <f t="shared" si="28"/>
        <v>2791740.0655779429</v>
      </c>
      <c r="AD33" s="127">
        <f t="shared" si="2"/>
        <v>0</v>
      </c>
      <c r="AE33" s="130">
        <v>142065.23060253935</v>
      </c>
      <c r="AF33" s="130"/>
      <c r="AG33" s="130"/>
      <c r="AH33" s="125">
        <f t="shared" si="23"/>
        <v>142065.23060253935</v>
      </c>
      <c r="AI33" s="126">
        <f t="shared" si="3"/>
        <v>2791740.0655779429</v>
      </c>
      <c r="AJ33" s="130">
        <v>-2695385.2867633472</v>
      </c>
      <c r="AK33" s="130"/>
      <c r="AL33" s="159"/>
      <c r="AM33" s="123">
        <f t="shared" si="4"/>
        <v>96354.778814595658</v>
      </c>
      <c r="AN33" s="127">
        <f t="shared" si="5"/>
        <v>142065.23060253935</v>
      </c>
      <c r="AO33" s="130">
        <v>-35113.7316834636</v>
      </c>
      <c r="AP33" s="130"/>
      <c r="AQ33" s="159"/>
      <c r="AR33" s="125">
        <f t="shared" si="24"/>
        <v>106951.49891907575</v>
      </c>
      <c r="AS33" s="126">
        <f t="shared" si="6"/>
        <v>96354.778814595658</v>
      </c>
      <c r="AT33" s="131">
        <v>90525.360785472483</v>
      </c>
      <c r="AU33" s="130"/>
      <c r="AV33" s="130"/>
      <c r="AW33" s="123">
        <f t="shared" si="7"/>
        <v>186880.13960006816</v>
      </c>
      <c r="AX33" s="127">
        <f t="shared" si="8"/>
        <v>106951.49891907575</v>
      </c>
      <c r="AY33" s="131">
        <v>-45301.144447658298</v>
      </c>
      <c r="AZ33" s="130"/>
      <c r="BA33" s="130"/>
      <c r="BB33" s="123">
        <f t="shared" si="25"/>
        <v>61650.35447141745</v>
      </c>
      <c r="BC33" s="126">
        <f t="shared" si="9"/>
        <v>186880.13960006816</v>
      </c>
      <c r="BD33" s="133">
        <v>-45168.951256578715</v>
      </c>
      <c r="BE33" s="132"/>
      <c r="BF33" s="132"/>
      <c r="BG33" s="123">
        <f t="shared" si="10"/>
        <v>141711.18834348943</v>
      </c>
      <c r="BH33" s="127">
        <f t="shared" si="11"/>
        <v>61650.35447141745</v>
      </c>
      <c r="BI33" s="133">
        <v>-28410.552974086746</v>
      </c>
      <c r="BJ33" s="132"/>
      <c r="BK33" s="132"/>
      <c r="BL33" s="125">
        <f t="shared" si="26"/>
        <v>33239.8014973307</v>
      </c>
      <c r="BM33" s="133">
        <v>186880.13960006816</v>
      </c>
      <c r="BN33" s="133">
        <v>64219.95</v>
      </c>
      <c r="BO33" s="127">
        <f t="shared" si="13"/>
        <v>-45168.95125657873</v>
      </c>
      <c r="BP33" s="134">
        <f t="shared" si="14"/>
        <v>-30980.148502669297</v>
      </c>
      <c r="BQ33" s="135"/>
      <c r="BR33" s="133"/>
      <c r="BS33" s="136">
        <f t="shared" si="15"/>
        <v>-30980.148502669297</v>
      </c>
      <c r="BT33" s="137">
        <f t="shared" si="29"/>
        <v>0</v>
      </c>
      <c r="BU33" s="158" t="s">
        <v>216</v>
      </c>
      <c r="BV33" s="138">
        <v>174951</v>
      </c>
      <c r="BW33" s="139">
        <f t="shared" si="16"/>
        <v>0.01</v>
      </c>
      <c r="BX33" s="87" t="str">
        <f t="shared" si="17"/>
        <v/>
      </c>
      <c r="BY33" s="88"/>
      <c r="BZ33" s="88"/>
      <c r="CA33" s="88"/>
      <c r="CB33" s="88"/>
    </row>
    <row r="34" spans="1:80" ht="17" thickBot="1" x14ac:dyDescent="0.35">
      <c r="C34" s="154" t="s">
        <v>219</v>
      </c>
      <c r="D34" s="120">
        <v>1595</v>
      </c>
      <c r="E34" s="121"/>
      <c r="F34" s="122"/>
      <c r="G34" s="122"/>
      <c r="H34" s="122"/>
      <c r="I34" s="123">
        <f t="shared" si="18"/>
        <v>0</v>
      </c>
      <c r="J34" s="122"/>
      <c r="K34" s="122"/>
      <c r="L34" s="122"/>
      <c r="M34" s="122"/>
      <c r="N34" s="123">
        <f t="shared" si="19"/>
        <v>0</v>
      </c>
      <c r="O34" s="126">
        <f t="shared" si="20"/>
        <v>0</v>
      </c>
      <c r="P34" s="130"/>
      <c r="Q34" s="130"/>
      <c r="R34" s="130"/>
      <c r="S34" s="123">
        <f t="shared" si="27"/>
        <v>0</v>
      </c>
      <c r="T34" s="123">
        <f t="shared" si="1"/>
        <v>0</v>
      </c>
      <c r="U34" s="130"/>
      <c r="V34" s="130"/>
      <c r="W34" s="130"/>
      <c r="X34" s="125">
        <f t="shared" si="21"/>
        <v>0</v>
      </c>
      <c r="Y34" s="126">
        <f t="shared" si="12"/>
        <v>0</v>
      </c>
      <c r="Z34" s="130"/>
      <c r="AA34" s="130"/>
      <c r="AB34" s="130"/>
      <c r="AC34" s="123">
        <f t="shared" si="28"/>
        <v>0</v>
      </c>
      <c r="AD34" s="127">
        <f t="shared" si="2"/>
        <v>0</v>
      </c>
      <c r="AE34" s="130"/>
      <c r="AF34" s="130"/>
      <c r="AG34" s="130"/>
      <c r="AH34" s="125">
        <f t="shared" si="23"/>
        <v>0</v>
      </c>
      <c r="AI34" s="126">
        <f t="shared" si="3"/>
        <v>0</v>
      </c>
      <c r="AJ34" s="130">
        <v>-6348433.0299999993</v>
      </c>
      <c r="AK34" s="130"/>
      <c r="AL34" s="159"/>
      <c r="AM34" s="123">
        <f t="shared" si="4"/>
        <v>-6348433.0299999993</v>
      </c>
      <c r="AN34" s="127">
        <f t="shared" si="5"/>
        <v>0</v>
      </c>
      <c r="AO34" s="130">
        <v>-711778.66334518814</v>
      </c>
      <c r="AP34" s="130"/>
      <c r="AQ34" s="159"/>
      <c r="AR34" s="125">
        <f t="shared" si="24"/>
        <v>-711778.66334518814</v>
      </c>
      <c r="AS34" s="126">
        <f t="shared" si="6"/>
        <v>-6348433.0299999993</v>
      </c>
      <c r="AT34" s="131">
        <v>5866558.9027808569</v>
      </c>
      <c r="AU34" s="130"/>
      <c r="AV34" s="130"/>
      <c r="AW34" s="123">
        <f t="shared" si="7"/>
        <v>-481874.12721914239</v>
      </c>
      <c r="AX34" s="127">
        <f t="shared" si="8"/>
        <v>-711778.66334518814</v>
      </c>
      <c r="AY34" s="131">
        <v>5229.6394564245029</v>
      </c>
      <c r="AZ34" s="130"/>
      <c r="BA34" s="130"/>
      <c r="BB34" s="123">
        <f t="shared" si="25"/>
        <v>-706549.02388876362</v>
      </c>
      <c r="BC34" s="126">
        <f t="shared" si="9"/>
        <v>-481874.12721914239</v>
      </c>
      <c r="BD34" s="133">
        <v>242567.29109738726</v>
      </c>
      <c r="BE34" s="132"/>
      <c r="BF34" s="132"/>
      <c r="BG34" s="123">
        <f t="shared" si="10"/>
        <v>-239306.83612175513</v>
      </c>
      <c r="BH34" s="127">
        <f t="shared" si="11"/>
        <v>-706549.02388876362</v>
      </c>
      <c r="BI34" s="133">
        <v>12592.018580286265</v>
      </c>
      <c r="BJ34" s="132"/>
      <c r="BK34" s="132"/>
      <c r="BL34" s="125">
        <f t="shared" si="26"/>
        <v>-693957.00530847732</v>
      </c>
      <c r="BM34" s="133"/>
      <c r="BN34" s="133"/>
      <c r="BO34" s="127">
        <f t="shared" si="13"/>
        <v>-239306.83612175513</v>
      </c>
      <c r="BP34" s="134">
        <f t="shared" si="14"/>
        <v>-693957.00530847732</v>
      </c>
      <c r="BQ34" s="135">
        <v>-1364.0489658940044</v>
      </c>
      <c r="BR34" s="133"/>
      <c r="BS34" s="136">
        <f t="shared" si="15"/>
        <v>-695321.05427437136</v>
      </c>
      <c r="BT34" s="137">
        <f t="shared" si="29"/>
        <v>-934627.89039612643</v>
      </c>
      <c r="BU34" s="158" t="s">
        <v>123</v>
      </c>
      <c r="BV34" s="138">
        <v>-933263.85</v>
      </c>
      <c r="BW34" s="139">
        <f t="shared" si="16"/>
        <v>-0.01</v>
      </c>
      <c r="BX34" s="87" t="str">
        <f t="shared" si="17"/>
        <v/>
      </c>
      <c r="BY34" s="88"/>
      <c r="BZ34" s="88"/>
      <c r="CA34" s="88"/>
      <c r="CB34" s="88"/>
    </row>
    <row r="35" spans="1:80" ht="17" thickBot="1" x14ac:dyDescent="0.35">
      <c r="C35" s="154" t="s">
        <v>220</v>
      </c>
      <c r="D35" s="120">
        <v>1595</v>
      </c>
      <c r="E35" s="121"/>
      <c r="F35" s="122"/>
      <c r="G35" s="122"/>
      <c r="H35" s="122"/>
      <c r="I35" s="123">
        <f t="shared" si="18"/>
        <v>0</v>
      </c>
      <c r="J35" s="122"/>
      <c r="K35" s="122"/>
      <c r="L35" s="122"/>
      <c r="M35" s="122"/>
      <c r="N35" s="123">
        <f t="shared" si="19"/>
        <v>0</v>
      </c>
      <c r="O35" s="126">
        <f t="shared" si="20"/>
        <v>0</v>
      </c>
      <c r="P35" s="130"/>
      <c r="Q35" s="130"/>
      <c r="R35" s="130"/>
      <c r="S35" s="123">
        <f t="shared" si="27"/>
        <v>0</v>
      </c>
      <c r="T35" s="123">
        <f t="shared" si="1"/>
        <v>0</v>
      </c>
      <c r="U35" s="130"/>
      <c r="V35" s="130"/>
      <c r="W35" s="130"/>
      <c r="X35" s="125">
        <f t="shared" si="21"/>
        <v>0</v>
      </c>
      <c r="Y35" s="126">
        <f t="shared" si="12"/>
        <v>0</v>
      </c>
      <c r="Z35" s="130"/>
      <c r="AA35" s="130"/>
      <c r="AB35" s="130"/>
      <c r="AC35" s="123">
        <f t="shared" si="28"/>
        <v>0</v>
      </c>
      <c r="AD35" s="127">
        <f t="shared" si="2"/>
        <v>0</v>
      </c>
      <c r="AE35" s="130"/>
      <c r="AF35" s="130"/>
      <c r="AG35" s="130"/>
      <c r="AH35" s="125">
        <f t="shared" si="23"/>
        <v>0</v>
      </c>
      <c r="AI35" s="126">
        <f t="shared" si="3"/>
        <v>0</v>
      </c>
      <c r="AJ35" s="130"/>
      <c r="AK35" s="130"/>
      <c r="AL35" s="159"/>
      <c r="AM35" s="123">
        <f t="shared" si="4"/>
        <v>0</v>
      </c>
      <c r="AN35" s="127">
        <f t="shared" si="5"/>
        <v>0</v>
      </c>
      <c r="AO35" s="130"/>
      <c r="AP35" s="130"/>
      <c r="AQ35" s="131"/>
      <c r="AR35" s="125">
        <f t="shared" si="24"/>
        <v>0</v>
      </c>
      <c r="AS35" s="126">
        <f t="shared" si="6"/>
        <v>0</v>
      </c>
      <c r="AT35" s="131">
        <v>-12807.90866992157</v>
      </c>
      <c r="AU35" s="130"/>
      <c r="AV35" s="130"/>
      <c r="AW35" s="123">
        <f t="shared" si="7"/>
        <v>-12807.90866992157</v>
      </c>
      <c r="AX35" s="127">
        <f t="shared" si="8"/>
        <v>0</v>
      </c>
      <c r="AY35" s="131">
        <v>-67869.146416420772</v>
      </c>
      <c r="AZ35" s="130"/>
      <c r="BA35" s="130"/>
      <c r="BB35" s="123">
        <f t="shared" si="25"/>
        <v>-67869.146416420772</v>
      </c>
      <c r="BC35" s="126">
        <f t="shared" si="9"/>
        <v>-12807.90866992157</v>
      </c>
      <c r="BD35" s="133">
        <v>-529885.9500849226</v>
      </c>
      <c r="BE35" s="132"/>
      <c r="BF35" s="132"/>
      <c r="BG35" s="123">
        <f t="shared" si="10"/>
        <v>-542693.85875484417</v>
      </c>
      <c r="BH35" s="127">
        <f t="shared" si="11"/>
        <v>-67869.146416420772</v>
      </c>
      <c r="BI35" s="133">
        <v>-9432.3468549499303</v>
      </c>
      <c r="BJ35" s="132"/>
      <c r="BK35" s="132"/>
      <c r="BL35" s="125">
        <f t="shared" si="26"/>
        <v>-77301.493271370709</v>
      </c>
      <c r="BM35" s="133"/>
      <c r="BN35" s="133"/>
      <c r="BO35" s="127">
        <f t="shared" si="13"/>
        <v>-542693.85875484417</v>
      </c>
      <c r="BP35" s="134">
        <f t="shared" si="14"/>
        <v>-77301.493271370709</v>
      </c>
      <c r="BQ35" s="135"/>
      <c r="BR35" s="133"/>
      <c r="BS35" s="136">
        <f t="shared" si="15"/>
        <v>-77301.493271370709</v>
      </c>
      <c r="BT35" s="137">
        <f t="shared" si="29"/>
        <v>0</v>
      </c>
      <c r="BU35" s="160" t="s">
        <v>216</v>
      </c>
      <c r="BV35" s="138">
        <v>-619995.35</v>
      </c>
      <c r="BW35" s="139">
        <f t="shared" si="16"/>
        <v>0</v>
      </c>
      <c r="BX35" s="87" t="str">
        <f t="shared" si="17"/>
        <v/>
      </c>
      <c r="BY35" s="88"/>
      <c r="BZ35" s="88"/>
      <c r="CA35" s="88"/>
      <c r="CB35" s="88"/>
    </row>
    <row r="36" spans="1:80" ht="18" customHeight="1" thickBot="1" x14ac:dyDescent="0.35">
      <c r="C36" s="161" t="s">
        <v>221</v>
      </c>
      <c r="D36" s="120">
        <v>1595</v>
      </c>
      <c r="E36" s="121"/>
      <c r="F36" s="122"/>
      <c r="G36" s="122"/>
      <c r="H36" s="122"/>
      <c r="I36" s="123">
        <f t="shared" si="18"/>
        <v>0</v>
      </c>
      <c r="J36" s="122"/>
      <c r="K36" s="122"/>
      <c r="L36" s="122"/>
      <c r="M36" s="122"/>
      <c r="N36" s="123">
        <f t="shared" si="19"/>
        <v>0</v>
      </c>
      <c r="O36" s="126">
        <f t="shared" si="20"/>
        <v>0</v>
      </c>
      <c r="P36" s="130"/>
      <c r="Q36" s="130"/>
      <c r="R36" s="130"/>
      <c r="S36" s="123">
        <f t="shared" si="27"/>
        <v>0</v>
      </c>
      <c r="T36" s="123">
        <f>N36</f>
        <v>0</v>
      </c>
      <c r="U36" s="130"/>
      <c r="V36" s="130"/>
      <c r="W36" s="130"/>
      <c r="X36" s="125">
        <f t="shared" si="21"/>
        <v>0</v>
      </c>
      <c r="Y36" s="126">
        <f t="shared" si="12"/>
        <v>0</v>
      </c>
      <c r="Z36" s="130"/>
      <c r="AA36" s="130"/>
      <c r="AB36" s="130"/>
      <c r="AC36" s="123">
        <f t="shared" si="28"/>
        <v>0</v>
      </c>
      <c r="AD36" s="127">
        <f t="shared" si="2"/>
        <v>0</v>
      </c>
      <c r="AE36" s="130"/>
      <c r="AF36" s="130"/>
      <c r="AG36" s="130"/>
      <c r="AH36" s="125">
        <f t="shared" si="23"/>
        <v>0</v>
      </c>
      <c r="AI36" s="126">
        <f t="shared" si="3"/>
        <v>0</v>
      </c>
      <c r="AJ36" s="130"/>
      <c r="AK36" s="130"/>
      <c r="AL36" s="159"/>
      <c r="AM36" s="123">
        <f t="shared" si="4"/>
        <v>0</v>
      </c>
      <c r="AN36" s="127">
        <f t="shared" si="5"/>
        <v>0</v>
      </c>
      <c r="AO36" s="130"/>
      <c r="AP36" s="130"/>
      <c r="AQ36" s="131"/>
      <c r="AR36" s="125">
        <f t="shared" si="24"/>
        <v>0</v>
      </c>
      <c r="AS36" s="126">
        <f t="shared" si="6"/>
        <v>0</v>
      </c>
      <c r="AT36" s="131"/>
      <c r="AU36" s="130"/>
      <c r="AV36" s="130"/>
      <c r="AW36" s="123">
        <f t="shared" si="7"/>
        <v>0</v>
      </c>
      <c r="AX36" s="127">
        <f t="shared" si="8"/>
        <v>0</v>
      </c>
      <c r="AY36" s="131"/>
      <c r="AZ36" s="130"/>
      <c r="BA36" s="130"/>
      <c r="BB36" s="123">
        <f t="shared" si="25"/>
        <v>0</v>
      </c>
      <c r="BC36" s="126">
        <f t="shared" si="9"/>
        <v>0</v>
      </c>
      <c r="BD36" s="133">
        <v>25890096.36328746</v>
      </c>
      <c r="BE36" s="132">
        <v>70380410.352973074</v>
      </c>
      <c r="BF36" s="132"/>
      <c r="BG36" s="123">
        <f t="shared" si="10"/>
        <v>-44490313.98968561</v>
      </c>
      <c r="BH36" s="127">
        <f t="shared" si="11"/>
        <v>0</v>
      </c>
      <c r="BI36" s="133">
        <v>-742533.23945787072</v>
      </c>
      <c r="BJ36" s="132">
        <v>1975065.3908565242</v>
      </c>
      <c r="BK36" s="132"/>
      <c r="BL36" s="125">
        <f t="shared" si="26"/>
        <v>-2717598.6303143948</v>
      </c>
      <c r="BM36" s="133"/>
      <c r="BN36" s="133"/>
      <c r="BO36" s="127">
        <f t="shared" si="13"/>
        <v>-44490313.98968561</v>
      </c>
      <c r="BP36" s="134">
        <f t="shared" si="14"/>
        <v>-2717598.6303143948</v>
      </c>
      <c r="BQ36" s="135"/>
      <c r="BR36" s="133"/>
      <c r="BS36" s="136">
        <f t="shared" si="15"/>
        <v>-2717598.6303143948</v>
      </c>
      <c r="BT36" s="137">
        <f t="shared" si="29"/>
        <v>0</v>
      </c>
      <c r="BU36" s="160" t="s">
        <v>216</v>
      </c>
      <c r="BV36" s="138">
        <v>-47207912.799999997</v>
      </c>
      <c r="BW36" s="139">
        <f t="shared" si="16"/>
        <v>-0.18</v>
      </c>
      <c r="BX36" s="87" t="str">
        <f t="shared" si="17"/>
        <v/>
      </c>
      <c r="BY36" s="88"/>
      <c r="BZ36" s="88"/>
      <c r="CA36" s="88"/>
      <c r="CB36" s="88"/>
    </row>
    <row r="37" spans="1:80" ht="46" thickBot="1" x14ac:dyDescent="0.4">
      <c r="C37" s="162" t="s">
        <v>222</v>
      </c>
      <c r="D37" s="163">
        <v>1595</v>
      </c>
      <c r="E37" s="121"/>
      <c r="F37" s="122"/>
      <c r="G37" s="122"/>
      <c r="H37" s="122"/>
      <c r="I37" s="123">
        <f t="shared" si="18"/>
        <v>0</v>
      </c>
      <c r="J37" s="122"/>
      <c r="K37" s="122"/>
      <c r="L37" s="122"/>
      <c r="M37" s="122"/>
      <c r="N37" s="123">
        <f t="shared" si="19"/>
        <v>0</v>
      </c>
      <c r="O37" s="126">
        <f t="shared" si="20"/>
        <v>0</v>
      </c>
      <c r="P37" s="130"/>
      <c r="Q37" s="130"/>
      <c r="R37" s="130"/>
      <c r="S37" s="123">
        <f t="shared" si="27"/>
        <v>0</v>
      </c>
      <c r="T37" s="123">
        <f t="shared" si="1"/>
        <v>0</v>
      </c>
      <c r="U37" s="130"/>
      <c r="V37" s="130"/>
      <c r="W37" s="130"/>
      <c r="X37" s="125">
        <f t="shared" si="21"/>
        <v>0</v>
      </c>
      <c r="Y37" s="126">
        <f t="shared" si="12"/>
        <v>0</v>
      </c>
      <c r="Z37" s="130"/>
      <c r="AA37" s="130"/>
      <c r="AB37" s="130"/>
      <c r="AC37" s="123">
        <f t="shared" si="28"/>
        <v>0</v>
      </c>
      <c r="AD37" s="127">
        <f t="shared" si="2"/>
        <v>0</v>
      </c>
      <c r="AE37" s="130"/>
      <c r="AF37" s="130"/>
      <c r="AG37" s="130"/>
      <c r="AH37" s="125">
        <f t="shared" si="23"/>
        <v>0</v>
      </c>
      <c r="AI37" s="126">
        <f t="shared" si="3"/>
        <v>0</v>
      </c>
      <c r="AJ37" s="130"/>
      <c r="AK37" s="130"/>
      <c r="AL37" s="159"/>
      <c r="AM37" s="123">
        <f t="shared" si="4"/>
        <v>0</v>
      </c>
      <c r="AN37" s="127">
        <f t="shared" si="5"/>
        <v>0</v>
      </c>
      <c r="AO37" s="130"/>
      <c r="AP37" s="130"/>
      <c r="AQ37" s="131"/>
      <c r="AR37" s="125">
        <f t="shared" si="24"/>
        <v>0</v>
      </c>
      <c r="AS37" s="126">
        <f t="shared" si="6"/>
        <v>0</v>
      </c>
      <c r="AT37" s="131"/>
      <c r="AU37" s="130"/>
      <c r="AV37" s="130"/>
      <c r="AW37" s="123">
        <f t="shared" si="7"/>
        <v>0</v>
      </c>
      <c r="AX37" s="127">
        <f t="shared" si="8"/>
        <v>0</v>
      </c>
      <c r="AY37" s="131"/>
      <c r="AZ37" s="130"/>
      <c r="BA37" s="130"/>
      <c r="BB37" s="123">
        <f t="shared" si="25"/>
        <v>0</v>
      </c>
      <c r="BC37" s="126">
        <f t="shared" si="9"/>
        <v>0</v>
      </c>
      <c r="BD37" s="133"/>
      <c r="BE37" s="132"/>
      <c r="BF37" s="132"/>
      <c r="BG37" s="123">
        <f t="shared" si="10"/>
        <v>0</v>
      </c>
      <c r="BH37" s="127">
        <f t="shared" si="11"/>
        <v>0</v>
      </c>
      <c r="BI37" s="133"/>
      <c r="BJ37" s="132"/>
      <c r="BK37" s="132"/>
      <c r="BL37" s="125">
        <f t="shared" si="26"/>
        <v>0</v>
      </c>
      <c r="BM37" s="133"/>
      <c r="BN37" s="133"/>
      <c r="BO37" s="127">
        <f t="shared" si="13"/>
        <v>0</v>
      </c>
      <c r="BP37" s="134">
        <f t="shared" si="14"/>
        <v>0</v>
      </c>
      <c r="BQ37" s="135"/>
      <c r="BR37" s="133"/>
      <c r="BS37" s="136">
        <f t="shared" si="15"/>
        <v>0</v>
      </c>
      <c r="BT37" s="137">
        <f t="shared" si="29"/>
        <v>0</v>
      </c>
      <c r="BU37" s="160" t="s">
        <v>216</v>
      </c>
      <c r="BV37" s="138">
        <f>-47207912.8*0</f>
        <v>0</v>
      </c>
      <c r="BW37" s="139">
        <f>ROUND(BV37-SUM(BG37,BL37),2)</f>
        <v>0</v>
      </c>
      <c r="BX37" s="87" t="str">
        <f t="shared" si="17"/>
        <v/>
      </c>
      <c r="BY37" s="88"/>
      <c r="BZ37" s="88"/>
      <c r="CA37" s="88"/>
      <c r="CB37" s="88"/>
    </row>
    <row r="38" spans="1:80" x14ac:dyDescent="0.35">
      <c r="C38" s="154"/>
      <c r="D38" s="120"/>
      <c r="E38" s="164"/>
      <c r="F38" s="164"/>
      <c r="G38" s="164"/>
      <c r="H38" s="164"/>
      <c r="I38" s="164"/>
      <c r="J38" s="164"/>
      <c r="K38" s="164"/>
      <c r="L38" s="164"/>
      <c r="M38" s="164"/>
      <c r="N38" s="165"/>
      <c r="O38" s="166"/>
      <c r="P38" s="164"/>
      <c r="Q38" s="164"/>
      <c r="R38" s="164"/>
      <c r="S38" s="164"/>
      <c r="T38" s="164"/>
      <c r="U38" s="164"/>
      <c r="V38" s="164"/>
      <c r="W38" s="164"/>
      <c r="X38" s="165"/>
      <c r="Y38" s="166"/>
      <c r="Z38" s="164"/>
      <c r="AA38" s="164"/>
      <c r="AB38" s="164"/>
      <c r="AC38" s="164"/>
      <c r="AD38" s="164"/>
      <c r="AE38" s="164"/>
      <c r="AF38" s="164"/>
      <c r="AG38" s="164"/>
      <c r="AH38" s="165"/>
      <c r="AI38" s="167"/>
      <c r="AJ38" s="168"/>
      <c r="AK38" s="168"/>
      <c r="AL38" s="168"/>
      <c r="AM38" s="168"/>
      <c r="AN38" s="168"/>
      <c r="AO38" s="168"/>
      <c r="AP38" s="168"/>
      <c r="AQ38" s="168"/>
      <c r="AR38" s="169"/>
      <c r="AS38" s="167"/>
      <c r="AT38" s="168"/>
      <c r="AU38" s="168"/>
      <c r="AV38" s="168"/>
      <c r="AW38" s="168"/>
      <c r="AX38" s="168"/>
      <c r="AY38" s="168"/>
      <c r="AZ38" s="168"/>
      <c r="BA38" s="168"/>
      <c r="BB38" s="168"/>
      <c r="BC38" s="167"/>
      <c r="BD38" s="168"/>
      <c r="BE38" s="168"/>
      <c r="BF38" s="168"/>
      <c r="BG38" s="168"/>
      <c r="BH38" s="168"/>
      <c r="BI38" s="168"/>
      <c r="BJ38" s="168"/>
      <c r="BK38" s="168"/>
      <c r="BL38" s="169"/>
      <c r="BM38" s="167"/>
      <c r="BN38" s="168"/>
      <c r="BO38" s="123"/>
      <c r="BP38" s="123"/>
      <c r="BQ38" s="170"/>
      <c r="BR38" s="171"/>
      <c r="BS38" s="115"/>
      <c r="BT38" s="172"/>
      <c r="BU38" s="123"/>
      <c r="BV38" s="173"/>
      <c r="BW38" s="139"/>
      <c r="BX38" s="87" t="str">
        <f t="shared" si="17"/>
        <v/>
      </c>
      <c r="BY38" s="88"/>
      <c r="BZ38" s="88"/>
      <c r="CA38" s="88"/>
      <c r="CB38" s="88"/>
    </row>
    <row r="39" spans="1:80" ht="14.5" thickBot="1" x14ac:dyDescent="0.35">
      <c r="C39" s="174" t="s">
        <v>223</v>
      </c>
      <c r="D39" s="175">
        <v>1589</v>
      </c>
      <c r="E39" s="123">
        <f>IF($BU$29="No",0,E29)</f>
        <v>0</v>
      </c>
      <c r="F39" s="123">
        <f t="shared" ref="F39:BQ39" si="30">IF($BU$29="No",0,F29)</f>
        <v>0</v>
      </c>
      <c r="G39" s="123">
        <f t="shared" si="30"/>
        <v>0</v>
      </c>
      <c r="H39" s="123">
        <f t="shared" si="30"/>
        <v>0</v>
      </c>
      <c r="I39" s="123">
        <f t="shared" si="30"/>
        <v>0</v>
      </c>
      <c r="J39" s="123">
        <f t="shared" si="30"/>
        <v>0</v>
      </c>
      <c r="K39" s="123">
        <f t="shared" si="30"/>
        <v>0</v>
      </c>
      <c r="L39" s="123">
        <f t="shared" si="30"/>
        <v>0</v>
      </c>
      <c r="M39" s="123">
        <f t="shared" si="30"/>
        <v>0</v>
      </c>
      <c r="N39" s="123">
        <f t="shared" si="30"/>
        <v>0</v>
      </c>
      <c r="O39" s="176">
        <f t="shared" si="30"/>
        <v>0</v>
      </c>
      <c r="P39" s="123">
        <f t="shared" si="30"/>
        <v>0</v>
      </c>
      <c r="Q39" s="123">
        <f t="shared" si="30"/>
        <v>0</v>
      </c>
      <c r="R39" s="123">
        <f t="shared" si="30"/>
        <v>0</v>
      </c>
      <c r="S39" s="123">
        <f t="shared" si="30"/>
        <v>0</v>
      </c>
      <c r="T39" s="123">
        <f t="shared" si="30"/>
        <v>0</v>
      </c>
      <c r="U39" s="123">
        <f t="shared" si="30"/>
        <v>0</v>
      </c>
      <c r="V39" s="123">
        <f t="shared" si="30"/>
        <v>0</v>
      </c>
      <c r="W39" s="123">
        <f t="shared" si="30"/>
        <v>0</v>
      </c>
      <c r="X39" s="123">
        <f t="shared" si="30"/>
        <v>0</v>
      </c>
      <c r="Y39" s="176">
        <f t="shared" si="30"/>
        <v>0</v>
      </c>
      <c r="Z39" s="123">
        <f t="shared" si="30"/>
        <v>0</v>
      </c>
      <c r="AA39" s="123">
        <f t="shared" si="30"/>
        <v>0</v>
      </c>
      <c r="AB39" s="123">
        <f t="shared" si="30"/>
        <v>0</v>
      </c>
      <c r="AC39" s="123">
        <f t="shared" si="30"/>
        <v>0</v>
      </c>
      <c r="AD39" s="123">
        <f t="shared" si="30"/>
        <v>0</v>
      </c>
      <c r="AE39" s="123">
        <f t="shared" si="30"/>
        <v>0</v>
      </c>
      <c r="AF39" s="123">
        <f t="shared" si="30"/>
        <v>0</v>
      </c>
      <c r="AG39" s="123">
        <f t="shared" si="30"/>
        <v>0</v>
      </c>
      <c r="AH39" s="125">
        <f t="shared" si="30"/>
        <v>0</v>
      </c>
      <c r="AI39" s="123">
        <f t="shared" si="30"/>
        <v>0</v>
      </c>
      <c r="AJ39" s="123">
        <f t="shared" si="30"/>
        <v>0</v>
      </c>
      <c r="AK39" s="123">
        <f t="shared" si="30"/>
        <v>0</v>
      </c>
      <c r="AL39" s="123">
        <f t="shared" si="30"/>
        <v>0</v>
      </c>
      <c r="AM39" s="123">
        <f t="shared" si="30"/>
        <v>0</v>
      </c>
      <c r="AN39" s="123">
        <f t="shared" si="30"/>
        <v>0</v>
      </c>
      <c r="AO39" s="123">
        <f t="shared" si="30"/>
        <v>0</v>
      </c>
      <c r="AP39" s="123">
        <f t="shared" si="30"/>
        <v>0</v>
      </c>
      <c r="AQ39" s="123">
        <f t="shared" si="30"/>
        <v>0</v>
      </c>
      <c r="AR39" s="123">
        <f t="shared" si="30"/>
        <v>0</v>
      </c>
      <c r="AS39" s="177">
        <f t="shared" si="30"/>
        <v>0</v>
      </c>
      <c r="AT39" s="123">
        <f t="shared" si="30"/>
        <v>0</v>
      </c>
      <c r="AU39" s="123">
        <f t="shared" si="30"/>
        <v>0</v>
      </c>
      <c r="AV39" s="123">
        <f t="shared" si="30"/>
        <v>-5271859.3762982488</v>
      </c>
      <c r="AW39" s="123">
        <f t="shared" si="30"/>
        <v>-5271859.3762982488</v>
      </c>
      <c r="AX39" s="123">
        <f t="shared" si="30"/>
        <v>0</v>
      </c>
      <c r="AY39" s="123">
        <f t="shared" si="30"/>
        <v>0</v>
      </c>
      <c r="AZ39" s="123">
        <f t="shared" si="30"/>
        <v>0</v>
      </c>
      <c r="BA39" s="123">
        <f t="shared" si="30"/>
        <v>288680.00947143137</v>
      </c>
      <c r="BB39" s="125">
        <f t="shared" si="30"/>
        <v>288680.00947143137</v>
      </c>
      <c r="BC39" s="123">
        <f t="shared" si="30"/>
        <v>-5271859.3762982488</v>
      </c>
      <c r="BD39" s="123">
        <f t="shared" si="30"/>
        <v>10649938.070000006</v>
      </c>
      <c r="BE39" s="123">
        <f t="shared" si="30"/>
        <v>-23898523.388491735</v>
      </c>
      <c r="BF39" s="123">
        <f t="shared" si="30"/>
        <v>-12259094.529281616</v>
      </c>
      <c r="BG39" s="123">
        <f t="shared" si="30"/>
        <v>17017507.552911878</v>
      </c>
      <c r="BH39" s="123">
        <f t="shared" si="30"/>
        <v>288680.00947143137</v>
      </c>
      <c r="BI39" s="123">
        <f t="shared" si="30"/>
        <v>356177.99008652871</v>
      </c>
      <c r="BJ39" s="123">
        <f t="shared" si="30"/>
        <v>-471631.13216249458</v>
      </c>
      <c r="BK39" s="123">
        <f t="shared" si="30"/>
        <v>0</v>
      </c>
      <c r="BL39" s="123">
        <f t="shared" si="30"/>
        <v>1116489.1317204547</v>
      </c>
      <c r="BM39" s="176">
        <f t="shared" si="30"/>
        <v>18626664.012193248</v>
      </c>
      <c r="BN39" s="123">
        <f t="shared" si="30"/>
        <v>929596.45817349164</v>
      </c>
      <c r="BO39" s="123">
        <f t="shared" si="30"/>
        <v>-1609156.45928137</v>
      </c>
      <c r="BP39" s="123">
        <f t="shared" si="30"/>
        <v>186892.67354696302</v>
      </c>
      <c r="BQ39" s="176">
        <f t="shared" si="30"/>
        <v>-9172.1967769050279</v>
      </c>
      <c r="BR39" s="123">
        <f>IF($BU$29="No",0,BR29)</f>
        <v>0</v>
      </c>
      <c r="BS39" s="123">
        <f>IF($BU$29="No",0,BS29)</f>
        <v>177720.47677005798</v>
      </c>
      <c r="BT39" s="137">
        <f>BT29</f>
        <v>-1431435.9825113122</v>
      </c>
      <c r="BU39" s="123"/>
      <c r="BV39" s="178">
        <f>BV29</f>
        <v>20295855.77</v>
      </c>
      <c r="BW39" s="139">
        <f>ROUND(BV39-SUM(BG39,BL39),2)</f>
        <v>2161859.09</v>
      </c>
      <c r="BX39" s="87"/>
      <c r="BY39" s="88"/>
      <c r="BZ39" s="88"/>
      <c r="CA39" s="88"/>
      <c r="CB39" s="88"/>
    </row>
    <row r="40" spans="1:80" s="183" customFormat="1" ht="16" thickBot="1" x14ac:dyDescent="0.4">
      <c r="A40" s="48"/>
      <c r="B40" s="48"/>
      <c r="C40" s="179" t="s">
        <v>224</v>
      </c>
      <c r="D40" s="180"/>
      <c r="E40" s="123">
        <f>SUM(E21:E37)-E24-E29-IF($BU$31="No",E31,0)-IF($BU$32="No",E32,0)-IF($BU$33="No",E33,0)-IF($BU$34="No",E34,0)-IF($BU$35="No",E35,0)-IF($BU$36="No",E36,0)-IF($BU$37="No",E37,0)</f>
        <v>0</v>
      </c>
      <c r="F40" s="123">
        <f t="shared" ref="F40:BQ40" si="31">SUM(F21:F37)-F24-F29-IF($BU$31="No",F31,0)-IF($BU$32="No",F32,0)-IF($BU$33="No",F33,0)-IF($BU$34="No",F34,0)-IF($BU$35="No",F35,0)-IF($BU$36="No",F36,0)-IF($BU$37="No",F37,0)</f>
        <v>0</v>
      </c>
      <c r="G40" s="123">
        <f t="shared" si="31"/>
        <v>0</v>
      </c>
      <c r="H40" s="123">
        <f t="shared" si="31"/>
        <v>0</v>
      </c>
      <c r="I40" s="123">
        <f t="shared" si="31"/>
        <v>0</v>
      </c>
      <c r="J40" s="123">
        <f t="shared" si="31"/>
        <v>0</v>
      </c>
      <c r="K40" s="123">
        <f t="shared" si="31"/>
        <v>0</v>
      </c>
      <c r="L40" s="123">
        <f t="shared" si="31"/>
        <v>0</v>
      </c>
      <c r="M40" s="123">
        <f t="shared" si="31"/>
        <v>0</v>
      </c>
      <c r="N40" s="125">
        <f t="shared" si="31"/>
        <v>0</v>
      </c>
      <c r="O40" s="123">
        <f t="shared" si="31"/>
        <v>0</v>
      </c>
      <c r="P40" s="123">
        <f t="shared" si="31"/>
        <v>0</v>
      </c>
      <c r="Q40" s="123">
        <f t="shared" si="31"/>
        <v>0</v>
      </c>
      <c r="R40" s="123">
        <f t="shared" si="31"/>
        <v>0</v>
      </c>
      <c r="S40" s="123">
        <f t="shared" si="31"/>
        <v>0</v>
      </c>
      <c r="T40" s="123">
        <f t="shared" si="31"/>
        <v>0</v>
      </c>
      <c r="U40" s="123">
        <f t="shared" si="31"/>
        <v>0</v>
      </c>
      <c r="V40" s="123">
        <f t="shared" si="31"/>
        <v>0</v>
      </c>
      <c r="W40" s="123">
        <f t="shared" si="31"/>
        <v>0</v>
      </c>
      <c r="X40" s="123">
        <f t="shared" si="31"/>
        <v>0</v>
      </c>
      <c r="Y40" s="176">
        <f t="shared" si="31"/>
        <v>0</v>
      </c>
      <c r="Z40" s="123">
        <f t="shared" si="31"/>
        <v>0</v>
      </c>
      <c r="AA40" s="123">
        <f t="shared" si="31"/>
        <v>0</v>
      </c>
      <c r="AB40" s="123">
        <f t="shared" si="31"/>
        <v>0</v>
      </c>
      <c r="AC40" s="123">
        <f t="shared" si="31"/>
        <v>-3.7252902984619141E-9</v>
      </c>
      <c r="AD40" s="123">
        <f t="shared" si="31"/>
        <v>0</v>
      </c>
      <c r="AE40" s="123">
        <f t="shared" si="31"/>
        <v>0</v>
      </c>
      <c r="AF40" s="123">
        <f t="shared" si="31"/>
        <v>0</v>
      </c>
      <c r="AG40" s="123">
        <f t="shared" si="31"/>
        <v>0</v>
      </c>
      <c r="AH40" s="123">
        <f t="shared" si="31"/>
        <v>2.9103830456733704E-11</v>
      </c>
      <c r="AI40" s="176">
        <f t="shared" si="31"/>
        <v>-3.7252902984619141E-9</v>
      </c>
      <c r="AJ40" s="123">
        <f t="shared" si="31"/>
        <v>-6348433.0299999993</v>
      </c>
      <c r="AK40" s="123">
        <f t="shared" si="31"/>
        <v>0</v>
      </c>
      <c r="AL40" s="123">
        <f t="shared" si="31"/>
        <v>0</v>
      </c>
      <c r="AM40" s="123">
        <f t="shared" si="31"/>
        <v>-6348433.0299999975</v>
      </c>
      <c r="AN40" s="123">
        <f t="shared" si="31"/>
        <v>2.9103830456733704E-11</v>
      </c>
      <c r="AO40" s="123">
        <f t="shared" si="31"/>
        <v>-711778.66334518814</v>
      </c>
      <c r="AP40" s="123">
        <f t="shared" si="31"/>
        <v>0</v>
      </c>
      <c r="AQ40" s="123">
        <f t="shared" si="31"/>
        <v>0</v>
      </c>
      <c r="AR40" s="123">
        <f t="shared" si="31"/>
        <v>-711778.66334518825</v>
      </c>
      <c r="AS40" s="181">
        <f t="shared" si="31"/>
        <v>-6348433.0299999975</v>
      </c>
      <c r="AT40" s="123">
        <f t="shared" si="31"/>
        <v>5866558.9027808569</v>
      </c>
      <c r="AU40" s="123">
        <f t="shared" si="31"/>
        <v>0</v>
      </c>
      <c r="AV40" s="123">
        <f t="shared" si="31"/>
        <v>20983244.853219997</v>
      </c>
      <c r="AW40" s="123">
        <f t="shared" si="31"/>
        <v>20501370.726000853</v>
      </c>
      <c r="AX40" s="123">
        <f t="shared" si="31"/>
        <v>-711778.66334518825</v>
      </c>
      <c r="AY40" s="123">
        <f t="shared" si="31"/>
        <v>5229.6394564245129</v>
      </c>
      <c r="AZ40" s="123">
        <f t="shared" si="31"/>
        <v>0</v>
      </c>
      <c r="BA40" s="123">
        <f t="shared" si="31"/>
        <v>433383.64607077604</v>
      </c>
      <c r="BB40" s="123">
        <f t="shared" si="31"/>
        <v>-273165.3778179877</v>
      </c>
      <c r="BC40" s="176">
        <f t="shared" si="31"/>
        <v>20501370.726000853</v>
      </c>
      <c r="BD40" s="123">
        <f t="shared" si="31"/>
        <v>-5084901.3226400428</v>
      </c>
      <c r="BE40" s="123">
        <f t="shared" si="31"/>
        <v>15696164.878618136</v>
      </c>
      <c r="BF40" s="123">
        <f t="shared" si="31"/>
        <v>-5377148.3767781258</v>
      </c>
      <c r="BG40" s="123">
        <f t="shared" si="31"/>
        <v>-5656843.852035448</v>
      </c>
      <c r="BH40" s="123">
        <f t="shared" si="31"/>
        <v>-273165.3778179877</v>
      </c>
      <c r="BI40" s="123">
        <f t="shared" si="31"/>
        <v>-82044.508688719012</v>
      </c>
      <c r="BJ40" s="123">
        <f t="shared" si="31"/>
        <v>461024.33550179168</v>
      </c>
      <c r="BK40" s="123">
        <f t="shared" si="31"/>
        <v>0</v>
      </c>
      <c r="BL40" s="123">
        <f t="shared" si="31"/>
        <v>-816234.22200849792</v>
      </c>
      <c r="BM40" s="176">
        <f t="shared" si="31"/>
        <v>5287079.9746019319</v>
      </c>
      <c r="BN40" s="123">
        <f t="shared" si="31"/>
        <v>102086.1007111646</v>
      </c>
      <c r="BO40" s="123">
        <f t="shared" si="31"/>
        <v>-10943923.82663738</v>
      </c>
      <c r="BP40" s="123">
        <f t="shared" si="31"/>
        <v>-918320.32271966292</v>
      </c>
      <c r="BQ40" s="176">
        <f t="shared" si="31"/>
        <v>-62380.319976116341</v>
      </c>
      <c r="BR40" s="123">
        <f>SUM(BR21:BR37)-BR24-BR29-IF($BU$31="No",BR31,0)-IF($BU$32="No",BR32,0)-IF($BU$33="No",BR33,0)-IF($BU$34="No",BR34,0)-IF($BU$35="No",BR35,0)-IF($BU$36="No",BR36,0)-IF($BU$37="No",BR37,0)</f>
        <v>0</v>
      </c>
      <c r="BS40" s="123">
        <f>SUM(BS21:BS37)-BS24-BS29-IF($BU$31="No",BS31,0)-IF($BU$32="No",BS32,0)-IF($BU$33="No",BS33,0)-IF($BU$34="No",BS34,0)-IF($BU$35="No",BS35,0)-IF($BU$36="No",BS36,0)-IF($BU$37="No",BS37,0)</f>
        <v>-980700.64269577945</v>
      </c>
      <c r="BT40" s="123">
        <f>SUM(BT21:BT37)-BT29</f>
        <v>-11924624.469333161</v>
      </c>
      <c r="BU40" s="123"/>
      <c r="BV40" s="178">
        <f>SUM(BV21:BV37)-BV29-BV24-BV25</f>
        <v>-59655953.720000006</v>
      </c>
      <c r="BW40" s="139">
        <f>ROUND(BV40-SUM(BG40,BL40),2)</f>
        <v>-53182875.649999999</v>
      </c>
      <c r="BX40" s="87"/>
      <c r="BY40" s="182"/>
      <c r="BZ40" s="182"/>
      <c r="CA40" s="182"/>
      <c r="CB40" s="182"/>
    </row>
    <row r="41" spans="1:80" s="183" customFormat="1" ht="16" thickBot="1" x14ac:dyDescent="0.4">
      <c r="A41" s="48"/>
      <c r="B41" s="48"/>
      <c r="C41" s="179" t="s">
        <v>225</v>
      </c>
      <c r="D41" s="180"/>
      <c r="E41" s="123">
        <f>SUM(E39,E40)</f>
        <v>0</v>
      </c>
      <c r="F41" s="123">
        <f t="shared" ref="F41:O41" si="32">SUM(F39,F40)</f>
        <v>0</v>
      </c>
      <c r="G41" s="123">
        <f>SUM(G39,G40)</f>
        <v>0</v>
      </c>
      <c r="H41" s="123">
        <f t="shared" si="32"/>
        <v>0</v>
      </c>
      <c r="I41" s="123">
        <f t="shared" si="32"/>
        <v>0</v>
      </c>
      <c r="J41" s="123">
        <f t="shared" si="32"/>
        <v>0</v>
      </c>
      <c r="K41" s="123">
        <f t="shared" si="32"/>
        <v>0</v>
      </c>
      <c r="L41" s="123">
        <f t="shared" si="32"/>
        <v>0</v>
      </c>
      <c r="M41" s="123">
        <f t="shared" si="32"/>
        <v>0</v>
      </c>
      <c r="N41" s="123">
        <f t="shared" si="32"/>
        <v>0</v>
      </c>
      <c r="O41" s="176">
        <f t="shared" si="32"/>
        <v>0</v>
      </c>
      <c r="P41" s="123">
        <f>SUM(P39,P40)</f>
        <v>0</v>
      </c>
      <c r="Q41" s="123">
        <f>SUM(Q39,Q40)</f>
        <v>0</v>
      </c>
      <c r="R41" s="123">
        <f t="shared" ref="R41:BS41" si="33">SUM(R39,R40)</f>
        <v>0</v>
      </c>
      <c r="S41" s="123">
        <f t="shared" si="33"/>
        <v>0</v>
      </c>
      <c r="T41" s="123">
        <f t="shared" si="33"/>
        <v>0</v>
      </c>
      <c r="U41" s="123">
        <f t="shared" si="33"/>
        <v>0</v>
      </c>
      <c r="V41" s="123">
        <f t="shared" si="33"/>
        <v>0</v>
      </c>
      <c r="W41" s="123">
        <f t="shared" si="33"/>
        <v>0</v>
      </c>
      <c r="X41" s="125">
        <f t="shared" si="33"/>
        <v>0</v>
      </c>
      <c r="Y41" s="123">
        <f t="shared" si="33"/>
        <v>0</v>
      </c>
      <c r="Z41" s="123">
        <f t="shared" si="33"/>
        <v>0</v>
      </c>
      <c r="AA41" s="123">
        <f>SUM(AA39,AA40)</f>
        <v>0</v>
      </c>
      <c r="AB41" s="123">
        <f t="shared" si="33"/>
        <v>0</v>
      </c>
      <c r="AC41" s="123">
        <f t="shared" si="33"/>
        <v>-3.7252902984619141E-9</v>
      </c>
      <c r="AD41" s="123">
        <f t="shared" si="33"/>
        <v>0</v>
      </c>
      <c r="AE41" s="123">
        <f t="shared" si="33"/>
        <v>0</v>
      </c>
      <c r="AF41" s="123">
        <f t="shared" si="33"/>
        <v>0</v>
      </c>
      <c r="AG41" s="123">
        <f t="shared" si="33"/>
        <v>0</v>
      </c>
      <c r="AH41" s="125">
        <f t="shared" si="33"/>
        <v>2.9103830456733704E-11</v>
      </c>
      <c r="AI41" s="123">
        <f t="shared" si="33"/>
        <v>-3.7252902984619141E-9</v>
      </c>
      <c r="AJ41" s="123">
        <f t="shared" si="33"/>
        <v>-6348433.0299999993</v>
      </c>
      <c r="AK41" s="123">
        <f>SUM(AK39,AK40)</f>
        <v>0</v>
      </c>
      <c r="AL41" s="123">
        <f t="shared" si="33"/>
        <v>0</v>
      </c>
      <c r="AM41" s="123">
        <f t="shared" si="33"/>
        <v>-6348433.0299999975</v>
      </c>
      <c r="AN41" s="123">
        <f t="shared" si="33"/>
        <v>2.9103830456733704E-11</v>
      </c>
      <c r="AO41" s="123">
        <f t="shared" si="33"/>
        <v>-711778.66334518814</v>
      </c>
      <c r="AP41" s="123">
        <f t="shared" si="33"/>
        <v>0</v>
      </c>
      <c r="AQ41" s="123">
        <f t="shared" si="33"/>
        <v>0</v>
      </c>
      <c r="AR41" s="123">
        <f t="shared" si="33"/>
        <v>-711778.66334518825</v>
      </c>
      <c r="AS41" s="184">
        <f t="shared" si="33"/>
        <v>-6348433.0299999975</v>
      </c>
      <c r="AT41" s="123">
        <f t="shared" si="33"/>
        <v>5866558.9027808569</v>
      </c>
      <c r="AU41" s="123">
        <f>SUM(AU39,AU40)</f>
        <v>0</v>
      </c>
      <c r="AV41" s="123">
        <f t="shared" si="33"/>
        <v>15711385.476921748</v>
      </c>
      <c r="AW41" s="123">
        <f t="shared" si="33"/>
        <v>15229511.349702604</v>
      </c>
      <c r="AX41" s="123">
        <f t="shared" si="33"/>
        <v>-711778.66334518825</v>
      </c>
      <c r="AY41" s="123">
        <f t="shared" si="33"/>
        <v>5229.6394564245129</v>
      </c>
      <c r="AZ41" s="123">
        <f t="shared" si="33"/>
        <v>0</v>
      </c>
      <c r="BA41" s="123">
        <f t="shared" si="33"/>
        <v>722063.65554220742</v>
      </c>
      <c r="BB41" s="123">
        <f t="shared" si="33"/>
        <v>15514.631653443677</v>
      </c>
      <c r="BC41" s="176">
        <f t="shared" si="33"/>
        <v>15229511.349702604</v>
      </c>
      <c r="BD41" s="123">
        <f t="shared" si="33"/>
        <v>5565036.7473599631</v>
      </c>
      <c r="BE41" s="123">
        <f>SUM(BE39,BE40)</f>
        <v>-8202358.5098735988</v>
      </c>
      <c r="BF41" s="123">
        <f t="shared" si="33"/>
        <v>-17636242.906059742</v>
      </c>
      <c r="BG41" s="123">
        <f t="shared" si="33"/>
        <v>11360663.70087643</v>
      </c>
      <c r="BH41" s="123">
        <f t="shared" si="33"/>
        <v>15514.631653443677</v>
      </c>
      <c r="BI41" s="123">
        <f t="shared" si="33"/>
        <v>274133.48139780969</v>
      </c>
      <c r="BJ41" s="123">
        <f t="shared" si="33"/>
        <v>-10606.796660702908</v>
      </c>
      <c r="BK41" s="123">
        <f t="shared" si="33"/>
        <v>0</v>
      </c>
      <c r="BL41" s="125">
        <f t="shared" si="33"/>
        <v>300254.90971195675</v>
      </c>
      <c r="BM41" s="176">
        <f>SUM(BM39,BM40)</f>
        <v>23913743.98679518</v>
      </c>
      <c r="BN41" s="123">
        <f t="shared" si="33"/>
        <v>1031682.5588846563</v>
      </c>
      <c r="BO41" s="123">
        <f t="shared" si="33"/>
        <v>-12553080.28591875</v>
      </c>
      <c r="BP41" s="123">
        <f t="shared" si="33"/>
        <v>-731427.64917269989</v>
      </c>
      <c r="BQ41" s="176">
        <f t="shared" si="33"/>
        <v>-71552.516753021366</v>
      </c>
      <c r="BR41" s="123">
        <f t="shared" si="33"/>
        <v>0</v>
      </c>
      <c r="BS41" s="123">
        <f t="shared" si="33"/>
        <v>-802980.16592572141</v>
      </c>
      <c r="BT41" s="123">
        <f>SUM(BT39,BT40)</f>
        <v>-13356060.451844472</v>
      </c>
      <c r="BU41" s="123"/>
      <c r="BV41" s="178">
        <f>SUM(BV39,BV40)</f>
        <v>-39360097.950000003</v>
      </c>
      <c r="BW41" s="139">
        <f>ROUND(BV41-SUM(BG41,BL41),2)</f>
        <v>-51021016.560000002</v>
      </c>
      <c r="BX41" s="87"/>
      <c r="BY41" s="182"/>
      <c r="BZ41" s="182"/>
      <c r="CA41" s="182"/>
      <c r="CB41" s="182"/>
    </row>
    <row r="42" spans="1:80" s="183" customFormat="1" x14ac:dyDescent="0.35">
      <c r="A42" s="48"/>
      <c r="B42" s="48"/>
      <c r="C42" s="179"/>
      <c r="D42" s="180"/>
      <c r="E42" s="123"/>
      <c r="F42" s="123"/>
      <c r="G42" s="123"/>
      <c r="H42" s="123"/>
      <c r="I42" s="123"/>
      <c r="J42" s="123"/>
      <c r="K42" s="123"/>
      <c r="L42" s="123"/>
      <c r="M42" s="123"/>
      <c r="N42" s="125"/>
      <c r="O42" s="123"/>
      <c r="P42" s="123"/>
      <c r="Q42" s="123"/>
      <c r="R42" s="123"/>
      <c r="S42" s="123"/>
      <c r="T42" s="123"/>
      <c r="U42" s="123"/>
      <c r="V42" s="123"/>
      <c r="W42" s="123"/>
      <c r="X42" s="125"/>
      <c r="Y42" s="123"/>
      <c r="Z42" s="123"/>
      <c r="AA42" s="123"/>
      <c r="AB42" s="123"/>
      <c r="AC42" s="123"/>
      <c r="AD42" s="123"/>
      <c r="AE42" s="123"/>
      <c r="AF42" s="123"/>
      <c r="AG42" s="123"/>
      <c r="AH42" s="125"/>
      <c r="AI42" s="123"/>
      <c r="AJ42" s="123"/>
      <c r="AK42" s="123"/>
      <c r="AL42" s="123"/>
      <c r="AM42" s="123"/>
      <c r="AN42" s="123"/>
      <c r="AO42" s="123"/>
      <c r="AP42" s="123"/>
      <c r="AQ42" s="123"/>
      <c r="AR42" s="123"/>
      <c r="AS42" s="185"/>
      <c r="AT42" s="123"/>
      <c r="AU42" s="123"/>
      <c r="AV42" s="123"/>
      <c r="AW42" s="123"/>
      <c r="AX42" s="123"/>
      <c r="AY42" s="123"/>
      <c r="AZ42" s="123"/>
      <c r="BA42" s="123"/>
      <c r="BB42" s="123"/>
      <c r="BC42" s="176"/>
      <c r="BD42" s="123"/>
      <c r="BE42" s="123"/>
      <c r="BF42" s="123"/>
      <c r="BG42" s="123"/>
      <c r="BH42" s="123"/>
      <c r="BI42" s="123"/>
      <c r="BJ42" s="123"/>
      <c r="BK42" s="123"/>
      <c r="BL42" s="125"/>
      <c r="BM42" s="176"/>
      <c r="BN42" s="123"/>
      <c r="BO42" s="123"/>
      <c r="BP42" s="123"/>
      <c r="BQ42" s="176"/>
      <c r="BR42" s="123"/>
      <c r="BS42" s="123"/>
      <c r="BT42" s="123"/>
      <c r="BU42" s="123"/>
      <c r="BV42" s="178"/>
      <c r="BW42" s="139"/>
      <c r="BX42" s="87"/>
      <c r="BY42" s="182"/>
      <c r="BZ42" s="182"/>
      <c r="CA42" s="182"/>
      <c r="CB42" s="182"/>
    </row>
    <row r="43" spans="1:80" s="190" customFormat="1" ht="14.5" thickBot="1" x14ac:dyDescent="0.35">
      <c r="A43" s="59"/>
      <c r="B43" s="59"/>
      <c r="C43" s="174" t="s">
        <v>226</v>
      </c>
      <c r="D43" s="186"/>
      <c r="E43" s="123">
        <f>E29</f>
        <v>0</v>
      </c>
      <c r="F43" s="123">
        <f t="shared" ref="F43:BQ43" si="34">F29</f>
        <v>0</v>
      </c>
      <c r="G43" s="123">
        <f t="shared" si="34"/>
        <v>0</v>
      </c>
      <c r="H43" s="123">
        <f t="shared" si="34"/>
        <v>0</v>
      </c>
      <c r="I43" s="123">
        <f t="shared" si="34"/>
        <v>0</v>
      </c>
      <c r="J43" s="123">
        <f t="shared" si="34"/>
        <v>0</v>
      </c>
      <c r="K43" s="123">
        <f t="shared" si="34"/>
        <v>0</v>
      </c>
      <c r="L43" s="123">
        <f t="shared" si="34"/>
        <v>0</v>
      </c>
      <c r="M43" s="123">
        <f t="shared" si="34"/>
        <v>0</v>
      </c>
      <c r="N43" s="123">
        <f t="shared" si="34"/>
        <v>0</v>
      </c>
      <c r="O43" s="176">
        <f t="shared" si="34"/>
        <v>0</v>
      </c>
      <c r="P43" s="123">
        <f t="shared" si="34"/>
        <v>0</v>
      </c>
      <c r="Q43" s="123">
        <f t="shared" si="34"/>
        <v>0</v>
      </c>
      <c r="R43" s="123">
        <f t="shared" si="34"/>
        <v>0</v>
      </c>
      <c r="S43" s="123">
        <f t="shared" si="34"/>
        <v>0</v>
      </c>
      <c r="T43" s="123">
        <f t="shared" si="34"/>
        <v>0</v>
      </c>
      <c r="U43" s="123">
        <f t="shared" si="34"/>
        <v>0</v>
      </c>
      <c r="V43" s="123">
        <f t="shared" si="34"/>
        <v>0</v>
      </c>
      <c r="W43" s="123">
        <f t="shared" si="34"/>
        <v>0</v>
      </c>
      <c r="X43" s="123">
        <f t="shared" si="34"/>
        <v>0</v>
      </c>
      <c r="Y43" s="176">
        <f t="shared" si="34"/>
        <v>0</v>
      </c>
      <c r="Z43" s="123">
        <f t="shared" si="34"/>
        <v>0</v>
      </c>
      <c r="AA43" s="123">
        <f t="shared" si="34"/>
        <v>0</v>
      </c>
      <c r="AB43" s="123">
        <f t="shared" si="34"/>
        <v>0</v>
      </c>
      <c r="AC43" s="123">
        <f t="shared" si="34"/>
        <v>0</v>
      </c>
      <c r="AD43" s="123">
        <f t="shared" si="34"/>
        <v>0</v>
      </c>
      <c r="AE43" s="123">
        <f t="shared" si="34"/>
        <v>0</v>
      </c>
      <c r="AF43" s="123">
        <f t="shared" si="34"/>
        <v>0</v>
      </c>
      <c r="AG43" s="123">
        <f t="shared" si="34"/>
        <v>0</v>
      </c>
      <c r="AH43" s="125">
        <f t="shared" si="34"/>
        <v>0</v>
      </c>
      <c r="AI43" s="123">
        <f t="shared" si="34"/>
        <v>0</v>
      </c>
      <c r="AJ43" s="123">
        <f t="shared" si="34"/>
        <v>0</v>
      </c>
      <c r="AK43" s="123">
        <f t="shared" si="34"/>
        <v>0</v>
      </c>
      <c r="AL43" s="123">
        <f t="shared" si="34"/>
        <v>0</v>
      </c>
      <c r="AM43" s="123">
        <f t="shared" si="34"/>
        <v>0</v>
      </c>
      <c r="AN43" s="123">
        <f t="shared" si="34"/>
        <v>0</v>
      </c>
      <c r="AO43" s="123">
        <f t="shared" si="34"/>
        <v>0</v>
      </c>
      <c r="AP43" s="123">
        <f t="shared" si="34"/>
        <v>0</v>
      </c>
      <c r="AQ43" s="123">
        <f t="shared" si="34"/>
        <v>0</v>
      </c>
      <c r="AR43" s="123">
        <f t="shared" si="34"/>
        <v>0</v>
      </c>
      <c r="AS43" s="177">
        <f t="shared" si="34"/>
        <v>0</v>
      </c>
      <c r="AT43" s="123">
        <f t="shared" si="34"/>
        <v>0</v>
      </c>
      <c r="AU43" s="123">
        <f t="shared" si="34"/>
        <v>0</v>
      </c>
      <c r="AV43" s="123">
        <f t="shared" si="34"/>
        <v>-5271859.3762982488</v>
      </c>
      <c r="AW43" s="123">
        <f t="shared" si="34"/>
        <v>-5271859.3762982488</v>
      </c>
      <c r="AX43" s="123">
        <f t="shared" si="34"/>
        <v>0</v>
      </c>
      <c r="AY43" s="123">
        <f t="shared" si="34"/>
        <v>0</v>
      </c>
      <c r="AZ43" s="123">
        <f t="shared" si="34"/>
        <v>0</v>
      </c>
      <c r="BA43" s="123">
        <f t="shared" si="34"/>
        <v>288680.00947143137</v>
      </c>
      <c r="BB43" s="125">
        <f t="shared" si="34"/>
        <v>288680.00947143137</v>
      </c>
      <c r="BC43" s="123">
        <f t="shared" si="34"/>
        <v>-5271859.3762982488</v>
      </c>
      <c r="BD43" s="123">
        <f t="shared" si="34"/>
        <v>10649938.070000006</v>
      </c>
      <c r="BE43" s="123">
        <f t="shared" si="34"/>
        <v>-23898523.388491735</v>
      </c>
      <c r="BF43" s="123">
        <f t="shared" si="34"/>
        <v>-12259094.529281616</v>
      </c>
      <c r="BG43" s="123">
        <f t="shared" si="34"/>
        <v>17017507.552911878</v>
      </c>
      <c r="BH43" s="123">
        <f t="shared" si="34"/>
        <v>288680.00947143137</v>
      </c>
      <c r="BI43" s="123">
        <f t="shared" si="34"/>
        <v>356177.99008652871</v>
      </c>
      <c r="BJ43" s="123">
        <f t="shared" si="34"/>
        <v>-471631.13216249458</v>
      </c>
      <c r="BK43" s="123">
        <f t="shared" si="34"/>
        <v>0</v>
      </c>
      <c r="BL43" s="123">
        <f t="shared" si="34"/>
        <v>1116489.1317204547</v>
      </c>
      <c r="BM43" s="176">
        <f t="shared" si="34"/>
        <v>18626664.012193248</v>
      </c>
      <c r="BN43" s="123">
        <f t="shared" si="34"/>
        <v>929596.45817349164</v>
      </c>
      <c r="BO43" s="123">
        <f t="shared" si="34"/>
        <v>-1609156.45928137</v>
      </c>
      <c r="BP43" s="123">
        <f t="shared" si="34"/>
        <v>186892.67354696302</v>
      </c>
      <c r="BQ43" s="176">
        <f t="shared" si="34"/>
        <v>-9172.1967769050279</v>
      </c>
      <c r="BR43" s="123">
        <f>BR29</f>
        <v>0</v>
      </c>
      <c r="BS43" s="123">
        <f>BS29</f>
        <v>177720.47677005798</v>
      </c>
      <c r="BT43" s="137"/>
      <c r="BU43" s="123"/>
      <c r="BV43" s="173"/>
      <c r="BW43" s="187"/>
      <c r="BX43" s="188"/>
      <c r="BY43" s="189"/>
      <c r="BZ43" s="189"/>
      <c r="CA43" s="189"/>
      <c r="CB43" s="189"/>
    </row>
    <row r="44" spans="1:80" s="190" customFormat="1" ht="14.5" thickBot="1" x14ac:dyDescent="0.35">
      <c r="A44" s="59"/>
      <c r="B44" s="59"/>
      <c r="C44" s="179" t="s">
        <v>227</v>
      </c>
      <c r="D44" s="186"/>
      <c r="E44" s="123">
        <f>SUM(E21:E37)-E29</f>
        <v>0</v>
      </c>
      <c r="F44" s="123">
        <f t="shared" ref="F44:BQ44" si="35">SUM(F21:F37)-F29</f>
        <v>0</v>
      </c>
      <c r="G44" s="123">
        <f t="shared" si="35"/>
        <v>0</v>
      </c>
      <c r="H44" s="123">
        <f t="shared" si="35"/>
        <v>0</v>
      </c>
      <c r="I44" s="123">
        <f t="shared" si="35"/>
        <v>0</v>
      </c>
      <c r="J44" s="123">
        <f t="shared" si="35"/>
        <v>0</v>
      </c>
      <c r="K44" s="123">
        <f t="shared" si="35"/>
        <v>0</v>
      </c>
      <c r="L44" s="123">
        <f t="shared" si="35"/>
        <v>0</v>
      </c>
      <c r="M44" s="123">
        <f t="shared" si="35"/>
        <v>0</v>
      </c>
      <c r="N44" s="125">
        <f t="shared" si="35"/>
        <v>0</v>
      </c>
      <c r="O44" s="123">
        <f t="shared" si="35"/>
        <v>0</v>
      </c>
      <c r="P44" s="123">
        <f t="shared" si="35"/>
        <v>8704229.6100000031</v>
      </c>
      <c r="Q44" s="123">
        <f t="shared" si="35"/>
        <v>-45304159.969011679</v>
      </c>
      <c r="R44" s="123">
        <f t="shared" si="35"/>
        <v>0</v>
      </c>
      <c r="S44" s="123">
        <f t="shared" si="35"/>
        <v>54008389.579011679</v>
      </c>
      <c r="T44" s="123">
        <f t="shared" si="35"/>
        <v>0</v>
      </c>
      <c r="U44" s="123">
        <f t="shared" si="35"/>
        <v>-28061.198057183276</v>
      </c>
      <c r="V44" s="123">
        <f t="shared" si="35"/>
        <v>-131074</v>
      </c>
      <c r="W44" s="123">
        <f t="shared" si="35"/>
        <v>0</v>
      </c>
      <c r="X44" s="123">
        <f t="shared" si="35"/>
        <v>103012.80194281673</v>
      </c>
      <c r="Y44" s="176">
        <f t="shared" si="35"/>
        <v>54008389.579011679</v>
      </c>
      <c r="Z44" s="123">
        <f t="shared" si="35"/>
        <v>-11037516.835210837</v>
      </c>
      <c r="AA44" s="123">
        <f t="shared" si="35"/>
        <v>0</v>
      </c>
      <c r="AB44" s="123">
        <f t="shared" si="35"/>
        <v>0</v>
      </c>
      <c r="AC44" s="123">
        <f t="shared" si="35"/>
        <v>42970872.743800834</v>
      </c>
      <c r="AD44" s="123">
        <f t="shared" si="35"/>
        <v>103012.80194281673</v>
      </c>
      <c r="AE44" s="123">
        <f t="shared" si="35"/>
        <v>123347.37845358496</v>
      </c>
      <c r="AF44" s="123">
        <f t="shared" si="35"/>
        <v>0</v>
      </c>
      <c r="AG44" s="123">
        <f t="shared" si="35"/>
        <v>-993537.3783982849</v>
      </c>
      <c r="AH44" s="123">
        <f t="shared" si="35"/>
        <v>-767177.19800188323</v>
      </c>
      <c r="AI44" s="176">
        <f t="shared" si="35"/>
        <v>42970872.743800834</v>
      </c>
      <c r="AJ44" s="123">
        <f t="shared" si="35"/>
        <v>-23931861.028502464</v>
      </c>
      <c r="AK44" s="123">
        <f t="shared" si="35"/>
        <v>0</v>
      </c>
      <c r="AL44" s="123">
        <f t="shared" si="35"/>
        <v>0</v>
      </c>
      <c r="AM44" s="123">
        <f t="shared" si="35"/>
        <v>19039011.715298377</v>
      </c>
      <c r="AN44" s="123">
        <f t="shared" si="35"/>
        <v>-767177.19800188323</v>
      </c>
      <c r="AO44" s="123">
        <f t="shared" si="35"/>
        <v>-837972.29442406818</v>
      </c>
      <c r="AP44" s="123">
        <f t="shared" si="35"/>
        <v>0</v>
      </c>
      <c r="AQ44" s="123">
        <f t="shared" si="35"/>
        <v>0</v>
      </c>
      <c r="AR44" s="123">
        <f t="shared" si="35"/>
        <v>-1605149.4924259516</v>
      </c>
      <c r="AS44" s="181">
        <f t="shared" si="35"/>
        <v>19039011.715298377</v>
      </c>
      <c r="AT44" s="123">
        <f t="shared" si="35"/>
        <v>-15932765.690081161</v>
      </c>
      <c r="AU44" s="123">
        <f t="shared" si="35"/>
        <v>0</v>
      </c>
      <c r="AV44" s="123">
        <f t="shared" si="35"/>
        <v>20983244.853219997</v>
      </c>
      <c r="AW44" s="123">
        <f t="shared" si="35"/>
        <v>24089490.87843721</v>
      </c>
      <c r="AX44" s="123">
        <f t="shared" si="35"/>
        <v>-1605149.4924259516</v>
      </c>
      <c r="AY44" s="123">
        <f t="shared" si="35"/>
        <v>-112247.80948448789</v>
      </c>
      <c r="AZ44" s="123">
        <f t="shared" si="35"/>
        <v>0</v>
      </c>
      <c r="BA44" s="123">
        <f t="shared" si="35"/>
        <v>433383.64607077604</v>
      </c>
      <c r="BB44" s="123">
        <f t="shared" si="35"/>
        <v>-1284013.6558396635</v>
      </c>
      <c r="BC44" s="176">
        <f t="shared" si="35"/>
        <v>24089490.87843721</v>
      </c>
      <c r="BD44" s="123">
        <f t="shared" si="35"/>
        <v>18673691.239305921</v>
      </c>
      <c r="BE44" s="123">
        <f t="shared" si="35"/>
        <v>86076575.23159121</v>
      </c>
      <c r="BF44" s="123">
        <f t="shared" si="35"/>
        <v>-5377148.3767781258</v>
      </c>
      <c r="BG44" s="123">
        <f t="shared" si="35"/>
        <v>-48690541.490626201</v>
      </c>
      <c r="BH44" s="123">
        <f t="shared" si="35"/>
        <v>-1284013.6558396635</v>
      </c>
      <c r="BI44" s="123">
        <f t="shared" si="35"/>
        <v>-864240.41980720975</v>
      </c>
      <c r="BJ44" s="123">
        <f t="shared" si="35"/>
        <v>2436089.7263583159</v>
      </c>
      <c r="BK44" s="123">
        <f t="shared" si="35"/>
        <v>0</v>
      </c>
      <c r="BL44" s="123">
        <f t="shared" si="35"/>
        <v>-4584343.8020051885</v>
      </c>
      <c r="BM44" s="176">
        <f t="shared" si="35"/>
        <v>5473960.1142020002</v>
      </c>
      <c r="BN44" s="123">
        <f t="shared" si="35"/>
        <v>166306.0507111646</v>
      </c>
      <c r="BO44" s="123">
        <f t="shared" si="35"/>
        <v>-54164501.604828201</v>
      </c>
      <c r="BP44" s="125">
        <f t="shared" si="35"/>
        <v>-4750649.8527163537</v>
      </c>
      <c r="BQ44" s="123">
        <f t="shared" si="35"/>
        <v>-62380.319976116341</v>
      </c>
      <c r="BR44" s="123">
        <f>SUM(BR21:BR37)-BR29</f>
        <v>0</v>
      </c>
      <c r="BS44" s="123">
        <f>SUM(BS21:BS37)-BS29</f>
        <v>-4813030.1726924703</v>
      </c>
      <c r="BT44" s="137"/>
      <c r="BU44" s="123"/>
      <c r="BV44" s="173"/>
      <c r="BW44" s="187"/>
      <c r="BX44" s="188"/>
      <c r="BY44" s="189"/>
      <c r="BZ44" s="189"/>
      <c r="CA44" s="189"/>
      <c r="CB44" s="189"/>
    </row>
    <row r="45" spans="1:80" s="190" customFormat="1" ht="15.75" customHeight="1" thickBot="1" x14ac:dyDescent="0.35">
      <c r="A45" s="59"/>
      <c r="B45" s="59"/>
      <c r="C45" s="179" t="s">
        <v>228</v>
      </c>
      <c r="D45" s="186"/>
      <c r="E45" s="123">
        <f>SUM(E43:E44)</f>
        <v>0</v>
      </c>
      <c r="F45" s="123">
        <f t="shared" ref="F45:BQ45" si="36">SUM(F43:F44)</f>
        <v>0</v>
      </c>
      <c r="G45" s="123">
        <f t="shared" si="36"/>
        <v>0</v>
      </c>
      <c r="H45" s="123">
        <f t="shared" si="36"/>
        <v>0</v>
      </c>
      <c r="I45" s="123">
        <f t="shared" si="36"/>
        <v>0</v>
      </c>
      <c r="J45" s="123">
        <f t="shared" si="36"/>
        <v>0</v>
      </c>
      <c r="K45" s="123">
        <f t="shared" si="36"/>
        <v>0</v>
      </c>
      <c r="L45" s="123">
        <f t="shared" si="36"/>
        <v>0</v>
      </c>
      <c r="M45" s="123">
        <f t="shared" si="36"/>
        <v>0</v>
      </c>
      <c r="N45" s="123">
        <f t="shared" si="36"/>
        <v>0</v>
      </c>
      <c r="O45" s="176">
        <f t="shared" si="36"/>
        <v>0</v>
      </c>
      <c r="P45" s="123">
        <f t="shared" si="36"/>
        <v>8704229.6100000031</v>
      </c>
      <c r="Q45" s="123">
        <f t="shared" si="36"/>
        <v>-45304159.969011679</v>
      </c>
      <c r="R45" s="123">
        <f t="shared" si="36"/>
        <v>0</v>
      </c>
      <c r="S45" s="123">
        <f t="shared" si="36"/>
        <v>54008389.579011679</v>
      </c>
      <c r="T45" s="123">
        <f t="shared" si="36"/>
        <v>0</v>
      </c>
      <c r="U45" s="123">
        <f t="shared" si="36"/>
        <v>-28061.198057183276</v>
      </c>
      <c r="V45" s="123">
        <f t="shared" si="36"/>
        <v>-131074</v>
      </c>
      <c r="W45" s="123">
        <f t="shared" si="36"/>
        <v>0</v>
      </c>
      <c r="X45" s="125">
        <f t="shared" si="36"/>
        <v>103012.80194281673</v>
      </c>
      <c r="Y45" s="123">
        <f t="shared" si="36"/>
        <v>54008389.579011679</v>
      </c>
      <c r="Z45" s="123">
        <f t="shared" si="36"/>
        <v>-11037516.835210837</v>
      </c>
      <c r="AA45" s="123">
        <f t="shared" si="36"/>
        <v>0</v>
      </c>
      <c r="AB45" s="123">
        <f t="shared" si="36"/>
        <v>0</v>
      </c>
      <c r="AC45" s="123">
        <f t="shared" si="36"/>
        <v>42970872.743800834</v>
      </c>
      <c r="AD45" s="123">
        <f t="shared" si="36"/>
        <v>103012.80194281673</v>
      </c>
      <c r="AE45" s="123">
        <f t="shared" si="36"/>
        <v>123347.37845358496</v>
      </c>
      <c r="AF45" s="123">
        <f t="shared" si="36"/>
        <v>0</v>
      </c>
      <c r="AG45" s="123">
        <f t="shared" si="36"/>
        <v>-993537.3783982849</v>
      </c>
      <c r="AH45" s="125">
        <f t="shared" si="36"/>
        <v>-767177.19800188323</v>
      </c>
      <c r="AI45" s="123">
        <f t="shared" si="36"/>
        <v>42970872.743800834</v>
      </c>
      <c r="AJ45" s="123">
        <f t="shared" si="36"/>
        <v>-23931861.028502464</v>
      </c>
      <c r="AK45" s="123">
        <f t="shared" si="36"/>
        <v>0</v>
      </c>
      <c r="AL45" s="123">
        <f t="shared" si="36"/>
        <v>0</v>
      </c>
      <c r="AM45" s="123">
        <f t="shared" si="36"/>
        <v>19039011.715298377</v>
      </c>
      <c r="AN45" s="123">
        <f t="shared" si="36"/>
        <v>-767177.19800188323</v>
      </c>
      <c r="AO45" s="123">
        <f t="shared" si="36"/>
        <v>-837972.29442406818</v>
      </c>
      <c r="AP45" s="123">
        <f t="shared" si="36"/>
        <v>0</v>
      </c>
      <c r="AQ45" s="123">
        <f t="shared" si="36"/>
        <v>0</v>
      </c>
      <c r="AR45" s="123">
        <f t="shared" si="36"/>
        <v>-1605149.4924259516</v>
      </c>
      <c r="AS45" s="184">
        <f t="shared" si="36"/>
        <v>19039011.715298377</v>
      </c>
      <c r="AT45" s="123">
        <f t="shared" si="36"/>
        <v>-15932765.690081161</v>
      </c>
      <c r="AU45" s="123">
        <f t="shared" si="36"/>
        <v>0</v>
      </c>
      <c r="AV45" s="123">
        <f t="shared" si="36"/>
        <v>15711385.476921748</v>
      </c>
      <c r="AW45" s="123">
        <f t="shared" si="36"/>
        <v>18817631.502138961</v>
      </c>
      <c r="AX45" s="123">
        <f t="shared" si="36"/>
        <v>-1605149.4924259516</v>
      </c>
      <c r="AY45" s="123">
        <f t="shared" si="36"/>
        <v>-112247.80948448789</v>
      </c>
      <c r="AZ45" s="123">
        <f t="shared" si="36"/>
        <v>0</v>
      </c>
      <c r="BA45" s="123">
        <f t="shared" si="36"/>
        <v>722063.65554220742</v>
      </c>
      <c r="BB45" s="123">
        <f t="shared" si="36"/>
        <v>-995333.64636823209</v>
      </c>
      <c r="BC45" s="176">
        <f t="shared" si="36"/>
        <v>18817631.502138961</v>
      </c>
      <c r="BD45" s="123">
        <f t="shared" si="36"/>
        <v>29323629.309305929</v>
      </c>
      <c r="BE45" s="123">
        <f t="shared" si="36"/>
        <v>62178051.843099475</v>
      </c>
      <c r="BF45" s="123">
        <f t="shared" si="36"/>
        <v>-17636242.906059742</v>
      </c>
      <c r="BG45" s="123">
        <f t="shared" si="36"/>
        <v>-31673033.937714323</v>
      </c>
      <c r="BH45" s="123">
        <f t="shared" si="36"/>
        <v>-995333.64636823209</v>
      </c>
      <c r="BI45" s="123">
        <f t="shared" si="36"/>
        <v>-508062.42972068104</v>
      </c>
      <c r="BJ45" s="123">
        <f t="shared" si="36"/>
        <v>1964458.5941958213</v>
      </c>
      <c r="BK45" s="123">
        <f t="shared" si="36"/>
        <v>0</v>
      </c>
      <c r="BL45" s="125">
        <f t="shared" si="36"/>
        <v>-3467854.6702847341</v>
      </c>
      <c r="BM45" s="176">
        <f t="shared" si="36"/>
        <v>24100624.126395248</v>
      </c>
      <c r="BN45" s="123">
        <f t="shared" si="36"/>
        <v>1095902.5088846562</v>
      </c>
      <c r="BO45" s="123">
        <f t="shared" si="36"/>
        <v>-55773658.064109571</v>
      </c>
      <c r="BP45" s="123">
        <f t="shared" si="36"/>
        <v>-4563757.1791693904</v>
      </c>
      <c r="BQ45" s="176">
        <f t="shared" si="36"/>
        <v>-71552.516753021366</v>
      </c>
      <c r="BR45" s="123">
        <f>SUM(BR43:BR44)</f>
        <v>0</v>
      </c>
      <c r="BS45" s="123">
        <f>SUM(BS43:BS44)</f>
        <v>-4635309.695922412</v>
      </c>
      <c r="BT45" s="137"/>
      <c r="BU45" s="123"/>
      <c r="BV45" s="173">
        <f>SUM(BV41,BV43)</f>
        <v>-39360097.950000003</v>
      </c>
      <c r="BW45" s="187"/>
      <c r="BX45" s="188"/>
      <c r="BY45" s="189"/>
      <c r="BZ45" s="189"/>
      <c r="CA45" s="189"/>
      <c r="CB45" s="189"/>
    </row>
    <row r="46" spans="1:80" s="183" customFormat="1" ht="16" thickBot="1" x14ac:dyDescent="0.4">
      <c r="A46" s="48">
        <v>29</v>
      </c>
      <c r="B46" s="48"/>
      <c r="C46" s="191" t="s">
        <v>229</v>
      </c>
      <c r="D46" s="192">
        <v>1568</v>
      </c>
      <c r="E46" s="193"/>
      <c r="F46" s="193"/>
      <c r="G46" s="193"/>
      <c r="H46" s="193"/>
      <c r="I46" s="193"/>
      <c r="J46" s="193"/>
      <c r="K46" s="193"/>
      <c r="L46" s="193"/>
      <c r="M46" s="193"/>
      <c r="N46" s="194"/>
      <c r="O46" s="195"/>
      <c r="P46" s="196"/>
      <c r="Q46" s="196"/>
      <c r="R46" s="196"/>
      <c r="S46" s="168">
        <f>O46+P46-Q46+SUM(R46:R46)</f>
        <v>0</v>
      </c>
      <c r="T46" s="196"/>
      <c r="U46" s="196"/>
      <c r="V46" s="196"/>
      <c r="W46" s="196"/>
      <c r="X46" s="169">
        <f>T46+U46-V46+W46</f>
        <v>0</v>
      </c>
      <c r="Y46" s="197">
        <f>S46</f>
        <v>0</v>
      </c>
      <c r="Z46" s="196"/>
      <c r="AA46" s="196"/>
      <c r="AB46" s="196"/>
      <c r="AC46" s="168">
        <f>Y46+Z46-AA46+SUM(AB46:AB46)</f>
        <v>0</v>
      </c>
      <c r="AD46" s="168">
        <f>X46</f>
        <v>0</v>
      </c>
      <c r="AE46" s="196"/>
      <c r="AF46" s="196"/>
      <c r="AG46" s="132"/>
      <c r="AH46" s="169">
        <f>AD46+AE46-AF46+AG46</f>
        <v>0</v>
      </c>
      <c r="AI46" s="198">
        <f>AC46</f>
        <v>0</v>
      </c>
      <c r="AJ46" s="196"/>
      <c r="AK46" s="196"/>
      <c r="AL46" s="199"/>
      <c r="AM46" s="168">
        <f>AI46+AJ46-AK46+SUM(AL46:AL46)</f>
        <v>0</v>
      </c>
      <c r="AN46" s="168">
        <f>AH46</f>
        <v>0</v>
      </c>
      <c r="AO46" s="196"/>
      <c r="AP46" s="196"/>
      <c r="AQ46" s="199"/>
      <c r="AR46" s="169">
        <f>AN46+AO46-AP46+AQ46</f>
        <v>0</v>
      </c>
      <c r="AS46" s="198">
        <f>AM46</f>
        <v>0</v>
      </c>
      <c r="AT46" s="196"/>
      <c r="AU46" s="196"/>
      <c r="AV46" s="196"/>
      <c r="AW46" s="168">
        <f>AS46+AT46-AU46+SUM(AV46:AV46)</f>
        <v>0</v>
      </c>
      <c r="AX46" s="168">
        <f>AR46</f>
        <v>0</v>
      </c>
      <c r="AY46" s="133"/>
      <c r="AZ46" s="196"/>
      <c r="BA46" s="196"/>
      <c r="BB46" s="168">
        <f>AX46+AY46-AZ46+BA46</f>
        <v>0</v>
      </c>
      <c r="BC46" s="198">
        <f>AW46</f>
        <v>0</v>
      </c>
      <c r="BD46" s="133"/>
      <c r="BE46" s="133">
        <v>0</v>
      </c>
      <c r="BF46" s="133"/>
      <c r="BG46" s="168">
        <f>BC46+BD46-BE46+SUM(BF46:BF46)</f>
        <v>0</v>
      </c>
      <c r="BH46" s="168">
        <f>BB46</f>
        <v>0</v>
      </c>
      <c r="BI46" s="133"/>
      <c r="BJ46" s="196"/>
      <c r="BK46" s="196"/>
      <c r="BL46" s="169">
        <f>BH46+BI46-BJ46+BK46</f>
        <v>0</v>
      </c>
      <c r="BM46" s="133"/>
      <c r="BN46" s="133"/>
      <c r="BO46" s="127">
        <f>BG46-BM46</f>
        <v>0</v>
      </c>
      <c r="BP46" s="200">
        <f>BL46-BN46</f>
        <v>0</v>
      </c>
      <c r="BQ46" s="201"/>
      <c r="BR46" s="133"/>
      <c r="BS46" s="123">
        <f>BP46+BQ46+BR46</f>
        <v>0</v>
      </c>
      <c r="BT46" s="137">
        <f>SUM(BO46:BR46)</f>
        <v>0</v>
      </c>
      <c r="BU46" s="123"/>
      <c r="BV46" s="178"/>
      <c r="BW46" s="139">
        <f>ROUND(BV46-SUM(BG46,BL46),2)</f>
        <v>0</v>
      </c>
      <c r="BX46" s="87" t="str">
        <f t="shared" si="17"/>
        <v/>
      </c>
      <c r="BY46" s="182"/>
      <c r="BZ46" s="182"/>
      <c r="CA46" s="182"/>
      <c r="CB46" s="182"/>
    </row>
    <row r="47" spans="1:80" s="183" customFormat="1" x14ac:dyDescent="0.35">
      <c r="A47" s="48"/>
      <c r="B47" s="48"/>
      <c r="C47" s="191"/>
      <c r="D47" s="192"/>
      <c r="E47" s="202"/>
      <c r="F47" s="202"/>
      <c r="G47" s="202"/>
      <c r="H47" s="202"/>
      <c r="I47" s="202"/>
      <c r="J47" s="202"/>
      <c r="K47" s="202"/>
      <c r="L47" s="202"/>
      <c r="M47" s="202"/>
      <c r="N47" s="203"/>
      <c r="O47" s="204"/>
      <c r="P47" s="205"/>
      <c r="Q47" s="205"/>
      <c r="R47" s="205"/>
      <c r="S47" s="205"/>
      <c r="T47" s="205"/>
      <c r="U47" s="205"/>
      <c r="V47" s="205"/>
      <c r="W47" s="205"/>
      <c r="X47" s="206"/>
      <c r="Y47" s="205"/>
      <c r="Z47" s="205"/>
      <c r="AA47" s="205"/>
      <c r="AB47" s="205"/>
      <c r="AC47" s="205"/>
      <c r="AD47" s="205"/>
      <c r="AE47" s="205"/>
      <c r="AF47" s="205"/>
      <c r="AG47" s="205"/>
      <c r="AH47" s="206"/>
      <c r="AI47" s="205"/>
      <c r="AJ47" s="205"/>
      <c r="AK47" s="205"/>
      <c r="AL47" s="205"/>
      <c r="AM47" s="205"/>
      <c r="AN47" s="205"/>
      <c r="AO47" s="205"/>
      <c r="AP47" s="205"/>
      <c r="AQ47" s="205"/>
      <c r="AR47" s="205"/>
      <c r="AS47" s="167"/>
      <c r="AT47" s="205"/>
      <c r="AU47" s="205"/>
      <c r="AV47" s="205"/>
      <c r="AW47" s="205"/>
      <c r="AX47" s="205"/>
      <c r="AY47" s="205"/>
      <c r="AZ47" s="205"/>
      <c r="BA47" s="205"/>
      <c r="BB47" s="205"/>
      <c r="BC47" s="207"/>
      <c r="BD47" s="208"/>
      <c r="BE47" s="208"/>
      <c r="BF47" s="208"/>
      <c r="BG47" s="208"/>
      <c r="BH47" s="208"/>
      <c r="BI47" s="208"/>
      <c r="BJ47" s="208"/>
      <c r="BK47" s="208"/>
      <c r="BL47" s="206"/>
      <c r="BM47" s="209"/>
      <c r="BN47" s="210"/>
      <c r="BO47" s="211"/>
      <c r="BP47" s="211"/>
      <c r="BQ47" s="209"/>
      <c r="BR47" s="210"/>
      <c r="BS47" s="211"/>
      <c r="BT47" s="137"/>
      <c r="BU47" s="123"/>
      <c r="BV47" s="173"/>
      <c r="BW47" s="187"/>
      <c r="BX47" s="212"/>
      <c r="BY47" s="182"/>
      <c r="BZ47" s="182"/>
      <c r="CA47" s="182"/>
      <c r="CB47" s="182"/>
    </row>
    <row r="48" spans="1:80" s="222" customFormat="1" ht="43.5" customHeight="1" thickBot="1" x14ac:dyDescent="0.4">
      <c r="A48" s="213"/>
      <c r="B48" s="213"/>
      <c r="C48" s="214" t="s">
        <v>230</v>
      </c>
      <c r="D48" s="215"/>
      <c r="E48" s="216">
        <f>SUM(E41,E46)</f>
        <v>0</v>
      </c>
      <c r="F48" s="216">
        <f t="shared" ref="F48:BQ48" si="37">SUM(F41,F46)</f>
        <v>0</v>
      </c>
      <c r="G48" s="216">
        <f t="shared" si="37"/>
        <v>0</v>
      </c>
      <c r="H48" s="216">
        <f t="shared" si="37"/>
        <v>0</v>
      </c>
      <c r="I48" s="216">
        <f t="shared" si="37"/>
        <v>0</v>
      </c>
      <c r="J48" s="216">
        <f t="shared" si="37"/>
        <v>0</v>
      </c>
      <c r="K48" s="216">
        <f t="shared" si="37"/>
        <v>0</v>
      </c>
      <c r="L48" s="216">
        <f t="shared" si="37"/>
        <v>0</v>
      </c>
      <c r="M48" s="216">
        <f t="shared" si="37"/>
        <v>0</v>
      </c>
      <c r="N48" s="217">
        <f t="shared" si="37"/>
        <v>0</v>
      </c>
      <c r="O48" s="218">
        <f t="shared" si="37"/>
        <v>0</v>
      </c>
      <c r="P48" s="216">
        <f t="shared" si="37"/>
        <v>0</v>
      </c>
      <c r="Q48" s="216">
        <f t="shared" si="37"/>
        <v>0</v>
      </c>
      <c r="R48" s="216">
        <f t="shared" si="37"/>
        <v>0</v>
      </c>
      <c r="S48" s="216">
        <f t="shared" si="37"/>
        <v>0</v>
      </c>
      <c r="T48" s="216">
        <f t="shared" si="37"/>
        <v>0</v>
      </c>
      <c r="U48" s="216">
        <f t="shared" si="37"/>
        <v>0</v>
      </c>
      <c r="V48" s="216">
        <f t="shared" si="37"/>
        <v>0</v>
      </c>
      <c r="W48" s="216">
        <f t="shared" si="37"/>
        <v>0</v>
      </c>
      <c r="X48" s="216">
        <f t="shared" si="37"/>
        <v>0</v>
      </c>
      <c r="Y48" s="218">
        <f t="shared" si="37"/>
        <v>0</v>
      </c>
      <c r="Z48" s="216">
        <f t="shared" si="37"/>
        <v>0</v>
      </c>
      <c r="AA48" s="216">
        <f t="shared" si="37"/>
        <v>0</v>
      </c>
      <c r="AB48" s="216">
        <f t="shared" si="37"/>
        <v>0</v>
      </c>
      <c r="AC48" s="216">
        <f t="shared" si="37"/>
        <v>-3.7252902984619141E-9</v>
      </c>
      <c r="AD48" s="216">
        <f t="shared" si="37"/>
        <v>0</v>
      </c>
      <c r="AE48" s="216">
        <f t="shared" si="37"/>
        <v>0</v>
      </c>
      <c r="AF48" s="216">
        <f t="shared" si="37"/>
        <v>0</v>
      </c>
      <c r="AG48" s="216">
        <f t="shared" si="37"/>
        <v>0</v>
      </c>
      <c r="AH48" s="216">
        <f t="shared" si="37"/>
        <v>2.9103830456733704E-11</v>
      </c>
      <c r="AI48" s="218">
        <f t="shared" si="37"/>
        <v>-3.7252902984619141E-9</v>
      </c>
      <c r="AJ48" s="216">
        <f t="shared" si="37"/>
        <v>-6348433.0299999993</v>
      </c>
      <c r="AK48" s="216">
        <f t="shared" si="37"/>
        <v>0</v>
      </c>
      <c r="AL48" s="216">
        <f t="shared" si="37"/>
        <v>0</v>
      </c>
      <c r="AM48" s="216">
        <f t="shared" si="37"/>
        <v>-6348433.0299999975</v>
      </c>
      <c r="AN48" s="216">
        <f t="shared" si="37"/>
        <v>2.9103830456733704E-11</v>
      </c>
      <c r="AO48" s="216">
        <f t="shared" si="37"/>
        <v>-711778.66334518814</v>
      </c>
      <c r="AP48" s="216">
        <f t="shared" si="37"/>
        <v>0</v>
      </c>
      <c r="AQ48" s="216">
        <f t="shared" si="37"/>
        <v>0</v>
      </c>
      <c r="AR48" s="216">
        <f t="shared" si="37"/>
        <v>-711778.66334518825</v>
      </c>
      <c r="AS48" s="218">
        <f t="shared" si="37"/>
        <v>-6348433.0299999975</v>
      </c>
      <c r="AT48" s="216">
        <f t="shared" si="37"/>
        <v>5866558.9027808569</v>
      </c>
      <c r="AU48" s="216">
        <f t="shared" si="37"/>
        <v>0</v>
      </c>
      <c r="AV48" s="216">
        <f t="shared" si="37"/>
        <v>15711385.476921748</v>
      </c>
      <c r="AW48" s="216">
        <f t="shared" si="37"/>
        <v>15229511.349702604</v>
      </c>
      <c r="AX48" s="216">
        <f t="shared" si="37"/>
        <v>-711778.66334518825</v>
      </c>
      <c r="AY48" s="216">
        <f t="shared" si="37"/>
        <v>5229.6394564245129</v>
      </c>
      <c r="AZ48" s="216">
        <f t="shared" si="37"/>
        <v>0</v>
      </c>
      <c r="BA48" s="216">
        <f t="shared" si="37"/>
        <v>722063.65554220742</v>
      </c>
      <c r="BB48" s="216">
        <f t="shared" si="37"/>
        <v>15514.631653443677</v>
      </c>
      <c r="BC48" s="218">
        <f t="shared" si="37"/>
        <v>15229511.349702604</v>
      </c>
      <c r="BD48" s="216">
        <f t="shared" si="37"/>
        <v>5565036.7473599631</v>
      </c>
      <c r="BE48" s="216">
        <f t="shared" si="37"/>
        <v>-8202358.5098735988</v>
      </c>
      <c r="BF48" s="216">
        <f t="shared" si="37"/>
        <v>-17636242.906059742</v>
      </c>
      <c r="BG48" s="216">
        <f t="shared" si="37"/>
        <v>11360663.70087643</v>
      </c>
      <c r="BH48" s="216">
        <f t="shared" si="37"/>
        <v>15514.631653443677</v>
      </c>
      <c r="BI48" s="216">
        <f t="shared" si="37"/>
        <v>274133.48139780969</v>
      </c>
      <c r="BJ48" s="216">
        <f t="shared" si="37"/>
        <v>-10606.796660702908</v>
      </c>
      <c r="BK48" s="216">
        <f t="shared" si="37"/>
        <v>0</v>
      </c>
      <c r="BL48" s="217">
        <f t="shared" si="37"/>
        <v>300254.90971195675</v>
      </c>
      <c r="BM48" s="216">
        <f t="shared" si="37"/>
        <v>23913743.98679518</v>
      </c>
      <c r="BN48" s="216">
        <f t="shared" si="37"/>
        <v>1031682.5588846563</v>
      </c>
      <c r="BO48" s="216">
        <f t="shared" si="37"/>
        <v>-12553080.28591875</v>
      </c>
      <c r="BP48" s="216">
        <f t="shared" si="37"/>
        <v>-731427.64917269989</v>
      </c>
      <c r="BQ48" s="218">
        <f t="shared" si="37"/>
        <v>-71552.516753021366</v>
      </c>
      <c r="BR48" s="216">
        <f>SUM(BR41,BR46)</f>
        <v>0</v>
      </c>
      <c r="BS48" s="216">
        <f>SUM(BS41,BS46)</f>
        <v>-802980.16592572141</v>
      </c>
      <c r="BT48" s="216">
        <f>SUM(BT41,BT46)</f>
        <v>-13356060.451844472</v>
      </c>
      <c r="BU48" s="216"/>
      <c r="BV48" s="219">
        <f>SUM(BV41,BV46)</f>
        <v>-39360097.950000003</v>
      </c>
      <c r="BW48" s="220">
        <f>ROUND(SUM(BW41,BW46),2)</f>
        <v>-51021016.560000002</v>
      </c>
      <c r="BX48" s="221"/>
    </row>
    <row r="49" spans="1:80" s="115" customFormat="1" x14ac:dyDescent="0.35">
      <c r="A49" s="223"/>
      <c r="B49" s="223"/>
      <c r="C49" s="224"/>
      <c r="D49" s="225"/>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71"/>
      <c r="BR49" s="171"/>
      <c r="BS49" s="171"/>
      <c r="BT49" s="171"/>
      <c r="BU49" s="171"/>
      <c r="BV49" s="171"/>
      <c r="BW49" s="171"/>
      <c r="BX49" s="226"/>
      <c r="BY49" s="171"/>
      <c r="BZ49" s="171"/>
      <c r="CA49" s="171"/>
      <c r="CB49" s="171"/>
    </row>
    <row r="50" spans="1:80" s="48" customFormat="1" x14ac:dyDescent="0.3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227"/>
      <c r="BY50" s="71"/>
      <c r="BZ50" s="71"/>
      <c r="CA50" s="71"/>
      <c r="CB50" s="71"/>
    </row>
    <row r="51" spans="1:80" s="48" customFormat="1" x14ac:dyDescent="0.35">
      <c r="B51" s="228"/>
      <c r="C51" s="618" t="s">
        <v>231</v>
      </c>
      <c r="D51" s="618"/>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227"/>
      <c r="BY51" s="71"/>
      <c r="BZ51" s="71"/>
      <c r="CA51" s="71"/>
      <c r="CB51" s="71"/>
    </row>
    <row r="52" spans="1:80" s="48" customFormat="1" ht="31.5" customHeight="1" x14ac:dyDescent="0.35">
      <c r="B52" s="229"/>
      <c r="C52" s="618"/>
      <c r="D52" s="618"/>
      <c r="E52" s="230"/>
      <c r="F52" s="230"/>
      <c r="G52" s="230"/>
      <c r="H52" s="230"/>
      <c r="I52" s="230"/>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227"/>
      <c r="BY52" s="71"/>
      <c r="BZ52" s="71"/>
      <c r="CA52" s="71"/>
      <c r="CB52" s="71"/>
    </row>
    <row r="53" spans="1:80" s="48" customFormat="1" ht="17" x14ac:dyDescent="0.35">
      <c r="B53" s="231"/>
      <c r="C53" s="232"/>
      <c r="D53" s="85"/>
      <c r="E53" s="230"/>
      <c r="F53" s="230"/>
      <c r="G53" s="230"/>
      <c r="H53" s="230"/>
      <c r="I53" s="230"/>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227"/>
      <c r="BY53" s="71"/>
      <c r="BZ53" s="71"/>
      <c r="CA53" s="71"/>
      <c r="CB53" s="71"/>
    </row>
    <row r="54" spans="1:80" s="48" customFormat="1" ht="40.25" customHeight="1" x14ac:dyDescent="0.35">
      <c r="B54" s="233">
        <v>1</v>
      </c>
      <c r="C54" s="234" t="s">
        <v>232</v>
      </c>
      <c r="D54" s="85"/>
      <c r="E54" s="235"/>
      <c r="F54" s="235"/>
      <c r="G54" s="235"/>
      <c r="H54" s="235"/>
      <c r="I54" s="235"/>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227"/>
      <c r="BY54" s="71"/>
      <c r="BZ54" s="71"/>
      <c r="CA54" s="71"/>
      <c r="CB54" s="71"/>
    </row>
    <row r="55" spans="1:80" s="48" customFormat="1" ht="76.5" customHeight="1" x14ac:dyDescent="0.35">
      <c r="B55" s="233">
        <v>2</v>
      </c>
      <c r="C55" s="234" t="s">
        <v>233</v>
      </c>
      <c r="D55" s="236"/>
      <c r="E55" s="230"/>
      <c r="F55" s="230"/>
      <c r="G55" s="230"/>
      <c r="H55" s="230"/>
      <c r="I55" s="230"/>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227"/>
      <c r="BY55" s="71"/>
      <c r="BZ55" s="71"/>
      <c r="CA55" s="71"/>
      <c r="CB55" s="71"/>
    </row>
    <row r="56" spans="1:80" s="48" customFormat="1" ht="114" customHeight="1" x14ac:dyDescent="0.35">
      <c r="B56" s="233">
        <v>3</v>
      </c>
      <c r="C56" s="234" t="s">
        <v>234</v>
      </c>
      <c r="D56" s="236"/>
      <c r="E56" s="237"/>
      <c r="F56" s="237"/>
      <c r="G56" s="237"/>
      <c r="H56" s="237"/>
      <c r="I56" s="237"/>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227"/>
      <c r="BY56" s="71"/>
      <c r="BZ56" s="71"/>
      <c r="CA56" s="71"/>
      <c r="CB56" s="71"/>
    </row>
    <row r="57" spans="1:80" ht="88.5" customHeight="1" x14ac:dyDescent="0.35">
      <c r="B57" s="233">
        <v>4</v>
      </c>
      <c r="C57" s="234" t="s">
        <v>235</v>
      </c>
      <c r="E57" s="237"/>
      <c r="F57" s="237"/>
      <c r="G57" s="237"/>
      <c r="H57" s="237"/>
      <c r="I57" s="237"/>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7"/>
      <c r="BY57" s="88"/>
      <c r="BZ57" s="88"/>
      <c r="CA57" s="88"/>
      <c r="CB57" s="88"/>
    </row>
    <row r="58" spans="1:80" ht="37.5" customHeight="1" x14ac:dyDescent="0.35">
      <c r="B58" s="233">
        <v>5</v>
      </c>
      <c r="C58" s="234" t="s">
        <v>236</v>
      </c>
      <c r="E58" s="237"/>
      <c r="F58" s="237"/>
      <c r="G58" s="237"/>
      <c r="H58" s="237"/>
      <c r="I58" s="237"/>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7"/>
      <c r="BY58" s="88"/>
      <c r="BZ58" s="88"/>
      <c r="CA58" s="88"/>
      <c r="CB58" s="88"/>
    </row>
    <row r="59" spans="1:80" x14ac:dyDescent="0.35">
      <c r="E59" s="237"/>
      <c r="F59" s="237"/>
      <c r="G59" s="237"/>
      <c r="H59" s="237"/>
      <c r="I59" s="237"/>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7"/>
      <c r="BY59" s="88"/>
      <c r="BZ59" s="88"/>
      <c r="CA59" s="88"/>
      <c r="CB59" s="88"/>
    </row>
    <row r="60" spans="1:80" x14ac:dyDescent="0.35">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7"/>
      <c r="BY60" s="88"/>
      <c r="BZ60" s="88"/>
      <c r="CA60" s="88"/>
      <c r="CB60" s="88"/>
    </row>
    <row r="61" spans="1:80" x14ac:dyDescent="0.35">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7"/>
      <c r="BY61" s="88"/>
      <c r="BZ61" s="88"/>
      <c r="CA61" s="88"/>
      <c r="CB61" s="88"/>
    </row>
    <row r="62" spans="1:80" x14ac:dyDescent="0.35">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7"/>
      <c r="BY62" s="88"/>
      <c r="BZ62" s="88"/>
      <c r="CA62" s="88"/>
      <c r="CB62" s="88"/>
    </row>
  </sheetData>
  <mergeCells count="83">
    <mergeCell ref="C12:D15"/>
    <mergeCell ref="E16:N16"/>
    <mergeCell ref="O16:X16"/>
    <mergeCell ref="Y16:AH16"/>
    <mergeCell ref="AI16:AR16"/>
    <mergeCell ref="BC16:BL16"/>
    <mergeCell ref="BM16:BP16"/>
    <mergeCell ref="BQ16:BT16"/>
    <mergeCell ref="C17:C19"/>
    <mergeCell ref="D17:D19"/>
    <mergeCell ref="E17:E19"/>
    <mergeCell ref="F17:F19"/>
    <mergeCell ref="G17:G19"/>
    <mergeCell ref="H17:H19"/>
    <mergeCell ref="I17:I19"/>
    <mergeCell ref="AS16:BB16"/>
    <mergeCell ref="U17:U19"/>
    <mergeCell ref="J17:J19"/>
    <mergeCell ref="K17:K19"/>
    <mergeCell ref="L17:L19"/>
    <mergeCell ref="M17:M19"/>
    <mergeCell ref="N17:N19"/>
    <mergeCell ref="O17:O19"/>
    <mergeCell ref="P17:P19"/>
    <mergeCell ref="Q17:Q19"/>
    <mergeCell ref="R17:R19"/>
    <mergeCell ref="S17:S19"/>
    <mergeCell ref="T17:T19"/>
    <mergeCell ref="AG17:AG19"/>
    <mergeCell ref="V17:V19"/>
    <mergeCell ref="W17:W19"/>
    <mergeCell ref="X17:X19"/>
    <mergeCell ref="Y17:Y19"/>
    <mergeCell ref="Z17:Z19"/>
    <mergeCell ref="AA17:AA19"/>
    <mergeCell ref="AB17:AB19"/>
    <mergeCell ref="AC17:AC19"/>
    <mergeCell ref="AD17:AD19"/>
    <mergeCell ref="AE17:AE19"/>
    <mergeCell ref="AF17:AF19"/>
    <mergeCell ref="AS17:AS19"/>
    <mergeCell ref="AH17:AH19"/>
    <mergeCell ref="AI17:AI19"/>
    <mergeCell ref="AJ17:AJ19"/>
    <mergeCell ref="AK17:AK19"/>
    <mergeCell ref="AL17:AL19"/>
    <mergeCell ref="AM17:AM19"/>
    <mergeCell ref="AN17:AN19"/>
    <mergeCell ref="AO17:AO19"/>
    <mergeCell ref="AP17:AP19"/>
    <mergeCell ref="AQ17:AQ19"/>
    <mergeCell ref="AR17:AR19"/>
    <mergeCell ref="BE17:BE19"/>
    <mergeCell ref="AT17:AT19"/>
    <mergeCell ref="AU17:AU19"/>
    <mergeCell ref="AV17:AV19"/>
    <mergeCell ref="AW17:AW19"/>
    <mergeCell ref="AX17:AX19"/>
    <mergeCell ref="AY17:AY19"/>
    <mergeCell ref="BV17:BV19"/>
    <mergeCell ref="BW17:BW19"/>
    <mergeCell ref="BL17:BL19"/>
    <mergeCell ref="BM17:BM19"/>
    <mergeCell ref="BN17:BN19"/>
    <mergeCell ref="BO17:BO19"/>
    <mergeCell ref="BP17:BP19"/>
    <mergeCell ref="BQ17:BQ19"/>
    <mergeCell ref="C51:D52"/>
    <mergeCell ref="BR17:BR19"/>
    <mergeCell ref="BS17:BS19"/>
    <mergeCell ref="BT17:BT19"/>
    <mergeCell ref="BU17:BU19"/>
    <mergeCell ref="BF17:BF19"/>
    <mergeCell ref="BG17:BG19"/>
    <mergeCell ref="BH17:BH19"/>
    <mergeCell ref="BI17:BI19"/>
    <mergeCell ref="BJ17:BJ19"/>
    <mergeCell ref="BK17:BK19"/>
    <mergeCell ref="AZ17:AZ19"/>
    <mergeCell ref="BA17:BA19"/>
    <mergeCell ref="BB17:BB19"/>
    <mergeCell ref="BC17:BC19"/>
    <mergeCell ref="BD17:BD19"/>
  </mergeCells>
  <dataValidations disablePrompts="1" count="2">
    <dataValidation errorTitle="Selection Needed" error="Please select an option from the drop-down list." prompt="Use the following format eg: January 1, 2013" sqref="BU28:BU29" xr:uid="{A0573CE8-7D7F-4D2F-9E79-0E85483CF0F7}"/>
    <dataValidation type="list" errorTitle="Selection Needed" error="Please select an option from the drop-down list." prompt="Use the following format eg: January 1, 2013" sqref="BU30:BU37" xr:uid="{D65EBA7D-FE21-43E4-AB8B-D4123D045195}">
      <formula1>"Yes,No"</formula1>
    </dataValidation>
  </dataValidations>
  <printOptions verticalCentered="1"/>
  <pageMargins left="0.47244094488188981" right="0.47244094488188981" top="1.3385826771653544" bottom="0.70866141732283472" header="0.31496062992125984" footer="0.31496062992125984"/>
  <pageSetup paperSize="17" scale="38" fitToWidth="3" fitToHeight="0" orientation="landscape" r:id="rId1"/>
  <headerFooter scaleWithDoc="0">
    <oddHeader>&amp;R&amp;7&amp;K000000Toronto Hydro-Electric System Limited 
EB-2021-0060
Tab 3
Schedule 1
ORIGINAL
Page &amp;P of &amp;N</oddHeader>
    <oddFooter>&amp;C&amp;7&amp;A</oddFooter>
  </headerFooter>
  <colBreaks count="2" manualBreakCount="2">
    <brk id="34" max="57" man="1"/>
    <brk id="54" max="5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87E92-85FC-4355-BB83-C7069EF368FC}">
  <sheetPr>
    <pageSetUpPr fitToPage="1"/>
  </sheetPr>
  <dimension ref="A1:BR38"/>
  <sheetViews>
    <sheetView showGridLines="0" topLeftCell="A10" zoomScale="70" zoomScaleNormal="70" workbookViewId="0">
      <selection activeCell="B15" sqref="B15"/>
    </sheetView>
  </sheetViews>
  <sheetFormatPr defaultColWidth="8.4140625" defaultRowHeight="15.5" x14ac:dyDescent="0.35"/>
  <cols>
    <col min="1" max="1" width="58.1640625" style="48" bestFit="1" customWidth="1"/>
    <col min="2" max="2" width="8.4140625" style="48"/>
    <col min="3" max="3" width="14.1640625" style="48" customWidth="1"/>
    <col min="4" max="4" width="12.08203125" style="48" bestFit="1" customWidth="1"/>
    <col min="5" max="5" width="14.6640625" style="48" customWidth="1"/>
    <col min="6" max="8" width="15.9140625" style="48" customWidth="1"/>
    <col min="9" max="9" width="16.1640625" style="48" customWidth="1"/>
    <col min="10" max="10" width="15.9140625" style="48" customWidth="1"/>
    <col min="11" max="14" width="16.5" style="48" hidden="1" customWidth="1"/>
    <col min="15" max="15" width="17.4140625" style="48" customWidth="1"/>
    <col min="16" max="16" width="19.4140625" style="48" customWidth="1"/>
    <col min="17" max="17" width="20.1640625" style="48" customWidth="1"/>
    <col min="18" max="18" width="11.08203125" style="48" bestFit="1" customWidth="1"/>
    <col min="19" max="16384" width="8.4140625" style="48"/>
  </cols>
  <sheetData>
    <row r="1" spans="1:70" s="240" customFormat="1" ht="16" thickBot="1" x14ac:dyDescent="0.4">
      <c r="BR1" s="241"/>
    </row>
    <row r="2" spans="1:70" s="240" customFormat="1" ht="18" customHeight="1" x14ac:dyDescent="0.35">
      <c r="B2" s="241" t="b">
        <f>IF(J4="Yes",TRUE,FALSE)</f>
        <v>1</v>
      </c>
      <c r="G2" s="669" t="s">
        <v>245</v>
      </c>
      <c r="H2" s="670"/>
      <c r="I2" s="670"/>
      <c r="J2" s="671"/>
      <c r="K2" s="242"/>
    </row>
    <row r="3" spans="1:70" s="240" customFormat="1" ht="15" customHeight="1" thickBot="1" x14ac:dyDescent="0.4">
      <c r="G3" s="672" t="s">
        <v>246</v>
      </c>
      <c r="H3" s="673"/>
      <c r="I3" s="673"/>
      <c r="J3" s="674"/>
      <c r="K3" s="243"/>
    </row>
    <row r="4" spans="1:70" s="240" customFormat="1" ht="16.5" thickTop="1" thickBot="1" x14ac:dyDescent="0.4">
      <c r="G4" s="243" t="s">
        <v>247</v>
      </c>
      <c r="H4" s="244"/>
      <c r="I4" s="244"/>
      <c r="J4" s="245" t="s">
        <v>123</v>
      </c>
      <c r="K4" s="246"/>
    </row>
    <row r="5" spans="1:70" s="240" customFormat="1" ht="16" thickBot="1" x14ac:dyDescent="0.4">
      <c r="B5" s="247"/>
      <c r="C5" s="248"/>
      <c r="D5" s="248"/>
      <c r="E5" s="249"/>
      <c r="F5" s="249"/>
      <c r="G5" s="250"/>
      <c r="H5" s="251"/>
      <c r="I5" s="251"/>
      <c r="J5" s="252"/>
      <c r="K5" s="250"/>
      <c r="L5" s="249"/>
      <c r="M5" s="249"/>
      <c r="N5" s="249"/>
      <c r="O5" s="249"/>
      <c r="P5" s="253"/>
    </row>
    <row r="6" spans="1:70" s="240" customFormat="1" ht="15" customHeight="1" thickBot="1" x14ac:dyDescent="0.4">
      <c r="A6" s="80"/>
      <c r="B6" s="254"/>
      <c r="C6" s="248"/>
      <c r="D6" s="248"/>
      <c r="E6" s="255"/>
      <c r="F6" s="255"/>
      <c r="G6" s="675" t="s">
        <v>248</v>
      </c>
      <c r="H6" s="676"/>
      <c r="I6" s="676"/>
      <c r="J6" s="677"/>
      <c r="K6" s="250"/>
      <c r="L6" s="249"/>
      <c r="M6" s="249"/>
      <c r="N6" s="249"/>
      <c r="O6" s="249"/>
      <c r="P6" s="253"/>
    </row>
    <row r="7" spans="1:70" s="240" customFormat="1" ht="16" thickBot="1" x14ac:dyDescent="0.4">
      <c r="A7" s="80"/>
      <c r="B7" s="254"/>
      <c r="C7" s="248"/>
      <c r="D7" s="248"/>
      <c r="E7" s="255"/>
      <c r="F7" s="255"/>
      <c r="G7" s="678"/>
      <c r="H7" s="679"/>
      <c r="I7" s="679"/>
      <c r="J7" s="680"/>
      <c r="K7" s="250"/>
      <c r="L7" s="249"/>
      <c r="M7" s="249"/>
      <c r="N7" s="249"/>
      <c r="O7" s="249"/>
      <c r="P7" s="253"/>
    </row>
    <row r="8" spans="1:70" s="240" customFormat="1" ht="16" thickBot="1" x14ac:dyDescent="0.4">
      <c r="A8" s="256"/>
      <c r="B8" s="254"/>
      <c r="C8" s="257"/>
      <c r="D8" s="248"/>
      <c r="E8" s="255"/>
      <c r="F8" s="255"/>
      <c r="G8" s="678"/>
      <c r="H8" s="679"/>
      <c r="I8" s="679"/>
      <c r="J8" s="680"/>
      <c r="K8" s="250"/>
      <c r="L8" s="249"/>
      <c r="M8" s="249"/>
      <c r="N8" s="249"/>
      <c r="O8" s="249"/>
      <c r="P8" s="253"/>
    </row>
    <row r="9" spans="1:70" s="240" customFormat="1" ht="16" thickBot="1" x14ac:dyDescent="0.4">
      <c r="A9" s="80"/>
      <c r="B9" s="254"/>
      <c r="C9" s="248"/>
      <c r="D9" s="248"/>
      <c r="E9" s="255"/>
      <c r="F9" s="255"/>
      <c r="G9" s="678"/>
      <c r="H9" s="679"/>
      <c r="I9" s="679"/>
      <c r="J9" s="680"/>
      <c r="K9" s="250"/>
      <c r="L9" s="249"/>
      <c r="M9" s="249"/>
      <c r="N9" s="249"/>
      <c r="O9" s="249"/>
      <c r="P9" s="253"/>
    </row>
    <row r="10" spans="1:70" s="258" customFormat="1" ht="16" thickBot="1" x14ac:dyDescent="0.4">
      <c r="B10" s="259"/>
      <c r="C10" s="260"/>
      <c r="D10" s="260"/>
      <c r="E10" s="260"/>
      <c r="F10" s="260"/>
      <c r="G10" s="678"/>
      <c r="H10" s="679"/>
      <c r="I10" s="679"/>
      <c r="J10" s="680"/>
      <c r="K10" s="261"/>
      <c r="L10" s="260"/>
      <c r="M10" s="260"/>
      <c r="N10" s="260"/>
      <c r="O10" s="260"/>
      <c r="P10" s="262"/>
    </row>
    <row r="11" spans="1:70" s="258" customFormat="1" ht="16" thickBot="1" x14ac:dyDescent="0.4">
      <c r="B11" s="259"/>
      <c r="C11" s="260"/>
      <c r="D11" s="260"/>
      <c r="E11" s="260"/>
      <c r="F11" s="260"/>
      <c r="G11" s="678"/>
      <c r="H11" s="679"/>
      <c r="I11" s="679"/>
      <c r="J11" s="680"/>
      <c r="K11" s="261"/>
      <c r="L11" s="260"/>
      <c r="M11" s="260"/>
      <c r="N11" s="260"/>
      <c r="O11" s="260"/>
      <c r="P11" s="262"/>
    </row>
    <row r="12" spans="1:70" s="258" customFormat="1" ht="15" customHeight="1" thickBot="1" x14ac:dyDescent="0.4">
      <c r="A12" s="263"/>
      <c r="B12" s="259"/>
      <c r="C12" s="260"/>
      <c r="D12" s="260"/>
      <c r="E12" s="260"/>
      <c r="F12" s="260"/>
      <c r="G12" s="681" t="s">
        <v>249</v>
      </c>
      <c r="H12" s="682"/>
      <c r="I12" s="682"/>
      <c r="J12" s="683"/>
      <c r="K12" s="261"/>
      <c r="L12" s="260"/>
      <c r="M12" s="260"/>
      <c r="N12" s="260"/>
      <c r="O12" s="260"/>
      <c r="P12" s="262"/>
    </row>
    <row r="13" spans="1:70" s="268" customFormat="1" ht="27" customHeight="1" thickBot="1" x14ac:dyDescent="0.4">
      <c r="A13" s="687"/>
      <c r="B13" s="688"/>
      <c r="C13" s="688"/>
      <c r="D13" s="688"/>
      <c r="E13" s="688"/>
      <c r="F13" s="264"/>
      <c r="G13" s="684"/>
      <c r="H13" s="685"/>
      <c r="I13" s="685"/>
      <c r="J13" s="686"/>
      <c r="K13" s="265"/>
      <c r="L13" s="266"/>
      <c r="M13" s="266"/>
      <c r="N13" s="266"/>
      <c r="O13" s="266"/>
      <c r="P13" s="267"/>
    </row>
    <row r="14" spans="1:70" s="268" customFormat="1" ht="16" thickBot="1" x14ac:dyDescent="0.4">
      <c r="B14" s="269"/>
      <c r="C14" s="666"/>
      <c r="D14" s="666"/>
      <c r="E14" s="666"/>
      <c r="F14" s="666"/>
      <c r="G14" s="666"/>
      <c r="H14" s="666"/>
      <c r="I14" s="266"/>
      <c r="J14" s="266"/>
      <c r="K14" s="662"/>
      <c r="L14" s="662"/>
      <c r="M14" s="662"/>
      <c r="N14" s="662"/>
      <c r="O14" s="662"/>
      <c r="P14" s="663"/>
    </row>
    <row r="15" spans="1:70" s="268" customFormat="1" ht="22.5" customHeight="1" thickBot="1" x14ac:dyDescent="0.4">
      <c r="A15" s="270"/>
      <c r="B15" s="271"/>
      <c r="C15" s="664" t="s">
        <v>250</v>
      </c>
      <c r="D15" s="664" t="s">
        <v>251</v>
      </c>
      <c r="E15" s="664" t="s">
        <v>252</v>
      </c>
      <c r="F15" s="664" t="s">
        <v>253</v>
      </c>
      <c r="G15" s="660" t="s">
        <v>254</v>
      </c>
      <c r="H15" s="660" t="s">
        <v>255</v>
      </c>
      <c r="I15" s="664" t="s">
        <v>256</v>
      </c>
      <c r="J15" s="664" t="s">
        <v>257</v>
      </c>
      <c r="K15" s="660" t="s">
        <v>258</v>
      </c>
      <c r="L15" s="660" t="s">
        <v>259</v>
      </c>
      <c r="M15" s="660" t="s">
        <v>260</v>
      </c>
      <c r="N15" s="660" t="s">
        <v>261</v>
      </c>
      <c r="O15" s="660" t="s">
        <v>262</v>
      </c>
      <c r="P15" s="667" t="s">
        <v>263</v>
      </c>
      <c r="Q15" s="658" t="s">
        <v>264</v>
      </c>
    </row>
    <row r="16" spans="1:70" s="274" customFormat="1" ht="30.75" customHeight="1" thickBot="1" x14ac:dyDescent="0.4">
      <c r="A16" s="272" t="s">
        <v>70</v>
      </c>
      <c r="B16" s="273" t="s">
        <v>265</v>
      </c>
      <c r="C16" s="665"/>
      <c r="D16" s="665"/>
      <c r="E16" s="665"/>
      <c r="F16" s="665"/>
      <c r="G16" s="661"/>
      <c r="H16" s="661"/>
      <c r="I16" s="665"/>
      <c r="J16" s="665"/>
      <c r="K16" s="661"/>
      <c r="L16" s="661"/>
      <c r="M16" s="661"/>
      <c r="N16" s="661"/>
      <c r="O16" s="661"/>
      <c r="P16" s="668"/>
      <c r="Q16" s="659"/>
    </row>
    <row r="17" spans="1:19" ht="15.75" customHeight="1" thickBot="1" x14ac:dyDescent="0.4">
      <c r="A17" s="83" t="s">
        <v>62</v>
      </c>
      <c r="B17" s="275" t="s">
        <v>266</v>
      </c>
      <c r="C17" s="276">
        <v>5055221171</v>
      </c>
      <c r="D17" s="277">
        <v>0</v>
      </c>
      <c r="E17" s="278">
        <v>87159180</v>
      </c>
      <c r="F17" s="278">
        <v>0</v>
      </c>
      <c r="G17" s="279">
        <v>0</v>
      </c>
      <c r="H17" s="279">
        <v>0</v>
      </c>
      <c r="I17" s="280">
        <f t="shared" ref="I17:I25" si="0">C17-G17</f>
        <v>5055221171</v>
      </c>
      <c r="J17" s="280">
        <f t="shared" ref="J17:J25" si="1">D17-H17</f>
        <v>0</v>
      </c>
      <c r="K17" s="281"/>
      <c r="L17" s="281"/>
      <c r="M17" s="281"/>
      <c r="N17" s="281"/>
      <c r="O17" s="540">
        <v>0.16120000000000001</v>
      </c>
      <c r="P17" s="282"/>
      <c r="Q17" s="496">
        <v>613270</v>
      </c>
    </row>
    <row r="18" spans="1:19" ht="15.75" customHeight="1" thickBot="1" x14ac:dyDescent="0.4">
      <c r="A18" s="83" t="s">
        <v>64</v>
      </c>
      <c r="B18" s="275" t="s">
        <v>266</v>
      </c>
      <c r="C18" s="276">
        <v>302722798</v>
      </c>
      <c r="D18" s="277">
        <v>0</v>
      </c>
      <c r="E18" s="278">
        <v>648228</v>
      </c>
      <c r="F18" s="278">
        <v>0</v>
      </c>
      <c r="G18" s="279">
        <v>0</v>
      </c>
      <c r="H18" s="279">
        <v>0</v>
      </c>
      <c r="I18" s="280">
        <f t="shared" si="0"/>
        <v>302722798</v>
      </c>
      <c r="J18" s="280">
        <f t="shared" si="1"/>
        <v>0</v>
      </c>
      <c r="K18" s="281"/>
      <c r="L18" s="281"/>
      <c r="M18" s="281"/>
      <c r="N18" s="281"/>
      <c r="O18" s="540">
        <v>1.0200000000000001E-2</v>
      </c>
      <c r="P18" s="282"/>
      <c r="Q18" s="496">
        <v>83357</v>
      </c>
    </row>
    <row r="19" spans="1:19" ht="15.75" customHeight="1" thickBot="1" x14ac:dyDescent="0.4">
      <c r="A19" s="83" t="s">
        <v>240</v>
      </c>
      <c r="B19" s="275" t="s">
        <v>266</v>
      </c>
      <c r="C19" s="276">
        <v>2176682229</v>
      </c>
      <c r="D19" s="277">
        <v>0</v>
      </c>
      <c r="E19" s="278">
        <v>330349477</v>
      </c>
      <c r="F19" s="278">
        <v>0</v>
      </c>
      <c r="G19" s="279">
        <v>0</v>
      </c>
      <c r="H19" s="279">
        <v>0</v>
      </c>
      <c r="I19" s="280">
        <f t="shared" si="0"/>
        <v>2176682229</v>
      </c>
      <c r="J19" s="280">
        <f t="shared" si="1"/>
        <v>0</v>
      </c>
      <c r="K19" s="281"/>
      <c r="L19" s="281"/>
      <c r="M19" s="281"/>
      <c r="N19" s="281"/>
      <c r="O19" s="540">
        <v>9.9000000000000005E-2</v>
      </c>
      <c r="P19" s="282"/>
      <c r="Q19" s="283">
        <v>72219</v>
      </c>
    </row>
    <row r="20" spans="1:19" ht="15.75" customHeight="1" thickBot="1" x14ac:dyDescent="0.4">
      <c r="A20" s="83" t="s">
        <v>241</v>
      </c>
      <c r="B20" s="275" t="s">
        <v>267</v>
      </c>
      <c r="C20" s="276">
        <v>9305019794</v>
      </c>
      <c r="D20" s="277">
        <v>23556700</v>
      </c>
      <c r="E20" s="278">
        <v>6258540680</v>
      </c>
      <c r="F20" s="278">
        <v>16401561</v>
      </c>
      <c r="G20" s="279">
        <v>51643992</v>
      </c>
      <c r="H20" s="279">
        <v>102548</v>
      </c>
      <c r="I20" s="280">
        <f t="shared" si="0"/>
        <v>9253375802</v>
      </c>
      <c r="J20" s="280">
        <f t="shared" si="1"/>
        <v>23454152</v>
      </c>
      <c r="K20" s="281"/>
      <c r="L20" s="281"/>
      <c r="M20" s="281"/>
      <c r="N20" s="281"/>
      <c r="O20" s="540">
        <v>0.44519999999999998</v>
      </c>
      <c r="P20" s="282"/>
      <c r="Q20" s="283"/>
    </row>
    <row r="21" spans="1:19" ht="15.75" customHeight="1" thickBot="1" x14ac:dyDescent="0.4">
      <c r="A21" s="83" t="s">
        <v>243</v>
      </c>
      <c r="B21" s="275" t="s">
        <v>267</v>
      </c>
      <c r="C21" s="276">
        <v>4208967859</v>
      </c>
      <c r="D21" s="277">
        <v>9211281</v>
      </c>
      <c r="E21" s="278">
        <v>4073360956</v>
      </c>
      <c r="F21" s="278">
        <v>8914006</v>
      </c>
      <c r="G21" s="279">
        <v>1363960</v>
      </c>
      <c r="H21" s="279">
        <v>22053</v>
      </c>
      <c r="I21" s="280">
        <f t="shared" si="0"/>
        <v>4207603899</v>
      </c>
      <c r="J21" s="280">
        <f t="shared" si="1"/>
        <v>9189228</v>
      </c>
      <c r="K21" s="281"/>
      <c r="L21" s="281"/>
      <c r="M21" s="281"/>
      <c r="N21" s="281"/>
      <c r="O21" s="540">
        <v>0.2082</v>
      </c>
      <c r="P21" s="282"/>
      <c r="Q21" s="283"/>
    </row>
    <row r="22" spans="1:19" ht="15.75" customHeight="1" thickBot="1" x14ac:dyDescent="0.4">
      <c r="A22" s="83" t="s">
        <v>65</v>
      </c>
      <c r="B22" s="275" t="s">
        <v>267</v>
      </c>
      <c r="C22" s="276">
        <v>2048748735</v>
      </c>
      <c r="D22" s="277">
        <v>4240467</v>
      </c>
      <c r="E22" s="278">
        <v>1802898409</v>
      </c>
      <c r="F22" s="278">
        <v>3790624</v>
      </c>
      <c r="G22" s="553">
        <v>245850326</v>
      </c>
      <c r="H22" s="279">
        <v>449843</v>
      </c>
      <c r="I22" s="280">
        <f t="shared" si="0"/>
        <v>1802898409</v>
      </c>
      <c r="J22" s="280">
        <f t="shared" si="1"/>
        <v>3790624</v>
      </c>
      <c r="K22" s="281"/>
      <c r="L22" s="281"/>
      <c r="M22" s="281"/>
      <c r="N22" s="281"/>
      <c r="O22" s="540">
        <v>6.9000000000000006E-2</v>
      </c>
      <c r="P22" s="282"/>
      <c r="Q22" s="283"/>
    </row>
    <row r="23" spans="1:19" ht="15.75" customHeight="1" thickBot="1" x14ac:dyDescent="0.4">
      <c r="A23" s="83" t="s">
        <v>66</v>
      </c>
      <c r="B23" s="275" t="s">
        <v>267</v>
      </c>
      <c r="C23" s="276">
        <v>0</v>
      </c>
      <c r="D23" s="277">
        <v>0</v>
      </c>
      <c r="E23" s="278">
        <v>0</v>
      </c>
      <c r="F23" s="278">
        <v>0</v>
      </c>
      <c r="G23" s="279">
        <v>0</v>
      </c>
      <c r="H23" s="279">
        <v>0</v>
      </c>
      <c r="I23" s="280">
        <f t="shared" si="0"/>
        <v>0</v>
      </c>
      <c r="J23" s="280">
        <f t="shared" si="1"/>
        <v>0</v>
      </c>
      <c r="K23" s="281"/>
      <c r="L23" s="281"/>
      <c r="M23" s="281"/>
      <c r="N23" s="281"/>
      <c r="O23" s="540">
        <v>0</v>
      </c>
      <c r="P23" s="282"/>
      <c r="Q23" s="283"/>
    </row>
    <row r="24" spans="1:19" ht="15.75" customHeight="1" thickBot="1" x14ac:dyDescent="0.4">
      <c r="A24" s="83" t="s">
        <v>68</v>
      </c>
      <c r="B24" s="284" t="s">
        <v>266</v>
      </c>
      <c r="C24" s="285">
        <v>40118735</v>
      </c>
      <c r="D24" s="286">
        <v>0</v>
      </c>
      <c r="E24" s="287">
        <v>121621</v>
      </c>
      <c r="F24" s="287">
        <v>0</v>
      </c>
      <c r="G24" s="288">
        <v>0</v>
      </c>
      <c r="H24" s="288">
        <v>0</v>
      </c>
      <c r="I24" s="289">
        <f t="shared" si="0"/>
        <v>40118735</v>
      </c>
      <c r="J24" s="289">
        <f t="shared" si="1"/>
        <v>0</v>
      </c>
      <c r="K24" s="290"/>
      <c r="L24" s="290"/>
      <c r="M24" s="290"/>
      <c r="N24" s="290"/>
      <c r="O24" s="541">
        <v>1.5E-3</v>
      </c>
      <c r="P24" s="291"/>
      <c r="Q24" s="283"/>
    </row>
    <row r="25" spans="1:19" ht="15.75" customHeight="1" thickBot="1" x14ac:dyDescent="0.4">
      <c r="A25" s="292" t="s">
        <v>69</v>
      </c>
      <c r="B25" s="293" t="s">
        <v>267</v>
      </c>
      <c r="C25" s="294">
        <v>114931041</v>
      </c>
      <c r="D25" s="295">
        <v>330988</v>
      </c>
      <c r="E25" s="295">
        <v>114931041</v>
      </c>
      <c r="F25" s="295">
        <v>330988</v>
      </c>
      <c r="G25" s="296">
        <v>0</v>
      </c>
      <c r="H25" s="296">
        <v>0</v>
      </c>
      <c r="I25" s="297">
        <f t="shared" si="0"/>
        <v>114931041</v>
      </c>
      <c r="J25" s="297">
        <f t="shared" si="1"/>
        <v>330988</v>
      </c>
      <c r="K25" s="298"/>
      <c r="L25" s="298"/>
      <c r="M25" s="298"/>
      <c r="N25" s="298"/>
      <c r="O25" s="542">
        <v>5.7000000000000002E-3</v>
      </c>
      <c r="P25" s="299"/>
      <c r="Q25" s="283"/>
    </row>
    <row r="26" spans="1:19" x14ac:dyDescent="0.35">
      <c r="B26" s="300" t="s">
        <v>268</v>
      </c>
      <c r="C26" s="301">
        <f>SUM($C$17:$C$25)</f>
        <v>23252412362</v>
      </c>
      <c r="D26" s="301">
        <f>SUM($D$17:$D$25)</f>
        <v>37339436</v>
      </c>
      <c r="E26" s="301">
        <f>SUM($E$17:$E$25)</f>
        <v>12668009592</v>
      </c>
      <c r="F26" s="301">
        <f>SUM($F$17:$F$25)</f>
        <v>29437179</v>
      </c>
      <c r="G26" s="301">
        <f>SUM($G$17:$G$25)</f>
        <v>298858278</v>
      </c>
      <c r="H26" s="301">
        <f>SUM($H$17:$H$25)</f>
        <v>574444</v>
      </c>
      <c r="I26" s="301">
        <f>SUM($I$17:$I$25)</f>
        <v>22953554084</v>
      </c>
      <c r="J26" s="301">
        <f>SUM($J$17:$J$25)</f>
        <v>36764992</v>
      </c>
      <c r="K26" s="302">
        <f>SUM($K$17:$K$25)</f>
        <v>0</v>
      </c>
      <c r="L26" s="302">
        <f>SUM($L$17:$L$25)</f>
        <v>0</v>
      </c>
      <c r="M26" s="302">
        <f>SUM($M$17:$M$25)</f>
        <v>0</v>
      </c>
      <c r="N26" s="302">
        <f>SUM($N$17:$N$25)</f>
        <v>0</v>
      </c>
      <c r="O26" s="497">
        <f>SUM($O$17:$O$25)</f>
        <v>0.99999999999999989</v>
      </c>
      <c r="P26" s="301">
        <f>SUM($P$17:$P$25)</f>
        <v>0</v>
      </c>
      <c r="Q26" s="303">
        <f>SUM($Q$17:$Q$25)</f>
        <v>768846</v>
      </c>
    </row>
    <row r="27" spans="1:19" x14ac:dyDescent="0.35">
      <c r="L27" s="304" t="str">
        <f>IF($L$26&lt;&gt;1,"Does not equal 100%","")</f>
        <v>Does not equal 100%</v>
      </c>
      <c r="M27" s="304" t="str">
        <f>IF($M$26&lt;&gt;1,"Does not equal 100%","")</f>
        <v>Does not equal 100%</v>
      </c>
      <c r="N27" s="304" t="str">
        <f>IF($N$26&lt;&gt;1,"Does not equal 100%","")</f>
        <v>Does not equal 100%</v>
      </c>
      <c r="O27" s="304" t="str">
        <f>IF($O$26&lt;&gt;1,"Does not equal 100%","")</f>
        <v/>
      </c>
    </row>
    <row r="28" spans="1:19" x14ac:dyDescent="0.35">
      <c r="A28" s="305" t="s">
        <v>269</v>
      </c>
      <c r="C28" s="301"/>
      <c r="D28" s="301"/>
      <c r="E28" s="301"/>
      <c r="F28" s="301"/>
      <c r="G28" s="301"/>
      <c r="H28" s="301"/>
      <c r="I28" s="301"/>
      <c r="J28" s="301"/>
      <c r="K28" s="495"/>
      <c r="L28" s="301"/>
      <c r="M28" s="301"/>
      <c r="P28" s="495"/>
      <c r="Q28" s="495"/>
      <c r="R28" s="495"/>
      <c r="S28" s="495"/>
    </row>
    <row r="29" spans="1:19" x14ac:dyDescent="0.35">
      <c r="A29" s="306" t="s">
        <v>270</v>
      </c>
      <c r="C29" s="307">
        <f>'3. Continuity Schedule'!BT48</f>
        <v>-13356060.451844472</v>
      </c>
    </row>
    <row r="30" spans="1:19" x14ac:dyDescent="0.35">
      <c r="A30" s="306" t="s">
        <v>271</v>
      </c>
      <c r="C30" s="307">
        <f>'3. Continuity Schedule'!BT41</f>
        <v>-13356060.451844472</v>
      </c>
    </row>
    <row r="31" spans="1:19" x14ac:dyDescent="0.35">
      <c r="A31" s="306" t="s">
        <v>272</v>
      </c>
      <c r="C31" s="308">
        <f>C30/C26</f>
        <v>-5.7439461523018005E-4</v>
      </c>
    </row>
    <row r="32" spans="1:19" ht="16" thickBot="1" x14ac:dyDescent="0.4"/>
    <row r="33" spans="1:3" ht="66" thickBot="1" x14ac:dyDescent="0.4">
      <c r="A33" s="551" t="s">
        <v>454</v>
      </c>
      <c r="C33" s="552" t="s">
        <v>398</v>
      </c>
    </row>
    <row r="35" spans="1:3" ht="16.5" x14ac:dyDescent="0.35">
      <c r="A35" s="309" t="s">
        <v>273</v>
      </c>
    </row>
    <row r="36" spans="1:3" ht="16.5" x14ac:dyDescent="0.35">
      <c r="A36" s="309" t="s">
        <v>274</v>
      </c>
    </row>
    <row r="37" spans="1:3" ht="16.5" x14ac:dyDescent="0.35">
      <c r="A37" s="309" t="s">
        <v>275</v>
      </c>
    </row>
    <row r="38" spans="1:3" ht="16.5" x14ac:dyDescent="0.35">
      <c r="A38" s="309"/>
    </row>
  </sheetData>
  <mergeCells count="22">
    <mergeCell ref="G2:J2"/>
    <mergeCell ref="G3:J3"/>
    <mergeCell ref="G6:J11"/>
    <mergeCell ref="G12:J13"/>
    <mergeCell ref="A13:E13"/>
    <mergeCell ref="K14:P14"/>
    <mergeCell ref="C15:C16"/>
    <mergeCell ref="D15:D16"/>
    <mergeCell ref="E15:E16"/>
    <mergeCell ref="F15:F16"/>
    <mergeCell ref="G15:G16"/>
    <mergeCell ref="H15:H16"/>
    <mergeCell ref="I15:I16"/>
    <mergeCell ref="J15:J16"/>
    <mergeCell ref="K15:K16"/>
    <mergeCell ref="C14:H14"/>
    <mergeCell ref="P15:P16"/>
    <mergeCell ref="Q15:Q16"/>
    <mergeCell ref="L15:L16"/>
    <mergeCell ref="M15:M16"/>
    <mergeCell ref="N15:N16"/>
    <mergeCell ref="O15:O16"/>
  </mergeCells>
  <dataValidations count="3">
    <dataValidation type="list" allowBlank="1" showInputMessage="1" showErrorMessage="1" sqref="B17:B25" xr:uid="{7841CA86-48DD-4D8B-9A7E-709F7E8A791F}">
      <formula1>"kWh, kW, kVA"</formula1>
    </dataValidation>
    <dataValidation type="list" showErrorMessage="1" errorTitle="Selection Needed" error="Please select an option from the drop-down list." prompt="Use the following format eg: January 1, 2013" sqref="J4" xr:uid="{5ACE619F-B7DD-4A00-9B76-8B20729F212B}">
      <formula1>"Yes,No"</formula1>
    </dataValidation>
    <dataValidation type="list" allowBlank="1" showInputMessage="1" showErrorMessage="1" sqref="C33" xr:uid="{D995924A-1C95-4111-A0DB-CC7E32014405}">
      <formula1>"YES, NO"</formula1>
    </dataValidation>
  </dataValidations>
  <pageMargins left="0.70866141732283472" right="0.70866141732283472" top="1.7322834645669292" bottom="0.74803149606299213" header="0.70866141732283472" footer="0.31496062992125984"/>
  <pageSetup scale="46" orientation="landscape" r:id="rId1"/>
  <headerFooter scaleWithDoc="0">
    <oddHeader>&amp;R&amp;7&amp;K000000Toronto Hydro-Electric System Limited 
EB-2021-0060
Tab 3
Schedule 1
ORIGINAL
Page &amp;P of &amp;N</oddHeader>
    <oddFooter>&amp;C&amp;7&amp;A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E25A-2A95-4DFC-9AC9-B122939C7202}">
  <sheetPr>
    <pageSetUpPr fitToPage="1"/>
  </sheetPr>
  <dimension ref="A11:W30"/>
  <sheetViews>
    <sheetView showGridLines="0" zoomScale="80" zoomScaleNormal="80" workbookViewId="0">
      <selection activeCell="B15" sqref="B15"/>
    </sheetView>
  </sheetViews>
  <sheetFormatPr defaultColWidth="8.4140625" defaultRowHeight="15.5" x14ac:dyDescent="0.35"/>
  <cols>
    <col min="1" max="1" width="55.33203125" style="310" customWidth="1"/>
    <col min="2" max="2" width="8.4140625" style="48"/>
    <col min="3" max="3" width="13.1640625" style="48" customWidth="1"/>
    <col min="4" max="4" width="13.1640625" style="48" hidden="1" customWidth="1"/>
    <col min="5" max="5" width="10.5" style="48" customWidth="1"/>
    <col min="6" max="9" width="13.1640625" style="48" customWidth="1"/>
    <col min="10" max="11" width="13.1640625" style="48" hidden="1" customWidth="1"/>
    <col min="12" max="14" width="13.1640625" style="48" customWidth="1"/>
    <col min="15" max="18" width="13.1640625" style="48" hidden="1" customWidth="1"/>
    <col min="19" max="19" width="13.1640625" style="48" customWidth="1"/>
    <col min="20" max="22" width="13.1640625" style="48" hidden="1" customWidth="1"/>
    <col min="23" max="23" width="9.33203125" style="48" bestFit="1" customWidth="1"/>
    <col min="24" max="16384" width="8.4140625" style="48"/>
  </cols>
  <sheetData>
    <row r="11" spans="1:23" ht="20.25" customHeight="1" x14ac:dyDescent="0.35">
      <c r="A11" s="692" t="s">
        <v>276</v>
      </c>
      <c r="B11" s="692"/>
      <c r="C11" s="692"/>
      <c r="D11" s="692"/>
      <c r="E11" s="692"/>
      <c r="F11" s="692"/>
      <c r="G11" s="692"/>
      <c r="H11" s="692"/>
      <c r="I11" s="692"/>
      <c r="J11" s="692"/>
      <c r="K11" s="692"/>
      <c r="L11" s="692"/>
    </row>
    <row r="12" spans="1:23" ht="21" customHeight="1" x14ac:dyDescent="0.35">
      <c r="A12" s="692"/>
      <c r="B12" s="692"/>
      <c r="C12" s="692"/>
      <c r="D12" s="692"/>
      <c r="E12" s="692"/>
      <c r="F12" s="692"/>
      <c r="G12" s="692"/>
      <c r="H12" s="692"/>
      <c r="I12" s="692"/>
      <c r="J12" s="692"/>
      <c r="K12" s="692"/>
      <c r="L12" s="692"/>
    </row>
    <row r="13" spans="1:23" ht="24.5" x14ac:dyDescent="0.35">
      <c r="A13" s="311" t="s">
        <v>277</v>
      </c>
      <c r="G13" s="511" t="s">
        <v>438</v>
      </c>
      <c r="H13" s="511" t="s">
        <v>439</v>
      </c>
      <c r="I13" s="538" t="s">
        <v>440</v>
      </c>
      <c r="J13" s="539"/>
      <c r="K13" s="539"/>
      <c r="L13" s="511" t="s">
        <v>441</v>
      </c>
      <c r="M13" s="511" t="s">
        <v>442</v>
      </c>
      <c r="N13" s="539" t="s">
        <v>443</v>
      </c>
      <c r="O13" s="539"/>
      <c r="P13" s="539"/>
      <c r="Q13" s="539"/>
      <c r="R13" s="539"/>
      <c r="S13" s="537" t="s">
        <v>444</v>
      </c>
      <c r="T13" s="539"/>
      <c r="U13" s="539"/>
      <c r="V13" s="539"/>
      <c r="W13" s="539" t="s">
        <v>445</v>
      </c>
    </row>
    <row r="14" spans="1:23" s="316" customFormat="1" ht="29.25" customHeight="1" x14ac:dyDescent="0.35">
      <c r="A14" s="312"/>
      <c r="B14" s="313"/>
      <c r="C14" s="693" t="s">
        <v>278</v>
      </c>
      <c r="D14" s="693" t="s">
        <v>279</v>
      </c>
      <c r="E14" s="693" t="s">
        <v>280</v>
      </c>
      <c r="F14" s="689" t="s">
        <v>281</v>
      </c>
      <c r="G14" s="314"/>
      <c r="H14" s="315"/>
      <c r="I14" s="315" t="s">
        <v>282</v>
      </c>
      <c r="J14" s="315"/>
      <c r="K14" s="315"/>
      <c r="L14" s="314"/>
      <c r="M14" s="314"/>
      <c r="N14" s="315" t="s">
        <v>282</v>
      </c>
      <c r="O14" s="689" t="s">
        <v>283</v>
      </c>
      <c r="P14" s="689" t="s">
        <v>284</v>
      </c>
      <c r="Q14" s="689" t="s">
        <v>285</v>
      </c>
      <c r="R14" s="689" t="s">
        <v>286</v>
      </c>
      <c r="S14" s="689" t="s">
        <v>287</v>
      </c>
      <c r="T14" s="689" t="s">
        <v>288</v>
      </c>
      <c r="U14" s="689" t="s">
        <v>289</v>
      </c>
      <c r="V14" s="689" t="s">
        <v>290</v>
      </c>
      <c r="W14" s="689">
        <v>1568</v>
      </c>
    </row>
    <row r="15" spans="1:23" s="316" customFormat="1" ht="20.25" customHeight="1" x14ac:dyDescent="0.35">
      <c r="A15" s="317" t="s">
        <v>70</v>
      </c>
      <c r="B15" s="318"/>
      <c r="C15" s="694"/>
      <c r="D15" s="694"/>
      <c r="E15" s="694"/>
      <c r="F15" s="691"/>
      <c r="G15" s="319">
        <v>1550</v>
      </c>
      <c r="H15" s="319">
        <v>1551</v>
      </c>
      <c r="I15" s="319">
        <v>1580</v>
      </c>
      <c r="J15" s="320" t="s">
        <v>291</v>
      </c>
      <c r="K15" s="320" t="s">
        <v>292</v>
      </c>
      <c r="L15" s="319">
        <v>1584</v>
      </c>
      <c r="M15" s="319">
        <v>1586</v>
      </c>
      <c r="N15" s="319">
        <v>1588</v>
      </c>
      <c r="O15" s="691"/>
      <c r="P15" s="691"/>
      <c r="Q15" s="690"/>
      <c r="R15" s="690"/>
      <c r="S15" s="690"/>
      <c r="T15" s="690"/>
      <c r="U15" s="690"/>
      <c r="V15" s="690"/>
      <c r="W15" s="690"/>
    </row>
    <row r="17" spans="1:23" ht="15.75" customHeight="1" x14ac:dyDescent="0.35">
      <c r="A17" s="321" t="s">
        <v>62</v>
      </c>
      <c r="C17" s="322">
        <f>'4. Billing Det. for Def-Var'!C17/('4. Billing Det. for Def-Var'!$C$26)</f>
        <v>0.21740631003351032</v>
      </c>
      <c r="D17" s="322">
        <v>6.8806105309115106E-3</v>
      </c>
      <c r="E17" s="322">
        <f>'4. Billing Det. for Def-Var'!Q17/'4. Billing Det. for Def-Var'!$Q$26</f>
        <v>0.79764998452225799</v>
      </c>
      <c r="F17" s="322">
        <f>'4. Billing Det. for Def-Var'!I17/'4. Billing Det. for Def-Var'!$I$26</f>
        <v>0.22023696864111303</v>
      </c>
      <c r="G17" s="323">
        <f>IF('4. Billing Det. for Def-Var'!$C$33="NO",0,SUMIFS('3. Continuity Schedule'!$BT:$BT,'3. Continuity Schedule'!$D:$D,G$15)*C17)</f>
        <v>0</v>
      </c>
      <c r="H17" s="323">
        <f>IF('4. Billing Det. for Def-Var'!$C$33="NO",0,SUMIFS('3. Continuity Schedule'!$BT:$BT,'3. Continuity Schedule'!$D:$D,H$15)*E17)</f>
        <v>0</v>
      </c>
      <c r="I17" s="323">
        <f>IF('4. Billing Det. for Def-Var'!$C$33="NO",0,'3. Continuity Schedule'!$BT$23*F17)</f>
        <v>0</v>
      </c>
      <c r="J17" s="323">
        <v>0</v>
      </c>
      <c r="K17" s="323"/>
      <c r="L17" s="323">
        <f>IF('4. Billing Det. for Def-Var'!$C$33="NO",0,SUMIFS('3. Continuity Schedule'!$BT:$BT,'3. Continuity Schedule'!$D:$D,L$15)*C17)</f>
        <v>0</v>
      </c>
      <c r="M17" s="323">
        <f>IF('4. Billing Det. for Def-Var'!$C$33="NO",0,SUMIFS('3. Continuity Schedule'!$BT:$BT,'3. Continuity Schedule'!$D:$D,M$15)*C17)</f>
        <v>0</v>
      </c>
      <c r="N17" s="323">
        <f>IF('4. Billing Det. for Def-Var'!$C$33="NO",0,SUMIFS('3. Continuity Schedule'!$BT:$BT,'3. Continuity Schedule'!$D:$D,N$15)*F17)</f>
        <v>0</v>
      </c>
      <c r="O17" s="323"/>
      <c r="P17" s="323">
        <v>0</v>
      </c>
      <c r="Q17" s="323">
        <v>0</v>
      </c>
      <c r="R17" s="323">
        <v>0</v>
      </c>
      <c r="S17" s="323">
        <f>IF('4. Billing Det. for Def-Var'!$C$33="NO",0,SUMIFS('3. Continuity Schedule'!$BT:$BT,'3. Continuity Schedule'!$D:$D,LEFT(S$14,4))*'4. Billing Det. for Def-Var'!O17)</f>
        <v>0</v>
      </c>
      <c r="T17" s="323">
        <v>0</v>
      </c>
      <c r="U17" s="323">
        <v>0</v>
      </c>
      <c r="V17" s="323">
        <v>0</v>
      </c>
      <c r="W17" s="323">
        <f>'4. Billing Det. for Def-Var'!P17</f>
        <v>0</v>
      </c>
    </row>
    <row r="18" spans="1:23" ht="15.75" customHeight="1" x14ac:dyDescent="0.35">
      <c r="A18" s="321" t="s">
        <v>64</v>
      </c>
      <c r="C18" s="322">
        <f>'4. Billing Det. for Def-Var'!C18/('4. Billing Det. for Def-Var'!$C$26)</f>
        <v>1.3018984580486857E-2</v>
      </c>
      <c r="D18" s="322">
        <v>0</v>
      </c>
      <c r="E18" s="322">
        <f>'4. Billing Det. for Def-Var'!Q18/'4. Billing Det. for Def-Var'!$Q$26</f>
        <v>0.10841833084909072</v>
      </c>
      <c r="F18" s="322">
        <f>'4. Billing Det. for Def-Var'!I18/'4. Billing Det. for Def-Var'!$I$26</f>
        <v>1.3188493463459582E-2</v>
      </c>
      <c r="G18" s="323">
        <f>IF('4. Billing Det. for Def-Var'!$C$33="NO",0,SUMIFS('3. Continuity Schedule'!$BT:$BT,'3. Continuity Schedule'!$D:$D,G$15)*C18)</f>
        <v>0</v>
      </c>
      <c r="H18" s="323">
        <f>IF('4. Billing Det. for Def-Var'!$C$33="NO",0,SUMIFS('3. Continuity Schedule'!$BT:$BT,'3. Continuity Schedule'!$D:$D,H$15)*E18)</f>
        <v>0</v>
      </c>
      <c r="I18" s="323">
        <f>IF('4. Billing Det. for Def-Var'!$C$33="NO",0,'3. Continuity Schedule'!$BT$23*F18)</f>
        <v>0</v>
      </c>
      <c r="J18" s="323">
        <v>0</v>
      </c>
      <c r="K18" s="323"/>
      <c r="L18" s="323">
        <f>IF('4. Billing Det. for Def-Var'!$C$33="NO",0,SUMIFS('3. Continuity Schedule'!$BT:$BT,'3. Continuity Schedule'!$D:$D,L$15)*C18)</f>
        <v>0</v>
      </c>
      <c r="M18" s="323">
        <f>IF('4. Billing Det. for Def-Var'!$C$33="NO",0,SUMIFS('3. Continuity Schedule'!$BT:$BT,'3. Continuity Schedule'!$D:$D,M$15)*C18)</f>
        <v>0</v>
      </c>
      <c r="N18" s="323">
        <f>IF('4. Billing Det. for Def-Var'!$C$33="NO",0,SUMIFS('3. Continuity Schedule'!$BT:$BT,'3. Continuity Schedule'!$D:$D,N$15)*F18)</f>
        <v>0</v>
      </c>
      <c r="O18" s="323"/>
      <c r="P18" s="323">
        <v>0</v>
      </c>
      <c r="Q18" s="323">
        <v>0</v>
      </c>
      <c r="R18" s="323">
        <v>0</v>
      </c>
      <c r="S18" s="323">
        <f>IF('4. Billing Det. for Def-Var'!$C$33="NO",0,SUMIFS('3. Continuity Schedule'!$BT:$BT,'3. Continuity Schedule'!$D:$D,LEFT(S$14,4))*'4. Billing Det. for Def-Var'!O18)</f>
        <v>0</v>
      </c>
      <c r="T18" s="323">
        <v>0</v>
      </c>
      <c r="U18" s="323">
        <v>0</v>
      </c>
      <c r="V18" s="323">
        <v>0</v>
      </c>
      <c r="W18" s="323">
        <f>'4. Billing Det. for Def-Var'!P18</f>
        <v>0</v>
      </c>
    </row>
    <row r="19" spans="1:23" ht="15.75" customHeight="1" x14ac:dyDescent="0.35">
      <c r="A19" s="321" t="s">
        <v>240</v>
      </c>
      <c r="C19" s="322">
        <f>'4. Billing Det. for Def-Var'!C19/('4. Billing Det. for Def-Var'!$C$26)</f>
        <v>9.3611028185497824E-2</v>
      </c>
      <c r="D19" s="322">
        <v>2.6078791589449441E-2</v>
      </c>
      <c r="E19" s="322">
        <f>'4. Billing Det. for Def-Var'!Q19/'4. Billing Det. for Def-Var'!$Q$26</f>
        <v>9.3931684628651257E-2</v>
      </c>
      <c r="F19" s="322">
        <f>'4. Billing Det. for Def-Var'!I19/'4. Billing Det. for Def-Var'!$I$26</f>
        <v>9.482985602291881E-2</v>
      </c>
      <c r="G19" s="323">
        <f>IF('4. Billing Det. for Def-Var'!$C$33="NO",0,SUMIFS('3. Continuity Schedule'!$BT:$BT,'3. Continuity Schedule'!$D:$D,G$15)*C19)</f>
        <v>0</v>
      </c>
      <c r="H19" s="323">
        <f>IF('4. Billing Det. for Def-Var'!$C$33="NO",0,SUMIFS('3. Continuity Schedule'!$BT:$BT,'3. Continuity Schedule'!$D:$D,H$15)*E19)</f>
        <v>0</v>
      </c>
      <c r="I19" s="323">
        <f>IF('4. Billing Det. for Def-Var'!$C$33="NO",0,'3. Continuity Schedule'!$BT$23*F19)</f>
        <v>0</v>
      </c>
      <c r="J19" s="323">
        <v>0</v>
      </c>
      <c r="K19" s="323"/>
      <c r="L19" s="323">
        <f>IF('4. Billing Det. for Def-Var'!$C$33="NO",0,SUMIFS('3. Continuity Schedule'!$BT:$BT,'3. Continuity Schedule'!$D:$D,L$15)*C19)</f>
        <v>0</v>
      </c>
      <c r="M19" s="323">
        <f>IF('4. Billing Det. for Def-Var'!$C$33="NO",0,SUMIFS('3. Continuity Schedule'!$BT:$BT,'3. Continuity Schedule'!$D:$D,M$15)*C19)</f>
        <v>0</v>
      </c>
      <c r="N19" s="323">
        <f>IF('4. Billing Det. for Def-Var'!$C$33="NO",0,SUMIFS('3. Continuity Schedule'!$BT:$BT,'3. Continuity Schedule'!$D:$D,N$15)*F19)</f>
        <v>0</v>
      </c>
      <c r="O19" s="323"/>
      <c r="P19" s="323">
        <v>0</v>
      </c>
      <c r="Q19" s="323">
        <v>0</v>
      </c>
      <c r="R19" s="323">
        <v>0</v>
      </c>
      <c r="S19" s="323">
        <f>IF('4. Billing Det. for Def-Var'!$C$33="NO",0,SUMIFS('3. Continuity Schedule'!$BT:$BT,'3. Continuity Schedule'!$D:$D,LEFT(S$14,4))*'4. Billing Det. for Def-Var'!O19)</f>
        <v>0</v>
      </c>
      <c r="T19" s="323">
        <v>0</v>
      </c>
      <c r="U19" s="323">
        <v>0</v>
      </c>
      <c r="V19" s="323">
        <v>0</v>
      </c>
      <c r="W19" s="323">
        <f>'4. Billing Det. for Def-Var'!P19</f>
        <v>0</v>
      </c>
    </row>
    <row r="20" spans="1:23" ht="15.75" customHeight="1" x14ac:dyDescent="0.35">
      <c r="A20" s="321" t="s">
        <v>241</v>
      </c>
      <c r="C20" s="322">
        <f>'4. Billing Det. for Def-Var'!C20/('4. Billing Det. for Def-Var'!$C$26)</f>
        <v>0.4001743840224779</v>
      </c>
      <c r="D20" s="322">
        <v>0.49406821990461691</v>
      </c>
      <c r="E20" s="322">
        <f>'4. Billing Det. for Def-Var'!Q20/'4. Billing Det. for Def-Var'!$Q$26</f>
        <v>0</v>
      </c>
      <c r="F20" s="322">
        <f>'4. Billing Det. for Def-Var'!I20/'4. Billing Det. for Def-Var'!$I$26</f>
        <v>0.40313477242507539</v>
      </c>
      <c r="G20" s="323">
        <f>IF('4. Billing Det. for Def-Var'!$C$33="NO",0,SUMIFS('3. Continuity Schedule'!$BT:$BT,'3. Continuity Schedule'!$D:$D,G$15)*C20)</f>
        <v>0</v>
      </c>
      <c r="H20" s="323">
        <f>IF('4. Billing Det. for Def-Var'!$C$33="NO",0,SUMIFS('3. Continuity Schedule'!$BT:$BT,'3. Continuity Schedule'!$D:$D,H$15)*E20)</f>
        <v>0</v>
      </c>
      <c r="I20" s="323">
        <f>IF('4. Billing Det. for Def-Var'!$C$33="NO",0,'3. Continuity Schedule'!$BT$23*F20)</f>
        <v>0</v>
      </c>
      <c r="J20" s="323">
        <v>0</v>
      </c>
      <c r="K20" s="323"/>
      <c r="L20" s="323">
        <f>IF('4. Billing Det. for Def-Var'!$C$33="NO",0,SUMIFS('3. Continuity Schedule'!$BT:$BT,'3. Continuity Schedule'!$D:$D,L$15)*C20)</f>
        <v>0</v>
      </c>
      <c r="M20" s="323">
        <f>IF('4. Billing Det. for Def-Var'!$C$33="NO",0,SUMIFS('3. Continuity Schedule'!$BT:$BT,'3. Continuity Schedule'!$D:$D,M$15)*C20)</f>
        <v>0</v>
      </c>
      <c r="N20" s="323">
        <f>IF('4. Billing Det. for Def-Var'!$C$33="NO",0,SUMIFS('3. Continuity Schedule'!$BT:$BT,'3. Continuity Schedule'!$D:$D,N$15)*F20)</f>
        <v>0</v>
      </c>
      <c r="O20" s="323"/>
      <c r="P20" s="323">
        <v>0</v>
      </c>
      <c r="Q20" s="323">
        <v>0</v>
      </c>
      <c r="R20" s="323">
        <v>0</v>
      </c>
      <c r="S20" s="323">
        <f>IF('4. Billing Det. for Def-Var'!$C$33="NO",0,SUMIFS('3. Continuity Schedule'!$BT:$BT,'3. Continuity Schedule'!$D:$D,LEFT(S$14,4))*'4. Billing Det. for Def-Var'!O20)</f>
        <v>0</v>
      </c>
      <c r="T20" s="323">
        <v>0</v>
      </c>
      <c r="U20" s="323">
        <v>0</v>
      </c>
      <c r="V20" s="323">
        <v>0</v>
      </c>
      <c r="W20" s="323">
        <f>'4. Billing Det. for Def-Var'!P20</f>
        <v>0</v>
      </c>
    </row>
    <row r="21" spans="1:23" ht="15.75" customHeight="1" x14ac:dyDescent="0.35">
      <c r="A21" s="321" t="s">
        <v>243</v>
      </c>
      <c r="C21" s="322">
        <f>'4. Billing Det. for Def-Var'!C21/('4. Billing Det. for Def-Var'!$C$26)</f>
        <v>0.18101209429256723</v>
      </c>
      <c r="D21" s="322">
        <v>0.32156349210785806</v>
      </c>
      <c r="E21" s="322">
        <f>'4. Billing Det. for Def-Var'!Q21/'4. Billing Det. for Def-Var'!$Q$26</f>
        <v>0</v>
      </c>
      <c r="F21" s="322">
        <f>'4. Billing Det. for Def-Var'!I21/'4. Billing Det. for Def-Var'!$I$26</f>
        <v>0.1833094728425064</v>
      </c>
      <c r="G21" s="323">
        <f>IF('4. Billing Det. for Def-Var'!$C$33="NO",0,SUMIFS('3. Continuity Schedule'!$BT:$BT,'3. Continuity Schedule'!$D:$D,G$15)*C21)</f>
        <v>0</v>
      </c>
      <c r="H21" s="323">
        <f>IF('4. Billing Det. for Def-Var'!$C$33="NO",0,SUMIFS('3. Continuity Schedule'!$BT:$BT,'3. Continuity Schedule'!$D:$D,H$15)*E21)</f>
        <v>0</v>
      </c>
      <c r="I21" s="323">
        <f>IF('4. Billing Det. for Def-Var'!$C$33="NO",0,'3. Continuity Schedule'!$BT$23*F21)</f>
        <v>0</v>
      </c>
      <c r="J21" s="323">
        <v>0</v>
      </c>
      <c r="K21" s="323"/>
      <c r="L21" s="323">
        <f>IF('4. Billing Det. for Def-Var'!$C$33="NO",0,SUMIFS('3. Continuity Schedule'!$BT:$BT,'3. Continuity Schedule'!$D:$D,L$15)*C21)</f>
        <v>0</v>
      </c>
      <c r="M21" s="323">
        <f>IF('4. Billing Det. for Def-Var'!$C$33="NO",0,SUMIFS('3. Continuity Schedule'!$BT:$BT,'3. Continuity Schedule'!$D:$D,M$15)*C21)</f>
        <v>0</v>
      </c>
      <c r="N21" s="323">
        <f>IF('4. Billing Det. for Def-Var'!$C$33="NO",0,SUMIFS('3. Continuity Schedule'!$BT:$BT,'3. Continuity Schedule'!$D:$D,N$15)*F21)</f>
        <v>0</v>
      </c>
      <c r="O21" s="323"/>
      <c r="P21" s="323">
        <v>0</v>
      </c>
      <c r="Q21" s="323">
        <v>0</v>
      </c>
      <c r="R21" s="323">
        <v>0</v>
      </c>
      <c r="S21" s="323">
        <f>IF('4. Billing Det. for Def-Var'!$C$33="NO",0,SUMIFS('3. Continuity Schedule'!$BT:$BT,'3. Continuity Schedule'!$D:$D,LEFT(S$14,4))*'4. Billing Det. for Def-Var'!O21)</f>
        <v>0</v>
      </c>
      <c r="T21" s="323">
        <v>0</v>
      </c>
      <c r="U21" s="323">
        <v>0</v>
      </c>
      <c r="V21" s="323">
        <v>0</v>
      </c>
      <c r="W21" s="323">
        <f>'4. Billing Det. for Def-Var'!P21</f>
        <v>0</v>
      </c>
    </row>
    <row r="22" spans="1:23" ht="15.75" customHeight="1" x14ac:dyDescent="0.35">
      <c r="A22" s="321" t="s">
        <v>65</v>
      </c>
      <c r="C22" s="322">
        <f>'4. Billing Det. for Def-Var'!C22/('4. Billing Det. for Def-Var'!$C$26)</f>
        <v>8.81090831826183E-2</v>
      </c>
      <c r="D22" s="322">
        <v>0.14232627910369289</v>
      </c>
      <c r="E22" s="322">
        <f>'4. Billing Det. for Def-Var'!Q22/'4. Billing Det. for Def-Var'!$Q$26</f>
        <v>0</v>
      </c>
      <c r="F22" s="322">
        <f>'4. Billing Det. for Def-Var'!I22/'4. Billing Det. for Def-Var'!$I$26</f>
        <v>7.8545501163008472E-2</v>
      </c>
      <c r="G22" s="323">
        <f>IF('4. Billing Det. for Def-Var'!$C$33="NO",0,SUMIFS('3. Continuity Schedule'!$BT:$BT,'3. Continuity Schedule'!$D:$D,G$15)*C22)</f>
        <v>0</v>
      </c>
      <c r="H22" s="323">
        <f>IF('4. Billing Det. for Def-Var'!$C$33="NO",0,SUMIFS('3. Continuity Schedule'!$BT:$BT,'3. Continuity Schedule'!$D:$D,H$15)*E22)</f>
        <v>0</v>
      </c>
      <c r="I22" s="323">
        <f>IF('4. Billing Det. for Def-Var'!$C$33="NO",0,'3. Continuity Schedule'!$BT$23*F22)</f>
        <v>0</v>
      </c>
      <c r="J22" s="323">
        <v>0</v>
      </c>
      <c r="K22" s="323"/>
      <c r="L22" s="323">
        <f>IF('4. Billing Det. for Def-Var'!$C$33="NO",0,SUMIFS('3. Continuity Schedule'!$BT:$BT,'3. Continuity Schedule'!$D:$D,L$15)*C22)</f>
        <v>0</v>
      </c>
      <c r="M22" s="323">
        <f>IF('4. Billing Det. for Def-Var'!$C$33="NO",0,SUMIFS('3. Continuity Schedule'!$BT:$BT,'3. Continuity Schedule'!$D:$D,M$15)*C22)</f>
        <v>0</v>
      </c>
      <c r="N22" s="323">
        <f>IF('4. Billing Det. for Def-Var'!$C$33="NO",0,SUMIFS('3. Continuity Schedule'!$BT:$BT,'3. Continuity Schedule'!$D:$D,N$15)*F22)</f>
        <v>0</v>
      </c>
      <c r="O22" s="323"/>
      <c r="P22" s="323">
        <v>0</v>
      </c>
      <c r="Q22" s="323">
        <v>0</v>
      </c>
      <c r="R22" s="323">
        <v>0</v>
      </c>
      <c r="S22" s="323">
        <f>IF('4. Billing Det. for Def-Var'!$C$33="NO",0,SUMIFS('3. Continuity Schedule'!$BT:$BT,'3. Continuity Schedule'!$D:$D,LEFT(S$14,4))*'4. Billing Det. for Def-Var'!O22)</f>
        <v>0</v>
      </c>
      <c r="T22" s="323">
        <v>0</v>
      </c>
      <c r="U22" s="323">
        <v>0</v>
      </c>
      <c r="V22" s="323">
        <v>0</v>
      </c>
      <c r="W22" s="323">
        <f>'4. Billing Det. for Def-Var'!P22</f>
        <v>0</v>
      </c>
    </row>
    <row r="23" spans="1:23" ht="15.75" customHeight="1" x14ac:dyDescent="0.35">
      <c r="A23" s="321" t="s">
        <v>66</v>
      </c>
      <c r="C23" s="322">
        <f>'4. Billing Det. for Def-Var'!C23/('4. Billing Det. for Def-Var'!$C$26)</f>
        <v>0</v>
      </c>
      <c r="D23" s="322">
        <v>0</v>
      </c>
      <c r="E23" s="322">
        <f>'4. Billing Det. for Def-Var'!Q23/'4. Billing Det. for Def-Var'!$Q$26</f>
        <v>0</v>
      </c>
      <c r="F23" s="322">
        <f>'4. Billing Det. for Def-Var'!I23/'4. Billing Det. for Def-Var'!$I$26</f>
        <v>0</v>
      </c>
      <c r="G23" s="323">
        <f>IF('4. Billing Det. for Def-Var'!$C$33="NO",0,SUMIFS('3. Continuity Schedule'!$BT:$BT,'3. Continuity Schedule'!$D:$D,G$15)*C23)</f>
        <v>0</v>
      </c>
      <c r="H23" s="323">
        <f>IF('4. Billing Det. for Def-Var'!$C$33="NO",0,SUMIFS('3. Continuity Schedule'!$BT:$BT,'3. Continuity Schedule'!$D:$D,H$15)*E23)</f>
        <v>0</v>
      </c>
      <c r="I23" s="323">
        <f>IF('4. Billing Det. for Def-Var'!$C$33="NO",0,'3. Continuity Schedule'!$BT$23*F23)</f>
        <v>0</v>
      </c>
      <c r="J23" s="323">
        <v>0</v>
      </c>
      <c r="K23" s="323"/>
      <c r="L23" s="323">
        <f>IF('4. Billing Det. for Def-Var'!$C$33="NO",0,SUMIFS('3. Continuity Schedule'!$BT:$BT,'3. Continuity Schedule'!$D:$D,L$15)*C23)</f>
        <v>0</v>
      </c>
      <c r="M23" s="323">
        <f>IF('4. Billing Det. for Def-Var'!$C$33="NO",0,SUMIFS('3. Continuity Schedule'!$BT:$BT,'3. Continuity Schedule'!$D:$D,M$15)*C23)</f>
        <v>0</v>
      </c>
      <c r="N23" s="323">
        <f>IF('4. Billing Det. for Def-Var'!$C$33="NO",0,SUMIFS('3. Continuity Schedule'!$BT:$BT,'3. Continuity Schedule'!$D:$D,N$15)*F23)</f>
        <v>0</v>
      </c>
      <c r="O23" s="323"/>
      <c r="P23" s="323">
        <v>0</v>
      </c>
      <c r="Q23" s="323">
        <v>0</v>
      </c>
      <c r="R23" s="323">
        <v>0</v>
      </c>
      <c r="S23" s="323">
        <f>IF('4. Billing Det. for Def-Var'!$C$33="NO",0,SUMIFS('3. Continuity Schedule'!$BT:$BT,'3. Continuity Schedule'!$D:$D,LEFT(S$14,4))*'4. Billing Det. for Def-Var'!O23)</f>
        <v>0</v>
      </c>
      <c r="T23" s="323">
        <v>0</v>
      </c>
      <c r="U23" s="323">
        <v>0</v>
      </c>
      <c r="V23" s="323">
        <v>0</v>
      </c>
      <c r="W23" s="323">
        <f>'4. Billing Det. for Def-Var'!P23</f>
        <v>0</v>
      </c>
    </row>
    <row r="24" spans="1:23" ht="15.75" customHeight="1" x14ac:dyDescent="0.35">
      <c r="A24" s="321" t="s">
        <v>68</v>
      </c>
      <c r="C24" s="322">
        <f>'4. Billing Det. for Def-Var'!C24/('4. Billing Det. for Def-Var'!$C$26)</f>
        <v>1.725357970408421E-3</v>
      </c>
      <c r="D24" s="322">
        <v>9.6011313252372144E-6</v>
      </c>
      <c r="E24" s="322">
        <f>'4. Billing Det. for Def-Var'!Q24/'4. Billing Det. for Def-Var'!$Q$26</f>
        <v>0</v>
      </c>
      <c r="F24" s="322">
        <f>'4. Billing Det. for Def-Var'!I24/'4. Billing Det. for Def-Var'!$I$26</f>
        <v>1.7478223569728209E-3</v>
      </c>
      <c r="G24" s="323">
        <f>IF('4. Billing Det. for Def-Var'!$C$33="NO",0,SUMIFS('3. Continuity Schedule'!$BT:$BT,'3. Continuity Schedule'!$D:$D,G$15)*C24)</f>
        <v>0</v>
      </c>
      <c r="H24" s="323">
        <f>IF('4. Billing Det. for Def-Var'!$C$33="NO",0,SUMIFS('3. Continuity Schedule'!$BT:$BT,'3. Continuity Schedule'!$D:$D,H$15)*E24)</f>
        <v>0</v>
      </c>
      <c r="I24" s="323">
        <f>IF('4. Billing Det. for Def-Var'!$C$33="NO",0,'3. Continuity Schedule'!$BT$23*F24)</f>
        <v>0</v>
      </c>
      <c r="J24" s="323">
        <v>0</v>
      </c>
      <c r="K24" s="323"/>
      <c r="L24" s="323">
        <f>IF('4. Billing Det. for Def-Var'!$C$33="NO",0,SUMIFS('3. Continuity Schedule'!$BT:$BT,'3. Continuity Schedule'!$D:$D,L$15)*C24)</f>
        <v>0</v>
      </c>
      <c r="M24" s="323">
        <f>IF('4. Billing Det. for Def-Var'!$C$33="NO",0,SUMIFS('3. Continuity Schedule'!$BT:$BT,'3. Continuity Schedule'!$D:$D,M$15)*C24)</f>
        <v>0</v>
      </c>
      <c r="N24" s="323">
        <f>IF('4. Billing Det. for Def-Var'!$C$33="NO",0,SUMIFS('3. Continuity Schedule'!$BT:$BT,'3. Continuity Schedule'!$D:$D,N$15)*F24)</f>
        <v>0</v>
      </c>
      <c r="O24" s="323"/>
      <c r="P24" s="323">
        <v>0</v>
      </c>
      <c r="Q24" s="323">
        <v>0</v>
      </c>
      <c r="R24" s="323">
        <v>0</v>
      </c>
      <c r="S24" s="323">
        <f>IF('4. Billing Det. for Def-Var'!$C$33="NO",0,SUMIFS('3. Continuity Schedule'!$BT:$BT,'3. Continuity Schedule'!$D:$D,LEFT(S$14,4))*'4. Billing Det. for Def-Var'!O24)</f>
        <v>0</v>
      </c>
      <c r="T24" s="323">
        <v>0</v>
      </c>
      <c r="U24" s="323">
        <v>0</v>
      </c>
      <c r="V24" s="323">
        <v>0</v>
      </c>
      <c r="W24" s="323">
        <f>'4. Billing Det. for Def-Var'!P24</f>
        <v>0</v>
      </c>
    </row>
    <row r="25" spans="1:23" ht="15.75" customHeight="1" thickBot="1" x14ac:dyDescent="0.4">
      <c r="A25" s="324" t="s">
        <v>69</v>
      </c>
      <c r="B25" s="213"/>
      <c r="C25" s="325">
        <f>'4. Billing Det. for Def-Var'!C25/('4. Billing Det. for Def-Var'!$C$26)</f>
        <v>4.9427577324331643E-3</v>
      </c>
      <c r="D25" s="325">
        <v>9.0730056321459505E-3</v>
      </c>
      <c r="E25" s="325">
        <f>'4. Billing Det. for Def-Var'!Q25/'4. Billing Det. for Def-Var'!$Q$26</f>
        <v>0</v>
      </c>
      <c r="F25" s="325">
        <f>'4. Billing Det. for Def-Var'!I25/'4. Billing Det. for Def-Var'!$I$26</f>
        <v>5.0071130849454731E-3</v>
      </c>
      <c r="G25" s="326">
        <f>IF('4. Billing Det. for Def-Var'!$C$33="NO",0,SUMIFS('3. Continuity Schedule'!$BT:$BT,'3. Continuity Schedule'!$D:$D,G$15)*C25)</f>
        <v>0</v>
      </c>
      <c r="H25" s="326">
        <f>IF('4. Billing Det. for Def-Var'!$C$33="NO",0,SUMIFS('3. Continuity Schedule'!$BT:$BT,'3. Continuity Schedule'!$D:$D,H$15)*E25)</f>
        <v>0</v>
      </c>
      <c r="I25" s="326">
        <f>IF('4. Billing Det. for Def-Var'!$C$33="NO",0,'3. Continuity Schedule'!$BT$23*F25)</f>
        <v>0</v>
      </c>
      <c r="J25" s="326">
        <v>0</v>
      </c>
      <c r="K25" s="326"/>
      <c r="L25" s="326">
        <f>IF('4. Billing Det. for Def-Var'!$C$33="NO",0,SUMIFS('3. Continuity Schedule'!$BT:$BT,'3. Continuity Schedule'!$D:$D,L$15)*C25)</f>
        <v>0</v>
      </c>
      <c r="M25" s="326">
        <f>IF('4. Billing Det. for Def-Var'!$C$33="NO",0,SUMIFS('3. Continuity Schedule'!$BT:$BT,'3. Continuity Schedule'!$D:$D,M$15)*C25)</f>
        <v>0</v>
      </c>
      <c r="N25" s="326">
        <f>IF('4. Billing Det. for Def-Var'!$C$33="NO",0,SUMIFS('3. Continuity Schedule'!$BT:$BT,'3. Continuity Schedule'!$D:$D,N$15)*F25)</f>
        <v>0</v>
      </c>
      <c r="O25" s="326"/>
      <c r="P25" s="326">
        <v>0</v>
      </c>
      <c r="Q25" s="326">
        <v>0</v>
      </c>
      <c r="R25" s="326">
        <v>0</v>
      </c>
      <c r="S25" s="326">
        <f>IF('4. Billing Det. for Def-Var'!$C$33="NO",0,SUMIFS('3. Continuity Schedule'!$BT:$BT,'3. Continuity Schedule'!$D:$D,LEFT(S$14,4))*'4. Billing Det. for Def-Var'!O25)</f>
        <v>0</v>
      </c>
      <c r="T25" s="326">
        <v>0</v>
      </c>
      <c r="U25" s="326">
        <v>0</v>
      </c>
      <c r="V25" s="326">
        <v>0</v>
      </c>
      <c r="W25" s="326">
        <f>'4. Billing Det. for Def-Var'!P25</f>
        <v>0</v>
      </c>
    </row>
    <row r="26" spans="1:23" x14ac:dyDescent="0.35">
      <c r="G26" s="323"/>
      <c r="H26" s="323"/>
      <c r="I26" s="323"/>
      <c r="J26" s="323"/>
      <c r="K26" s="323"/>
      <c r="L26" s="323"/>
      <c r="M26" s="323"/>
      <c r="N26" s="323"/>
      <c r="O26" s="323"/>
      <c r="P26" s="323"/>
      <c r="Q26" s="323"/>
      <c r="R26" s="323"/>
      <c r="S26" s="323"/>
      <c r="T26" s="323"/>
      <c r="U26" s="323"/>
      <c r="V26" s="323"/>
      <c r="W26" s="323"/>
    </row>
    <row r="27" spans="1:23" x14ac:dyDescent="0.35">
      <c r="A27" s="310" t="s">
        <v>268</v>
      </c>
      <c r="C27" s="327">
        <f>SUM($C$17:$C$25)</f>
        <v>1.0000000000000002</v>
      </c>
      <c r="D27" s="327">
        <f>SUM($D$17:$D$25)</f>
        <v>1</v>
      </c>
      <c r="E27" s="327">
        <f>SUM($E$17:$E$25)</f>
        <v>1</v>
      </c>
      <c r="F27" s="327">
        <f>SUM($F$17:$F$25)</f>
        <v>1</v>
      </c>
      <c r="G27" s="323">
        <f>SUM($G$17:$G$25)</f>
        <v>0</v>
      </c>
      <c r="H27" s="323">
        <f>SUM($H$17:$H$25)</f>
        <v>0</v>
      </c>
      <c r="I27" s="323">
        <f>SUM($I$17:$I$25)</f>
        <v>0</v>
      </c>
      <c r="J27" s="323">
        <f>SUM($J$17:$J$25)</f>
        <v>0</v>
      </c>
      <c r="K27" s="323">
        <f>SUM($K$17:$K$25)</f>
        <v>0</v>
      </c>
      <c r="L27" s="323">
        <f>SUM($L$17:$L$25)</f>
        <v>0</v>
      </c>
      <c r="M27" s="323">
        <f>SUM($M$17:$M$25)</f>
        <v>0</v>
      </c>
      <c r="N27" s="323">
        <f>SUM($N$17:$N$25)</f>
        <v>0</v>
      </c>
      <c r="O27" s="323">
        <f>SUM($O$17:$O$25)</f>
        <v>0</v>
      </c>
      <c r="P27" s="323">
        <f>SUM($P$17:$P$25)</f>
        <v>0</v>
      </c>
      <c r="Q27" s="323">
        <f>SUM($Q$17:$Q$25)</f>
        <v>0</v>
      </c>
      <c r="R27" s="323">
        <f>SUM($R$17:$R$25)</f>
        <v>0</v>
      </c>
      <c r="S27" s="323">
        <f>SUM($S$17:$S$25)</f>
        <v>0</v>
      </c>
      <c r="T27" s="323">
        <f>SUM($T$17:$T$25)</f>
        <v>0</v>
      </c>
      <c r="U27" s="323">
        <f>SUM($U$17:$U$25)</f>
        <v>0</v>
      </c>
      <c r="V27" s="323">
        <f>SUM($V$17:$V$25)</f>
        <v>0</v>
      </c>
      <c r="W27" s="323">
        <f>SUM($W$17:$W$25)</f>
        <v>0</v>
      </c>
    </row>
    <row r="30" spans="1:23" x14ac:dyDescent="0.35">
      <c r="A30" s="328" t="s">
        <v>293</v>
      </c>
    </row>
  </sheetData>
  <mergeCells count="14">
    <mergeCell ref="O14:O15"/>
    <mergeCell ref="A11:L12"/>
    <mergeCell ref="C14:C15"/>
    <mergeCell ref="D14:D15"/>
    <mergeCell ref="E14:E15"/>
    <mergeCell ref="F14:F15"/>
    <mergeCell ref="V14:V15"/>
    <mergeCell ref="W14:W15"/>
    <mergeCell ref="P14:P15"/>
    <mergeCell ref="Q14:Q15"/>
    <mergeCell ref="R14:R15"/>
    <mergeCell ref="S14:S15"/>
    <mergeCell ref="T14:T15"/>
    <mergeCell ref="U14:U15"/>
  </mergeCells>
  <pageMargins left="0.70866141732283472" right="0.70866141732283472" top="1.7322834645669292" bottom="0.74803149606299213" header="0.70866141732283472" footer="0.31496062992125984"/>
  <pageSetup scale="55" orientation="landscape" r:id="rId1"/>
  <headerFooter scaleWithDoc="0">
    <oddHeader>&amp;R&amp;7&amp;K000000Toronto Hydro-Electric System Limited 
EB-2021-0060
Tab 3
Schedule 1
ORIGINAL
Page &amp;P of &amp;N</oddHeader>
    <oddFooter>&amp;C&amp;7&amp;A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9A7-40C8-423E-8018-E1FD00DE46D3}">
  <sheetPr>
    <pageSetUpPr fitToPage="1"/>
  </sheetPr>
  <dimension ref="A1:N31"/>
  <sheetViews>
    <sheetView zoomScale="60" zoomScaleNormal="60" workbookViewId="0">
      <selection activeCell="B15" sqref="B15"/>
    </sheetView>
  </sheetViews>
  <sheetFormatPr defaultColWidth="8.4140625" defaultRowHeight="15.5" x14ac:dyDescent="0.35"/>
  <cols>
    <col min="1" max="1" width="51" style="48" bestFit="1" customWidth="1"/>
    <col min="2" max="2" width="8.4140625" style="48"/>
    <col min="3" max="3" width="12.9140625" style="48" customWidth="1"/>
    <col min="4" max="6" width="13" style="48" customWidth="1"/>
    <col min="7" max="8" width="20.33203125" style="48" customWidth="1"/>
    <col min="9" max="9" width="15" style="48" customWidth="1"/>
    <col min="10" max="10" width="19.1640625" style="48" customWidth="1"/>
    <col min="11" max="11" width="12.1640625" style="48" customWidth="1"/>
    <col min="12" max="12" width="15.9140625" style="48" hidden="1" customWidth="1"/>
    <col min="13" max="13" width="18.33203125" style="48" hidden="1" customWidth="1"/>
    <col min="14" max="14" width="13.83203125" style="48" bestFit="1" customWidth="1"/>
    <col min="15" max="16384" width="8.4140625" style="48"/>
  </cols>
  <sheetData>
    <row r="1" spans="1:14" x14ac:dyDescent="0.35">
      <c r="A1" s="48" t="s">
        <v>67</v>
      </c>
    </row>
    <row r="11" spans="1:14" ht="39.75" customHeight="1" x14ac:dyDescent="0.35">
      <c r="A11" s="692" t="s">
        <v>307</v>
      </c>
      <c r="B11" s="692"/>
      <c r="C11" s="692"/>
      <c r="D11" s="692"/>
      <c r="E11" s="692"/>
      <c r="F11" s="692"/>
      <c r="G11" s="692"/>
      <c r="H11" s="692"/>
      <c r="I11" s="692"/>
      <c r="J11" s="692"/>
    </row>
    <row r="12" spans="1:14" ht="15" customHeight="1" x14ac:dyDescent="0.35">
      <c r="A12" s="700" t="s">
        <v>306</v>
      </c>
      <c r="B12" s="701"/>
      <c r="C12" s="335">
        <v>12</v>
      </c>
      <c r="D12" s="336"/>
      <c r="E12" s="336"/>
      <c r="F12" s="336"/>
      <c r="G12" s="336"/>
      <c r="H12" s="336"/>
      <c r="I12" s="336"/>
      <c r="J12" s="336"/>
      <c r="K12" s="333"/>
    </row>
    <row r="13" spans="1:14" x14ac:dyDescent="0.35">
      <c r="A13" s="700" t="s">
        <v>308</v>
      </c>
      <c r="B13" s="701"/>
      <c r="C13" s="337">
        <v>12</v>
      </c>
      <c r="D13" s="304" t="str">
        <f>IF(C13&gt;0, "Rate Rider Recovery to be used below", "If no rate rider recovery period is proposed then the default recovery period of 12 months will be used")</f>
        <v>Rate Rider Recovery to be used below</v>
      </c>
      <c r="E13" s="304"/>
      <c r="F13" s="304"/>
      <c r="K13" s="333"/>
    </row>
    <row r="14" spans="1:14" ht="15" customHeight="1" x14ac:dyDescent="0.35">
      <c r="A14" s="700" t="s">
        <v>309</v>
      </c>
      <c r="B14" s="701"/>
      <c r="C14" s="337">
        <v>12</v>
      </c>
      <c r="D14" s="304" t="str">
        <f>IF(C14&gt;0, "Rate Rider Recovery to be used below", "If no rate rider recovery period is proposed then the default recovery period of 12 months will be used")</f>
        <v>Rate Rider Recovery to be used below</v>
      </c>
      <c r="G14" s="332"/>
      <c r="H14" s="332"/>
    </row>
    <row r="15" spans="1:14" ht="42" customHeight="1" x14ac:dyDescent="0.35">
      <c r="A15" s="338"/>
      <c r="B15" s="339"/>
      <c r="C15" s="702" t="s">
        <v>310</v>
      </c>
      <c r="D15" s="703" t="s">
        <v>311</v>
      </c>
      <c r="E15" s="703" t="s">
        <v>312</v>
      </c>
      <c r="F15" s="703" t="s">
        <v>313</v>
      </c>
      <c r="G15" s="704" t="s">
        <v>314</v>
      </c>
      <c r="H15" s="704" t="s">
        <v>315</v>
      </c>
      <c r="I15" s="695" t="s">
        <v>316</v>
      </c>
      <c r="J15" s="695" t="s">
        <v>317</v>
      </c>
      <c r="K15" s="695" t="s">
        <v>318</v>
      </c>
      <c r="M15" s="331"/>
    </row>
    <row r="16" spans="1:14" ht="16.5" x14ac:dyDescent="0.35">
      <c r="A16" s="340" t="s">
        <v>70</v>
      </c>
      <c r="B16" s="334" t="s">
        <v>265</v>
      </c>
      <c r="C16" s="702"/>
      <c r="D16" s="703"/>
      <c r="E16" s="703"/>
      <c r="F16" s="703"/>
      <c r="G16" s="704"/>
      <c r="H16" s="704"/>
      <c r="I16" s="695"/>
      <c r="J16" s="695"/>
      <c r="K16" s="695"/>
      <c r="L16" s="696" t="s">
        <v>319</v>
      </c>
      <c r="M16" s="697"/>
      <c r="N16" s="52" t="s">
        <v>320</v>
      </c>
    </row>
    <row r="17" spans="1:14" x14ac:dyDescent="0.35">
      <c r="A17" s="321" t="s">
        <v>62</v>
      </c>
      <c r="B17" s="341" t="s">
        <v>266</v>
      </c>
      <c r="C17" s="342">
        <f>'4. Billing Det. for Def-Var'!C17</f>
        <v>5055221171</v>
      </c>
      <c r="D17" s="342">
        <f>'4. Billing Det. for Def-Var'!D17</f>
        <v>0</v>
      </c>
      <c r="E17" s="342">
        <f>'4. Billing Det. for Def-Var'!I17</f>
        <v>5055221171</v>
      </c>
      <c r="F17" s="342">
        <f>'4. Billing Det. for Def-Var'!J17</f>
        <v>0</v>
      </c>
      <c r="G17" s="343">
        <f>SUM('5. Allocating Def-Var Balances'!G17:S17)-H17</f>
        <v>0</v>
      </c>
      <c r="I17" s="543">
        <f>ROUND(IF(ISERROR(G17/C17),0,IF(OR(ISBLANK(C13), OR(C13=0, C13="")), G17/C17/(C12/12), G17/C17/(C13/12))),5)</f>
        <v>0</v>
      </c>
      <c r="J17" s="543">
        <f>ROUND(IF(ISERROR(H17/E17),0,IF(OR(ISBLANK(C13), OR(C13=0, C13="")), H17/E17/(C12/12), H17/E17/(C13/12))),5)</f>
        <v>0</v>
      </c>
      <c r="K17" s="543">
        <f>ROUND(IF(ISERROR('5. Allocating Def-Var Balances'!W17/C17), 0, IF(OR(ISBLANK(C14), OR(C14=0, C14="")), ('5. Allocating Def-Var Balances'!W17/C17)/(C12/12), ('5. Allocating Def-Var Balances'!W17/C17)/(C14/12))),5)</f>
        <v>0</v>
      </c>
      <c r="L17" s="344">
        <f>C17*I17*(C13/12)</f>
        <v>0</v>
      </c>
      <c r="M17" s="344">
        <f>E17*J17</f>
        <v>0</v>
      </c>
    </row>
    <row r="18" spans="1:14" ht="31" x14ac:dyDescent="0.35">
      <c r="A18" s="321" t="s">
        <v>64</v>
      </c>
      <c r="B18" s="341" t="s">
        <v>266</v>
      </c>
      <c r="C18" s="342">
        <f>'4. Billing Det. for Def-Var'!C18</f>
        <v>302722798</v>
      </c>
      <c r="D18" s="342">
        <f>'4. Billing Det. for Def-Var'!D18</f>
        <v>0</v>
      </c>
      <c r="E18" s="342">
        <f>'4. Billing Det. for Def-Var'!I18</f>
        <v>302722798</v>
      </c>
      <c r="F18" s="342">
        <f>'4. Billing Det. for Def-Var'!J18</f>
        <v>0</v>
      </c>
      <c r="G18" s="343">
        <f>SUM('5. Allocating Def-Var Balances'!G18:S18)-H18</f>
        <v>0</v>
      </c>
      <c r="I18" s="543">
        <f>ROUND(IF(ISERROR(G18/C18),0,IF(OR(ISBLANK(C13), OR(C13=0, C13="")), G18/C18/(C12/12), G18/C18/(C13/12))),5)</f>
        <v>0</v>
      </c>
      <c r="J18" s="543">
        <f>ROUND(IF(ISERROR(H18/E18),0,IF(OR(ISBLANK(C13), OR(C13=0, C13="")), H18/E18/(C12/12), H18/E18/(C13/12))),5)</f>
        <v>0</v>
      </c>
      <c r="K18" s="543">
        <f>ROUND(IF(ISERROR('5. Allocating Def-Var Balances'!W18/C18), 0, IF(OR(ISBLANK(C14), OR(C14=0, C14="")), ('5. Allocating Def-Var Balances'!W18/C18)/(C12/12), ('5. Allocating Def-Var Balances'!W18/C18)/(C14/12))),5)</f>
        <v>0</v>
      </c>
      <c r="L18" s="344">
        <f>C18*I18*(C13/12)</f>
        <v>0</v>
      </c>
      <c r="M18" s="344">
        <f>E18*J18</f>
        <v>0</v>
      </c>
    </row>
    <row r="19" spans="1:14" ht="31" x14ac:dyDescent="0.35">
      <c r="A19" s="321" t="s">
        <v>240</v>
      </c>
      <c r="B19" s="341" t="s">
        <v>266</v>
      </c>
      <c r="C19" s="342">
        <f>'4. Billing Det. for Def-Var'!C19</f>
        <v>2176682229</v>
      </c>
      <c r="D19" s="342">
        <f>'4. Billing Det. for Def-Var'!D19</f>
        <v>0</v>
      </c>
      <c r="E19" s="342">
        <f>'4. Billing Det. for Def-Var'!I19</f>
        <v>2176682229</v>
      </c>
      <c r="F19" s="342">
        <f>'4. Billing Det. for Def-Var'!J19</f>
        <v>0</v>
      </c>
      <c r="G19" s="343">
        <f>SUM('5. Allocating Def-Var Balances'!G19:S19)-H19</f>
        <v>0</v>
      </c>
      <c r="I19" s="543">
        <f>ROUND(IF(ISERROR(G19/C19),0,IF(OR(ISBLANK(C13), OR(C13=0, C13="")), G19/C19/(C12/12), G19/C19/(C13/12))),5)</f>
        <v>0</v>
      </c>
      <c r="J19" s="543">
        <f>ROUND(IF(ISERROR(H19/E19),0,IF(OR(ISBLANK(C13), OR(C13=0, C13="")), H19/E19/(C12/12), H19/E19/(C13/12))),5)</f>
        <v>0</v>
      </c>
      <c r="K19" s="543">
        <f>ROUND(IF(ISERROR('5. Allocating Def-Var Balances'!W19/C19), 0, IF(OR(ISBLANK(C14), OR(C14=0, C14="")), ('5. Allocating Def-Var Balances'!W19/C19)/(C12/12), ('5. Allocating Def-Var Balances'!W19/C19)/(C14/12))),5)</f>
        <v>0</v>
      </c>
      <c r="L19" s="344">
        <f>C19*I19*(C13/12)</f>
        <v>0</v>
      </c>
      <c r="M19" s="344">
        <f>E19*J19</f>
        <v>0</v>
      </c>
    </row>
    <row r="20" spans="1:14" x14ac:dyDescent="0.35">
      <c r="A20" s="321" t="s">
        <v>241</v>
      </c>
      <c r="B20" s="341" t="s">
        <v>267</v>
      </c>
      <c r="C20" s="342">
        <f>'4. Billing Det. for Def-Var'!C20</f>
        <v>9305019794</v>
      </c>
      <c r="D20" s="342">
        <f>'4. Billing Det. for Def-Var'!D20</f>
        <v>23556700</v>
      </c>
      <c r="E20" s="342">
        <f>'4. Billing Det. for Def-Var'!I20</f>
        <v>9253375802</v>
      </c>
      <c r="F20" s="342">
        <f>'4. Billing Det. for Def-Var'!J20</f>
        <v>23454152</v>
      </c>
      <c r="G20" s="343">
        <f>SUM('5. Allocating Def-Var Balances'!G20:S20)-H20</f>
        <v>0</v>
      </c>
      <c r="H20" s="343">
        <f>SUM('5. Allocating Def-Var Balances'!I20,'5. Allocating Def-Var Balances'!N20)</f>
        <v>0</v>
      </c>
      <c r="I20" s="544">
        <f>ROUND(IF(ISERROR(G20/D20),0,IF(OR(ISBLANK(C13), OR(C13=0, C13="")), G20/D20/(C12/12)*12/365*30, G20/D20/(C13/12)*12/365*30)),4)</f>
        <v>0</v>
      </c>
      <c r="J20" s="544">
        <f>ROUND(IF(ISERROR(H20/F20),0,IF(OR(ISBLANK(C13), OR(C13=0, C13="")), H20/F20/(C12/12)*12/365*30, H20/F20/(C13/12)*12/365*30)),4)</f>
        <v>0</v>
      </c>
      <c r="K20" s="544">
        <f>ROUND(IF(ISERROR('5. Allocating Def-Var Balances'!W20/D20), 0, IF(OR(ISBLANK(C14), OR(C14=0, C14="")), ('5. Allocating Def-Var Balances'!W20/D20)/(C12/12)*12/365*30, ('5. Allocating Def-Var Balances'!W20/D20)/(C14/12)*12/365*30)),4)</f>
        <v>0</v>
      </c>
      <c r="L20" s="545">
        <f>D20*I20/30*365/12*(C13/12)</f>
        <v>0</v>
      </c>
      <c r="M20" s="545">
        <f>F20*J20/30*365/12</f>
        <v>0</v>
      </c>
    </row>
    <row r="21" spans="1:14" ht="31" x14ac:dyDescent="0.35">
      <c r="A21" s="321" t="s">
        <v>243</v>
      </c>
      <c r="B21" s="341" t="s">
        <v>267</v>
      </c>
      <c r="C21" s="342">
        <f>'4. Billing Det. for Def-Var'!C21</f>
        <v>4208967859</v>
      </c>
      <c r="D21" s="342">
        <f>'4. Billing Det. for Def-Var'!D21</f>
        <v>9211281</v>
      </c>
      <c r="E21" s="342">
        <f>'4. Billing Det. for Def-Var'!I21</f>
        <v>4207603899</v>
      </c>
      <c r="F21" s="342">
        <f>'4. Billing Det. for Def-Var'!J21</f>
        <v>9189228</v>
      </c>
      <c r="G21" s="343">
        <f>SUM('5. Allocating Def-Var Balances'!G21:S21)-H21</f>
        <v>0</v>
      </c>
      <c r="H21" s="343">
        <f>SUM('5. Allocating Def-Var Balances'!I21,'5. Allocating Def-Var Balances'!N21)</f>
        <v>0</v>
      </c>
      <c r="I21" s="544">
        <f>ROUND(IF(ISERROR(G21/D21),0,IF(OR(ISBLANK(C13), OR(C13=0, C13="")), G21/D21/(C12/12)*12/365*30, G21/D21/(C13/12)*12/365*30)),4)</f>
        <v>0</v>
      </c>
      <c r="J21" s="544">
        <f>ROUND(IF(ISERROR(H21/F21),0,IF(OR(ISBLANK(C13), OR(C13=0, C13="")), H21/F21/(C12/12)*12/365*30, H21/F21/(C13/12)*12/365*30)),4)</f>
        <v>0</v>
      </c>
      <c r="K21" s="544">
        <f>ROUND(IF(ISERROR('5. Allocating Def-Var Balances'!W21/D21), 0, IF(OR(ISBLANK(C14), OR(C14=0, C14="")), ('5. Allocating Def-Var Balances'!W21/D21)/(C12/12)*12/365*30, ('5. Allocating Def-Var Balances'!W21/D21)/(C14/12)*12/365*30)),4)</f>
        <v>0</v>
      </c>
      <c r="L21" s="545">
        <f>D21*I21/30*365/12*(C13/12)</f>
        <v>0</v>
      </c>
      <c r="M21" s="545">
        <f>F21*J21/30*365/12</f>
        <v>0</v>
      </c>
    </row>
    <row r="22" spans="1:14" x14ac:dyDescent="0.35">
      <c r="A22" s="321" t="s">
        <v>65</v>
      </c>
      <c r="B22" s="341" t="s">
        <v>267</v>
      </c>
      <c r="C22" s="342">
        <f>'4. Billing Det. for Def-Var'!C22</f>
        <v>2048748735</v>
      </c>
      <c r="D22" s="342">
        <f>'4. Billing Det. for Def-Var'!D22</f>
        <v>4240467</v>
      </c>
      <c r="E22" s="342">
        <f>'4. Billing Det. for Def-Var'!I22</f>
        <v>1802898409</v>
      </c>
      <c r="F22" s="342">
        <f>'4. Billing Det. for Def-Var'!J22</f>
        <v>3790624</v>
      </c>
      <c r="G22" s="343">
        <f>SUM('5. Allocating Def-Var Balances'!G22:S22)-H22</f>
        <v>0</v>
      </c>
      <c r="H22" s="343">
        <f>SUM('5. Allocating Def-Var Balances'!I22,'5. Allocating Def-Var Balances'!N22)</f>
        <v>0</v>
      </c>
      <c r="I22" s="544">
        <f>ROUND(IF(ISERROR(G22/D22),0,IF(OR(ISBLANK(C13), OR(C13=0, C13="")), G22/D22/(C12/12)*12/365*30, G22/D22/(C13/12)*12/365*30)),4)</f>
        <v>0</v>
      </c>
      <c r="J22" s="544">
        <f>ROUND(IF(ISERROR(H22/F22),0,IF(OR(ISBLANK(C13), OR(C13=0, C13="")), H22/F22/(C12/12)*12/365*30, H22/F22/(C13/12)*12/365*30)),4)</f>
        <v>0</v>
      </c>
      <c r="K22" s="544">
        <f>ROUND(IF(ISERROR('5. Allocating Def-Var Balances'!W22/D22), 0, IF(OR(ISBLANK(C14), OR(C14=0, C14="")), ('5. Allocating Def-Var Balances'!W22/D22)/(C12/12)*12/365*30, ('5. Allocating Def-Var Balances'!W22/D22)/(C14/12)*12/365*30)),4)</f>
        <v>0</v>
      </c>
      <c r="L22" s="545">
        <f>D22*I22/30*365/12*(C13/12)</f>
        <v>0</v>
      </c>
      <c r="M22" s="545">
        <f>F22*J22/30*365/12</f>
        <v>0</v>
      </c>
    </row>
    <row r="23" spans="1:14" x14ac:dyDescent="0.35">
      <c r="A23" s="321" t="s">
        <v>66</v>
      </c>
      <c r="B23" s="341" t="s">
        <v>267</v>
      </c>
      <c r="C23" s="342">
        <f>'4. Billing Det. for Def-Var'!C23</f>
        <v>0</v>
      </c>
      <c r="D23" s="342">
        <f>'4. Billing Det. for Def-Var'!D23</f>
        <v>0</v>
      </c>
      <c r="E23" s="342">
        <f>'4. Billing Det. for Def-Var'!I23</f>
        <v>0</v>
      </c>
      <c r="F23" s="342">
        <f>'4. Billing Det. for Def-Var'!J23</f>
        <v>0</v>
      </c>
      <c r="G23" s="343">
        <f>SUM('5. Allocating Def-Var Balances'!G23:S23)-H23</f>
        <v>0</v>
      </c>
      <c r="I23" s="543">
        <f>ROUND(IF(ISERROR(G23/D23),0,IF(OR(ISBLANK(C13), OR(C13=0, C13="")), G23/D23/(C12/12)*12/365*30, G23/D23/(C13/12)*12/365*30)),4)</f>
        <v>0</v>
      </c>
      <c r="J23" s="544">
        <f>ROUND(IF(ISERROR(H23/F23),0,IF(OR(ISBLANK(C13), OR(C13=0, C13="")), H23/F23/(C12/12)*12/365*30, H23/F23/(C13/12)*12/365*30)),4)</f>
        <v>0</v>
      </c>
      <c r="K23" s="543">
        <f>ROUND(IF(ISERROR('5. Allocating Def-Var Balances'!W23/D23), 0, IF(OR(ISBLANK(C14), OR(C14=0, C14="")), ('5. Allocating Def-Var Balances'!W23/D23)/(C12/12)*12/365*30, ('5. Allocating Def-Var Balances'!W23/D23)/(C14/12)*12/365*30)),4)</f>
        <v>0</v>
      </c>
      <c r="L23" s="344">
        <f>D23*I23*(C13/12)</f>
        <v>0</v>
      </c>
      <c r="M23" s="344">
        <f>F23*J23</f>
        <v>0</v>
      </c>
    </row>
    <row r="24" spans="1:14" x14ac:dyDescent="0.35">
      <c r="A24" s="321" t="s">
        <v>68</v>
      </c>
      <c r="B24" s="341" t="s">
        <v>266</v>
      </c>
      <c r="C24" s="342">
        <f>'4. Billing Det. for Def-Var'!C24</f>
        <v>40118735</v>
      </c>
      <c r="D24" s="342">
        <f>'4. Billing Det. for Def-Var'!D24</f>
        <v>0</v>
      </c>
      <c r="E24" s="342">
        <f>'4. Billing Det. for Def-Var'!I24</f>
        <v>40118735</v>
      </c>
      <c r="F24" s="342">
        <f>'4. Billing Det. for Def-Var'!J24</f>
        <v>0</v>
      </c>
      <c r="G24" s="343">
        <f>SUM('5. Allocating Def-Var Balances'!G24:S24)-H24</f>
        <v>0</v>
      </c>
      <c r="I24" s="543">
        <f>ROUND(IF(ISERROR(G24/C24),0,IF(OR(ISBLANK(C13), OR(C13=0, C13="")), G24/C24/(C12/12), G24/C24/(C13/12))),5)</f>
        <v>0</v>
      </c>
      <c r="J24" s="543">
        <f>ROUND(IF(ISERROR(H24/E24),0,IF(OR(ISBLANK(C13), OR(C13=0, C13="")), H24/E24/(C12/12), H24/E24/(C13/12))),5)</f>
        <v>0</v>
      </c>
      <c r="K24" s="543">
        <f>ROUND(IF(ISERROR('5. Allocating Def-Var Balances'!W24/C24), 0, IF(OR(ISBLANK(C14), OR(C14=0, C14="")), ('5. Allocating Def-Var Balances'!W24/C24)/(C12/12), ('5. Allocating Def-Var Balances'!W24/C24)/(C14/12))),5)</f>
        <v>0</v>
      </c>
      <c r="L24" s="344">
        <f>C24*I24*(C13/12)</f>
        <v>0</v>
      </c>
      <c r="M24" s="344">
        <f>E24*J24</f>
        <v>0</v>
      </c>
    </row>
    <row r="25" spans="1:14" x14ac:dyDescent="0.35">
      <c r="A25" s="321" t="s">
        <v>69</v>
      </c>
      <c r="B25" s="341" t="s">
        <v>267</v>
      </c>
      <c r="C25" s="342">
        <f>'4. Billing Det. for Def-Var'!C25</f>
        <v>114931041</v>
      </c>
      <c r="D25" s="342">
        <f>'4. Billing Det. for Def-Var'!D25</f>
        <v>330988</v>
      </c>
      <c r="E25" s="342">
        <f>'4. Billing Det. for Def-Var'!I25</f>
        <v>114931041</v>
      </c>
      <c r="F25" s="342">
        <f>'4. Billing Det. for Def-Var'!J25</f>
        <v>330988</v>
      </c>
      <c r="G25" s="343">
        <f>SUM('5. Allocating Def-Var Balances'!G25:S25)-H25</f>
        <v>0</v>
      </c>
      <c r="I25" s="544">
        <f>ROUND(IF(ISERROR(G25/D25),0,IF(OR(ISBLANK(C13), OR(C13=0, C13="")), G25/D25/(C12/12)*12/365*30, G25/D25/(C13/12)*12/365*30)),4)</f>
        <v>0</v>
      </c>
      <c r="J25" s="544">
        <f>ROUND(IF(ISERROR(H25/F25),0,IF(OR(ISBLANK(C13), OR(C13=0, C13="")), H25/F25/(C12/12)*12/365*30, H25/F25/(C13/12)*12/365*30)),4)</f>
        <v>0</v>
      </c>
      <c r="K25" s="544">
        <f>ROUND(IF(ISERROR('5. Allocating Def-Var Balances'!W25/D25), 0, IF(OR(ISBLANK(C14), OR(C14=0, C14="")), ('5. Allocating Def-Var Balances'!W25/D25)/(C12/12)*12/365*30, ('5. Allocating Def-Var Balances'!W25/D25)/(C14/12)*12/365*30)),4)</f>
        <v>0</v>
      </c>
      <c r="L25" s="545">
        <f>D25*I25/30*365/12*(C13/12)</f>
        <v>0</v>
      </c>
      <c r="M25" s="344">
        <f>F25*J25</f>
        <v>0</v>
      </c>
    </row>
    <row r="26" spans="1:14" x14ac:dyDescent="0.35">
      <c r="H26" s="323"/>
      <c r="L26" s="345">
        <f>SUM(L17:L25)</f>
        <v>0</v>
      </c>
      <c r="M26" s="345">
        <f>SUM(M17:M25)</f>
        <v>0</v>
      </c>
      <c r="N26" s="345">
        <f>SUM(L26:M26)</f>
        <v>0</v>
      </c>
    </row>
    <row r="27" spans="1:14" x14ac:dyDescent="0.35">
      <c r="G27" s="323"/>
    </row>
    <row r="28" spans="1:14" x14ac:dyDescent="0.35">
      <c r="G28" s="323"/>
    </row>
    <row r="30" spans="1:14" ht="16.5" x14ac:dyDescent="0.35">
      <c r="A30" s="309" t="s">
        <v>321</v>
      </c>
    </row>
    <row r="31" spans="1:14" ht="30" customHeight="1" x14ac:dyDescent="0.35">
      <c r="A31" s="698" t="s">
        <v>322</v>
      </c>
      <c r="B31" s="699"/>
      <c r="C31" s="699"/>
      <c r="D31" s="699"/>
      <c r="E31" s="699"/>
      <c r="F31" s="699"/>
      <c r="G31" s="699"/>
      <c r="H31" s="699"/>
      <c r="I31" s="699"/>
      <c r="J31" s="699"/>
      <c r="K31" s="699"/>
    </row>
  </sheetData>
  <mergeCells count="15">
    <mergeCell ref="K15:K16"/>
    <mergeCell ref="L16:M16"/>
    <mergeCell ref="A31:K31"/>
    <mergeCell ref="A11:J11"/>
    <mergeCell ref="A12:B12"/>
    <mergeCell ref="A13:B13"/>
    <mergeCell ref="A14:B14"/>
    <mergeCell ref="C15:C16"/>
    <mergeCell ref="D15:D16"/>
    <mergeCell ref="E15:E16"/>
    <mergeCell ref="F15:F16"/>
    <mergeCell ref="G15:G16"/>
    <mergeCell ref="H15:H16"/>
    <mergeCell ref="I15:I16"/>
    <mergeCell ref="J15:J16"/>
  </mergeCells>
  <pageMargins left="0.70866141732283472" right="0.70866141732283472" top="1.7322834645669292" bottom="0.74803149606299213" header="0.70866141732283472" footer="0.31496062992125984"/>
  <pageSetup scale="51" orientation="landscape" r:id="rId1"/>
  <headerFooter scaleWithDoc="0">
    <oddHeader>&amp;R&amp;7&amp;K000000Toronto Hydro-Electric System Limited 
EB-2021-0060
Tab 3
Schedule 1
ORIGINAL
Page &amp;P of &amp;N</oddHeader>
    <oddFooter>&amp;C&amp;7&amp;A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D189-3893-4D86-8BB1-B2D3C1A0ED13}">
  <sheetPr>
    <pageSetUpPr fitToPage="1"/>
  </sheetPr>
  <dimension ref="A13:L50"/>
  <sheetViews>
    <sheetView topLeftCell="A8" zoomScale="70" zoomScaleNormal="70" workbookViewId="0">
      <selection activeCell="B15" sqref="B15"/>
    </sheetView>
  </sheetViews>
  <sheetFormatPr defaultColWidth="12.33203125" defaultRowHeight="14.5" x14ac:dyDescent="0.35"/>
  <cols>
    <col min="1" max="1" width="58.83203125" style="353" customWidth="1"/>
    <col min="2" max="2" width="68.4140625" style="353" bestFit="1" customWidth="1"/>
    <col min="3" max="3" width="5.83203125" style="353" bestFit="1" customWidth="1"/>
    <col min="4" max="4" width="9.5" style="353" customWidth="1"/>
    <col min="5" max="5" width="16.5" style="353" customWidth="1"/>
    <col min="6" max="6" width="12.58203125" style="353" customWidth="1"/>
    <col min="7" max="7" width="12.33203125" style="353"/>
    <col min="8" max="8" width="13.08203125" style="353" customWidth="1"/>
    <col min="9" max="16384" width="12.33203125" style="353"/>
  </cols>
  <sheetData>
    <row r="13" spans="1:12" ht="33" customHeight="1" x14ac:dyDescent="0.35">
      <c r="A13" s="657" t="s">
        <v>323</v>
      </c>
      <c r="B13" s="657"/>
      <c r="C13" s="657"/>
      <c r="D13" s="657"/>
      <c r="E13" s="657"/>
      <c r="F13" s="657"/>
      <c r="G13" s="657"/>
      <c r="H13" s="657"/>
      <c r="I13" s="352"/>
      <c r="J13" s="352"/>
      <c r="K13" s="352"/>
      <c r="L13" s="352"/>
    </row>
    <row r="15" spans="1:12" ht="42" x14ac:dyDescent="0.35">
      <c r="A15" s="354" t="s">
        <v>70</v>
      </c>
      <c r="B15" s="354" t="s">
        <v>324</v>
      </c>
      <c r="C15" s="355" t="s">
        <v>265</v>
      </c>
      <c r="D15" s="356" t="s">
        <v>325</v>
      </c>
      <c r="E15" s="357" t="s">
        <v>326</v>
      </c>
      <c r="F15" s="357" t="s">
        <v>327</v>
      </c>
      <c r="G15" s="358" t="s">
        <v>328</v>
      </c>
      <c r="H15" s="359" t="s">
        <v>329</v>
      </c>
      <c r="I15" s="359"/>
    </row>
    <row r="16" spans="1:12" x14ac:dyDescent="0.35">
      <c r="D16" s="360"/>
      <c r="E16" s="361"/>
      <c r="F16" s="361"/>
      <c r="G16" s="360"/>
    </row>
    <row r="17" spans="1:8" x14ac:dyDescent="0.35">
      <c r="A17" s="353" t="s">
        <v>330</v>
      </c>
      <c r="B17" s="353" t="s">
        <v>238</v>
      </c>
      <c r="C17" s="362" t="s">
        <v>63</v>
      </c>
      <c r="D17" s="498">
        <v>8.2100000000000003E-3</v>
      </c>
      <c r="E17" s="364">
        <f>'4. Billing Det. for Def-Var'!C17</f>
        <v>5055221171</v>
      </c>
      <c r="F17" s="364">
        <v>0</v>
      </c>
      <c r="G17" s="365">
        <v>1.0295000000000001</v>
      </c>
      <c r="H17" s="361">
        <f t="shared" ref="H17:H22" si="0">E17*G17</f>
        <v>5204350195.5445004</v>
      </c>
    </row>
    <row r="18" spans="1:8" x14ac:dyDescent="0.35">
      <c r="A18" s="353" t="s">
        <v>330</v>
      </c>
      <c r="B18" s="353" t="s">
        <v>239</v>
      </c>
      <c r="C18" s="362" t="s">
        <v>63</v>
      </c>
      <c r="D18" s="498">
        <v>6.62E-3</v>
      </c>
      <c r="E18" s="364">
        <f>'4. Billing Det. for Def-Var'!C17</f>
        <v>5055221171</v>
      </c>
      <c r="F18" s="364">
        <v>0</v>
      </c>
      <c r="G18" s="365">
        <v>1.0295000000000001</v>
      </c>
      <c r="H18" s="361">
        <f t="shared" si="0"/>
        <v>5204350195.5445004</v>
      </c>
    </row>
    <row r="19" spans="1:8" x14ac:dyDescent="0.35">
      <c r="A19" s="353" t="s">
        <v>331</v>
      </c>
      <c r="B19" s="353" t="s">
        <v>238</v>
      </c>
      <c r="C19" s="362" t="s">
        <v>63</v>
      </c>
      <c r="D19" s="498">
        <v>8.2100000000000003E-3</v>
      </c>
      <c r="E19" s="364">
        <f>'4. Billing Det. for Def-Var'!C18</f>
        <v>302722798</v>
      </c>
      <c r="F19" s="361">
        <v>0</v>
      </c>
      <c r="G19" s="365">
        <v>1.0295000000000001</v>
      </c>
      <c r="H19" s="361">
        <f t="shared" si="0"/>
        <v>311653120.54100001</v>
      </c>
    </row>
    <row r="20" spans="1:8" x14ac:dyDescent="0.35">
      <c r="A20" s="353" t="s">
        <v>331</v>
      </c>
      <c r="B20" s="353" t="s">
        <v>239</v>
      </c>
      <c r="C20" s="362" t="s">
        <v>63</v>
      </c>
      <c r="D20" s="498">
        <v>6.62E-3</v>
      </c>
      <c r="E20" s="364">
        <f>'4. Billing Det. for Def-Var'!C18</f>
        <v>302722798</v>
      </c>
      <c r="F20" s="361">
        <v>0</v>
      </c>
      <c r="G20" s="365">
        <v>1.0295000000000001</v>
      </c>
      <c r="H20" s="361">
        <f t="shared" si="0"/>
        <v>311653120.54100001</v>
      </c>
    </row>
    <row r="21" spans="1:8" x14ac:dyDescent="0.35">
      <c r="A21" s="353" t="s">
        <v>332</v>
      </c>
      <c r="B21" s="353" t="s">
        <v>238</v>
      </c>
      <c r="C21" s="362" t="s">
        <v>63</v>
      </c>
      <c r="D21" s="498">
        <v>7.9900000000000006E-3</v>
      </c>
      <c r="E21" s="364">
        <f>'4. Billing Det. for Def-Var'!C19</f>
        <v>2176682229</v>
      </c>
      <c r="F21" s="364">
        <v>0</v>
      </c>
      <c r="G21" s="365">
        <v>1.0295000000000001</v>
      </c>
      <c r="H21" s="361">
        <f t="shared" si="0"/>
        <v>2240894354.7555003</v>
      </c>
    </row>
    <row r="22" spans="1:8" x14ac:dyDescent="0.35">
      <c r="A22" s="353" t="s">
        <v>332</v>
      </c>
      <c r="B22" s="353" t="s">
        <v>239</v>
      </c>
      <c r="C22" s="362" t="s">
        <v>63</v>
      </c>
      <c r="D22" s="498">
        <v>5.9199999999999999E-3</v>
      </c>
      <c r="E22" s="364">
        <f>'4. Billing Det. for Def-Var'!C19</f>
        <v>2176682229</v>
      </c>
      <c r="F22" s="364">
        <v>0</v>
      </c>
      <c r="G22" s="365">
        <v>1.0295000000000001</v>
      </c>
      <c r="H22" s="361">
        <f t="shared" si="0"/>
        <v>2240894354.7555003</v>
      </c>
    </row>
    <row r="23" spans="1:8" x14ac:dyDescent="0.35">
      <c r="A23" s="353" t="s">
        <v>333</v>
      </c>
      <c r="B23" s="353" t="s">
        <v>238</v>
      </c>
      <c r="C23" s="362" t="s">
        <v>242</v>
      </c>
      <c r="D23" s="363">
        <v>2.7025999999999999</v>
      </c>
      <c r="E23" s="364">
        <f>'4. Billing Det. for Def-Var'!C20</f>
        <v>9305019794</v>
      </c>
      <c r="F23" s="364">
        <f>'4. Billing Det. for Def-Var'!D20</f>
        <v>23556700</v>
      </c>
      <c r="G23" s="360"/>
    </row>
    <row r="24" spans="1:8" x14ac:dyDescent="0.35">
      <c r="A24" s="353" t="s">
        <v>333</v>
      </c>
      <c r="B24" s="353" t="s">
        <v>239</v>
      </c>
      <c r="C24" s="362" t="s">
        <v>242</v>
      </c>
      <c r="D24" s="363">
        <v>2.1393</v>
      </c>
      <c r="E24" s="364">
        <f>'4. Billing Det. for Def-Var'!C20</f>
        <v>9305019794</v>
      </c>
      <c r="F24" s="364">
        <f>'4. Billing Det. for Def-Var'!D20</f>
        <v>23556700</v>
      </c>
      <c r="G24" s="360"/>
    </row>
    <row r="25" spans="1:8" x14ac:dyDescent="0.35">
      <c r="A25" s="353" t="s">
        <v>334</v>
      </c>
      <c r="B25" s="353" t="s">
        <v>238</v>
      </c>
      <c r="C25" s="362" t="s">
        <v>242</v>
      </c>
      <c r="D25" s="363">
        <v>2.6113</v>
      </c>
      <c r="E25" s="364">
        <f>'4. Billing Det. for Def-Var'!C21</f>
        <v>4208967859</v>
      </c>
      <c r="F25" s="364">
        <f>'4. Billing Det. for Def-Var'!D21</f>
        <v>9211281</v>
      </c>
      <c r="G25" s="360"/>
    </row>
    <row r="26" spans="1:8" x14ac:dyDescent="0.35">
      <c r="A26" s="353" t="s">
        <v>334</v>
      </c>
      <c r="B26" s="353" t="s">
        <v>239</v>
      </c>
      <c r="C26" s="362" t="s">
        <v>242</v>
      </c>
      <c r="D26" s="363">
        <v>2.1371000000000002</v>
      </c>
      <c r="E26" s="364">
        <f>'4. Billing Det. for Def-Var'!C21</f>
        <v>4208967859</v>
      </c>
      <c r="F26" s="364">
        <f>'4. Billing Det. for Def-Var'!D21</f>
        <v>9211281</v>
      </c>
      <c r="G26" s="360"/>
    </row>
    <row r="27" spans="1:8" x14ac:dyDescent="0.35">
      <c r="A27" s="353" t="s">
        <v>335</v>
      </c>
      <c r="B27" s="353" t="s">
        <v>238</v>
      </c>
      <c r="C27" s="362" t="s">
        <v>242</v>
      </c>
      <c r="D27" s="363">
        <v>2.9767000000000001</v>
      </c>
      <c r="E27" s="364">
        <f>'4. Billing Det. for Def-Var'!C22</f>
        <v>2048748735</v>
      </c>
      <c r="F27" s="364">
        <f>'4. Billing Det. for Def-Var'!D22</f>
        <v>4240467</v>
      </c>
      <c r="G27" s="360"/>
    </row>
    <row r="28" spans="1:8" x14ac:dyDescent="0.35">
      <c r="A28" s="353" t="s">
        <v>335</v>
      </c>
      <c r="B28" s="353" t="s">
        <v>239</v>
      </c>
      <c r="C28" s="362" t="s">
        <v>242</v>
      </c>
      <c r="D28" s="363">
        <v>2.3742999999999999</v>
      </c>
      <c r="E28" s="364">
        <f>'4. Billing Det. for Def-Var'!C22</f>
        <v>2048748735</v>
      </c>
      <c r="F28" s="364">
        <f>'4. Billing Det. for Def-Var'!D22</f>
        <v>4240467</v>
      </c>
      <c r="G28" s="360"/>
    </row>
    <row r="29" spans="1:8" x14ac:dyDescent="0.35">
      <c r="A29" s="353" t="s">
        <v>336</v>
      </c>
      <c r="B29" s="353" t="s">
        <v>238</v>
      </c>
      <c r="C29" s="362" t="s">
        <v>63</v>
      </c>
      <c r="D29" s="498">
        <v>4.9699999999999996E-3</v>
      </c>
      <c r="E29" s="364">
        <f>'4. Billing Det. for Def-Var'!C24</f>
        <v>40118735</v>
      </c>
      <c r="F29" s="364">
        <v>0</v>
      </c>
      <c r="G29" s="365">
        <v>1.0295000000000001</v>
      </c>
      <c r="H29" s="361">
        <f>E29*G29</f>
        <v>41302237.682500005</v>
      </c>
    </row>
    <row r="30" spans="1:8" x14ac:dyDescent="0.35">
      <c r="A30" s="353" t="s">
        <v>336</v>
      </c>
      <c r="B30" s="353" t="s">
        <v>239</v>
      </c>
      <c r="C30" s="362" t="s">
        <v>63</v>
      </c>
      <c r="D30" s="498">
        <v>4.1799999999999997E-3</v>
      </c>
      <c r="E30" s="364">
        <f>'4. Billing Det. for Def-Var'!C24</f>
        <v>40118735</v>
      </c>
      <c r="F30" s="364">
        <v>0</v>
      </c>
      <c r="G30" s="365">
        <v>1.0295000000000001</v>
      </c>
      <c r="H30" s="361">
        <f>E30*G30</f>
        <v>41302237.682500005</v>
      </c>
    </row>
    <row r="31" spans="1:8" x14ac:dyDescent="0.35">
      <c r="A31" s="353" t="s">
        <v>337</v>
      </c>
      <c r="B31" s="353" t="s">
        <v>238</v>
      </c>
      <c r="C31" s="362" t="s">
        <v>242</v>
      </c>
      <c r="D31" s="363">
        <v>2.4039000000000001</v>
      </c>
      <c r="E31" s="364">
        <f>'4. Billing Det. for Def-Var'!C25</f>
        <v>114931041</v>
      </c>
      <c r="F31" s="364">
        <f>'4. Billing Det. for Def-Var'!D25</f>
        <v>330988</v>
      </c>
      <c r="G31" s="360"/>
    </row>
    <row r="32" spans="1:8" x14ac:dyDescent="0.35">
      <c r="A32" s="353" t="s">
        <v>337</v>
      </c>
      <c r="B32" s="353" t="s">
        <v>239</v>
      </c>
      <c r="C32" s="362" t="s">
        <v>242</v>
      </c>
      <c r="D32" s="363">
        <v>2.5507</v>
      </c>
      <c r="E32" s="364">
        <f>'4. Billing Det. for Def-Var'!C25</f>
        <v>114931041</v>
      </c>
      <c r="F32" s="364">
        <f>'4. Billing Det. for Def-Var'!D25</f>
        <v>330988</v>
      </c>
      <c r="G32" s="360"/>
    </row>
    <row r="33" spans="3:4" x14ac:dyDescent="0.35">
      <c r="C33" s="362"/>
      <c r="D33" s="362"/>
    </row>
    <row r="34" spans="3:4" x14ac:dyDescent="0.35">
      <c r="C34" s="362"/>
      <c r="D34" s="362"/>
    </row>
    <row r="35" spans="3:4" x14ac:dyDescent="0.35">
      <c r="C35" s="362"/>
      <c r="D35" s="362"/>
    </row>
    <row r="36" spans="3:4" x14ac:dyDescent="0.35">
      <c r="C36" s="362"/>
      <c r="D36" s="362"/>
    </row>
    <row r="37" spans="3:4" x14ac:dyDescent="0.35">
      <c r="C37" s="362"/>
      <c r="D37" s="362"/>
    </row>
    <row r="38" spans="3:4" x14ac:dyDescent="0.35">
      <c r="C38" s="362"/>
      <c r="D38" s="362"/>
    </row>
    <row r="39" spans="3:4" x14ac:dyDescent="0.35">
      <c r="C39" s="362"/>
      <c r="D39" s="362"/>
    </row>
    <row r="40" spans="3:4" x14ac:dyDescent="0.35">
      <c r="C40" s="362"/>
      <c r="D40" s="362"/>
    </row>
    <row r="41" spans="3:4" x14ac:dyDescent="0.35">
      <c r="C41" s="362"/>
      <c r="D41" s="362"/>
    </row>
    <row r="42" spans="3:4" x14ac:dyDescent="0.35">
      <c r="C42" s="362"/>
      <c r="D42" s="362"/>
    </row>
    <row r="43" spans="3:4" x14ac:dyDescent="0.35">
      <c r="C43" s="362"/>
      <c r="D43" s="362"/>
    </row>
    <row r="44" spans="3:4" x14ac:dyDescent="0.35">
      <c r="C44" s="362"/>
      <c r="D44" s="362"/>
    </row>
    <row r="45" spans="3:4" x14ac:dyDescent="0.35">
      <c r="C45" s="362"/>
      <c r="D45" s="362"/>
    </row>
    <row r="46" spans="3:4" x14ac:dyDescent="0.35">
      <c r="C46" s="362"/>
      <c r="D46" s="362"/>
    </row>
    <row r="47" spans="3:4" x14ac:dyDescent="0.35">
      <c r="C47" s="362"/>
      <c r="D47" s="362"/>
    </row>
    <row r="48" spans="3:4" x14ac:dyDescent="0.35">
      <c r="C48" s="362"/>
      <c r="D48" s="362"/>
    </row>
    <row r="49" spans="3:4" x14ac:dyDescent="0.35">
      <c r="C49" s="362"/>
      <c r="D49" s="362"/>
    </row>
    <row r="50" spans="3:4" x14ac:dyDescent="0.35">
      <c r="C50" s="362"/>
      <c r="D50" s="362"/>
    </row>
  </sheetData>
  <mergeCells count="1">
    <mergeCell ref="A13:H13"/>
  </mergeCells>
  <pageMargins left="0.70866141732283472" right="0.70866141732283472" top="1.7322834645669292" bottom="0.74803149606299213" header="0.70866141732283472" footer="0.31496062992125984"/>
  <pageSetup scale="57" orientation="landscape" r:id="rId1"/>
  <headerFooter scaleWithDoc="0">
    <oddHeader>&amp;R&amp;7&amp;K000000Toronto Hydro-Electric System Limited 
EB-2021-0060
Tab 3
Schedule 1
ORIGINAL
Page &amp;P of &amp;N</oddHeader>
    <oddFooter>&amp;C&amp;7&amp;A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43A3-C7EC-4B87-ADA5-33D78F2D2689}">
  <sheetPr>
    <pageSetUpPr fitToPage="1"/>
  </sheetPr>
  <dimension ref="B15:P76"/>
  <sheetViews>
    <sheetView showGridLines="0" zoomScale="70" zoomScaleNormal="70" workbookViewId="0">
      <selection activeCell="B15" sqref="B15"/>
    </sheetView>
  </sheetViews>
  <sheetFormatPr defaultColWidth="8.4140625" defaultRowHeight="14.5" x14ac:dyDescent="0.35"/>
  <cols>
    <col min="1" max="1" width="10.5" style="353" customWidth="1"/>
    <col min="2" max="2" width="62.08203125" style="353" customWidth="1"/>
    <col min="3" max="3" width="13.9140625" style="353" customWidth="1"/>
    <col min="4" max="4" width="2.58203125" style="353" customWidth="1"/>
    <col min="5" max="5" width="22.5" style="353" hidden="1" customWidth="1"/>
    <col min="6" max="6" width="19.9140625" style="353" customWidth="1"/>
    <col min="7" max="7" width="2.58203125" style="353" customWidth="1"/>
    <col min="8" max="8" width="12" style="353" customWidth="1"/>
    <col min="9" max="9" width="1.1640625" style="353" customWidth="1"/>
    <col min="10" max="10" width="12" style="353" customWidth="1"/>
    <col min="11" max="11" width="2.58203125" style="353" customWidth="1"/>
    <col min="12" max="12" width="22.08203125" style="353" customWidth="1"/>
    <col min="13" max="16384" width="8.4140625" style="353"/>
  </cols>
  <sheetData>
    <row r="15" spans="2:12" x14ac:dyDescent="0.35">
      <c r="B15" s="366"/>
      <c r="C15" s="367"/>
      <c r="D15" s="368"/>
      <c r="E15" s="368"/>
      <c r="F15" s="367"/>
      <c r="G15" s="368"/>
      <c r="H15" s="367"/>
      <c r="I15" s="368"/>
      <c r="J15" s="368"/>
      <c r="K15" s="368"/>
      <c r="L15" s="367"/>
    </row>
    <row r="17" spans="2:16" ht="15.5" x14ac:dyDescent="0.35">
      <c r="B17" s="369"/>
      <c r="C17" s="369"/>
      <c r="D17" s="370"/>
      <c r="E17" s="370"/>
      <c r="F17" s="371"/>
      <c r="G17" s="369"/>
      <c r="H17" s="371"/>
      <c r="I17" s="369"/>
      <c r="J17" s="369"/>
      <c r="K17" s="369"/>
    </row>
    <row r="18" spans="2:16" ht="29.25" customHeight="1" x14ac:dyDescent="0.35">
      <c r="B18" s="372" t="s">
        <v>338</v>
      </c>
      <c r="C18" s="373" t="s">
        <v>265</v>
      </c>
      <c r="D18" s="346"/>
      <c r="E18" s="373" t="s">
        <v>339</v>
      </c>
      <c r="F18" s="373">
        <v>2020</v>
      </c>
      <c r="G18" s="346"/>
      <c r="H18" s="373" t="s">
        <v>340</v>
      </c>
      <c r="I18" s="239"/>
      <c r="J18" s="373" t="s">
        <v>341</v>
      </c>
      <c r="K18" s="346"/>
      <c r="L18" s="373">
        <v>2022</v>
      </c>
    </row>
    <row r="19" spans="2:16" ht="15.5" x14ac:dyDescent="0.35">
      <c r="B19" s="346"/>
      <c r="C19" s="346"/>
      <c r="D19" s="346"/>
      <c r="E19" s="346"/>
      <c r="F19" s="346"/>
      <c r="G19" s="346"/>
      <c r="H19" s="346"/>
      <c r="I19" s="346"/>
      <c r="J19" s="346"/>
      <c r="K19" s="346"/>
      <c r="L19" s="346"/>
    </row>
    <row r="20" spans="2:16" ht="15.5" x14ac:dyDescent="0.35">
      <c r="B20" s="347" t="s">
        <v>324</v>
      </c>
      <c r="C20" s="347"/>
      <c r="D20" s="374"/>
      <c r="E20" s="375" t="s">
        <v>325</v>
      </c>
      <c r="F20" s="375" t="s">
        <v>325</v>
      </c>
      <c r="G20" s="374"/>
      <c r="H20" s="709" t="s">
        <v>325</v>
      </c>
      <c r="I20" s="710"/>
      <c r="J20" s="710"/>
      <c r="K20" s="374"/>
      <c r="L20" s="375" t="s">
        <v>325</v>
      </c>
    </row>
    <row r="21" spans="2:16" ht="15" customHeight="1" x14ac:dyDescent="0.35">
      <c r="B21" s="346"/>
      <c r="C21" s="346"/>
      <c r="D21" s="346"/>
      <c r="E21" s="346"/>
      <c r="F21" s="346"/>
      <c r="G21" s="346"/>
      <c r="H21" s="346"/>
      <c r="I21" s="346"/>
      <c r="J21" s="346"/>
      <c r="K21" s="346"/>
      <c r="L21" s="346"/>
    </row>
    <row r="22" spans="2:16" ht="15.5" customHeight="1" x14ac:dyDescent="0.35">
      <c r="B22" s="376" t="s">
        <v>342</v>
      </c>
      <c r="C22" s="377" t="s">
        <v>294</v>
      </c>
      <c r="D22" s="378"/>
      <c r="E22" s="379"/>
      <c r="F22" s="379">
        <v>3.92</v>
      </c>
      <c r="G22" s="378"/>
      <c r="H22" s="380">
        <v>4.67</v>
      </c>
      <c r="I22" s="380"/>
      <c r="J22" s="380">
        <v>4.9000000000000004</v>
      </c>
      <c r="K22" s="374"/>
      <c r="L22" s="381">
        <f>J22</f>
        <v>4.9000000000000004</v>
      </c>
      <c r="N22" s="502"/>
      <c r="O22" s="549"/>
      <c r="P22" s="502"/>
    </row>
    <row r="23" spans="2:16" ht="15.5" x14ac:dyDescent="0.35">
      <c r="B23" s="378"/>
      <c r="C23" s="378"/>
      <c r="D23" s="378"/>
      <c r="E23" s="382"/>
      <c r="F23" s="382"/>
      <c r="G23" s="378"/>
      <c r="H23" s="383"/>
      <c r="I23" s="374"/>
      <c r="J23" s="382"/>
      <c r="K23" s="374"/>
      <c r="L23" s="382"/>
      <c r="N23" s="502"/>
    </row>
    <row r="24" spans="2:16" ht="15.5" customHeight="1" x14ac:dyDescent="0.35">
      <c r="B24" s="376" t="s">
        <v>343</v>
      </c>
      <c r="C24" s="377" t="s">
        <v>294</v>
      </c>
      <c r="D24" s="378"/>
      <c r="E24" s="379"/>
      <c r="F24" s="379">
        <v>0.97</v>
      </c>
      <c r="G24" s="378"/>
      <c r="H24" s="380">
        <v>0.77</v>
      </c>
      <c r="I24" s="380"/>
      <c r="J24" s="380">
        <v>0.81</v>
      </c>
      <c r="K24" s="374"/>
      <c r="L24" s="381">
        <f>J24</f>
        <v>0.81</v>
      </c>
      <c r="N24" s="502"/>
      <c r="O24" s="549"/>
      <c r="P24" s="502"/>
    </row>
    <row r="25" spans="2:16" ht="15.5" x14ac:dyDescent="0.35">
      <c r="B25" s="378"/>
      <c r="C25" s="378"/>
      <c r="D25" s="378"/>
      <c r="E25" s="382"/>
      <c r="F25" s="382"/>
      <c r="G25" s="378"/>
      <c r="H25" s="383"/>
      <c r="I25" s="374"/>
      <c r="J25" s="382"/>
      <c r="K25" s="374"/>
      <c r="L25" s="382"/>
      <c r="N25" s="502"/>
    </row>
    <row r="26" spans="2:16" ht="15.5" customHeight="1" x14ac:dyDescent="0.35">
      <c r="B26" s="376" t="s">
        <v>344</v>
      </c>
      <c r="C26" s="377" t="s">
        <v>294</v>
      </c>
      <c r="D26" s="378"/>
      <c r="E26" s="379"/>
      <c r="F26" s="379">
        <v>2.33</v>
      </c>
      <c r="G26" s="378"/>
      <c r="H26" s="380">
        <v>2.5299999999999998</v>
      </c>
      <c r="I26" s="380"/>
      <c r="J26" s="380">
        <v>2.65</v>
      </c>
      <c r="K26" s="374"/>
      <c r="L26" s="381">
        <f>J26</f>
        <v>2.65</v>
      </c>
      <c r="N26" s="502"/>
      <c r="O26" s="549"/>
      <c r="P26" s="502"/>
    </row>
    <row r="27" spans="2:16" ht="15.5" x14ac:dyDescent="0.35">
      <c r="B27" s="346"/>
      <c r="C27" s="346"/>
      <c r="D27" s="346"/>
      <c r="E27" s="346"/>
      <c r="F27" s="346"/>
      <c r="G27" s="346"/>
      <c r="H27" s="346"/>
      <c r="I27" s="346"/>
      <c r="J27" s="346"/>
      <c r="K27" s="346"/>
      <c r="L27" s="346"/>
    </row>
    <row r="28" spans="2:16" ht="15.5" x14ac:dyDescent="0.35">
      <c r="B28" s="346"/>
      <c r="C28" s="346"/>
      <c r="D28" s="346"/>
      <c r="E28" s="346"/>
      <c r="F28" s="346"/>
      <c r="G28" s="346"/>
      <c r="H28" s="346"/>
      <c r="I28" s="346"/>
      <c r="J28" s="346"/>
      <c r="K28" s="346"/>
      <c r="L28" s="346"/>
    </row>
    <row r="29" spans="2:16" ht="28.5" customHeight="1" x14ac:dyDescent="0.35">
      <c r="B29" s="372" t="s">
        <v>345</v>
      </c>
      <c r="C29" s="373" t="s">
        <v>265</v>
      </c>
      <c r="D29" s="346"/>
      <c r="E29" s="373" t="s">
        <v>339</v>
      </c>
      <c r="F29" s="373">
        <v>2020</v>
      </c>
      <c r="G29" s="346"/>
      <c r="H29" s="712">
        <v>2021</v>
      </c>
      <c r="I29" s="710"/>
      <c r="J29" s="710"/>
      <c r="K29" s="346"/>
      <c r="L29" s="373">
        <v>2022</v>
      </c>
    </row>
    <row r="30" spans="2:16" ht="15.75" customHeight="1" x14ac:dyDescent="0.35">
      <c r="B30" s="384"/>
      <c r="C30" s="385"/>
      <c r="D30" s="346"/>
      <c r="E30" s="386"/>
      <c r="F30" s="386"/>
      <c r="G30" s="387"/>
      <c r="H30" s="388"/>
      <c r="I30" s="389"/>
      <c r="J30" s="346"/>
      <c r="K30" s="389"/>
      <c r="L30" s="346"/>
    </row>
    <row r="31" spans="2:16" ht="3" customHeight="1" x14ac:dyDescent="0.35">
      <c r="B31" s="389"/>
      <c r="C31" s="385"/>
      <c r="D31" s="346"/>
      <c r="E31" s="346"/>
      <c r="F31" s="389"/>
      <c r="G31" s="389"/>
      <c r="H31" s="390"/>
      <c r="I31" s="389"/>
      <c r="J31" s="346"/>
      <c r="K31" s="389"/>
      <c r="L31" s="346"/>
    </row>
    <row r="32" spans="2:16" ht="3" customHeight="1" x14ac:dyDescent="0.35">
      <c r="B32" s="346"/>
      <c r="C32" s="346"/>
      <c r="D32" s="346"/>
      <c r="E32" s="346"/>
      <c r="F32" s="389"/>
      <c r="G32" s="346"/>
      <c r="H32" s="346"/>
      <c r="I32" s="346"/>
      <c r="J32" s="346"/>
      <c r="K32" s="346"/>
      <c r="L32" s="346"/>
    </row>
    <row r="33" spans="2:12" ht="15.5" x14ac:dyDescent="0.35">
      <c r="B33" s="347" t="s">
        <v>324</v>
      </c>
      <c r="C33" s="347"/>
      <c r="D33" s="374"/>
      <c r="E33" s="375" t="s">
        <v>325</v>
      </c>
      <c r="F33" s="375" t="s">
        <v>325</v>
      </c>
      <c r="G33" s="374"/>
      <c r="H33" s="709" t="s">
        <v>325</v>
      </c>
      <c r="I33" s="710"/>
      <c r="J33" s="710"/>
      <c r="K33" s="346"/>
      <c r="L33" s="375" t="s">
        <v>325</v>
      </c>
    </row>
    <row r="34" spans="2:12" ht="15.5" x14ac:dyDescent="0.35">
      <c r="B34" s="346"/>
      <c r="C34" s="346"/>
      <c r="D34" s="346"/>
      <c r="E34" s="346"/>
      <c r="F34" s="346"/>
      <c r="G34" s="346"/>
      <c r="H34" s="346"/>
      <c r="I34" s="346"/>
      <c r="J34" s="346"/>
      <c r="K34" s="346"/>
      <c r="L34" s="346"/>
    </row>
    <row r="35" spans="2:12" ht="15.5" customHeight="1" x14ac:dyDescent="0.35">
      <c r="B35" s="376" t="s">
        <v>342</v>
      </c>
      <c r="C35" s="377" t="s">
        <v>294</v>
      </c>
      <c r="D35" s="378"/>
      <c r="E35" s="391"/>
      <c r="F35" s="391">
        <v>3.3980000000000001</v>
      </c>
      <c r="G35" s="378"/>
      <c r="H35" s="713">
        <v>3.4777999999999998</v>
      </c>
      <c r="I35" s="713"/>
      <c r="J35" s="713"/>
      <c r="K35" s="389"/>
      <c r="L35" s="392">
        <f>H35</f>
        <v>3.4777999999999998</v>
      </c>
    </row>
    <row r="36" spans="2:12" ht="15.5" x14ac:dyDescent="0.35">
      <c r="B36" s="389"/>
      <c r="C36" s="389"/>
      <c r="D36" s="389"/>
      <c r="E36" s="393"/>
      <c r="F36" s="393"/>
      <c r="G36" s="389"/>
      <c r="H36" s="394"/>
      <c r="I36" s="389"/>
      <c r="J36" s="394"/>
      <c r="K36" s="389"/>
      <c r="L36" s="394"/>
    </row>
    <row r="37" spans="2:12" ht="15.5" customHeight="1" x14ac:dyDescent="0.35">
      <c r="B37" s="376" t="s">
        <v>343</v>
      </c>
      <c r="C37" s="377" t="s">
        <v>294</v>
      </c>
      <c r="D37" s="378"/>
      <c r="E37" s="391"/>
      <c r="F37" s="391">
        <v>0.80449999999999999</v>
      </c>
      <c r="G37" s="378"/>
      <c r="H37" s="713">
        <v>0.81279999999999997</v>
      </c>
      <c r="I37" s="713"/>
      <c r="J37" s="713"/>
      <c r="K37" s="389"/>
      <c r="L37" s="392">
        <f>H37</f>
        <v>0.81279999999999997</v>
      </c>
    </row>
    <row r="38" spans="2:12" ht="15.5" x14ac:dyDescent="0.35">
      <c r="B38" s="389"/>
      <c r="C38" s="389"/>
      <c r="D38" s="389"/>
      <c r="E38" s="393"/>
      <c r="F38" s="393"/>
      <c r="G38" s="389"/>
      <c r="H38" s="394"/>
      <c r="I38" s="389"/>
      <c r="J38" s="394"/>
      <c r="K38" s="389"/>
      <c r="L38" s="394"/>
    </row>
    <row r="39" spans="2:12" ht="15.5" customHeight="1" x14ac:dyDescent="0.35">
      <c r="B39" s="376" t="s">
        <v>344</v>
      </c>
      <c r="C39" s="377" t="s">
        <v>294</v>
      </c>
      <c r="D39" s="378"/>
      <c r="E39" s="391"/>
      <c r="F39" s="391">
        <v>2.0194000000000001</v>
      </c>
      <c r="G39" s="378"/>
      <c r="H39" s="713">
        <v>2.0457999999999998</v>
      </c>
      <c r="I39" s="713"/>
      <c r="J39" s="713"/>
      <c r="K39" s="389"/>
      <c r="L39" s="392">
        <f>H39</f>
        <v>2.0457999999999998</v>
      </c>
    </row>
    <row r="40" spans="2:12" ht="15.5" x14ac:dyDescent="0.35">
      <c r="B40" s="389"/>
      <c r="C40" s="389"/>
      <c r="D40" s="389"/>
      <c r="E40" s="393"/>
      <c r="F40" s="393"/>
      <c r="G40" s="389"/>
      <c r="H40" s="382"/>
      <c r="I40" s="389"/>
      <c r="J40" s="394"/>
      <c r="K40" s="389"/>
      <c r="L40" s="394"/>
    </row>
    <row r="41" spans="2:12" ht="15.5" customHeight="1" x14ac:dyDescent="0.35">
      <c r="B41" s="376" t="s">
        <v>346</v>
      </c>
      <c r="C41" s="377" t="s">
        <v>294</v>
      </c>
      <c r="D41" s="378"/>
      <c r="E41" s="391"/>
      <c r="F41" s="391">
        <f>SUM(F37,F39)</f>
        <v>2.8239000000000001</v>
      </c>
      <c r="G41" s="378"/>
      <c r="H41" s="713">
        <v>2.8586</v>
      </c>
      <c r="I41" s="713"/>
      <c r="J41" s="713"/>
      <c r="K41" s="389"/>
      <c r="L41" s="392">
        <f>L37+L39</f>
        <v>2.8586</v>
      </c>
    </row>
    <row r="42" spans="2:12" ht="15.5" x14ac:dyDescent="0.35">
      <c r="B42" s="395"/>
      <c r="C42" s="395"/>
      <c r="D42" s="48"/>
      <c r="E42" s="48"/>
      <c r="F42" s="382"/>
      <c r="G42" s="48"/>
      <c r="H42" s="382"/>
      <c r="I42" s="48"/>
      <c r="J42" s="48"/>
      <c r="K42" s="48"/>
      <c r="L42" s="394"/>
    </row>
    <row r="43" spans="2:12" ht="15.5" x14ac:dyDescent="0.35">
      <c r="B43" s="48"/>
      <c r="C43" s="48"/>
      <c r="D43" s="48"/>
      <c r="E43" s="48"/>
      <c r="F43" s="48"/>
      <c r="G43" s="48"/>
      <c r="H43" s="48"/>
      <c r="I43" s="48"/>
      <c r="J43" s="48"/>
      <c r="K43" s="48"/>
      <c r="L43" s="48"/>
    </row>
    <row r="44" spans="2:12" ht="26.25" customHeight="1" x14ac:dyDescent="0.35">
      <c r="B44" s="396" t="s">
        <v>347</v>
      </c>
      <c r="C44" s="397" t="s">
        <v>265</v>
      </c>
      <c r="D44" s="48"/>
      <c r="E44" s="398" t="s">
        <v>339</v>
      </c>
      <c r="F44" s="398">
        <v>2020</v>
      </c>
      <c r="G44" s="48"/>
      <c r="H44" s="708">
        <v>2021</v>
      </c>
      <c r="I44" s="708"/>
      <c r="J44" s="708"/>
      <c r="K44" s="48"/>
      <c r="L44" s="397">
        <v>2022</v>
      </c>
    </row>
    <row r="45" spans="2:12" ht="15.5" x14ac:dyDescent="0.35">
      <c r="B45" s="384"/>
      <c r="C45" s="399"/>
      <c r="D45" s="48"/>
      <c r="E45" s="48"/>
      <c r="F45" s="395"/>
      <c r="G45" s="395"/>
      <c r="H45" s="395"/>
      <c r="I45" s="395"/>
      <c r="J45" s="395"/>
      <c r="K45" s="395"/>
      <c r="L45" s="48"/>
    </row>
    <row r="46" spans="2:12" ht="3" customHeight="1" x14ac:dyDescent="0.35">
      <c r="B46" s="395"/>
      <c r="C46" s="399"/>
      <c r="D46" s="48"/>
      <c r="E46" s="48"/>
      <c r="F46" s="390"/>
      <c r="G46" s="395"/>
      <c r="H46" s="390"/>
      <c r="I46" s="395"/>
      <c r="J46" s="395"/>
      <c r="K46" s="395"/>
      <c r="L46" s="48"/>
    </row>
    <row r="47" spans="2:12" ht="3" customHeight="1" x14ac:dyDescent="0.35">
      <c r="B47" s="48"/>
      <c r="C47" s="48"/>
      <c r="D47" s="48"/>
      <c r="E47" s="48"/>
      <c r="F47" s="48"/>
      <c r="G47" s="48"/>
      <c r="H47" s="48"/>
      <c r="I47" s="48"/>
      <c r="J47" s="48"/>
      <c r="K47" s="48"/>
      <c r="L47" s="48"/>
    </row>
    <row r="48" spans="2:12" ht="15.5" x14ac:dyDescent="0.35">
      <c r="B48" s="347" t="s">
        <v>324</v>
      </c>
      <c r="C48" s="347"/>
      <c r="D48" s="400"/>
      <c r="E48" s="375" t="s">
        <v>325</v>
      </c>
      <c r="F48" s="375" t="s">
        <v>325</v>
      </c>
      <c r="G48" s="374"/>
      <c r="H48" s="709" t="s">
        <v>325</v>
      </c>
      <c r="I48" s="710"/>
      <c r="J48" s="710"/>
      <c r="K48" s="346"/>
      <c r="L48" s="375" t="s">
        <v>325</v>
      </c>
    </row>
    <row r="49" spans="2:12" ht="15.5" x14ac:dyDescent="0.35">
      <c r="B49" s="59"/>
      <c r="C49" s="59"/>
      <c r="D49" s="59"/>
      <c r="E49" s="59"/>
      <c r="F49" s="59"/>
      <c r="G49" s="346"/>
      <c r="H49" s="346"/>
      <c r="I49" s="346"/>
      <c r="J49" s="346"/>
      <c r="K49" s="346"/>
      <c r="L49" s="346"/>
    </row>
    <row r="50" spans="2:12" ht="16.5" x14ac:dyDescent="0.35">
      <c r="B50" s="401" t="s">
        <v>342</v>
      </c>
      <c r="C50" s="402" t="s">
        <v>294</v>
      </c>
      <c r="D50" s="403"/>
      <c r="E50" s="404"/>
      <c r="F50" s="404"/>
      <c r="G50" s="378"/>
      <c r="H50" s="711"/>
      <c r="I50" s="711"/>
      <c r="J50" s="711"/>
      <c r="K50" s="389"/>
      <c r="L50" s="381"/>
    </row>
    <row r="51" spans="2:12" ht="15.5" x14ac:dyDescent="0.35">
      <c r="B51" s="405"/>
      <c r="C51" s="405"/>
      <c r="D51" s="405"/>
      <c r="E51" s="405"/>
      <c r="F51" s="405"/>
      <c r="G51" s="389"/>
      <c r="H51" s="382"/>
      <c r="I51" s="389"/>
      <c r="J51" s="389"/>
      <c r="K51" s="389"/>
      <c r="L51" s="382"/>
    </row>
    <row r="52" spans="2:12" ht="16.5" x14ac:dyDescent="0.35">
      <c r="B52" s="401" t="s">
        <v>343</v>
      </c>
      <c r="C52" s="402" t="s">
        <v>294</v>
      </c>
      <c r="D52" s="403"/>
      <c r="E52" s="404"/>
      <c r="F52" s="404"/>
      <c r="G52" s="378"/>
      <c r="H52" s="711"/>
      <c r="I52" s="711"/>
      <c r="J52" s="711"/>
      <c r="K52" s="389"/>
      <c r="L52" s="381"/>
    </row>
    <row r="53" spans="2:12" ht="15.5" x14ac:dyDescent="0.35">
      <c r="B53" s="405"/>
      <c r="C53" s="405"/>
      <c r="D53" s="405"/>
      <c r="E53" s="405"/>
      <c r="F53" s="405"/>
      <c r="G53" s="389"/>
      <c r="H53" s="382"/>
      <c r="I53" s="389"/>
      <c r="J53" s="389"/>
      <c r="K53" s="389"/>
      <c r="L53" s="382"/>
    </row>
    <row r="54" spans="2:12" ht="16.5" x14ac:dyDescent="0.35">
      <c r="B54" s="401" t="s">
        <v>344</v>
      </c>
      <c r="C54" s="402" t="s">
        <v>294</v>
      </c>
      <c r="D54" s="403"/>
      <c r="E54" s="404"/>
      <c r="F54" s="404"/>
      <c r="G54" s="378"/>
      <c r="H54" s="711"/>
      <c r="I54" s="711"/>
      <c r="J54" s="711"/>
      <c r="K54" s="389"/>
      <c r="L54" s="381"/>
    </row>
    <row r="55" spans="2:12" ht="15.5" x14ac:dyDescent="0.35">
      <c r="B55" s="405"/>
      <c r="C55" s="405"/>
      <c r="D55" s="405"/>
      <c r="E55" s="405"/>
      <c r="F55" s="405"/>
      <c r="G55" s="389"/>
      <c r="H55" s="382"/>
      <c r="I55" s="389"/>
      <c r="J55" s="389"/>
      <c r="K55" s="389"/>
      <c r="L55" s="382"/>
    </row>
    <row r="56" spans="2:12" ht="16.5" x14ac:dyDescent="0.35">
      <c r="B56" s="401" t="s">
        <v>346</v>
      </c>
      <c r="C56" s="402" t="s">
        <v>294</v>
      </c>
      <c r="D56" s="403"/>
      <c r="E56" s="379">
        <f>E54+E52</f>
        <v>0</v>
      </c>
      <c r="F56" s="379">
        <f>F54+F52</f>
        <v>0</v>
      </c>
      <c r="G56" s="378"/>
      <c r="H56" s="705">
        <f>H54+H52</f>
        <v>0</v>
      </c>
      <c r="I56" s="705"/>
      <c r="J56" s="705"/>
      <c r="K56" s="389"/>
      <c r="L56" s="382">
        <f>L54+L52</f>
        <v>0</v>
      </c>
    </row>
    <row r="57" spans="2:12" ht="15.5" x14ac:dyDescent="0.35">
      <c r="B57" s="395"/>
      <c r="C57" s="395"/>
      <c r="D57" s="48"/>
      <c r="E57" s="48"/>
      <c r="F57" s="382"/>
      <c r="G57" s="48"/>
      <c r="H57" s="382"/>
      <c r="I57" s="48"/>
      <c r="J57" s="48"/>
      <c r="K57" s="48"/>
      <c r="L57" s="48"/>
    </row>
    <row r="58" spans="2:12" ht="15.5" x14ac:dyDescent="0.35">
      <c r="B58" s="48"/>
      <c r="C58" s="48"/>
      <c r="D58" s="48"/>
      <c r="E58" s="48"/>
      <c r="F58" s="48"/>
      <c r="G58" s="48"/>
      <c r="H58" s="48"/>
      <c r="I58" s="48"/>
      <c r="J58" s="48"/>
      <c r="K58" s="48"/>
      <c r="L58" s="48"/>
    </row>
    <row r="59" spans="2:12" ht="27" customHeight="1" x14ac:dyDescent="0.35">
      <c r="B59" s="396" t="s">
        <v>348</v>
      </c>
      <c r="C59" s="397" t="s">
        <v>265</v>
      </c>
      <c r="D59" s="48"/>
      <c r="E59" s="398" t="s">
        <v>339</v>
      </c>
      <c r="F59" s="398">
        <v>2020</v>
      </c>
      <c r="G59" s="48"/>
      <c r="H59" s="708">
        <v>2021</v>
      </c>
      <c r="I59" s="708"/>
      <c r="J59" s="708"/>
      <c r="K59" s="48"/>
      <c r="L59" s="397">
        <v>2022</v>
      </c>
    </row>
    <row r="60" spans="2:12" ht="15.5" x14ac:dyDescent="0.35">
      <c r="B60" s="384"/>
      <c r="C60" s="399"/>
      <c r="D60" s="48"/>
      <c r="E60" s="48"/>
      <c r="F60" s="395"/>
      <c r="G60" s="395"/>
      <c r="H60" s="395"/>
      <c r="I60" s="395"/>
      <c r="J60" s="395"/>
      <c r="K60" s="395"/>
      <c r="L60" s="48"/>
    </row>
    <row r="61" spans="2:12" ht="3" customHeight="1" x14ac:dyDescent="0.35">
      <c r="B61" s="395"/>
      <c r="C61" s="399"/>
      <c r="D61" s="48"/>
      <c r="E61" s="48"/>
      <c r="F61" s="390"/>
      <c r="G61" s="395"/>
      <c r="H61" s="390"/>
      <c r="I61" s="395"/>
      <c r="J61" s="395"/>
      <c r="K61" s="395"/>
      <c r="L61" s="48"/>
    </row>
    <row r="62" spans="2:12" ht="3" customHeight="1" x14ac:dyDescent="0.35">
      <c r="B62" s="48"/>
      <c r="C62" s="48"/>
      <c r="D62" s="48"/>
      <c r="E62" s="48"/>
      <c r="F62" s="48"/>
      <c r="G62" s="48"/>
      <c r="H62" s="48"/>
      <c r="I62" s="48"/>
      <c r="J62" s="48"/>
      <c r="K62" s="48"/>
      <c r="L62" s="48"/>
    </row>
    <row r="63" spans="2:12" ht="15.5" x14ac:dyDescent="0.35">
      <c r="B63" s="347" t="s">
        <v>324</v>
      </c>
      <c r="C63" s="347"/>
      <c r="D63" s="374"/>
      <c r="E63" s="375" t="s">
        <v>325</v>
      </c>
      <c r="F63" s="375" t="s">
        <v>325</v>
      </c>
      <c r="G63" s="374"/>
      <c r="H63" s="709" t="s">
        <v>325</v>
      </c>
      <c r="I63" s="710"/>
      <c r="J63" s="710"/>
      <c r="K63" s="346"/>
      <c r="L63" s="375" t="s">
        <v>325</v>
      </c>
    </row>
    <row r="64" spans="2:12" ht="15.5" x14ac:dyDescent="0.35">
      <c r="B64" s="346"/>
      <c r="C64" s="346"/>
      <c r="D64" s="346"/>
      <c r="E64" s="346"/>
      <c r="F64" s="346"/>
      <c r="G64" s="346"/>
      <c r="H64" s="346"/>
      <c r="I64" s="346"/>
      <c r="J64" s="346"/>
      <c r="K64" s="346"/>
      <c r="L64" s="346"/>
    </row>
    <row r="65" spans="2:12" ht="15.5" x14ac:dyDescent="0.35">
      <c r="B65" s="376" t="s">
        <v>342</v>
      </c>
      <c r="C65" s="377" t="s">
        <v>294</v>
      </c>
      <c r="D65" s="378"/>
      <c r="E65" s="404"/>
      <c r="F65" s="404"/>
      <c r="G65" s="378"/>
      <c r="H65" s="711"/>
      <c r="I65" s="711"/>
      <c r="J65" s="711"/>
      <c r="K65" s="389"/>
      <c r="L65" s="381"/>
    </row>
    <row r="66" spans="2:12" ht="15.5" x14ac:dyDescent="0.35">
      <c r="B66" s="389"/>
      <c r="C66" s="389"/>
      <c r="D66" s="389"/>
      <c r="E66" s="389"/>
      <c r="F66" s="389"/>
      <c r="G66" s="389"/>
      <c r="H66" s="382"/>
      <c r="I66" s="389"/>
      <c r="J66" s="389"/>
      <c r="K66" s="389"/>
      <c r="L66" s="382"/>
    </row>
    <row r="67" spans="2:12" ht="15.5" x14ac:dyDescent="0.35">
      <c r="B67" s="376" t="s">
        <v>343</v>
      </c>
      <c r="C67" s="377" t="s">
        <v>294</v>
      </c>
      <c r="D67" s="378"/>
      <c r="E67" s="404"/>
      <c r="F67" s="404"/>
      <c r="G67" s="378"/>
      <c r="H67" s="711"/>
      <c r="I67" s="711"/>
      <c r="J67" s="711"/>
      <c r="K67" s="389"/>
      <c r="L67" s="381"/>
    </row>
    <row r="68" spans="2:12" ht="15.5" x14ac:dyDescent="0.35">
      <c r="B68" s="389"/>
      <c r="C68" s="389"/>
      <c r="D68" s="389"/>
      <c r="E68" s="389"/>
      <c r="F68" s="389"/>
      <c r="G68" s="389"/>
      <c r="H68" s="382"/>
      <c r="I68" s="389"/>
      <c r="J68" s="389"/>
      <c r="K68" s="389"/>
      <c r="L68" s="382"/>
    </row>
    <row r="69" spans="2:12" ht="15.5" x14ac:dyDescent="0.35">
      <c r="B69" s="376" t="s">
        <v>344</v>
      </c>
      <c r="C69" s="377" t="s">
        <v>294</v>
      </c>
      <c r="D69" s="378"/>
      <c r="E69" s="404"/>
      <c r="F69" s="404"/>
      <c r="G69" s="378"/>
      <c r="H69" s="711"/>
      <c r="I69" s="711"/>
      <c r="J69" s="711"/>
      <c r="K69" s="389"/>
      <c r="L69" s="381"/>
    </row>
    <row r="70" spans="2:12" ht="15.5" x14ac:dyDescent="0.35">
      <c r="B70" s="389"/>
      <c r="C70" s="389"/>
      <c r="D70" s="389"/>
      <c r="E70" s="389"/>
      <c r="F70" s="389"/>
      <c r="G70" s="389"/>
      <c r="H70" s="382"/>
      <c r="I70" s="389"/>
      <c r="J70" s="389"/>
      <c r="K70" s="389"/>
      <c r="L70" s="382"/>
    </row>
    <row r="71" spans="2:12" ht="15.5" x14ac:dyDescent="0.35">
      <c r="B71" s="376" t="s">
        <v>346</v>
      </c>
      <c r="C71" s="377" t="s">
        <v>294</v>
      </c>
      <c r="D71" s="378"/>
      <c r="E71" s="379">
        <f>E69+E67</f>
        <v>0</v>
      </c>
      <c r="F71" s="379">
        <f>F69+F67</f>
        <v>0</v>
      </c>
      <c r="G71" s="378"/>
      <c r="H71" s="705">
        <f>H69+H67</f>
        <v>0</v>
      </c>
      <c r="I71" s="705"/>
      <c r="J71" s="705"/>
      <c r="K71" s="389"/>
      <c r="L71" s="382">
        <f>L69+L67</f>
        <v>0</v>
      </c>
    </row>
    <row r="72" spans="2:12" ht="15.5" x14ac:dyDescent="0.35">
      <c r="B72" s="395"/>
      <c r="C72" s="395"/>
      <c r="D72" s="48"/>
      <c r="E72" s="48"/>
      <c r="F72" s="382"/>
      <c r="G72" s="48"/>
      <c r="H72" s="382"/>
      <c r="I72" s="48"/>
      <c r="J72" s="48"/>
      <c r="K72" s="48"/>
      <c r="L72" s="48"/>
    </row>
    <row r="73" spans="2:12" s="368" customFormat="1" ht="15.5" x14ac:dyDescent="0.35">
      <c r="B73" s="406"/>
      <c r="C73" s="406"/>
      <c r="D73" s="406"/>
      <c r="E73" s="407" t="s">
        <v>349</v>
      </c>
      <c r="F73" s="407" t="s">
        <v>349</v>
      </c>
      <c r="G73" s="407"/>
      <c r="H73" s="706" t="s">
        <v>350</v>
      </c>
      <c r="I73" s="706"/>
      <c r="J73" s="706"/>
      <c r="K73" s="407"/>
      <c r="L73" s="407" t="s">
        <v>351</v>
      </c>
    </row>
    <row r="74" spans="2:12" s="368" customFormat="1" ht="31" x14ac:dyDescent="0.35">
      <c r="B74" s="408" t="s">
        <v>352</v>
      </c>
      <c r="C74" s="409" t="s">
        <v>237</v>
      </c>
      <c r="D74" s="406"/>
      <c r="E74" s="410"/>
      <c r="F74" s="410">
        <v>-11318758</v>
      </c>
      <c r="G74" s="411"/>
      <c r="H74" s="707">
        <f>F74</f>
        <v>-11318758</v>
      </c>
      <c r="I74" s="707"/>
      <c r="J74" s="707"/>
      <c r="K74" s="411"/>
      <c r="L74" s="412">
        <f>H74</f>
        <v>-11318758</v>
      </c>
    </row>
    <row r="75" spans="2:12" s="368" customFormat="1" x14ac:dyDescent="0.35"/>
    <row r="76" spans="2:12" s="368" customFormat="1" x14ac:dyDescent="0.35"/>
  </sheetData>
  <mergeCells count="21">
    <mergeCell ref="H54:J54"/>
    <mergeCell ref="H20:J20"/>
    <mergeCell ref="H29:J29"/>
    <mergeCell ref="H33:J33"/>
    <mergeCell ref="H35:J35"/>
    <mergeCell ref="H37:J37"/>
    <mergeCell ref="H39:J39"/>
    <mergeCell ref="H41:J41"/>
    <mergeCell ref="H44:J44"/>
    <mergeCell ref="H48:J48"/>
    <mergeCell ref="H50:J50"/>
    <mergeCell ref="H52:J52"/>
    <mergeCell ref="H71:J71"/>
    <mergeCell ref="H73:J73"/>
    <mergeCell ref="H74:J74"/>
    <mergeCell ref="H56:J56"/>
    <mergeCell ref="H59:J59"/>
    <mergeCell ref="H63:J63"/>
    <mergeCell ref="H65:J65"/>
    <mergeCell ref="H67:J67"/>
    <mergeCell ref="H69:J69"/>
  </mergeCells>
  <pageMargins left="0.70866141732283472" right="0.70866141732283472" top="1.3385826771653544" bottom="0.47244094488188981" header="0.31496062992125984" footer="0.31496062992125984"/>
  <pageSetup scale="55" orientation="portrait" r:id="rId1"/>
  <headerFooter scaleWithDoc="0">
    <oddHeader>&amp;R&amp;7&amp;K000000Toronto Hydro-Electric System Limited 
EB-2021-0060
Tab 3
Schedule 1
ORIGINAL
Page &amp;P of &amp;N</oddHeader>
    <oddFooter>&amp;C&amp;7&amp;A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_x0020_Be_x0020_Filed xmlns="12f68b52-648b-46a0-8463-d3282342a499">true</To_x0020_Be_x0020_Filed>
    <_Version xmlns="http://schemas.microsoft.com/sharepoint/v3/fields" xsi:nil="true"/>
    <Comments xmlns="12f68b52-648b-46a0-8463-d3282342a499">Formatted</Comments>
    <Status xmlns="12f68b52-648b-46a0-8463-d3282342a499">Published</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1C69630825F343B760B476041E3FE6" ma:contentTypeVersion="6" ma:contentTypeDescription="Create a new document." ma:contentTypeScope="" ma:versionID="a52d72472fc9c11cbfe43e418db93b83">
  <xsd:schema xmlns:xsd="http://www.w3.org/2001/XMLSchema" xmlns:xs="http://www.w3.org/2001/XMLSchema" xmlns:p="http://schemas.microsoft.com/office/2006/metadata/properties" xmlns:ns2="12f68b52-648b-46a0-8463-d3282342a499" xmlns:ns3="http://schemas.microsoft.com/sharepoint/v3/fields" targetNamespace="http://schemas.microsoft.com/office/2006/metadata/properties" ma:root="true" ma:fieldsID="db0024d76a74e6b8579caf3e04a77de5" ns2:_="" ns3:_="">
    <xsd:import namespace="12f68b52-648b-46a0-8463-d3282342a499"/>
    <xsd:import namespace="http://schemas.microsoft.com/sharepoint/v3/fields"/>
    <xsd:element name="properties">
      <xsd:complexType>
        <xsd:sequence>
          <xsd:element name="documentManagement">
            <xsd:complexType>
              <xsd:all>
                <xsd:element ref="ns2:Status" minOccurs="0"/>
                <xsd:element ref="ns2:To_x0020_Be_x0020_Filed" minOccurs="0"/>
                <xsd:element ref="ns3:_Versio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68b52-648b-46a0-8463-d3282342a499" elementFormDefault="qualified">
    <xsd:import namespace="http://schemas.microsoft.com/office/2006/documentManagement/types"/>
    <xsd:import namespace="http://schemas.microsoft.com/office/infopath/2007/PartnerControls"/>
    <xsd:element name="Status" ma:index="8" nillable="true" ma:displayName="Status" ma:default="Draft1" ma:format="Dropdown" ma:internalName="Status">
      <xsd:simpleType>
        <xsd:restriction base="dms:Choice">
          <xsd:enumeration value="Draft1"/>
          <xsd:enumeration value="RegTeam1"/>
          <xsd:enumeration value="Draft2"/>
          <xsd:enumeration value="RegTeam2"/>
          <xsd:enumeration value="Draft3"/>
          <xsd:enumeration value="RegTeam3"/>
          <xsd:enumeration value="Pre-final"/>
          <xsd:enumeration value="Legal"/>
          <xsd:enumeration value="Published"/>
        </xsd:restriction>
      </xsd:simpleType>
    </xsd:element>
    <xsd:element name="To_x0020_Be_x0020_Filed" ma:index="9" nillable="true" ma:displayName="To Be Filed" ma:default="1" ma:internalName="To_x0020_Be_x0020_Filed">
      <xsd:simpleType>
        <xsd:restriction base="dms:Boolean"/>
      </xsd:simpleType>
    </xsd:element>
    <xsd:element name="Comments" ma:index="13" nillable="true" ma:displayName="Comments" ma:description="File this document as Excel file."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7621EA-F883-4DF4-BADC-6935884A7679}">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terms/"/>
    <ds:schemaRef ds:uri="http://schemas.microsoft.com/sharepoint/v3/fields"/>
    <ds:schemaRef ds:uri="12f68b52-648b-46a0-8463-d3282342a499"/>
    <ds:schemaRef ds:uri="http://purl.org/dc/dcmitype/"/>
  </ds:schemaRefs>
</ds:datastoreItem>
</file>

<file path=customXml/itemProps2.xml><?xml version="1.0" encoding="utf-8"?>
<ds:datastoreItem xmlns:ds="http://schemas.openxmlformats.org/officeDocument/2006/customXml" ds:itemID="{796A3DD0-CB94-4820-9DD8-4155BD60FB7C}">
  <ds:schemaRefs>
    <ds:schemaRef ds:uri="http://schemas.microsoft.com/sharepoint/v3/contenttype/forms"/>
  </ds:schemaRefs>
</ds:datastoreItem>
</file>

<file path=customXml/itemProps3.xml><?xml version="1.0" encoding="utf-8"?>
<ds:datastoreItem xmlns:ds="http://schemas.openxmlformats.org/officeDocument/2006/customXml" ds:itemID="{569E022B-0143-41D8-A3D9-24712B0221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f68b52-648b-46a0-8463-d3282342a49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Summary of Changes</vt:lpstr>
      <vt:lpstr>Instructions</vt:lpstr>
      <vt:lpstr>1. Information Sheet</vt:lpstr>
      <vt:lpstr>3. Continuity Schedule</vt:lpstr>
      <vt:lpstr>4. Billing Det. for Def-Var</vt:lpstr>
      <vt:lpstr>5. Allocating Def-Var Balances</vt:lpstr>
      <vt:lpstr>7. Calculation of Def-Var RR</vt:lpstr>
      <vt:lpstr>10. RTSR Current Rates</vt:lpstr>
      <vt:lpstr>11. RTSR - UTRs &amp; Sub-Tx</vt:lpstr>
      <vt:lpstr>12. RTSR - Historical Wholesale</vt:lpstr>
      <vt:lpstr>13. RTSR - Current Wholesale</vt:lpstr>
      <vt:lpstr>14. RTSR - Forecast Wholesale</vt:lpstr>
      <vt:lpstr>15. RTSR Rates to Forecast</vt:lpstr>
      <vt:lpstr>16. Rev2Cost_GDPIPI</vt:lpstr>
      <vt:lpstr>forecast_wholesale_lineplus</vt:lpstr>
      <vt:lpstr>forecast_wholesale_network</vt:lpstr>
      <vt:lpstr>'1. Information Sheet'!Print_Area</vt:lpstr>
      <vt:lpstr>'10. RTSR Current Rates'!Print_Area</vt:lpstr>
      <vt:lpstr>'11. RTSR - UTRs &amp; Sub-Tx'!Print_Area</vt:lpstr>
      <vt:lpstr>'12. RTSR - Historical Wholesale'!Print_Area</vt:lpstr>
      <vt:lpstr>'13. RTSR - Current Wholesale'!Print_Area</vt:lpstr>
      <vt:lpstr>'14. RTSR - Forecast Wholesale'!Print_Area</vt:lpstr>
      <vt:lpstr>'15. RTSR Rates to Forecast'!Print_Area</vt:lpstr>
      <vt:lpstr>'16. Rev2Cost_GDPIPI'!Print_Area</vt:lpstr>
      <vt:lpstr>'3. Continuity Schedule'!Print_Area</vt:lpstr>
      <vt:lpstr>'4. Billing Det. for Def-Var'!Print_Area</vt:lpstr>
      <vt:lpstr>'Summary of Changes'!Print_Area</vt:lpstr>
      <vt:lpstr>'3. Continuity Schedule'!Print_Titles</vt:lpstr>
      <vt:lpstr>Instructions!Print_Titles</vt:lpstr>
      <vt:lpstr>Total_Current_Wholesale_Lineplus</vt:lpstr>
      <vt:lpstr>total_current_wholesale_network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Gulshan Malhotra</dc:creator>
  <cp:lastModifiedBy>Lisa Phin</cp:lastModifiedBy>
  <cp:lastPrinted>2021-08-20T14:33:35Z</cp:lastPrinted>
  <dcterms:created xsi:type="dcterms:W3CDTF">2021-07-05T14:53:45Z</dcterms:created>
  <dcterms:modified xsi:type="dcterms:W3CDTF">2021-08-20T15:08:29Z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0x010100AB1C69630825F343B760B476041E3FE6</vt:lpwstr>
  </property>
</Properties>
</file>