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2022 Cost of Service Application Preparation\1. Final\2. Completeness Ltr &amp; Letter of Direction\Clarification Questions August 31, 2021\"/>
    </mc:Choice>
  </mc:AlternateContent>
  <bookViews>
    <workbookView xWindow="0" yWindow="0" windowWidth="28800" windowHeight="12300" tabRatio="789" firstSheet="4" activeTab="4"/>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 r:id="rId16"/>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8" i="43" l="1"/>
  <c r="E149" i="43"/>
  <c r="E150" i="43"/>
  <c r="E147" i="43"/>
  <c r="E123" i="43"/>
  <c r="E124" i="43" s="1"/>
  <c r="E125" i="43" s="1"/>
  <c r="E126" i="43" s="1"/>
  <c r="AA692" i="79"/>
  <c r="AA875" i="79"/>
  <c r="Z875" i="79"/>
  <c r="AA856" i="79"/>
  <c r="Z856" i="79"/>
  <c r="AA853" i="79"/>
  <c r="Z853" i="79"/>
  <c r="Z692" i="79"/>
  <c r="AA673" i="79"/>
  <c r="AA670" i="79"/>
  <c r="Z673" i="79"/>
  <c r="Z670" i="79"/>
  <c r="AA505" i="79"/>
  <c r="Z505" i="79"/>
  <c r="AA490" i="79"/>
  <c r="AA487" i="79"/>
  <c r="AA484" i="79"/>
  <c r="Z490" i="79"/>
  <c r="Z487" i="79"/>
  <c r="Z484" i="79"/>
  <c r="AA307" i="79"/>
  <c r="Z307" i="79"/>
  <c r="Z304" i="79"/>
  <c r="AA304" i="79"/>
  <c r="AA118" i="79"/>
  <c r="Z118" i="79"/>
  <c r="Z60" i="79"/>
  <c r="AA60" i="79"/>
  <c r="AA57" i="79"/>
  <c r="Z57" i="79"/>
  <c r="Z54" i="79"/>
  <c r="AA54" i="79"/>
  <c r="H172" i="47"/>
  <c r="H173" i="47"/>
  <c r="H169" i="47"/>
  <c r="H170" i="47"/>
  <c r="H168" i="47"/>
  <c r="H166" i="47"/>
  <c r="H167" i="47"/>
  <c r="H165" i="47"/>
  <c r="C58" i="47"/>
  <c r="H176" i="47" s="1"/>
  <c r="C57" i="47"/>
  <c r="H171" i="47" s="1"/>
  <c r="E58" i="86"/>
  <c r="E57" i="86"/>
  <c r="E56" i="86"/>
  <c r="E54" i="86"/>
  <c r="E53" i="86"/>
  <c r="E52" i="86"/>
  <c r="E50" i="86"/>
  <c r="E49" i="86"/>
  <c r="E48" i="86"/>
  <c r="E47" i="86"/>
  <c r="E45" i="86"/>
  <c r="E44" i="86"/>
  <c r="D119" i="79"/>
  <c r="D55" i="79"/>
  <c r="E42" i="86"/>
  <c r="E41" i="86"/>
  <c r="E40" i="86"/>
  <c r="E39" i="86"/>
  <c r="AA448" i="46"/>
  <c r="Z448" i="46"/>
  <c r="AA439" i="46"/>
  <c r="Z439" i="46"/>
  <c r="AA338" i="46"/>
  <c r="Z338" i="46"/>
  <c r="AA310" i="46"/>
  <c r="Z310" i="46"/>
  <c r="Z233" i="46"/>
  <c r="AA233" i="46"/>
  <c r="AA190" i="46"/>
  <c r="Z190" i="46"/>
  <c r="AA181" i="46"/>
  <c r="Z181" i="46"/>
  <c r="AA102" i="46"/>
  <c r="Z102" i="46"/>
  <c r="Z105" i="46"/>
  <c r="AA105" i="46"/>
  <c r="AA53" i="46"/>
  <c r="Z53" i="46"/>
  <c r="AA50" i="46"/>
  <c r="Z50" i="46"/>
  <c r="H36" i="86"/>
  <c r="AA436" i="46" s="1"/>
  <c r="G36" i="86"/>
  <c r="Z436" i="46" s="1"/>
  <c r="H32" i="86"/>
  <c r="AA307" i="46" s="1"/>
  <c r="G32" i="86"/>
  <c r="Z307" i="46" s="1"/>
  <c r="H27" i="86"/>
  <c r="AA178" i="46" s="1"/>
  <c r="G27" i="86"/>
  <c r="Z178" i="46" s="1"/>
  <c r="E840" i="79"/>
  <c r="H840" i="79"/>
  <c r="I840" i="79"/>
  <c r="J840" i="79"/>
  <c r="K840" i="79"/>
  <c r="L840" i="79"/>
  <c r="M840" i="79"/>
  <c r="E853" i="79"/>
  <c r="H853" i="79"/>
  <c r="I853" i="79"/>
  <c r="J853" i="79"/>
  <c r="K853" i="79"/>
  <c r="L853" i="79"/>
  <c r="M853" i="79"/>
  <c r="E856" i="79"/>
  <c r="H856" i="79"/>
  <c r="I856" i="79"/>
  <c r="J856" i="79"/>
  <c r="K856" i="79"/>
  <c r="L856" i="79"/>
  <c r="M856" i="79"/>
  <c r="E875" i="79"/>
  <c r="H875" i="79"/>
  <c r="I875" i="79"/>
  <c r="J875" i="79"/>
  <c r="K875" i="79"/>
  <c r="L875" i="79"/>
  <c r="M875" i="79"/>
  <c r="D875" i="79"/>
  <c r="D856" i="79"/>
  <c r="D853" i="79"/>
  <c r="D840" i="79"/>
  <c r="P840" i="79"/>
  <c r="Q840" i="79"/>
  <c r="R840" i="79"/>
  <c r="S840" i="79"/>
  <c r="T840" i="79"/>
  <c r="U840" i="79"/>
  <c r="V840" i="79"/>
  <c r="W840" i="79"/>
  <c r="X840" i="79"/>
  <c r="S853" i="79"/>
  <c r="T853" i="79"/>
  <c r="U853" i="79"/>
  <c r="V853" i="79"/>
  <c r="W853" i="79"/>
  <c r="X853" i="79"/>
  <c r="S856" i="79"/>
  <c r="T856" i="79"/>
  <c r="U856" i="79"/>
  <c r="V856" i="79"/>
  <c r="W856" i="79"/>
  <c r="X856" i="79"/>
  <c r="S875" i="79"/>
  <c r="T875" i="79"/>
  <c r="U875" i="79"/>
  <c r="V875" i="79"/>
  <c r="W875" i="79"/>
  <c r="X875" i="79"/>
  <c r="O875" i="79"/>
  <c r="O840" i="79"/>
  <c r="F657" i="79"/>
  <c r="I657" i="79"/>
  <c r="J657" i="79"/>
  <c r="K657" i="79"/>
  <c r="L657" i="79"/>
  <c r="M657" i="79"/>
  <c r="F670" i="79"/>
  <c r="I670" i="79"/>
  <c r="J670" i="79"/>
  <c r="K670" i="79"/>
  <c r="L670" i="79"/>
  <c r="M670" i="79"/>
  <c r="F673" i="79"/>
  <c r="I673" i="79"/>
  <c r="J673" i="79"/>
  <c r="K673" i="79"/>
  <c r="L673" i="79"/>
  <c r="M673" i="79"/>
  <c r="F692" i="79"/>
  <c r="I692" i="79"/>
  <c r="J692" i="79"/>
  <c r="K692" i="79"/>
  <c r="L692" i="79"/>
  <c r="M692" i="79"/>
  <c r="F702" i="79"/>
  <c r="I702" i="79"/>
  <c r="J702" i="79"/>
  <c r="K702" i="79"/>
  <c r="L702" i="79"/>
  <c r="M702" i="79"/>
  <c r="D702" i="79"/>
  <c r="D692" i="79"/>
  <c r="D673" i="79"/>
  <c r="D670" i="79"/>
  <c r="D657" i="79"/>
  <c r="P657" i="79"/>
  <c r="Q657" i="79"/>
  <c r="R657" i="79"/>
  <c r="S657" i="79"/>
  <c r="T657" i="79"/>
  <c r="U657" i="79"/>
  <c r="V657" i="79"/>
  <c r="W657" i="79"/>
  <c r="X657" i="79"/>
  <c r="T670" i="79"/>
  <c r="U670" i="79"/>
  <c r="V670" i="79"/>
  <c r="W670" i="79"/>
  <c r="X670" i="79"/>
  <c r="T673" i="79"/>
  <c r="U673" i="79"/>
  <c r="V673" i="79"/>
  <c r="W673" i="79"/>
  <c r="X673" i="79"/>
  <c r="T692" i="79"/>
  <c r="U692" i="79"/>
  <c r="V692" i="79"/>
  <c r="W692" i="79"/>
  <c r="X692" i="79"/>
  <c r="P702" i="79"/>
  <c r="Q702" i="79"/>
  <c r="R702" i="79"/>
  <c r="S702" i="79"/>
  <c r="T702" i="79"/>
  <c r="U702" i="79"/>
  <c r="V702" i="79"/>
  <c r="W702" i="79"/>
  <c r="X702" i="79"/>
  <c r="O702" i="79"/>
  <c r="O657" i="79"/>
  <c r="E471" i="79"/>
  <c r="F471" i="79"/>
  <c r="G471" i="79"/>
  <c r="H471" i="79"/>
  <c r="I471" i="79"/>
  <c r="J471" i="79"/>
  <c r="K471" i="79"/>
  <c r="L471" i="79"/>
  <c r="M471" i="79"/>
  <c r="G472" i="79"/>
  <c r="J472" i="79"/>
  <c r="K472" i="79"/>
  <c r="L472" i="79"/>
  <c r="M472" i="79"/>
  <c r="E474" i="79"/>
  <c r="F474" i="79"/>
  <c r="G474" i="79"/>
  <c r="H474" i="79"/>
  <c r="I474" i="79"/>
  <c r="J474" i="79"/>
  <c r="K474" i="79"/>
  <c r="L474" i="79"/>
  <c r="M474" i="79"/>
  <c r="G475" i="79"/>
  <c r="J475" i="79"/>
  <c r="K475" i="79"/>
  <c r="L475" i="79"/>
  <c r="M475" i="79"/>
  <c r="E484" i="79"/>
  <c r="F484" i="79"/>
  <c r="G484" i="79"/>
  <c r="H484" i="79"/>
  <c r="I484" i="79"/>
  <c r="J484" i="79"/>
  <c r="K484" i="79"/>
  <c r="L484" i="79"/>
  <c r="M484" i="79"/>
  <c r="E487" i="79"/>
  <c r="F487" i="79"/>
  <c r="G487" i="79"/>
  <c r="H487" i="79"/>
  <c r="I487" i="79"/>
  <c r="J487" i="79"/>
  <c r="K487" i="79"/>
  <c r="L487" i="79"/>
  <c r="M487" i="79"/>
  <c r="G488" i="79"/>
  <c r="J488" i="79"/>
  <c r="K488" i="79"/>
  <c r="L488" i="79"/>
  <c r="M488" i="79"/>
  <c r="E490" i="79"/>
  <c r="F490" i="79"/>
  <c r="G490" i="79"/>
  <c r="H490" i="79"/>
  <c r="I490" i="79"/>
  <c r="J490" i="79"/>
  <c r="K490" i="79"/>
  <c r="L490" i="79"/>
  <c r="M490" i="79"/>
  <c r="E505" i="79"/>
  <c r="F505" i="79"/>
  <c r="G505" i="79"/>
  <c r="H505" i="79"/>
  <c r="I505" i="79"/>
  <c r="J505" i="79"/>
  <c r="K505" i="79"/>
  <c r="L505" i="79"/>
  <c r="M505" i="79"/>
  <c r="E519" i="79"/>
  <c r="F519" i="79"/>
  <c r="G519" i="79"/>
  <c r="H519" i="79"/>
  <c r="I519" i="79"/>
  <c r="J519" i="79"/>
  <c r="K519" i="79"/>
  <c r="L519" i="79"/>
  <c r="M519" i="79"/>
  <c r="E522" i="79"/>
  <c r="F522" i="79"/>
  <c r="G522" i="79"/>
  <c r="H522" i="79"/>
  <c r="I522" i="79"/>
  <c r="J522" i="79"/>
  <c r="K522" i="79"/>
  <c r="L522" i="79"/>
  <c r="M522" i="79"/>
  <c r="D522" i="79"/>
  <c r="D519" i="79"/>
  <c r="D505" i="79"/>
  <c r="D490" i="79"/>
  <c r="D488" i="79"/>
  <c r="D487" i="79"/>
  <c r="D484" i="79"/>
  <c r="D475" i="79"/>
  <c r="D474" i="79"/>
  <c r="D472" i="79"/>
  <c r="D471" i="79"/>
  <c r="P471" i="79"/>
  <c r="Q471" i="79"/>
  <c r="R471" i="79"/>
  <c r="S471" i="79"/>
  <c r="T471" i="79"/>
  <c r="U471" i="79"/>
  <c r="V471" i="79"/>
  <c r="W471" i="79"/>
  <c r="X471" i="79"/>
  <c r="P472" i="79"/>
  <c r="Q472" i="79"/>
  <c r="R472" i="79"/>
  <c r="S472" i="79"/>
  <c r="T472" i="79"/>
  <c r="U472" i="79"/>
  <c r="V472" i="79"/>
  <c r="W472" i="79"/>
  <c r="X472" i="79"/>
  <c r="P474" i="79"/>
  <c r="Q474" i="79"/>
  <c r="R474" i="79"/>
  <c r="S474" i="79"/>
  <c r="T474" i="79"/>
  <c r="U474" i="79"/>
  <c r="V474" i="79"/>
  <c r="W474" i="79"/>
  <c r="X474" i="79"/>
  <c r="P475" i="79"/>
  <c r="Q475" i="79"/>
  <c r="R475" i="79"/>
  <c r="S475" i="79"/>
  <c r="T475" i="79"/>
  <c r="U475" i="79"/>
  <c r="V475" i="79"/>
  <c r="W475" i="79"/>
  <c r="X475" i="79"/>
  <c r="P484" i="79"/>
  <c r="Q484" i="79"/>
  <c r="R484" i="79"/>
  <c r="S484" i="79"/>
  <c r="T484" i="79"/>
  <c r="U484" i="79"/>
  <c r="V484" i="79"/>
  <c r="W484" i="79"/>
  <c r="X484" i="79"/>
  <c r="P487" i="79"/>
  <c r="Q487" i="79"/>
  <c r="R487" i="79"/>
  <c r="S487" i="79"/>
  <c r="T487" i="79"/>
  <c r="U487" i="79"/>
  <c r="V487" i="79"/>
  <c r="W487" i="79"/>
  <c r="X487" i="79"/>
  <c r="U488" i="79"/>
  <c r="V488" i="79"/>
  <c r="W488" i="79"/>
  <c r="X488" i="79"/>
  <c r="P490" i="79"/>
  <c r="Q490" i="79"/>
  <c r="R490" i="79"/>
  <c r="S490" i="79"/>
  <c r="T490" i="79"/>
  <c r="U490" i="79"/>
  <c r="V490" i="79"/>
  <c r="W490" i="79"/>
  <c r="X490" i="79"/>
  <c r="P505" i="79"/>
  <c r="Q505" i="79"/>
  <c r="R505" i="79"/>
  <c r="S505" i="79"/>
  <c r="T505" i="79"/>
  <c r="U505" i="79"/>
  <c r="V505" i="79"/>
  <c r="W505" i="79"/>
  <c r="X505" i="79"/>
  <c r="P519" i="79"/>
  <c r="Q519" i="79"/>
  <c r="R519" i="79"/>
  <c r="S519" i="79"/>
  <c r="T519" i="79"/>
  <c r="U519" i="79"/>
  <c r="V519" i="79"/>
  <c r="W519" i="79"/>
  <c r="X519" i="79"/>
  <c r="P522" i="79"/>
  <c r="Q522" i="79"/>
  <c r="R522" i="79"/>
  <c r="S522" i="79"/>
  <c r="T522" i="79"/>
  <c r="U522" i="79"/>
  <c r="V522" i="79"/>
  <c r="W522" i="79"/>
  <c r="X522" i="79"/>
  <c r="O475" i="79"/>
  <c r="O472" i="79"/>
  <c r="O522" i="79"/>
  <c r="O505" i="79"/>
  <c r="O490" i="79"/>
  <c r="O487" i="79"/>
  <c r="O484" i="79"/>
  <c r="O474" i="79"/>
  <c r="O519" i="79"/>
  <c r="O471" i="79"/>
  <c r="E288" i="79"/>
  <c r="F288" i="79"/>
  <c r="G288" i="79"/>
  <c r="H288" i="79"/>
  <c r="I288" i="79"/>
  <c r="J288" i="79"/>
  <c r="K288" i="79"/>
  <c r="L288" i="79"/>
  <c r="M288" i="79"/>
  <c r="E289" i="79"/>
  <c r="F289" i="79"/>
  <c r="G289" i="79"/>
  <c r="H289" i="79"/>
  <c r="I289" i="79"/>
  <c r="J289" i="79"/>
  <c r="K289" i="79"/>
  <c r="L289" i="79"/>
  <c r="M289" i="79"/>
  <c r="E291" i="79"/>
  <c r="F291" i="79"/>
  <c r="G291" i="79"/>
  <c r="H291" i="79"/>
  <c r="I291" i="79"/>
  <c r="J291" i="79"/>
  <c r="K291" i="79"/>
  <c r="L291" i="79"/>
  <c r="M291" i="79"/>
  <c r="E292" i="79"/>
  <c r="F292" i="79"/>
  <c r="G292" i="79"/>
  <c r="H292" i="79"/>
  <c r="I292" i="79"/>
  <c r="J292" i="79"/>
  <c r="K292" i="79"/>
  <c r="L292" i="79"/>
  <c r="M292" i="79"/>
  <c r="E304" i="79"/>
  <c r="F304" i="79"/>
  <c r="G304" i="79"/>
  <c r="H304" i="79"/>
  <c r="I304" i="79"/>
  <c r="J304" i="79"/>
  <c r="K304" i="79"/>
  <c r="L304" i="79"/>
  <c r="M304" i="79"/>
  <c r="E305" i="79"/>
  <c r="F305" i="79"/>
  <c r="G305" i="79"/>
  <c r="H305" i="79"/>
  <c r="I305" i="79"/>
  <c r="J305" i="79"/>
  <c r="K305" i="79"/>
  <c r="L305" i="79"/>
  <c r="M305" i="79"/>
  <c r="E307" i="79"/>
  <c r="F307" i="79"/>
  <c r="G307" i="79"/>
  <c r="H307" i="79"/>
  <c r="I307" i="79"/>
  <c r="J307" i="79"/>
  <c r="K307" i="79"/>
  <c r="L307" i="79"/>
  <c r="M307" i="79"/>
  <c r="E308" i="79"/>
  <c r="F308" i="79"/>
  <c r="G308" i="79"/>
  <c r="H308" i="79"/>
  <c r="I308" i="79"/>
  <c r="J308" i="79"/>
  <c r="K308" i="79"/>
  <c r="L308" i="79"/>
  <c r="M308" i="79"/>
  <c r="D308" i="79"/>
  <c r="D307" i="79"/>
  <c r="D305" i="79"/>
  <c r="D304" i="79"/>
  <c r="D292" i="79"/>
  <c r="D291" i="79"/>
  <c r="D289" i="79"/>
  <c r="D288" i="79"/>
  <c r="P288" i="79"/>
  <c r="Q288" i="79"/>
  <c r="R288" i="79"/>
  <c r="S288" i="79"/>
  <c r="T288" i="79"/>
  <c r="U288" i="79"/>
  <c r="V288" i="79"/>
  <c r="W288" i="79"/>
  <c r="X288" i="79"/>
  <c r="P289" i="79"/>
  <c r="Q289" i="79"/>
  <c r="R289" i="79"/>
  <c r="S289" i="79"/>
  <c r="T289" i="79"/>
  <c r="U289" i="79"/>
  <c r="V289" i="79"/>
  <c r="W289" i="79"/>
  <c r="X289" i="79"/>
  <c r="P291" i="79"/>
  <c r="Q291" i="79"/>
  <c r="R291" i="79"/>
  <c r="S291" i="79"/>
  <c r="T291" i="79"/>
  <c r="U291" i="79"/>
  <c r="V291" i="79"/>
  <c r="W291" i="79"/>
  <c r="X291" i="79"/>
  <c r="P292" i="79"/>
  <c r="Q292" i="79"/>
  <c r="R292" i="79"/>
  <c r="S292" i="79"/>
  <c r="T292" i="79"/>
  <c r="U292" i="79"/>
  <c r="V292" i="79"/>
  <c r="W292" i="79"/>
  <c r="X292" i="79"/>
  <c r="P304" i="79"/>
  <c r="Q304" i="79"/>
  <c r="R304" i="79"/>
  <c r="S304" i="79"/>
  <c r="T304" i="79"/>
  <c r="U304" i="79"/>
  <c r="V304" i="79"/>
  <c r="W304" i="79"/>
  <c r="X304" i="79"/>
  <c r="P305" i="79"/>
  <c r="Q305" i="79"/>
  <c r="R305" i="79"/>
  <c r="S305" i="79"/>
  <c r="T305" i="79"/>
  <c r="U305" i="79"/>
  <c r="V305" i="79"/>
  <c r="W305" i="79"/>
  <c r="X305" i="79"/>
  <c r="P307" i="79"/>
  <c r="Q307" i="79"/>
  <c r="R307" i="79"/>
  <c r="S307" i="79"/>
  <c r="T307" i="79"/>
  <c r="U307" i="79"/>
  <c r="V307" i="79"/>
  <c r="W307" i="79"/>
  <c r="X307" i="79"/>
  <c r="P308" i="79"/>
  <c r="Q308" i="79"/>
  <c r="R308" i="79"/>
  <c r="S308" i="79"/>
  <c r="T308" i="79"/>
  <c r="U308" i="79"/>
  <c r="V308" i="79"/>
  <c r="W308" i="79"/>
  <c r="X308" i="79"/>
  <c r="O308" i="79"/>
  <c r="O305" i="79"/>
  <c r="O292" i="79"/>
  <c r="O289" i="79"/>
  <c r="O307" i="79"/>
  <c r="O304" i="79"/>
  <c r="O291" i="79"/>
  <c r="O288" i="79"/>
  <c r="E38" i="79"/>
  <c r="F38" i="79"/>
  <c r="G38" i="79"/>
  <c r="H38" i="79"/>
  <c r="I38" i="79"/>
  <c r="J38" i="79"/>
  <c r="K38" i="79"/>
  <c r="L38" i="79"/>
  <c r="M38" i="79"/>
  <c r="E39" i="79"/>
  <c r="F39" i="79"/>
  <c r="G39" i="79"/>
  <c r="H39" i="79"/>
  <c r="I39" i="79"/>
  <c r="J39" i="79"/>
  <c r="K39" i="79"/>
  <c r="L39" i="79"/>
  <c r="M39" i="79"/>
  <c r="E41" i="79"/>
  <c r="F41" i="79"/>
  <c r="G41" i="79"/>
  <c r="H41" i="79"/>
  <c r="I41" i="79"/>
  <c r="J41" i="79"/>
  <c r="K41" i="79"/>
  <c r="L41" i="79"/>
  <c r="M41" i="79"/>
  <c r="E42" i="79"/>
  <c r="F42" i="79"/>
  <c r="G42" i="79"/>
  <c r="H42" i="79"/>
  <c r="I42" i="79"/>
  <c r="J42" i="79"/>
  <c r="K42" i="79"/>
  <c r="L42" i="79"/>
  <c r="M42" i="79"/>
  <c r="E44" i="79"/>
  <c r="F44" i="79"/>
  <c r="G44" i="79"/>
  <c r="H44" i="79"/>
  <c r="I44" i="79"/>
  <c r="J44" i="79"/>
  <c r="K44" i="79"/>
  <c r="L44" i="79"/>
  <c r="M44" i="79"/>
  <c r="E47" i="79"/>
  <c r="F47" i="79"/>
  <c r="G47" i="79"/>
  <c r="H47" i="79"/>
  <c r="I47" i="79"/>
  <c r="J47" i="79"/>
  <c r="K47" i="79"/>
  <c r="L47" i="79"/>
  <c r="M47" i="79"/>
  <c r="E48" i="79"/>
  <c r="F48" i="79"/>
  <c r="G48" i="79"/>
  <c r="H48" i="79"/>
  <c r="I48" i="79"/>
  <c r="J48" i="79"/>
  <c r="K48" i="79"/>
  <c r="L48" i="79"/>
  <c r="M48" i="79"/>
  <c r="E54" i="79"/>
  <c r="F54" i="79"/>
  <c r="G54" i="79"/>
  <c r="H54" i="79"/>
  <c r="I54" i="79"/>
  <c r="J54" i="79"/>
  <c r="K54" i="79"/>
  <c r="L54" i="79"/>
  <c r="M54" i="79"/>
  <c r="E55" i="79"/>
  <c r="F55" i="79"/>
  <c r="G55" i="79"/>
  <c r="H55" i="79"/>
  <c r="I55" i="79"/>
  <c r="J55" i="79"/>
  <c r="K55" i="79"/>
  <c r="L55" i="79"/>
  <c r="M55" i="79"/>
  <c r="E57" i="79"/>
  <c r="F57" i="79"/>
  <c r="G57" i="79"/>
  <c r="H57" i="79"/>
  <c r="I57" i="79"/>
  <c r="J57" i="79"/>
  <c r="K57" i="79"/>
  <c r="L57" i="79"/>
  <c r="M57" i="79"/>
  <c r="E58" i="79"/>
  <c r="F58" i="79"/>
  <c r="G58" i="79"/>
  <c r="H58" i="79"/>
  <c r="I58" i="79"/>
  <c r="J58" i="79"/>
  <c r="K58" i="79"/>
  <c r="L58" i="79"/>
  <c r="M58" i="79"/>
  <c r="E60" i="79"/>
  <c r="F60" i="79"/>
  <c r="G60" i="79"/>
  <c r="H60" i="79"/>
  <c r="I60" i="79"/>
  <c r="J60" i="79"/>
  <c r="K60" i="79"/>
  <c r="L60" i="79"/>
  <c r="M60" i="79"/>
  <c r="E61" i="79"/>
  <c r="F61" i="79"/>
  <c r="G61" i="79"/>
  <c r="H61" i="79"/>
  <c r="I61" i="79"/>
  <c r="J61" i="79"/>
  <c r="K61" i="79"/>
  <c r="L61" i="79"/>
  <c r="M61" i="79"/>
  <c r="E80" i="79"/>
  <c r="F80" i="79"/>
  <c r="G80" i="79"/>
  <c r="H80" i="79"/>
  <c r="I80" i="79"/>
  <c r="J80" i="79"/>
  <c r="K80" i="79"/>
  <c r="L80" i="79"/>
  <c r="M80" i="79"/>
  <c r="E119" i="79"/>
  <c r="F119" i="79"/>
  <c r="G119" i="79"/>
  <c r="H119" i="79"/>
  <c r="I119" i="79"/>
  <c r="J119" i="79"/>
  <c r="K119" i="79"/>
  <c r="L119" i="79"/>
  <c r="M119" i="79"/>
  <c r="D80" i="79"/>
  <c r="D61" i="79"/>
  <c r="D60" i="79"/>
  <c r="D58" i="79"/>
  <c r="D57" i="79"/>
  <c r="D54" i="79"/>
  <c r="D48" i="79"/>
  <c r="D47" i="79"/>
  <c r="D44" i="79"/>
  <c r="D42" i="79"/>
  <c r="D41" i="79"/>
  <c r="D39" i="79"/>
  <c r="D38" i="79"/>
  <c r="P119" i="79"/>
  <c r="Q119" i="79"/>
  <c r="R119" i="79"/>
  <c r="S119" i="79"/>
  <c r="T119" i="79"/>
  <c r="U119" i="79"/>
  <c r="V119" i="79"/>
  <c r="W119" i="79"/>
  <c r="X119" i="79"/>
  <c r="P42" i="79"/>
  <c r="Q42" i="79"/>
  <c r="R42" i="79"/>
  <c r="S42" i="79"/>
  <c r="T42" i="79"/>
  <c r="U42" i="79"/>
  <c r="V42" i="79"/>
  <c r="W42" i="79"/>
  <c r="X42" i="79"/>
  <c r="P39" i="79"/>
  <c r="Q39" i="79"/>
  <c r="R39" i="79"/>
  <c r="S39" i="79"/>
  <c r="T39" i="79"/>
  <c r="U39" i="79"/>
  <c r="V39" i="79"/>
  <c r="W39" i="79"/>
  <c r="X39" i="79"/>
  <c r="P48" i="79"/>
  <c r="Q48" i="79"/>
  <c r="R48" i="79"/>
  <c r="S48" i="79"/>
  <c r="T48" i="79"/>
  <c r="U48" i="79"/>
  <c r="V48" i="79"/>
  <c r="W48" i="79"/>
  <c r="X48" i="79"/>
  <c r="P58" i="79"/>
  <c r="Q58" i="79"/>
  <c r="R58" i="79"/>
  <c r="S58" i="79"/>
  <c r="T58" i="79"/>
  <c r="U58" i="79"/>
  <c r="V58" i="79"/>
  <c r="W58" i="79"/>
  <c r="X58" i="79"/>
  <c r="P61" i="79"/>
  <c r="Q61" i="79"/>
  <c r="R61" i="79"/>
  <c r="S61" i="79"/>
  <c r="T61" i="79"/>
  <c r="U61" i="79"/>
  <c r="V61" i="79"/>
  <c r="W61" i="79"/>
  <c r="X61" i="79"/>
  <c r="O61" i="79"/>
  <c r="O58" i="79"/>
  <c r="O119" i="79"/>
  <c r="O55" i="79"/>
  <c r="O48" i="79"/>
  <c r="O42" i="79"/>
  <c r="O39" i="79"/>
  <c r="P38" i="79"/>
  <c r="Q38" i="79"/>
  <c r="R38" i="79"/>
  <c r="S38" i="79"/>
  <c r="T38" i="79"/>
  <c r="U38" i="79"/>
  <c r="V38" i="79"/>
  <c r="W38" i="79"/>
  <c r="X38" i="79"/>
  <c r="P41" i="79"/>
  <c r="Q41" i="79"/>
  <c r="R41" i="79"/>
  <c r="S41" i="79"/>
  <c r="T41" i="79"/>
  <c r="U41" i="79"/>
  <c r="V41" i="79"/>
  <c r="W41" i="79"/>
  <c r="X41" i="79"/>
  <c r="P44" i="79"/>
  <c r="Q44" i="79"/>
  <c r="R44" i="79"/>
  <c r="S44" i="79"/>
  <c r="T44" i="79"/>
  <c r="U44" i="79"/>
  <c r="V44" i="79"/>
  <c r="W44" i="79"/>
  <c r="X44" i="79"/>
  <c r="P47" i="79"/>
  <c r="Q47" i="79"/>
  <c r="R47" i="79"/>
  <c r="S47" i="79"/>
  <c r="T47" i="79"/>
  <c r="U47" i="79"/>
  <c r="V47" i="79"/>
  <c r="W47" i="79"/>
  <c r="X47" i="79"/>
  <c r="P54" i="79"/>
  <c r="Q54" i="79"/>
  <c r="R54" i="79"/>
  <c r="S54" i="79"/>
  <c r="T54" i="79"/>
  <c r="U54" i="79"/>
  <c r="V54" i="79"/>
  <c r="W54" i="79"/>
  <c r="X54" i="79"/>
  <c r="P57" i="79"/>
  <c r="Q57" i="79"/>
  <c r="R57" i="79"/>
  <c r="S57" i="79"/>
  <c r="T57" i="79"/>
  <c r="U57" i="79"/>
  <c r="V57" i="79"/>
  <c r="W57" i="79"/>
  <c r="X57" i="79"/>
  <c r="P60" i="79"/>
  <c r="Q60" i="79"/>
  <c r="R60" i="79"/>
  <c r="S60" i="79"/>
  <c r="T60" i="79"/>
  <c r="U60" i="79"/>
  <c r="V60" i="79"/>
  <c r="W60" i="79"/>
  <c r="X60" i="79"/>
  <c r="P80" i="79"/>
  <c r="Q80" i="79"/>
  <c r="R80" i="79"/>
  <c r="S80" i="79"/>
  <c r="T80" i="79"/>
  <c r="U80" i="79"/>
  <c r="V80" i="79"/>
  <c r="W80" i="79"/>
  <c r="X80" i="79"/>
  <c r="O80" i="79"/>
  <c r="O60" i="79"/>
  <c r="O57" i="79"/>
  <c r="O54" i="79"/>
  <c r="O47" i="79"/>
  <c r="O44" i="79"/>
  <c r="O41" i="79"/>
  <c r="O38" i="79"/>
  <c r="P408" i="46"/>
  <c r="Q408" i="46"/>
  <c r="R408" i="46"/>
  <c r="S408" i="46"/>
  <c r="T408" i="46"/>
  <c r="U408" i="46"/>
  <c r="V408" i="46"/>
  <c r="W408" i="46"/>
  <c r="X408" i="46"/>
  <c r="O408" i="46"/>
  <c r="E408" i="46"/>
  <c r="F408" i="46"/>
  <c r="G408" i="46"/>
  <c r="H408" i="46"/>
  <c r="I408" i="46"/>
  <c r="J408" i="46"/>
  <c r="K408" i="46"/>
  <c r="L408" i="46"/>
  <c r="M408" i="46"/>
  <c r="D408" i="46"/>
  <c r="E411" i="46"/>
  <c r="F411" i="46"/>
  <c r="G411" i="46"/>
  <c r="H411" i="46"/>
  <c r="I411" i="46"/>
  <c r="J411" i="46"/>
  <c r="K411" i="46"/>
  <c r="L411" i="46"/>
  <c r="M411" i="46"/>
  <c r="E414" i="46"/>
  <c r="F414" i="46"/>
  <c r="G414" i="46"/>
  <c r="H414" i="46"/>
  <c r="I414" i="46"/>
  <c r="J414" i="46"/>
  <c r="K414" i="46"/>
  <c r="L414" i="46"/>
  <c r="M414" i="46"/>
  <c r="E417" i="46"/>
  <c r="F417" i="46"/>
  <c r="G417" i="46"/>
  <c r="H417" i="46"/>
  <c r="I417" i="46"/>
  <c r="J417" i="46"/>
  <c r="K417" i="46"/>
  <c r="L417" i="46"/>
  <c r="M417" i="46"/>
  <c r="E420" i="46"/>
  <c r="F420" i="46"/>
  <c r="G420" i="46"/>
  <c r="H420" i="46"/>
  <c r="I420" i="46"/>
  <c r="J420" i="46"/>
  <c r="K420" i="46"/>
  <c r="L420" i="46"/>
  <c r="M420" i="46"/>
  <c r="E436" i="46"/>
  <c r="F436" i="46"/>
  <c r="G436" i="46"/>
  <c r="H436" i="46"/>
  <c r="I436" i="46"/>
  <c r="J436" i="46"/>
  <c r="K436" i="46"/>
  <c r="L436" i="46"/>
  <c r="M436" i="46"/>
  <c r="E439" i="46"/>
  <c r="F439" i="46"/>
  <c r="G439" i="46"/>
  <c r="H439" i="46"/>
  <c r="I439" i="46"/>
  <c r="J439" i="46"/>
  <c r="K439" i="46"/>
  <c r="L439" i="46"/>
  <c r="M439" i="46"/>
  <c r="E448" i="46"/>
  <c r="F448" i="46"/>
  <c r="G448" i="46"/>
  <c r="H448" i="46"/>
  <c r="I448" i="46"/>
  <c r="J448" i="46"/>
  <c r="K448" i="46"/>
  <c r="L448" i="46"/>
  <c r="M448" i="46"/>
  <c r="D448" i="46"/>
  <c r="D439" i="46"/>
  <c r="D436" i="46"/>
  <c r="D420" i="46"/>
  <c r="D417" i="46"/>
  <c r="D414" i="46"/>
  <c r="D411" i="46"/>
  <c r="P411" i="46"/>
  <c r="Q411" i="46"/>
  <c r="R411" i="46"/>
  <c r="S411" i="46"/>
  <c r="T411" i="46"/>
  <c r="U411" i="46"/>
  <c r="V411" i="46"/>
  <c r="W411" i="46"/>
  <c r="X411" i="46"/>
  <c r="P414" i="46"/>
  <c r="Q414" i="46"/>
  <c r="R414" i="46"/>
  <c r="S414" i="46"/>
  <c r="T414" i="46"/>
  <c r="U414" i="46"/>
  <c r="V414" i="46"/>
  <c r="W414" i="46"/>
  <c r="X414" i="46"/>
  <c r="P417" i="46"/>
  <c r="Q417" i="46"/>
  <c r="R417" i="46"/>
  <c r="S417" i="46"/>
  <c r="T417" i="46"/>
  <c r="U417" i="46"/>
  <c r="V417" i="46"/>
  <c r="W417" i="46"/>
  <c r="X417" i="46"/>
  <c r="P420" i="46"/>
  <c r="Q420" i="46"/>
  <c r="R420" i="46"/>
  <c r="S420" i="46"/>
  <c r="T420" i="46"/>
  <c r="U420" i="46"/>
  <c r="V420" i="46"/>
  <c r="W420" i="46"/>
  <c r="X420" i="46"/>
  <c r="P436" i="46"/>
  <c r="Q436" i="46"/>
  <c r="R436" i="46"/>
  <c r="S436" i="46"/>
  <c r="T436" i="46"/>
  <c r="U436" i="46"/>
  <c r="V436" i="46"/>
  <c r="W436" i="46"/>
  <c r="X436" i="46"/>
  <c r="P439" i="46"/>
  <c r="Q439" i="46"/>
  <c r="R439" i="46"/>
  <c r="S439" i="46"/>
  <c r="T439" i="46"/>
  <c r="U439" i="46"/>
  <c r="V439" i="46"/>
  <c r="W439" i="46"/>
  <c r="X439" i="46"/>
  <c r="P448" i="46"/>
  <c r="Q448" i="46"/>
  <c r="R448" i="46"/>
  <c r="S448" i="46"/>
  <c r="T448" i="46"/>
  <c r="U448" i="46"/>
  <c r="V448" i="46"/>
  <c r="W448" i="46"/>
  <c r="X448" i="46"/>
  <c r="O414" i="46"/>
  <c r="O417" i="46"/>
  <c r="O420" i="46"/>
  <c r="O411" i="46"/>
  <c r="O436" i="46"/>
  <c r="O448" i="46"/>
  <c r="O439" i="46"/>
  <c r="E286" i="46"/>
  <c r="F286" i="46"/>
  <c r="G286" i="46"/>
  <c r="H286" i="46"/>
  <c r="I286" i="46"/>
  <c r="J286" i="46"/>
  <c r="K286" i="46"/>
  <c r="L286" i="46"/>
  <c r="M286" i="46"/>
  <c r="D286" i="46"/>
  <c r="P286" i="46"/>
  <c r="Q286" i="46"/>
  <c r="R286" i="46"/>
  <c r="S286" i="46"/>
  <c r="T286" i="46"/>
  <c r="U286" i="46"/>
  <c r="V286" i="46"/>
  <c r="W286" i="46"/>
  <c r="X286" i="46"/>
  <c r="P289" i="46"/>
  <c r="Q289" i="46"/>
  <c r="R289" i="46"/>
  <c r="S289" i="46"/>
  <c r="T289" i="46"/>
  <c r="U289" i="46"/>
  <c r="V289" i="46"/>
  <c r="W289" i="46"/>
  <c r="X289" i="46"/>
  <c r="E289" i="46"/>
  <c r="F289" i="46"/>
  <c r="G289" i="46"/>
  <c r="H289" i="46"/>
  <c r="I289" i="46"/>
  <c r="J289" i="46"/>
  <c r="K289" i="46"/>
  <c r="L289" i="46"/>
  <c r="M289" i="46"/>
  <c r="D289" i="46"/>
  <c r="P308" i="46"/>
  <c r="Q308" i="46"/>
  <c r="R308" i="46"/>
  <c r="S308" i="46"/>
  <c r="T308" i="46"/>
  <c r="U308" i="46"/>
  <c r="V308" i="46"/>
  <c r="W308" i="46"/>
  <c r="X308" i="46"/>
  <c r="E308" i="46"/>
  <c r="F308" i="46"/>
  <c r="G308" i="46"/>
  <c r="H308" i="46"/>
  <c r="I308" i="46"/>
  <c r="J308" i="46"/>
  <c r="K308" i="46"/>
  <c r="L308" i="46"/>
  <c r="M308" i="46"/>
  <c r="D308" i="46"/>
  <c r="E339" i="46"/>
  <c r="F339" i="46"/>
  <c r="G339" i="46"/>
  <c r="H339" i="46"/>
  <c r="I339" i="46"/>
  <c r="J339" i="46"/>
  <c r="K339" i="46"/>
  <c r="L339" i="46"/>
  <c r="M339" i="46"/>
  <c r="D339" i="46"/>
  <c r="P339" i="46"/>
  <c r="Q339" i="46"/>
  <c r="R339" i="46"/>
  <c r="S339" i="46"/>
  <c r="T339" i="46"/>
  <c r="U339" i="46"/>
  <c r="V339" i="46"/>
  <c r="W339" i="46"/>
  <c r="X339" i="46"/>
  <c r="O339" i="46"/>
  <c r="O286" i="46"/>
  <c r="O289" i="46"/>
  <c r="O308" i="46"/>
  <c r="E279" i="46"/>
  <c r="F279" i="46"/>
  <c r="G279" i="46"/>
  <c r="H279" i="46"/>
  <c r="I279" i="46"/>
  <c r="J279" i="46"/>
  <c r="K279" i="46"/>
  <c r="L279" i="46"/>
  <c r="M279" i="46"/>
  <c r="E282" i="46"/>
  <c r="F282" i="46"/>
  <c r="G282" i="46"/>
  <c r="H282" i="46"/>
  <c r="I282" i="46"/>
  <c r="J282" i="46"/>
  <c r="K282" i="46"/>
  <c r="L282" i="46"/>
  <c r="M282" i="46"/>
  <c r="E285" i="46"/>
  <c r="F285" i="46"/>
  <c r="G285" i="46"/>
  <c r="H285" i="46"/>
  <c r="I285" i="46"/>
  <c r="J285" i="46"/>
  <c r="K285" i="46"/>
  <c r="L285" i="46"/>
  <c r="M285" i="46"/>
  <c r="E288" i="46"/>
  <c r="F288" i="46"/>
  <c r="G288" i="46"/>
  <c r="H288" i="46"/>
  <c r="I288" i="46"/>
  <c r="J288" i="46"/>
  <c r="K288" i="46"/>
  <c r="L288" i="46"/>
  <c r="M288" i="46"/>
  <c r="E291" i="46"/>
  <c r="F291" i="46"/>
  <c r="G291" i="46"/>
  <c r="H291" i="46"/>
  <c r="I291" i="46"/>
  <c r="J291" i="46"/>
  <c r="K291" i="46"/>
  <c r="L291" i="46"/>
  <c r="M291" i="46"/>
  <c r="E307" i="46"/>
  <c r="F307" i="46"/>
  <c r="G307" i="46"/>
  <c r="H307" i="46"/>
  <c r="I307" i="46"/>
  <c r="J307" i="46"/>
  <c r="K307" i="46"/>
  <c r="L307" i="46"/>
  <c r="M307" i="46"/>
  <c r="E310" i="46"/>
  <c r="F310" i="46"/>
  <c r="G310" i="46"/>
  <c r="H310" i="46"/>
  <c r="I310" i="46"/>
  <c r="J310" i="46"/>
  <c r="K310" i="46"/>
  <c r="L310" i="46"/>
  <c r="M310" i="46"/>
  <c r="D310" i="46"/>
  <c r="D307" i="46"/>
  <c r="D291" i="46"/>
  <c r="D288" i="46"/>
  <c r="D285" i="46"/>
  <c r="D282" i="46"/>
  <c r="D279" i="46"/>
  <c r="P279" i="46"/>
  <c r="Q279" i="46"/>
  <c r="R279" i="46"/>
  <c r="S279" i="46"/>
  <c r="T279" i="46"/>
  <c r="U279" i="46"/>
  <c r="V279" i="46"/>
  <c r="W279" i="46"/>
  <c r="X279" i="46"/>
  <c r="P282" i="46"/>
  <c r="Q282" i="46"/>
  <c r="R282" i="46"/>
  <c r="S282" i="46"/>
  <c r="T282" i="46"/>
  <c r="U282" i="46"/>
  <c r="V282" i="46"/>
  <c r="W282" i="46"/>
  <c r="X282" i="46"/>
  <c r="P285" i="46"/>
  <c r="Q285" i="46"/>
  <c r="R285" i="46"/>
  <c r="S285" i="46"/>
  <c r="T285" i="46"/>
  <c r="U285" i="46"/>
  <c r="V285" i="46"/>
  <c r="W285" i="46"/>
  <c r="X285" i="46"/>
  <c r="P288" i="46"/>
  <c r="Q288" i="46"/>
  <c r="R288" i="46"/>
  <c r="S288" i="46"/>
  <c r="T288" i="46"/>
  <c r="U288" i="46"/>
  <c r="V288" i="46"/>
  <c r="W288" i="46"/>
  <c r="X288" i="46"/>
  <c r="P291" i="46"/>
  <c r="Q291" i="46"/>
  <c r="R291" i="46"/>
  <c r="S291" i="46"/>
  <c r="T291" i="46"/>
  <c r="U291" i="46"/>
  <c r="V291" i="46"/>
  <c r="W291" i="46"/>
  <c r="X291" i="46"/>
  <c r="P307" i="46"/>
  <c r="Q307" i="46"/>
  <c r="R307" i="46"/>
  <c r="S307" i="46"/>
  <c r="T307" i="46"/>
  <c r="U307" i="46"/>
  <c r="V307" i="46"/>
  <c r="W307" i="46"/>
  <c r="X307" i="46"/>
  <c r="P310" i="46"/>
  <c r="Q310" i="46"/>
  <c r="R310" i="46"/>
  <c r="S310" i="46"/>
  <c r="T310" i="46"/>
  <c r="U310" i="46"/>
  <c r="V310" i="46"/>
  <c r="W310" i="46"/>
  <c r="X310" i="46"/>
  <c r="O279" i="46"/>
  <c r="O285" i="46"/>
  <c r="O291" i="46"/>
  <c r="O282" i="46"/>
  <c r="O288" i="46"/>
  <c r="O310" i="46"/>
  <c r="O307" i="46"/>
  <c r="E191" i="46"/>
  <c r="F191" i="46"/>
  <c r="G191" i="46"/>
  <c r="H191" i="46"/>
  <c r="I191" i="46"/>
  <c r="J191" i="46"/>
  <c r="K191" i="46"/>
  <c r="L191" i="46"/>
  <c r="M191" i="46"/>
  <c r="E182" i="46"/>
  <c r="F182" i="46"/>
  <c r="G182" i="46"/>
  <c r="H182" i="46"/>
  <c r="I182" i="46"/>
  <c r="J182" i="46"/>
  <c r="K182" i="46"/>
  <c r="L182" i="46"/>
  <c r="M182" i="46"/>
  <c r="D191" i="46"/>
  <c r="O191" i="46"/>
  <c r="D182" i="46"/>
  <c r="E157" i="46"/>
  <c r="F157" i="46"/>
  <c r="G157" i="46"/>
  <c r="H157" i="46"/>
  <c r="I157" i="46"/>
  <c r="J157" i="46"/>
  <c r="K157" i="46"/>
  <c r="L157" i="46"/>
  <c r="M157" i="46"/>
  <c r="D157" i="46"/>
  <c r="P157" i="46"/>
  <c r="Q157" i="46"/>
  <c r="R157" i="46"/>
  <c r="S157" i="46"/>
  <c r="T157" i="46"/>
  <c r="U157" i="46"/>
  <c r="V157" i="46"/>
  <c r="W157" i="46"/>
  <c r="X157" i="46"/>
  <c r="P191" i="46"/>
  <c r="Q191" i="46"/>
  <c r="R191" i="46"/>
  <c r="S191" i="46"/>
  <c r="T191" i="46"/>
  <c r="U191" i="46"/>
  <c r="V191" i="46"/>
  <c r="W191" i="46"/>
  <c r="X191" i="46"/>
  <c r="P182" i="46"/>
  <c r="Q182" i="46"/>
  <c r="R182" i="46"/>
  <c r="S182" i="46"/>
  <c r="T182" i="46"/>
  <c r="U182" i="46"/>
  <c r="V182" i="46"/>
  <c r="W182" i="46"/>
  <c r="X182" i="46"/>
  <c r="O157" i="46"/>
  <c r="O182" i="46"/>
  <c r="P233" i="46"/>
  <c r="Q233" i="46"/>
  <c r="R233" i="46"/>
  <c r="S233" i="46"/>
  <c r="T233" i="46"/>
  <c r="U233" i="46"/>
  <c r="V233" i="46"/>
  <c r="W233" i="46"/>
  <c r="X233" i="46"/>
  <c r="E233" i="46"/>
  <c r="F233" i="46"/>
  <c r="G233" i="46"/>
  <c r="H233" i="46"/>
  <c r="I233" i="46"/>
  <c r="J233" i="46"/>
  <c r="K233" i="46"/>
  <c r="L233" i="46"/>
  <c r="M233" i="46"/>
  <c r="D233" i="46"/>
  <c r="P150" i="46"/>
  <c r="Q150" i="46"/>
  <c r="R150" i="46"/>
  <c r="S150" i="46"/>
  <c r="T150" i="46"/>
  <c r="U150" i="46"/>
  <c r="V150" i="46"/>
  <c r="W150" i="46"/>
  <c r="X150" i="46"/>
  <c r="P153" i="46"/>
  <c r="Q153" i="46"/>
  <c r="R153" i="46"/>
  <c r="S153" i="46"/>
  <c r="T153" i="46"/>
  <c r="U153" i="46"/>
  <c r="V153" i="46"/>
  <c r="W153" i="46"/>
  <c r="X153" i="46"/>
  <c r="P156" i="46"/>
  <c r="Q156" i="46"/>
  <c r="R156" i="46"/>
  <c r="S156" i="46"/>
  <c r="T156" i="46"/>
  <c r="U156" i="46"/>
  <c r="V156" i="46"/>
  <c r="W156" i="46"/>
  <c r="X156" i="46"/>
  <c r="P159" i="46"/>
  <c r="Q159" i="46"/>
  <c r="R159" i="46"/>
  <c r="S159" i="46"/>
  <c r="T159" i="46"/>
  <c r="U159" i="46"/>
  <c r="V159" i="46"/>
  <c r="W159" i="46"/>
  <c r="X159" i="46"/>
  <c r="P162" i="46"/>
  <c r="Q162" i="46"/>
  <c r="R162" i="46"/>
  <c r="S162" i="46"/>
  <c r="T162" i="46"/>
  <c r="U162" i="46"/>
  <c r="V162" i="46"/>
  <c r="W162" i="46"/>
  <c r="X162" i="46"/>
  <c r="P178" i="46"/>
  <c r="Q178" i="46"/>
  <c r="R178" i="46"/>
  <c r="S178" i="46"/>
  <c r="T178" i="46"/>
  <c r="U178" i="46"/>
  <c r="V178" i="46"/>
  <c r="W178" i="46"/>
  <c r="X178" i="46"/>
  <c r="P181" i="46"/>
  <c r="Q181" i="46"/>
  <c r="R181" i="46"/>
  <c r="S181" i="46"/>
  <c r="T181" i="46"/>
  <c r="U181" i="46"/>
  <c r="V181" i="46"/>
  <c r="W181" i="46"/>
  <c r="X181" i="46"/>
  <c r="P190" i="46"/>
  <c r="Q190" i="46"/>
  <c r="R190" i="46"/>
  <c r="S190" i="46"/>
  <c r="T190" i="46"/>
  <c r="U190" i="46"/>
  <c r="V190" i="46"/>
  <c r="W190" i="46"/>
  <c r="X190" i="46"/>
  <c r="E150" i="46"/>
  <c r="F150" i="46"/>
  <c r="G150" i="46"/>
  <c r="H150" i="46"/>
  <c r="I150" i="46"/>
  <c r="J150" i="46"/>
  <c r="K150" i="46"/>
  <c r="L150" i="46"/>
  <c r="M150" i="46"/>
  <c r="E153" i="46"/>
  <c r="F153" i="46"/>
  <c r="G153" i="46"/>
  <c r="H153" i="46"/>
  <c r="I153" i="46"/>
  <c r="J153" i="46"/>
  <c r="K153" i="46"/>
  <c r="L153" i="46"/>
  <c r="M153" i="46"/>
  <c r="E156" i="46"/>
  <c r="F156" i="46"/>
  <c r="G156" i="46"/>
  <c r="H156" i="46"/>
  <c r="I156" i="46"/>
  <c r="J156" i="46"/>
  <c r="K156" i="46"/>
  <c r="L156" i="46"/>
  <c r="M156" i="46"/>
  <c r="E159" i="46"/>
  <c r="F159" i="46"/>
  <c r="G159" i="46"/>
  <c r="H159" i="46"/>
  <c r="I159" i="46"/>
  <c r="J159" i="46"/>
  <c r="K159" i="46"/>
  <c r="L159" i="46"/>
  <c r="M159" i="46"/>
  <c r="E162" i="46"/>
  <c r="F162" i="46"/>
  <c r="G162" i="46"/>
  <c r="H162" i="46"/>
  <c r="I162" i="46"/>
  <c r="J162" i="46"/>
  <c r="K162" i="46"/>
  <c r="L162" i="46"/>
  <c r="M162" i="46"/>
  <c r="E178" i="46"/>
  <c r="F178" i="46"/>
  <c r="G178" i="46"/>
  <c r="H178" i="46"/>
  <c r="I178" i="46"/>
  <c r="J178" i="46"/>
  <c r="K178" i="46"/>
  <c r="L178" i="46"/>
  <c r="M178" i="46"/>
  <c r="E181" i="46"/>
  <c r="F181" i="46"/>
  <c r="G181" i="46"/>
  <c r="H181" i="46"/>
  <c r="I181" i="46"/>
  <c r="J181" i="46"/>
  <c r="K181" i="46"/>
  <c r="L181" i="46"/>
  <c r="M181" i="46"/>
  <c r="E190" i="46"/>
  <c r="F190" i="46"/>
  <c r="G190" i="46"/>
  <c r="H190" i="46"/>
  <c r="I190" i="46"/>
  <c r="J190" i="46"/>
  <c r="K190" i="46"/>
  <c r="L190" i="46"/>
  <c r="M190" i="46"/>
  <c r="D190" i="46"/>
  <c r="D181" i="46"/>
  <c r="D178" i="46"/>
  <c r="D162" i="46"/>
  <c r="D159" i="46"/>
  <c r="D156" i="46"/>
  <c r="D153" i="46"/>
  <c r="D150" i="46"/>
  <c r="O233" i="46"/>
  <c r="O190" i="46"/>
  <c r="O178" i="46"/>
  <c r="O181" i="46"/>
  <c r="O162" i="46"/>
  <c r="O159" i="46"/>
  <c r="O156" i="46"/>
  <c r="O153" i="46"/>
  <c r="O150" i="46"/>
  <c r="E50" i="46"/>
  <c r="F50" i="46"/>
  <c r="G50" i="46"/>
  <c r="H50" i="46"/>
  <c r="I50" i="46"/>
  <c r="J50" i="46"/>
  <c r="K50" i="46"/>
  <c r="L50" i="46"/>
  <c r="M50" i="46"/>
  <c r="D50" i="46"/>
  <c r="X50" i="46"/>
  <c r="P50" i="46"/>
  <c r="Q50" i="46"/>
  <c r="R50" i="46"/>
  <c r="S50" i="46"/>
  <c r="T50" i="46"/>
  <c r="U50" i="46"/>
  <c r="V50" i="46"/>
  <c r="W50" i="46"/>
  <c r="O50" i="46"/>
  <c r="E32" i="46"/>
  <c r="F32" i="46"/>
  <c r="G32" i="46"/>
  <c r="H32" i="46"/>
  <c r="I32" i="46"/>
  <c r="J32" i="46"/>
  <c r="K32" i="46"/>
  <c r="L32" i="46"/>
  <c r="M32" i="46"/>
  <c r="D32" i="46"/>
  <c r="P32" i="46"/>
  <c r="Q32" i="46"/>
  <c r="R32" i="46"/>
  <c r="S32" i="46"/>
  <c r="T32" i="46"/>
  <c r="U32" i="46"/>
  <c r="V32" i="46"/>
  <c r="W32" i="46"/>
  <c r="X32" i="46"/>
  <c r="O32" i="46"/>
  <c r="E106" i="46"/>
  <c r="F106" i="46"/>
  <c r="G106" i="46"/>
  <c r="H106" i="46"/>
  <c r="I106" i="46"/>
  <c r="J106" i="46"/>
  <c r="K106" i="46"/>
  <c r="L106" i="46"/>
  <c r="M106" i="46"/>
  <c r="D106" i="46"/>
  <c r="E35" i="46"/>
  <c r="F35" i="46"/>
  <c r="G35" i="46"/>
  <c r="H35" i="46"/>
  <c r="I35" i="46"/>
  <c r="J35" i="46"/>
  <c r="K35" i="46"/>
  <c r="L35" i="46"/>
  <c r="M35" i="46"/>
  <c r="D35" i="46"/>
  <c r="P35" i="46"/>
  <c r="Q35" i="46"/>
  <c r="R35" i="46"/>
  <c r="S35" i="46"/>
  <c r="T35" i="46"/>
  <c r="U35" i="46"/>
  <c r="V35" i="46"/>
  <c r="W35" i="46"/>
  <c r="X35" i="46"/>
  <c r="O35" i="46"/>
  <c r="P106" i="46"/>
  <c r="Q106" i="46"/>
  <c r="R106" i="46"/>
  <c r="S106" i="46"/>
  <c r="T106" i="46"/>
  <c r="U106" i="46"/>
  <c r="V106" i="46"/>
  <c r="W106" i="46"/>
  <c r="X106" i="46"/>
  <c r="O106" i="46"/>
  <c r="E102" i="46"/>
  <c r="F102" i="46"/>
  <c r="G102" i="46"/>
  <c r="H102" i="46"/>
  <c r="I102" i="46"/>
  <c r="J102" i="46"/>
  <c r="K102" i="46"/>
  <c r="L102" i="46"/>
  <c r="M102" i="46"/>
  <c r="E105" i="46"/>
  <c r="F105" i="46"/>
  <c r="G105" i="46"/>
  <c r="H105" i="46"/>
  <c r="I105" i="46"/>
  <c r="J105" i="46"/>
  <c r="K105" i="46"/>
  <c r="L105" i="46"/>
  <c r="M105" i="46"/>
  <c r="D105" i="46"/>
  <c r="D102" i="46"/>
  <c r="E29" i="46"/>
  <c r="F29" i="46"/>
  <c r="G29" i="46"/>
  <c r="H29" i="46"/>
  <c r="I29" i="46"/>
  <c r="J29" i="46"/>
  <c r="K29" i="46"/>
  <c r="L29" i="46"/>
  <c r="M29" i="46"/>
  <c r="D29" i="46"/>
  <c r="O29" i="46"/>
  <c r="X29" i="46"/>
  <c r="P29" i="46"/>
  <c r="Q29" i="46"/>
  <c r="R29" i="46"/>
  <c r="S29" i="46"/>
  <c r="T29" i="46"/>
  <c r="U29" i="46"/>
  <c r="V29" i="46"/>
  <c r="W29" i="46"/>
  <c r="E22" i="46"/>
  <c r="F22" i="46"/>
  <c r="G22" i="46"/>
  <c r="H22" i="46"/>
  <c r="I22" i="46"/>
  <c r="J22" i="46"/>
  <c r="K22" i="46"/>
  <c r="L22" i="46"/>
  <c r="M22" i="46"/>
  <c r="E25" i="46"/>
  <c r="F25" i="46"/>
  <c r="G25" i="46"/>
  <c r="H25" i="46"/>
  <c r="I25" i="46"/>
  <c r="J25" i="46"/>
  <c r="K25" i="46"/>
  <c r="L25" i="46"/>
  <c r="M25" i="46"/>
  <c r="E28" i="46"/>
  <c r="F28" i="46"/>
  <c r="G28" i="46"/>
  <c r="H28" i="46"/>
  <c r="I28" i="46"/>
  <c r="J28" i="46"/>
  <c r="K28" i="46"/>
  <c r="L28" i="46"/>
  <c r="M28" i="46"/>
  <c r="E31" i="46"/>
  <c r="F31" i="46"/>
  <c r="G31" i="46"/>
  <c r="H31" i="46"/>
  <c r="I31" i="46"/>
  <c r="J31" i="46"/>
  <c r="K31" i="46"/>
  <c r="L31" i="46"/>
  <c r="M31" i="46"/>
  <c r="E34" i="46"/>
  <c r="F34" i="46"/>
  <c r="G34" i="46"/>
  <c r="H34" i="46"/>
  <c r="I34" i="46"/>
  <c r="J34" i="46"/>
  <c r="K34" i="46"/>
  <c r="L34" i="46"/>
  <c r="M34" i="46"/>
  <c r="E53" i="46"/>
  <c r="F53" i="46"/>
  <c r="G53" i="46"/>
  <c r="H53" i="46"/>
  <c r="I53" i="46"/>
  <c r="J53" i="46"/>
  <c r="K53" i="46"/>
  <c r="L53" i="46"/>
  <c r="M53" i="46"/>
  <c r="D53" i="46"/>
  <c r="D34" i="46"/>
  <c r="D31" i="46"/>
  <c r="D28" i="46"/>
  <c r="D25" i="46"/>
  <c r="D22" i="46"/>
  <c r="P22" i="46"/>
  <c r="Q22" i="46"/>
  <c r="R22" i="46"/>
  <c r="S22" i="46"/>
  <c r="T22" i="46"/>
  <c r="U22" i="46"/>
  <c r="V22" i="46"/>
  <c r="W22" i="46"/>
  <c r="X22" i="46"/>
  <c r="P25" i="46"/>
  <c r="Q25" i="46"/>
  <c r="R25" i="46"/>
  <c r="S25" i="46"/>
  <c r="T25" i="46"/>
  <c r="U25" i="46"/>
  <c r="V25" i="46"/>
  <c r="W25" i="46"/>
  <c r="X25" i="46"/>
  <c r="P28" i="46"/>
  <c r="Q28" i="46"/>
  <c r="R28" i="46"/>
  <c r="S28" i="46"/>
  <c r="T28" i="46"/>
  <c r="U28" i="46"/>
  <c r="V28" i="46"/>
  <c r="W28" i="46"/>
  <c r="X28" i="46"/>
  <c r="P31" i="46"/>
  <c r="Q31" i="46"/>
  <c r="R31" i="46"/>
  <c r="S31" i="46"/>
  <c r="T31" i="46"/>
  <c r="U31" i="46"/>
  <c r="V31" i="46"/>
  <c r="W31" i="46"/>
  <c r="X31" i="46"/>
  <c r="P34" i="46"/>
  <c r="Q34" i="46"/>
  <c r="R34" i="46"/>
  <c r="S34" i="46"/>
  <c r="T34" i="46"/>
  <c r="U34" i="46"/>
  <c r="V34" i="46"/>
  <c r="W34" i="46"/>
  <c r="X34" i="46"/>
  <c r="P53" i="46"/>
  <c r="Q53" i="46"/>
  <c r="R53" i="46"/>
  <c r="S53" i="46"/>
  <c r="T53" i="46"/>
  <c r="U53" i="46"/>
  <c r="V53" i="46"/>
  <c r="W53" i="46"/>
  <c r="X53" i="46"/>
  <c r="P102" i="46"/>
  <c r="Q102" i="46"/>
  <c r="R102" i="46"/>
  <c r="S102" i="46"/>
  <c r="T102" i="46"/>
  <c r="U102" i="46"/>
  <c r="V102" i="46"/>
  <c r="W102" i="46"/>
  <c r="X102" i="46"/>
  <c r="P105" i="46"/>
  <c r="Q105" i="46"/>
  <c r="R105" i="46"/>
  <c r="S105" i="46"/>
  <c r="T105" i="46"/>
  <c r="U105" i="46"/>
  <c r="V105" i="46"/>
  <c r="W105" i="46"/>
  <c r="X105" i="46"/>
  <c r="O105" i="46"/>
  <c r="O102" i="46"/>
  <c r="O53" i="46"/>
  <c r="O28" i="46"/>
  <c r="O31" i="46"/>
  <c r="O34" i="46"/>
  <c r="O25" i="46"/>
  <c r="O22" i="46"/>
  <c r="F31" i="44"/>
  <c r="F30" i="44"/>
  <c r="E30" i="44"/>
  <c r="D30" i="44"/>
  <c r="U135" i="68"/>
  <c r="P875" i="79" s="1"/>
  <c r="T135" i="68"/>
  <c r="S131" i="68"/>
  <c r="O692" i="79" s="1"/>
  <c r="U131" i="68"/>
  <c r="Q692" i="79" s="1"/>
  <c r="D127" i="46" l="1"/>
  <c r="H174" i="47"/>
  <c r="H175" i="47"/>
  <c r="U134" i="68"/>
  <c r="P856" i="79" s="1"/>
  <c r="T134" i="68"/>
  <c r="O856" i="79" s="1"/>
  <c r="S130" i="68"/>
  <c r="O673" i="79" s="1"/>
  <c r="U130" i="68"/>
  <c r="Q673" i="79" s="1"/>
  <c r="W130" i="68"/>
  <c r="S673" i="79" s="1"/>
  <c r="U138" i="68"/>
  <c r="R488" i="79" s="1"/>
  <c r="V138" i="68"/>
  <c r="S488" i="79" s="1"/>
  <c r="R138" i="68"/>
  <c r="O488" i="79" s="1"/>
  <c r="U133" i="68"/>
  <c r="P853" i="79" s="1"/>
  <c r="V133" i="68"/>
  <c r="Q853" i="79" s="1"/>
  <c r="T133" i="68"/>
  <c r="O853" i="79" s="1"/>
  <c r="S129" i="68"/>
  <c r="O670" i="79" s="1"/>
  <c r="T129" i="68"/>
  <c r="P670" i="79" s="1"/>
  <c r="U129" i="68"/>
  <c r="Q670" i="79" s="1"/>
  <c r="BB138" i="68"/>
  <c r="I488" i="79" s="1"/>
  <c r="BA138" i="68"/>
  <c r="H488" i="79" s="1"/>
  <c r="AY138" i="68"/>
  <c r="F488" i="79" s="1"/>
  <c r="AX138" i="68"/>
  <c r="E488" i="79" s="1"/>
  <c r="AY137" i="68"/>
  <c r="F475" i="79" s="1"/>
  <c r="AX137" i="68"/>
  <c r="E475" i="79" s="1"/>
  <c r="BB136" i="68"/>
  <c r="I472" i="79" s="1"/>
  <c r="BA136" i="68"/>
  <c r="H472" i="79" s="1"/>
  <c r="AY136" i="68"/>
  <c r="F472" i="79" s="1"/>
  <c r="AX136" i="68"/>
  <c r="E472" i="79" s="1"/>
  <c r="BA137" i="68"/>
  <c r="H475" i="79" s="1"/>
  <c r="BB135" i="68"/>
  <c r="BA135" i="68"/>
  <c r="BB134" i="68"/>
  <c r="G856" i="79" s="1"/>
  <c r="BA134" i="68"/>
  <c r="F856" i="79" s="1"/>
  <c r="BB133" i="68"/>
  <c r="G853" i="79" s="1"/>
  <c r="BA133" i="68"/>
  <c r="F853" i="79" s="1"/>
  <c r="BA132" i="68"/>
  <c r="F840" i="79" s="1"/>
  <c r="BB131" i="68"/>
  <c r="BA131" i="68"/>
  <c r="BB130" i="68"/>
  <c r="H673" i="79" s="1"/>
  <c r="BA130" i="68"/>
  <c r="G673" i="79" s="1"/>
  <c r="AY130" i="68"/>
  <c r="E673" i="79" s="1"/>
  <c r="BB129" i="68"/>
  <c r="H670" i="79" s="1"/>
  <c r="BA129" i="68"/>
  <c r="G670" i="79" s="1"/>
  <c r="AY129" i="68"/>
  <c r="E670" i="79" s="1"/>
  <c r="AY131" i="68"/>
  <c r="BA127" i="68"/>
  <c r="G657" i="79" s="1"/>
  <c r="AY128" i="68"/>
  <c r="E702" i="79" s="1"/>
  <c r="AY127" i="68"/>
  <c r="E657" i="79" s="1"/>
  <c r="P27" i="85"/>
  <c r="P49" i="85" s="1"/>
  <c r="C28" i="85" s="1"/>
  <c r="K27" i="85"/>
  <c r="K49" i="85" s="1"/>
  <c r="C27" i="85" s="1"/>
  <c r="E692" i="79" l="1"/>
  <c r="T131" i="68"/>
  <c r="P692" i="79" s="1"/>
  <c r="W131" i="68"/>
  <c r="S692" i="79" s="1"/>
  <c r="H692" i="79"/>
  <c r="G875" i="79"/>
  <c r="W135" i="68"/>
  <c r="R875" i="79" s="1"/>
  <c r="BB127" i="68"/>
  <c r="H657" i="79" s="1"/>
  <c r="W129" i="68"/>
  <c r="S670" i="79" s="1"/>
  <c r="V130" i="68"/>
  <c r="R673" i="79" s="1"/>
  <c r="BA128" i="68"/>
  <c r="BB132" i="68"/>
  <c r="G840" i="79" s="1"/>
  <c r="BB137" i="68"/>
  <c r="I475" i="79" s="1"/>
  <c r="V129" i="68"/>
  <c r="R670" i="79" s="1"/>
  <c r="T138" i="68"/>
  <c r="Q488" i="79" s="1"/>
  <c r="W134" i="68"/>
  <c r="R856" i="79" s="1"/>
  <c r="G692" i="79"/>
  <c r="V131" i="68"/>
  <c r="R692" i="79" s="1"/>
  <c r="F875" i="79"/>
  <c r="V135" i="68"/>
  <c r="Q875" i="79" s="1"/>
  <c r="W133" i="68"/>
  <c r="R853" i="79" s="1"/>
  <c r="W138" i="68"/>
  <c r="T488" i="79" s="1"/>
  <c r="S138" i="68"/>
  <c r="P488" i="79" s="1"/>
  <c r="T130" i="68"/>
  <c r="P673" i="79" s="1"/>
  <c r="V134" i="68"/>
  <c r="Q856" i="79" s="1"/>
  <c r="D28" i="85"/>
  <c r="F28" i="85" s="1"/>
  <c r="F39" i="85" s="1"/>
  <c r="G702" i="79" l="1"/>
  <c r="BB128" i="68"/>
  <c r="H702" i="79" s="1"/>
  <c r="N184" i="79"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Z576" i="79" s="1"/>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42" i="44"/>
  <c r="K123" i="45"/>
  <c r="O28" i="44"/>
  <c r="H130" i="47"/>
  <c r="H131" i="47"/>
  <c r="H129" i="47"/>
  <c r="L53" i="44" l="1"/>
  <c r="K53" i="44"/>
  <c r="AL531" i="46"/>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D50" i="44" s="1"/>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J53" i="44" l="1"/>
  <c r="I53" i="44"/>
  <c r="I50" i="44"/>
  <c r="G53" i="44"/>
  <c r="G50" i="44"/>
  <c r="H53" i="44"/>
  <c r="H50" i="44"/>
  <c r="E53" i="44"/>
  <c r="E50" i="44"/>
  <c r="F53" i="44"/>
  <c r="F50" i="44"/>
  <c r="AC578" i="79"/>
  <c r="AC577" i="79"/>
  <c r="AC576" i="79"/>
  <c r="D53" i="44"/>
  <c r="AD212" i="79"/>
  <c r="AD208" i="79"/>
  <c r="AD211" i="79"/>
  <c r="AD210" i="79"/>
  <c r="AD209" i="79"/>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D122" i="45" l="1"/>
  <c r="E122" i="45"/>
  <c r="F122" i="45"/>
  <c r="G122" i="45"/>
  <c r="H122" i="45"/>
  <c r="I122" i="45"/>
  <c r="C122" i="45"/>
  <c r="O17" i="45" l="1"/>
  <c r="N17" i="45"/>
  <c r="N23" i="45" s="1"/>
  <c r="M17" i="45"/>
  <c r="M23" i="45" s="1"/>
  <c r="L17" i="45"/>
  <c r="L23" i="45" s="1"/>
  <c r="N60" i="46"/>
  <c r="N57" i="46"/>
  <c r="AD140" i="46" l="1"/>
  <c r="AB135" i="46"/>
  <c r="AD127" i="46"/>
  <c r="AD143" i="46"/>
  <c r="AD136" i="46"/>
  <c r="AD141" i="46"/>
  <c r="AD139" i="46"/>
  <c r="AD137" i="46"/>
  <c r="AA127" i="46"/>
  <c r="AD138" i="46"/>
  <c r="AD142" i="46"/>
  <c r="AD135"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E23" i="45" s="1"/>
  <c r="J37" i="45" l="1"/>
  <c r="J23" i="45"/>
  <c r="J30" i="45"/>
  <c r="K23" i="45"/>
  <c r="C130" i="45" s="1"/>
  <c r="E30" i="45"/>
  <c r="D124" i="45" s="1"/>
  <c r="C124" i="45"/>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F138" i="43" s="1"/>
  <c r="L129" i="45"/>
  <c r="AF516" i="46"/>
  <c r="J127" i="45"/>
  <c r="H130" i="45"/>
  <c r="C133" i="45"/>
  <c r="Y1113" i="79" s="1"/>
  <c r="N130" i="45"/>
  <c r="AG258" i="46"/>
  <c r="AG259" i="46" s="1"/>
  <c r="K125" i="45"/>
  <c r="K128" i="45"/>
  <c r="AJ516" i="46"/>
  <c r="AJ520" i="46" s="1"/>
  <c r="N127" i="45"/>
  <c r="K126" i="45"/>
  <c r="AG387" i="46" s="1"/>
  <c r="G129" i="45"/>
  <c r="E129" i="45"/>
  <c r="AA381" i="79" s="1"/>
  <c r="J125" i="45"/>
  <c r="AF258" i="46" s="1"/>
  <c r="Y258" i="46"/>
  <c r="Y259" i="46" s="1"/>
  <c r="F128" i="45"/>
  <c r="E130" i="45"/>
  <c r="L130" i="45"/>
  <c r="J128" i="45"/>
  <c r="K127" i="45"/>
  <c r="AG516" i="46" s="1"/>
  <c r="AG520" i="46" s="1"/>
  <c r="J124" i="45"/>
  <c r="AF130" i="46" s="1"/>
  <c r="AF131" i="46" s="1"/>
  <c r="I129" i="45"/>
  <c r="K124" i="45"/>
  <c r="AG130" i="46" s="1"/>
  <c r="AG131" i="46"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L124" i="45"/>
  <c r="D128" i="45"/>
  <c r="Y198" i="79"/>
  <c r="AI130" i="46"/>
  <c r="AI131" i="46" s="1"/>
  <c r="AJ130" i="46"/>
  <c r="AJ131" i="46" s="1"/>
  <c r="AJ387" i="46"/>
  <c r="AJ389" i="46" s="1"/>
  <c r="AI258" i="46"/>
  <c r="AI260" i="46" s="1"/>
  <c r="AJ258" i="46"/>
  <c r="AJ260" i="46" s="1"/>
  <c r="Y128" i="46"/>
  <c r="AL387" i="46"/>
  <c r="AL389" i="46" s="1"/>
  <c r="AL258" i="46"/>
  <c r="AK258" i="46"/>
  <c r="AK516" i="46"/>
  <c r="AK520" i="46" s="1"/>
  <c r="AL516" i="46"/>
  <c r="AL520" i="46" s="1"/>
  <c r="AL130" i="46"/>
  <c r="AL131" i="46" s="1"/>
  <c r="AK130" i="46"/>
  <c r="AK131" i="46"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64" i="79" l="1"/>
  <c r="AK573" i="79" s="1"/>
  <c r="P73" i="43" s="1"/>
  <c r="Y522" i="46"/>
  <c r="AD522" i="46"/>
  <c r="Y1123" i="79"/>
  <c r="F151" i="43" s="1"/>
  <c r="AI517" i="46"/>
  <c r="AI520" i="46"/>
  <c r="AF518" i="46"/>
  <c r="AF520" i="46"/>
  <c r="Y518" i="46"/>
  <c r="Y517" i="46"/>
  <c r="Y519" i="46"/>
  <c r="Y520" i="46"/>
  <c r="AA522" i="46"/>
  <c r="AH518" i="46"/>
  <c r="AH520" i="46"/>
  <c r="AJ564" i="79"/>
  <c r="AA198" i="79"/>
  <c r="AB198" i="79"/>
  <c r="AJ381" i="79"/>
  <c r="AH564" i="79"/>
  <c r="AL381" i="79"/>
  <c r="AL387" i="79" s="1"/>
  <c r="AC198" i="79"/>
  <c r="AC201" i="79" s="1"/>
  <c r="AK381" i="79"/>
  <c r="AF381" i="79"/>
  <c r="AI564" i="79"/>
  <c r="AI573" i="79" s="1"/>
  <c r="N73" i="43" s="1"/>
  <c r="AL564" i="79"/>
  <c r="AE564" i="79"/>
  <c r="AG564" i="79"/>
  <c r="AG381" i="79"/>
  <c r="AG389" i="79" s="1"/>
  <c r="L70" i="43" s="1"/>
  <c r="AD381" i="79"/>
  <c r="AB564" i="79"/>
  <c r="Z198" i="79"/>
  <c r="AB381" i="79"/>
  <c r="Z381" i="79"/>
  <c r="AC381" i="79"/>
  <c r="AD930" i="79"/>
  <c r="AH930" i="79"/>
  <c r="AH941" i="79" s="1"/>
  <c r="M79" i="43" s="1"/>
  <c r="AJ930" i="79"/>
  <c r="AJ941" i="79" s="1"/>
  <c r="O79" i="43" s="1"/>
  <c r="AI930" i="79"/>
  <c r="AI941" i="79" s="1"/>
  <c r="N79" i="43" s="1"/>
  <c r="Z930" i="79"/>
  <c r="Z941" i="79" s="1"/>
  <c r="E79" i="43" s="1"/>
  <c r="G145" i="43" s="1"/>
  <c r="AK930" i="79"/>
  <c r="AK941" i="79" s="1"/>
  <c r="P79" i="43" s="1"/>
  <c r="AL930" i="79"/>
  <c r="AE930" i="79"/>
  <c r="AE941" i="79" s="1"/>
  <c r="J79" i="43" s="1"/>
  <c r="AF930" i="79"/>
  <c r="AC930" i="79"/>
  <c r="AC941" i="79" s="1"/>
  <c r="H79" i="43" s="1"/>
  <c r="AA930" i="79"/>
  <c r="AA941" i="79" s="1"/>
  <c r="F79" i="43" s="1"/>
  <c r="H145" i="43" s="1"/>
  <c r="AB930" i="79"/>
  <c r="AB941" i="79" s="1"/>
  <c r="G79" i="43" s="1"/>
  <c r="AG930" i="79"/>
  <c r="AG941" i="79" s="1"/>
  <c r="L79" i="43" s="1"/>
  <c r="Y1120" i="79"/>
  <c r="F148" i="43" s="1"/>
  <c r="Z564" i="79"/>
  <c r="Y930" i="79"/>
  <c r="AA564" i="79"/>
  <c r="AA571" i="79" s="1"/>
  <c r="H133" i="43"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G151" i="43" s="1"/>
  <c r="AA1113" i="79"/>
  <c r="AC564" i="79"/>
  <c r="AC570" i="79" s="1"/>
  <c r="AE199" i="79"/>
  <c r="AD198" i="79"/>
  <c r="AD201" i="79" s="1"/>
  <c r="AE381" i="79"/>
  <c r="AD564" i="79"/>
  <c r="AE203" i="79"/>
  <c r="AL747" i="79"/>
  <c r="AL757" i="79" s="1"/>
  <c r="Q76" i="43" s="1"/>
  <c r="AE747" i="79"/>
  <c r="AE757" i="79" s="1"/>
  <c r="J76" i="43" s="1"/>
  <c r="AI747" i="79"/>
  <c r="AG747" i="79"/>
  <c r="AF747" i="79"/>
  <c r="AF757" i="79" s="1"/>
  <c r="K76" i="43" s="1"/>
  <c r="Z747" i="79"/>
  <c r="Z757" i="79" s="1"/>
  <c r="E76" i="43" s="1"/>
  <c r="G139" i="43" s="1"/>
  <c r="AD747" i="79"/>
  <c r="AC747" i="79"/>
  <c r="AC757" i="79" s="1"/>
  <c r="H76" i="43" s="1"/>
  <c r="AJ747" i="79"/>
  <c r="AJ757" i="79" s="1"/>
  <c r="O76" i="43" s="1"/>
  <c r="AH747" i="79"/>
  <c r="AH757" i="79" s="1"/>
  <c r="M76" i="43" s="1"/>
  <c r="AA747" i="79"/>
  <c r="AA757" i="79" s="1"/>
  <c r="F76" i="43" s="1"/>
  <c r="H139" i="43" s="1"/>
  <c r="AB747" i="79"/>
  <c r="AB757" i="79" s="1"/>
  <c r="G76" i="43" s="1"/>
  <c r="AK747" i="79"/>
  <c r="AE200" i="79"/>
  <c r="AH132" i="46"/>
  <c r="AG198" i="79"/>
  <c r="AG202" i="79" s="1"/>
  <c r="AE201" i="79"/>
  <c r="AF564" i="79"/>
  <c r="Y381" i="79"/>
  <c r="Y389" i="79" s="1"/>
  <c r="AF198" i="79"/>
  <c r="AF201" i="79" s="1"/>
  <c r="AH381" i="79"/>
  <c r="AH389" i="79" s="1"/>
  <c r="M70" i="43" s="1"/>
  <c r="AH519" i="46"/>
  <c r="AG262" i="46"/>
  <c r="AI518" i="46"/>
  <c r="AH517" i="46"/>
  <c r="AG260" i="46"/>
  <c r="AG261" i="46" s="1"/>
  <c r="AI519" i="46"/>
  <c r="AI522" i="46"/>
  <c r="AH522" i="46"/>
  <c r="AG389" i="46"/>
  <c r="AG390" i="46"/>
  <c r="AG388" i="46"/>
  <c r="AI198" i="79"/>
  <c r="AI199" i="79" s="1"/>
  <c r="AJ198" i="79"/>
  <c r="AJ203" i="79" s="1"/>
  <c r="AK198" i="79"/>
  <c r="AK201" i="79" s="1"/>
  <c r="AL198" i="79"/>
  <c r="AL203" i="79" s="1"/>
  <c r="AH198" i="79"/>
  <c r="AH205" i="79" s="1"/>
  <c r="M67" i="43" s="1"/>
  <c r="AA387" i="79"/>
  <c r="H129" i="43" s="1"/>
  <c r="AF132" i="46"/>
  <c r="AJ522" i="46"/>
  <c r="Y754" i="79"/>
  <c r="F137" i="43" s="1"/>
  <c r="Y753" i="79"/>
  <c r="F136" i="43" s="1"/>
  <c r="AF260" i="46"/>
  <c r="AF259" i="46"/>
  <c r="AJ517" i="46"/>
  <c r="AJ519" i="46"/>
  <c r="AJ518" i="46"/>
  <c r="Y1121" i="79"/>
  <c r="F149" i="43" s="1"/>
  <c r="Y1119" i="79"/>
  <c r="F147" i="43" s="1"/>
  <c r="Y1122" i="79"/>
  <c r="F150" i="43" s="1"/>
  <c r="AF389" i="46"/>
  <c r="AF390" i="46"/>
  <c r="AF388" i="46"/>
  <c r="AH260" i="46"/>
  <c r="AH259" i="46"/>
  <c r="AG519" i="46"/>
  <c r="AG517" i="46"/>
  <c r="AG518" i="46"/>
  <c r="AF262" i="46"/>
  <c r="Y1125" i="79"/>
  <c r="AF517" i="46"/>
  <c r="AK387" i="46"/>
  <c r="AK389" i="46" s="1"/>
  <c r="AH262" i="46"/>
  <c r="AH387" i="46"/>
  <c r="AH392" i="46" s="1"/>
  <c r="AG132" i="46"/>
  <c r="AA389" i="79"/>
  <c r="F70" i="43" s="1"/>
  <c r="H130" i="43" s="1"/>
  <c r="AF522" i="46"/>
  <c r="AF519" i="46"/>
  <c r="AI381" i="79"/>
  <c r="AG522" i="46"/>
  <c r="Y757" i="79"/>
  <c r="AJ390" i="46"/>
  <c r="AI390" i="46"/>
  <c r="Y202" i="79"/>
  <c r="F125" i="43" s="1"/>
  <c r="Y200" i="79"/>
  <c r="F123" i="43" s="1"/>
  <c r="Y201" i="79"/>
  <c r="F124" i="43" s="1"/>
  <c r="AJ388" i="46"/>
  <c r="Y205" i="79"/>
  <c r="AI132" i="46"/>
  <c r="AJ132" i="46"/>
  <c r="AI388" i="46"/>
  <c r="AI259" i="46"/>
  <c r="AI261" i="46" s="1"/>
  <c r="AI262" i="46"/>
  <c r="AJ262" i="46"/>
  <c r="AJ259" i="46"/>
  <c r="AJ261" i="46"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AK132" i="46"/>
  <c r="AK262" i="46"/>
  <c r="AL262" i="46"/>
  <c r="AL522" i="46"/>
  <c r="AK517" i="46"/>
  <c r="AL390" i="46"/>
  <c r="AL388" i="46"/>
  <c r="AK522" i="46"/>
  <c r="AK260" i="46"/>
  <c r="AK259" i="46"/>
  <c r="AL517" i="46"/>
  <c r="AL260" i="46"/>
  <c r="AL259" i="46"/>
  <c r="Y260" i="46"/>
  <c r="AC262" i="46"/>
  <c r="AC390" i="46"/>
  <c r="AD390" i="46"/>
  <c r="Z517" i="46"/>
  <c r="Z522" i="46"/>
  <c r="AD517" i="46"/>
  <c r="AB522" i="46"/>
  <c r="AB517" i="46"/>
  <c r="AA517" i="46"/>
  <c r="AE522" i="46"/>
  <c r="AE517" i="46"/>
  <c r="AC522" i="46"/>
  <c r="AC517" i="46"/>
  <c r="AB259" i="46"/>
  <c r="AB261" i="46" s="1"/>
  <c r="AE260" i="46"/>
  <c r="AE261" i="46" s="1"/>
  <c r="AB390" i="46"/>
  <c r="AE262" i="46"/>
  <c r="AD262" i="46"/>
  <c r="AB388" i="46"/>
  <c r="AD259" i="46"/>
  <c r="AD261" i="46" s="1"/>
  <c r="AD392" i="46"/>
  <c r="AA390" i="46"/>
  <c r="AC388" i="46"/>
  <c r="AC260" i="46"/>
  <c r="AC261" i="46" s="1"/>
  <c r="AC392" i="46"/>
  <c r="AA392" i="46"/>
  <c r="AB392" i="46"/>
  <c r="AB262" i="46"/>
  <c r="AA260" i="46"/>
  <c r="AA261" i="46" s="1"/>
  <c r="AA262" i="46"/>
  <c r="Y262" i="46"/>
  <c r="AF392" i="46"/>
  <c r="AG392" i="46"/>
  <c r="AJ392" i="46"/>
  <c r="AI392" i="46"/>
  <c r="AL392" i="46"/>
  <c r="AD132" i="46"/>
  <c r="AA132" i="46"/>
  <c r="AB132" i="46"/>
  <c r="AC132" i="46"/>
  <c r="AE132" i="46"/>
  <c r="AE205" i="79"/>
  <c r="J67" i="43" s="1"/>
  <c r="AE392" i="46"/>
  <c r="AE390" i="46"/>
  <c r="AE388" i="46"/>
  <c r="Y132" i="46"/>
  <c r="Y131" i="46"/>
  <c r="Y392" i="46"/>
  <c r="Y390" i="46"/>
  <c r="Y199" i="79"/>
  <c r="F122" i="43" s="1"/>
  <c r="Y203" i="79"/>
  <c r="F126" i="43" s="1"/>
  <c r="Z262" i="46"/>
  <c r="Z260" i="46"/>
  <c r="Z259" i="46"/>
  <c r="Z392" i="46"/>
  <c r="Z390" i="46"/>
  <c r="Z388" i="46"/>
  <c r="AC131" i="46"/>
  <c r="AA131" i="46"/>
  <c r="AB131" i="46"/>
  <c r="Z131" i="46"/>
  <c r="Z132" i="46"/>
  <c r="H131" i="43" l="1"/>
  <c r="F112" i="43" s="1"/>
  <c r="AK571" i="79"/>
  <c r="AK570" i="79"/>
  <c r="Y756" i="79"/>
  <c r="D75" i="43" s="1"/>
  <c r="T18" i="47"/>
  <c r="P20" i="47"/>
  <c r="Q15" i="47"/>
  <c r="S23" i="47"/>
  <c r="U17" i="47"/>
  <c r="R26" i="47"/>
  <c r="AB570" i="79"/>
  <c r="AB201" i="79"/>
  <c r="AB202" i="79"/>
  <c r="AA199" i="79"/>
  <c r="H122" i="43" s="1"/>
  <c r="AA202" i="79"/>
  <c r="H125" i="43" s="1"/>
  <c r="AA203" i="79"/>
  <c r="H126" i="43" s="1"/>
  <c r="AD573" i="79"/>
  <c r="I73" i="43" s="1"/>
  <c r="Z202" i="79"/>
  <c r="G125" i="43" s="1"/>
  <c r="Z203" i="79"/>
  <c r="G126" i="43" s="1"/>
  <c r="AJ570" i="79"/>
  <c r="AJ573" i="79"/>
  <c r="O73" i="43" s="1"/>
  <c r="AM522" i="46"/>
  <c r="F104" i="43" s="1"/>
  <c r="Y570" i="79"/>
  <c r="F132" i="43" s="1"/>
  <c r="Y571" i="79"/>
  <c r="F133" i="43" s="1"/>
  <c r="Z570" i="79"/>
  <c r="G132" i="43" s="1"/>
  <c r="Y521" i="46"/>
  <c r="V21" i="47"/>
  <c r="AM259" i="46"/>
  <c r="Z1125" i="79"/>
  <c r="E82" i="43" s="1"/>
  <c r="G152" i="43" s="1"/>
  <c r="D70" i="43"/>
  <c r="F130" i="43" s="1"/>
  <c r="AM131" i="46"/>
  <c r="C93" i="43" s="1"/>
  <c r="AM262" i="46"/>
  <c r="D104" i="43" s="1"/>
  <c r="AM518" i="46"/>
  <c r="D76" i="43"/>
  <c r="F139" i="43" s="1"/>
  <c r="I139" i="43" s="1"/>
  <c r="AM132" i="46"/>
  <c r="C104" i="43" s="1"/>
  <c r="AM520" i="46"/>
  <c r="AM260" i="46"/>
  <c r="AM519" i="46"/>
  <c r="D67" i="43"/>
  <c r="F127" i="43" s="1"/>
  <c r="AM517" i="46"/>
  <c r="R18" i="47"/>
  <c r="R17" i="47"/>
  <c r="R20" i="47"/>
  <c r="R21" i="47"/>
  <c r="R16" i="47"/>
  <c r="AE389" i="79"/>
  <c r="J70" i="43" s="1"/>
  <c r="R22" i="47"/>
  <c r="AB200" i="79"/>
  <c r="AC202" i="79"/>
  <c r="AG570" i="79"/>
  <c r="AC205" i="79"/>
  <c r="H67" i="43" s="1"/>
  <c r="AC200" i="79"/>
  <c r="AB203" i="79"/>
  <c r="AL573" i="79"/>
  <c r="Q73" i="43" s="1"/>
  <c r="AB205" i="79"/>
  <c r="G67" i="43" s="1"/>
  <c r="AD389" i="79"/>
  <c r="I70" i="43" s="1"/>
  <c r="Z387" i="79"/>
  <c r="G129" i="43" s="1"/>
  <c r="AB199" i="79"/>
  <c r="AK203" i="79"/>
  <c r="AA200" i="79"/>
  <c r="H123" i="43" s="1"/>
  <c r="AA205" i="79"/>
  <c r="F67" i="43" s="1"/>
  <c r="H127" i="43" s="1"/>
  <c r="AB387" i="79"/>
  <c r="AB389" i="79"/>
  <c r="G70" i="43" s="1"/>
  <c r="AI570" i="79"/>
  <c r="AK202" i="79"/>
  <c r="R19" i="47"/>
  <c r="R24" i="47"/>
  <c r="R25" i="47"/>
  <c r="R23" i="47"/>
  <c r="R15" i="47"/>
  <c r="AG573" i="79"/>
  <c r="L73" i="43" s="1"/>
  <c r="AG571" i="79"/>
  <c r="AA201" i="79"/>
  <c r="H124" i="43" s="1"/>
  <c r="AH573" i="79"/>
  <c r="M73" i="43" s="1"/>
  <c r="AA573" i="79"/>
  <c r="F73" i="43" s="1"/>
  <c r="H134" i="43" s="1"/>
  <c r="AA570" i="79"/>
  <c r="H132" i="43" s="1"/>
  <c r="AG200" i="79"/>
  <c r="AK390" i="46"/>
  <c r="AL201" i="79"/>
  <c r="AK389" i="79"/>
  <c r="P70" i="43" s="1"/>
  <c r="AL202" i="79"/>
  <c r="AB571" i="79"/>
  <c r="AH387" i="79"/>
  <c r="AG205" i="79"/>
  <c r="L67" i="43" s="1"/>
  <c r="AD200" i="79"/>
  <c r="AG387" i="79"/>
  <c r="AK387" i="79"/>
  <c r="AL389" i="79"/>
  <c r="Q70" i="43" s="1"/>
  <c r="AJ387" i="79"/>
  <c r="AF573" i="79"/>
  <c r="K73" i="43" s="1"/>
  <c r="AB573" i="79"/>
  <c r="G73" i="43" s="1"/>
  <c r="AG199" i="79"/>
  <c r="Y941" i="79"/>
  <c r="Q19" i="47"/>
  <c r="Q24" i="47"/>
  <c r="AD205" i="79"/>
  <c r="I67" i="43" s="1"/>
  <c r="AD203" i="79"/>
  <c r="AG203" i="79"/>
  <c r="Y937" i="79"/>
  <c r="F142" i="43" s="1"/>
  <c r="AI521" i="46"/>
  <c r="AG201" i="79"/>
  <c r="AH521" i="46"/>
  <c r="Q26" i="47"/>
  <c r="AK205" i="79"/>
  <c r="P67" i="43" s="1"/>
  <c r="AF200" i="79"/>
  <c r="AJ571" i="79"/>
  <c r="AF387" i="79"/>
  <c r="AF571" i="79"/>
  <c r="Z199" i="79"/>
  <c r="G122" i="43" s="1"/>
  <c r="AF570" i="79"/>
  <c r="Z201" i="79"/>
  <c r="G124" i="43" s="1"/>
  <c r="AJ389" i="79"/>
  <c r="O70" i="43" s="1"/>
  <c r="Z200" i="79"/>
  <c r="G123" i="43" s="1"/>
  <c r="AD570" i="79"/>
  <c r="Y938" i="79"/>
  <c r="F143" i="43" s="1"/>
  <c r="AF202" i="79"/>
  <c r="Q31" i="47"/>
  <c r="AE573" i="79"/>
  <c r="J73" i="43" s="1"/>
  <c r="Q17" i="47"/>
  <c r="AK200" i="79"/>
  <c r="AL571" i="79"/>
  <c r="Z389" i="79"/>
  <c r="E70" i="43" s="1"/>
  <c r="G130" i="43" s="1"/>
  <c r="AC199" i="79"/>
  <c r="AC387" i="79"/>
  <c r="AE570" i="79"/>
  <c r="AC389" i="79"/>
  <c r="H70" i="43" s="1"/>
  <c r="AI571" i="79"/>
  <c r="Z205" i="79"/>
  <c r="E67" i="43" s="1"/>
  <c r="G127" i="43" s="1"/>
  <c r="Q21" i="47"/>
  <c r="AL570" i="79"/>
  <c r="AC573" i="79"/>
  <c r="H73" i="43" s="1"/>
  <c r="AC203" i="79"/>
  <c r="Y939" i="79"/>
  <c r="F144" i="43" s="1"/>
  <c r="AK199" i="79"/>
  <c r="AF389" i="79"/>
  <c r="K70" i="43" s="1"/>
  <c r="AG521" i="46"/>
  <c r="AF261" i="46"/>
  <c r="AE571" i="79"/>
  <c r="AD387" i="79"/>
  <c r="AC571" i="79"/>
  <c r="AD571" i="79"/>
  <c r="D73" i="43"/>
  <c r="F134" i="43" s="1"/>
  <c r="AH571" i="79"/>
  <c r="AH570" i="79"/>
  <c r="AA1120" i="79"/>
  <c r="H148" i="43" s="1"/>
  <c r="AA1119" i="79"/>
  <c r="H147" i="43" s="1"/>
  <c r="AA1122" i="79"/>
  <c r="H150" i="43" s="1"/>
  <c r="AA1121" i="79"/>
  <c r="H149" i="43" s="1"/>
  <c r="AA1123" i="79"/>
  <c r="H151" i="43" s="1"/>
  <c r="I151" i="43" s="1"/>
  <c r="AI387" i="79"/>
  <c r="Z573" i="79"/>
  <c r="E73" i="43" s="1"/>
  <c r="G134" i="43" s="1"/>
  <c r="Z754" i="79"/>
  <c r="G137" i="43" s="1"/>
  <c r="Z753" i="79"/>
  <c r="G136" i="43" s="1"/>
  <c r="Z755" i="79"/>
  <c r="G138" i="43" s="1"/>
  <c r="Z1120" i="79"/>
  <c r="G148" i="43" s="1"/>
  <c r="Z1119" i="79"/>
  <c r="G147" i="43" s="1"/>
  <c r="Z1121" i="79"/>
  <c r="G149" i="43" s="1"/>
  <c r="Z1122" i="79"/>
  <c r="G150" i="43" s="1"/>
  <c r="AG1123" i="79"/>
  <c r="AG1122" i="79"/>
  <c r="AG1119" i="79"/>
  <c r="AG1120" i="79"/>
  <c r="AG1121" i="79"/>
  <c r="AF936" i="79"/>
  <c r="AF938" i="79"/>
  <c r="AF939" i="79"/>
  <c r="AF937" i="79"/>
  <c r="AD938" i="79"/>
  <c r="AD937" i="79"/>
  <c r="AD936" i="79"/>
  <c r="AD939" i="79"/>
  <c r="AK392" i="46"/>
  <c r="AK388" i="46"/>
  <c r="AL205" i="79"/>
  <c r="Q67" i="43" s="1"/>
  <c r="AK753" i="79"/>
  <c r="AK754" i="79"/>
  <c r="AK755" i="79"/>
  <c r="AF755" i="79"/>
  <c r="AF753" i="79"/>
  <c r="AF754" i="79"/>
  <c r="AD1120" i="79"/>
  <c r="AD1122" i="79"/>
  <c r="AD1121" i="79"/>
  <c r="AD1119" i="79"/>
  <c r="AD1123" i="79"/>
  <c r="AL1122" i="79"/>
  <c r="AL1123" i="79"/>
  <c r="AL1121" i="79"/>
  <c r="AL1120" i="79"/>
  <c r="AL1119" i="79"/>
  <c r="AE937" i="79"/>
  <c r="AE939" i="79"/>
  <c r="AE938" i="79"/>
  <c r="AE936" i="79"/>
  <c r="AC937" i="79"/>
  <c r="AC938" i="79"/>
  <c r="AC936" i="79"/>
  <c r="AC939" i="79"/>
  <c r="AB753" i="79"/>
  <c r="AB755" i="79"/>
  <c r="AB754" i="79"/>
  <c r="AG755" i="79"/>
  <c r="AG753" i="79"/>
  <c r="AG754" i="79"/>
  <c r="AE387" i="79"/>
  <c r="AB1121" i="79"/>
  <c r="AB1122" i="79"/>
  <c r="AB1123" i="79"/>
  <c r="AB1120" i="79"/>
  <c r="AB1119" i="79"/>
  <c r="AI1123" i="79"/>
  <c r="AI1119" i="79"/>
  <c r="AI1120" i="79"/>
  <c r="AI1121" i="79"/>
  <c r="AI1122" i="79"/>
  <c r="AL939" i="79"/>
  <c r="AL936" i="79"/>
  <c r="AL937" i="79"/>
  <c r="AL938" i="79"/>
  <c r="AF205" i="79"/>
  <c r="K67" i="43" s="1"/>
  <c r="AA754" i="79"/>
  <c r="H137" i="43" s="1"/>
  <c r="AA755" i="79"/>
  <c r="H138" i="43" s="1"/>
  <c r="AA753" i="79"/>
  <c r="H136" i="43" s="1"/>
  <c r="AI754" i="79"/>
  <c r="AI755" i="79"/>
  <c r="AI753" i="79"/>
  <c r="AD202" i="79"/>
  <c r="AD199" i="79"/>
  <c r="AF941" i="79"/>
  <c r="K79" i="43" s="1"/>
  <c r="AE1122" i="79"/>
  <c r="AE1121" i="79"/>
  <c r="AE1120" i="79"/>
  <c r="AE1119" i="79"/>
  <c r="AE1123" i="79"/>
  <c r="AJ1121" i="79"/>
  <c r="AJ1122" i="79"/>
  <c r="AJ1120" i="79"/>
  <c r="AJ1123" i="79"/>
  <c r="AJ1119" i="79"/>
  <c r="AK938" i="79"/>
  <c r="AK937" i="79"/>
  <c r="AK939" i="79"/>
  <c r="AK936" i="79"/>
  <c r="AD755" i="79"/>
  <c r="AD754" i="79"/>
  <c r="AD753" i="79"/>
  <c r="AK1119" i="79"/>
  <c r="AK1123" i="79"/>
  <c r="AK1120" i="79"/>
  <c r="AK1122" i="79"/>
  <c r="AK1121" i="79"/>
  <c r="AH755" i="79"/>
  <c r="AH754" i="79"/>
  <c r="AH753" i="79"/>
  <c r="AL941" i="79"/>
  <c r="Q79" i="43" s="1"/>
  <c r="Z937" i="79"/>
  <c r="G142" i="43" s="1"/>
  <c r="Z938" i="79"/>
  <c r="G143" i="43" s="1"/>
  <c r="Z939" i="79"/>
  <c r="G144" i="43" s="1"/>
  <c r="Z936" i="79"/>
  <c r="G141" i="43" s="1"/>
  <c r="AI389" i="79"/>
  <c r="N70" i="43" s="1"/>
  <c r="AF203" i="79"/>
  <c r="Y387" i="79"/>
  <c r="F129" i="43" s="1"/>
  <c r="AJ753" i="79"/>
  <c r="AJ754" i="79"/>
  <c r="AJ755" i="79"/>
  <c r="AL754" i="79"/>
  <c r="AL755" i="79"/>
  <c r="AL753" i="79"/>
  <c r="AG1125" i="79"/>
  <c r="L82" i="43" s="1"/>
  <c r="AK757" i="79"/>
  <c r="P76" i="43" s="1"/>
  <c r="AF1121" i="79"/>
  <c r="AF1120" i="79"/>
  <c r="AF1123" i="79"/>
  <c r="AF1119" i="79"/>
  <c r="AF1122" i="79"/>
  <c r="AB938" i="79"/>
  <c r="AB937" i="79"/>
  <c r="AB936" i="79"/>
  <c r="AB939" i="79"/>
  <c r="AI937" i="79"/>
  <c r="AI938" i="79"/>
  <c r="AI936" i="79"/>
  <c r="AI939" i="79"/>
  <c r="AG757" i="79"/>
  <c r="L76" i="43" s="1"/>
  <c r="AE755" i="79"/>
  <c r="AE753" i="79"/>
  <c r="AE754" i="79"/>
  <c r="AC1122" i="79"/>
  <c r="AC1123" i="79"/>
  <c r="AC1120" i="79"/>
  <c r="AC1119" i="79"/>
  <c r="AC1121" i="79"/>
  <c r="AG936" i="79"/>
  <c r="AG938" i="79"/>
  <c r="AG939" i="79"/>
  <c r="AG937" i="79"/>
  <c r="AD941" i="79"/>
  <c r="I79" i="43" s="1"/>
  <c r="AF199" i="79"/>
  <c r="Z571" i="79"/>
  <c r="G133" i="43" s="1"/>
  <c r="AA1125" i="79"/>
  <c r="F82" i="43" s="1"/>
  <c r="H152" i="43" s="1"/>
  <c r="AD757" i="79"/>
  <c r="I76" i="43" s="1"/>
  <c r="AC753" i="79"/>
  <c r="AC754" i="79"/>
  <c r="AC755" i="79"/>
  <c r="AI1125" i="79"/>
  <c r="N82" i="43" s="1"/>
  <c r="AF1125" i="79"/>
  <c r="K82" i="43" s="1"/>
  <c r="AH1123" i="79"/>
  <c r="AH1121" i="79"/>
  <c r="AH1122" i="79"/>
  <c r="AH1120" i="79"/>
  <c r="AH1119" i="79"/>
  <c r="Y936" i="79"/>
  <c r="F141" i="43" s="1"/>
  <c r="AA939" i="79"/>
  <c r="H144" i="43" s="1"/>
  <c r="AA937" i="79"/>
  <c r="H142" i="43" s="1"/>
  <c r="AA936" i="79"/>
  <c r="H141" i="43" s="1"/>
  <c r="AA938" i="79"/>
  <c r="H143" i="43" s="1"/>
  <c r="AJ937" i="79"/>
  <c r="AJ938" i="79"/>
  <c r="AJ936" i="79"/>
  <c r="AJ939" i="79"/>
  <c r="AI757" i="79"/>
  <c r="N76" i="43" s="1"/>
  <c r="AH936" i="79"/>
  <c r="AH937" i="79"/>
  <c r="AH938" i="79"/>
  <c r="AH939" i="79"/>
  <c r="P15" i="47"/>
  <c r="AI205" i="79"/>
  <c r="N67" i="43" s="1"/>
  <c r="AF391" i="46"/>
  <c r="AJ521" i="46"/>
  <c r="AF521" i="46"/>
  <c r="AH261" i="46"/>
  <c r="AA388" i="79"/>
  <c r="F69" i="43" s="1"/>
  <c r="AG391" i="46"/>
  <c r="D82" i="43"/>
  <c r="F152" i="43" s="1"/>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AI391" i="46"/>
  <c r="T24" i="47"/>
  <c r="T17" i="47"/>
  <c r="T19" i="47"/>
  <c r="T16" i="47"/>
  <c r="T22" i="47"/>
  <c r="S20" i="47"/>
  <c r="T21" i="47"/>
  <c r="T15" i="47"/>
  <c r="AJ391" i="46"/>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94" i="43"/>
  <c r="F93" i="43"/>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T37" i="47"/>
  <c r="T36" i="47"/>
  <c r="AL261" i="46"/>
  <c r="AK261" i="46"/>
  <c r="T32" i="47"/>
  <c r="T35" i="47"/>
  <c r="T38" i="47"/>
  <c r="T39" i="47"/>
  <c r="T41" i="47"/>
  <c r="T30" i="47"/>
  <c r="AL391" i="46"/>
  <c r="T34" i="47"/>
  <c r="AA391" i="46"/>
  <c r="K45" i="47" s="1"/>
  <c r="AL521" i="46"/>
  <c r="AC391" i="46"/>
  <c r="AE521" i="46"/>
  <c r="AD391" i="46"/>
  <c r="AB521" i="46"/>
  <c r="AD521" i="46"/>
  <c r="AA521" i="46"/>
  <c r="AC521" i="46"/>
  <c r="Z521" i="46"/>
  <c r="AB391" i="46"/>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AE204" i="79"/>
  <c r="J66" i="43" s="1"/>
  <c r="Z391" i="46"/>
  <c r="Z261" i="46"/>
  <c r="Y391" i="46"/>
  <c r="I150" i="43" l="1"/>
  <c r="I125" i="43"/>
  <c r="I149" i="43"/>
  <c r="I148" i="43"/>
  <c r="I152" i="43"/>
  <c r="H153" i="43"/>
  <c r="J112" i="43" s="1"/>
  <c r="I123" i="43"/>
  <c r="I147" i="43"/>
  <c r="G140" i="43"/>
  <c r="H111" i="43" s="1"/>
  <c r="I122" i="43"/>
  <c r="G153" i="43"/>
  <c r="J111" i="43" s="1"/>
  <c r="I137" i="43"/>
  <c r="H146" i="43"/>
  <c r="I112" i="43" s="1"/>
  <c r="G146" i="43"/>
  <c r="I111" i="43" s="1"/>
  <c r="H140" i="43"/>
  <c r="H112" i="43" s="1"/>
  <c r="F153" i="43"/>
  <c r="J110" i="43" s="1"/>
  <c r="J113" i="43" s="1"/>
  <c r="I144" i="43"/>
  <c r="G131" i="43"/>
  <c r="F111" i="43" s="1"/>
  <c r="G135" i="43"/>
  <c r="G111" i="43" s="1"/>
  <c r="I141" i="43"/>
  <c r="H135" i="43"/>
  <c r="G112" i="43" s="1"/>
  <c r="I143" i="43"/>
  <c r="I142" i="43"/>
  <c r="F135" i="43"/>
  <c r="G110" i="43" s="1"/>
  <c r="G113" i="43" s="1"/>
  <c r="I136" i="43"/>
  <c r="F131" i="43"/>
  <c r="F110" i="43" s="1"/>
  <c r="F113" i="43" s="1"/>
  <c r="I129" i="43"/>
  <c r="I138" i="43"/>
  <c r="I134" i="43"/>
  <c r="I130" i="43"/>
  <c r="F140" i="43"/>
  <c r="H110" i="43" s="1"/>
  <c r="H113" i="43" s="1"/>
  <c r="I124" i="43"/>
  <c r="I126" i="43"/>
  <c r="I127" i="43"/>
  <c r="F128" i="43"/>
  <c r="E110" i="43" s="1"/>
  <c r="H128" i="43"/>
  <c r="E112" i="43" s="1"/>
  <c r="E118" i="43" s="1"/>
  <c r="G128" i="43"/>
  <c r="E111" i="43" s="1"/>
  <c r="AK572" i="79"/>
  <c r="P72" i="43" s="1"/>
  <c r="S56" i="47"/>
  <c r="P39" i="47"/>
  <c r="M45" i="47"/>
  <c r="V39" i="47"/>
  <c r="R30" i="47"/>
  <c r="N51" i="47"/>
  <c r="Z756" i="79"/>
  <c r="E75" i="43" s="1"/>
  <c r="Y572" i="79"/>
  <c r="D72" i="43" s="1"/>
  <c r="AM205" i="79"/>
  <c r="G104" i="43" s="1"/>
  <c r="AD572" i="79"/>
  <c r="I72" i="43" s="1"/>
  <c r="AJ572" i="79"/>
  <c r="O72" i="43" s="1"/>
  <c r="AM521" i="46"/>
  <c r="AM523" i="46" s="1"/>
  <c r="U31" i="47"/>
  <c r="AM261" i="46"/>
  <c r="AM263" i="46" s="1"/>
  <c r="AM388" i="46"/>
  <c r="AM390" i="46"/>
  <c r="AM200" i="79"/>
  <c r="AM199" i="79"/>
  <c r="AM754" i="79"/>
  <c r="AM1122" i="79"/>
  <c r="AM1120" i="79"/>
  <c r="AM201" i="79"/>
  <c r="AM389" i="46"/>
  <c r="AM133" i="46"/>
  <c r="AM1119" i="79"/>
  <c r="AM571" i="79"/>
  <c r="AM753" i="79"/>
  <c r="AM1123" i="79"/>
  <c r="AM1121" i="79"/>
  <c r="AM202" i="79"/>
  <c r="AM203" i="79"/>
  <c r="D79" i="43"/>
  <c r="AM941" i="79"/>
  <c r="K104" i="43" s="1"/>
  <c r="AM387" i="79"/>
  <c r="R73" i="43"/>
  <c r="AM573" i="79"/>
  <c r="AM392" i="46"/>
  <c r="E104" i="43" s="1"/>
  <c r="AM937" i="79"/>
  <c r="AM389" i="79"/>
  <c r="H104" i="43" s="1"/>
  <c r="AK391" i="46"/>
  <c r="AM570" i="79"/>
  <c r="AM1125" i="79"/>
  <c r="L104" i="43" s="1"/>
  <c r="AM936" i="79"/>
  <c r="AM755" i="79"/>
  <c r="AM939" i="79"/>
  <c r="AM938" i="79"/>
  <c r="AM757" i="79"/>
  <c r="D103" i="43"/>
  <c r="C103" i="43"/>
  <c r="AB204" i="79"/>
  <c r="G66" i="43"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P46" i="47"/>
  <c r="P52" i="47"/>
  <c r="P41" i="47"/>
  <c r="J96" i="43"/>
  <c r="L95" i="43"/>
  <c r="K93" i="43"/>
  <c r="P45" i="47"/>
  <c r="P49" i="47"/>
  <c r="L102" i="43"/>
  <c r="M102" i="43" s="1"/>
  <c r="I94" i="43"/>
  <c r="AE388" i="79"/>
  <c r="J69" i="43"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J94" i="43"/>
  <c r="L97" i="43"/>
  <c r="AL756" i="79"/>
  <c r="Q75" i="43" s="1"/>
  <c r="AF756" i="79"/>
  <c r="K75" i="43" s="1"/>
  <c r="AD940" i="79"/>
  <c r="I78" i="43" s="1"/>
  <c r="J95" i="43"/>
  <c r="I96" i="43"/>
  <c r="AC756" i="79"/>
  <c r="H75" i="43" s="1"/>
  <c r="K100" i="43"/>
  <c r="AK1124" i="79"/>
  <c r="P81" i="43" s="1"/>
  <c r="AJ1124" i="79"/>
  <c r="O81" i="43" s="1"/>
  <c r="AI756" i="79"/>
  <c r="N75" i="43" s="1"/>
  <c r="AA756" i="79"/>
  <c r="F75" i="43" s="1"/>
  <c r="I97" i="43"/>
  <c r="K96" i="43"/>
  <c r="Y388" i="79"/>
  <c r="D69" i="43" s="1"/>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T63" i="47"/>
  <c r="S60" i="47"/>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K27" i="47"/>
  <c r="E117" i="43" l="1"/>
  <c r="E113" i="43"/>
  <c r="I153" i="43"/>
  <c r="I135" i="43"/>
  <c r="E30" i="43"/>
  <c r="I140" i="43"/>
  <c r="E33" i="43"/>
  <c r="E31" i="43"/>
  <c r="E32" i="43"/>
  <c r="I131" i="43"/>
  <c r="E29" i="43"/>
  <c r="E34" i="43"/>
  <c r="R79" i="43"/>
  <c r="H20" i="43" s="1"/>
  <c r="F145" i="43"/>
  <c r="I128" i="43"/>
  <c r="V180" i="47"/>
  <c r="K182" i="47"/>
  <c r="R226" i="47"/>
  <c r="O232" i="47"/>
  <c r="P226" i="47"/>
  <c r="N230" i="47"/>
  <c r="J235" i="47"/>
  <c r="J227" i="47"/>
  <c r="J216" i="47"/>
  <c r="J215" i="47"/>
  <c r="J212" i="47"/>
  <c r="J210" i="47"/>
  <c r="J200" i="47"/>
  <c r="J190" i="47"/>
  <c r="J205" i="47"/>
  <c r="J196" i="47"/>
  <c r="J180" i="47"/>
  <c r="J183" i="47"/>
  <c r="J168" i="47"/>
  <c r="J174" i="47"/>
  <c r="J173" i="47"/>
  <c r="J233" i="47"/>
  <c r="J225" i="47"/>
  <c r="J214" i="47"/>
  <c r="J211" i="47"/>
  <c r="J236" i="47"/>
  <c r="J232" i="47"/>
  <c r="J206" i="47"/>
  <c r="J198" i="47"/>
  <c r="J188" i="47"/>
  <c r="J203" i="47"/>
  <c r="J189" i="47"/>
  <c r="J191" i="47"/>
  <c r="J167" i="47"/>
  <c r="J176" i="47"/>
  <c r="J172" i="47"/>
  <c r="J231" i="47"/>
  <c r="J220" i="47"/>
  <c r="J234" i="47"/>
  <c r="J228" i="47"/>
  <c r="J230" i="47"/>
  <c r="J221" i="47"/>
  <c r="J204" i="47"/>
  <c r="J197" i="47"/>
  <c r="J186" i="47"/>
  <c r="J201" i="47"/>
  <c r="J185" i="47"/>
  <c r="J181" i="47"/>
  <c r="J171" i="47"/>
  <c r="J166" i="47"/>
  <c r="J165" i="47"/>
  <c r="J229" i="47"/>
  <c r="J218" i="47"/>
  <c r="J226" i="47"/>
  <c r="J217" i="47"/>
  <c r="J219" i="47"/>
  <c r="J213" i="47"/>
  <c r="J202" i="47"/>
  <c r="J195" i="47"/>
  <c r="J184" i="47"/>
  <c r="J199" i="47"/>
  <c r="J182" i="47"/>
  <c r="J187" i="47"/>
  <c r="J175" i="47"/>
  <c r="J170" i="47"/>
  <c r="J169" i="47"/>
  <c r="T75" i="47"/>
  <c r="T182" i="47"/>
  <c r="T168" i="47"/>
  <c r="T169" i="47"/>
  <c r="T196" i="47"/>
  <c r="T229" i="47"/>
  <c r="T181" i="47"/>
  <c r="T173" i="47"/>
  <c r="T166" i="47"/>
  <c r="T221" i="47"/>
  <c r="T170" i="47"/>
  <c r="T216" i="47"/>
  <c r="T212" i="47"/>
  <c r="S228" i="47"/>
  <c r="S236" i="47"/>
  <c r="S216" i="47"/>
  <c r="S174" i="47"/>
  <c r="S204" i="47"/>
  <c r="S195" i="47"/>
  <c r="E39" i="43"/>
  <c r="S190" i="47"/>
  <c r="S226" i="47"/>
  <c r="S227" i="47"/>
  <c r="S167" i="47"/>
  <c r="S169" i="47"/>
  <c r="S166" i="47"/>
  <c r="S217" i="47"/>
  <c r="S199" i="47"/>
  <c r="S182" i="47"/>
  <c r="S215" i="47"/>
  <c r="S165" i="47"/>
  <c r="S235" i="47"/>
  <c r="S229" i="47"/>
  <c r="S213" i="47"/>
  <c r="S183" i="47"/>
  <c r="S189" i="47"/>
  <c r="S225" i="47"/>
  <c r="S197" i="47"/>
  <c r="S198" i="47"/>
  <c r="S196" i="47"/>
  <c r="S218" i="47"/>
  <c r="S231" i="47"/>
  <c r="S175" i="47"/>
  <c r="S176" i="47"/>
  <c r="S191" i="47"/>
  <c r="S168" i="47"/>
  <c r="S172" i="47"/>
  <c r="S180" i="47"/>
  <c r="S171" i="47"/>
  <c r="S230" i="47"/>
  <c r="S202" i="47"/>
  <c r="S181" i="47"/>
  <c r="S187" i="47"/>
  <c r="S214" i="47"/>
  <c r="S186" i="47"/>
  <c r="S211" i="47"/>
  <c r="S221" i="47"/>
  <c r="Q232" i="47"/>
  <c r="Q201" i="47"/>
  <c r="Q215" i="47"/>
  <c r="Q176" i="47"/>
  <c r="Q210" i="47"/>
  <c r="Q213" i="47"/>
  <c r="Q218" i="47"/>
  <c r="Q191" i="47"/>
  <c r="Q166" i="47"/>
  <c r="Q197" i="47"/>
  <c r="Q231" i="47"/>
  <c r="Q174" i="47"/>
  <c r="Q171" i="47"/>
  <c r="Q235" i="47"/>
  <c r="Q183" i="47"/>
  <c r="Q228" i="47"/>
  <c r="Q233" i="47"/>
  <c r="Q203" i="47"/>
  <c r="Q216" i="47"/>
  <c r="Q165" i="47"/>
  <c r="Q234" i="47"/>
  <c r="Q175" i="47"/>
  <c r="Q170" i="47"/>
  <c r="Q198" i="47"/>
  <c r="Q190" i="47"/>
  <c r="Q217" i="47"/>
  <c r="Q226" i="47"/>
  <c r="Q188" i="47"/>
  <c r="Q182" i="47"/>
  <c r="Q221" i="47"/>
  <c r="Q211" i="47"/>
  <c r="Q196" i="47"/>
  <c r="Q181" i="47"/>
  <c r="Q185" i="47"/>
  <c r="Q195" i="47"/>
  <c r="Q189" i="47"/>
  <c r="Q168" i="47"/>
  <c r="Q236" i="47"/>
  <c r="Q202" i="47"/>
  <c r="Q206" i="47"/>
  <c r="Q227" i="47"/>
  <c r="Q200" i="47"/>
  <c r="Q204" i="47"/>
  <c r="Q225" i="47"/>
  <c r="Q230" i="47"/>
  <c r="Q214" i="47"/>
  <c r="Q220" i="47"/>
  <c r="Q180" i="47"/>
  <c r="Q229" i="47"/>
  <c r="Q199" i="47"/>
  <c r="E37" i="43"/>
  <c r="Q167" i="47"/>
  <c r="Q173" i="47"/>
  <c r="U47" i="47"/>
  <c r="U182" i="47"/>
  <c r="U173" i="47"/>
  <c r="U167" i="47"/>
  <c r="U166" i="47"/>
  <c r="U189" i="47"/>
  <c r="U204" i="47"/>
  <c r="U202" i="47"/>
  <c r="U206" i="47"/>
  <c r="U197" i="47"/>
  <c r="U195" i="47"/>
  <c r="U219" i="47"/>
  <c r="U210" i="47"/>
  <c r="U196" i="47"/>
  <c r="U221" i="47"/>
  <c r="U214" i="47"/>
  <c r="U190" i="47"/>
  <c r="U220" i="47"/>
  <c r="U236" i="47"/>
  <c r="U234" i="47"/>
  <c r="U233" i="47"/>
  <c r="U184" i="47"/>
  <c r="U180" i="47"/>
  <c r="E41" i="43"/>
  <c r="U205" i="47"/>
  <c r="U170" i="47"/>
  <c r="U171" i="47"/>
  <c r="U198" i="47"/>
  <c r="U181" i="47"/>
  <c r="U203" i="47"/>
  <c r="U172" i="47"/>
  <c r="U232" i="47"/>
  <c r="U176" i="47"/>
  <c r="U211" i="47"/>
  <c r="U187" i="47"/>
  <c r="U185" i="47"/>
  <c r="U225" i="47"/>
  <c r="U165" i="47"/>
  <c r="U235" i="47"/>
  <c r="U168" i="47"/>
  <c r="U229" i="47"/>
  <c r="U227" i="47"/>
  <c r="U200" i="47"/>
  <c r="U169" i="47"/>
  <c r="U174" i="47"/>
  <c r="U175" i="47"/>
  <c r="U201" i="47"/>
  <c r="U199" i="47"/>
  <c r="U186" i="47"/>
  <c r="U212" i="47"/>
  <c r="U228" i="47"/>
  <c r="U226" i="47"/>
  <c r="U230" i="47"/>
  <c r="U217" i="47"/>
  <c r="U215" i="47"/>
  <c r="U231" i="47"/>
  <c r="U218" i="47"/>
  <c r="U216" i="47"/>
  <c r="U213" i="47"/>
  <c r="T226" i="47"/>
  <c r="P182" i="47"/>
  <c r="P170" i="47"/>
  <c r="P165" i="47"/>
  <c r="V231" i="47"/>
  <c r="R206" i="47"/>
  <c r="P216" i="47"/>
  <c r="R167" i="47"/>
  <c r="Q169" i="47"/>
  <c r="K217" i="47"/>
  <c r="K197" i="47"/>
  <c r="K198" i="47"/>
  <c r="K166" i="47"/>
  <c r="S232" i="47"/>
  <c r="S219" i="47"/>
  <c r="Q186" i="47"/>
  <c r="S206" i="47"/>
  <c r="T227" i="47"/>
  <c r="T235" i="47"/>
  <c r="T185" i="47"/>
  <c r="T187" i="47"/>
  <c r="T189" i="47"/>
  <c r="T220" i="47"/>
  <c r="T231" i="47"/>
  <c r="T205" i="47"/>
  <c r="E40" i="43"/>
  <c r="T218" i="47"/>
  <c r="T176" i="47"/>
  <c r="N172" i="47"/>
  <c r="N184" i="47"/>
  <c r="N232" i="47"/>
  <c r="N231" i="47"/>
  <c r="N191" i="47"/>
  <c r="N197" i="47"/>
  <c r="N217" i="47"/>
  <c r="N173" i="47"/>
  <c r="N181" i="47"/>
  <c r="N198" i="47"/>
  <c r="N228" i="47"/>
  <c r="N174" i="47"/>
  <c r="N180" i="47"/>
  <c r="N200" i="47"/>
  <c r="N236" i="47"/>
  <c r="O174" i="47"/>
  <c r="O168" i="47"/>
  <c r="O204" i="47"/>
  <c r="O191" i="47"/>
  <c r="O186" i="47"/>
  <c r="O216" i="47"/>
  <c r="O235" i="47"/>
  <c r="O228" i="47"/>
  <c r="P204" i="47"/>
  <c r="P180" i="47"/>
  <c r="R181" i="47"/>
  <c r="R196" i="47"/>
  <c r="K226" i="47"/>
  <c r="S203" i="47"/>
  <c r="Q212" i="47"/>
  <c r="I235" i="47"/>
  <c r="I227" i="47"/>
  <c r="I216" i="47"/>
  <c r="I234" i="47"/>
  <c r="I226" i="47"/>
  <c r="I215" i="47"/>
  <c r="I196" i="47"/>
  <c r="I185" i="47"/>
  <c r="I204" i="47"/>
  <c r="I197" i="47"/>
  <c r="I181" i="47"/>
  <c r="I186" i="47"/>
  <c r="I199" i="47"/>
  <c r="I165" i="47"/>
  <c r="I172" i="47"/>
  <c r="I176" i="47"/>
  <c r="I233" i="47"/>
  <c r="I225" i="47"/>
  <c r="I214" i="47"/>
  <c r="I232" i="47"/>
  <c r="I221" i="47"/>
  <c r="I213" i="47"/>
  <c r="I191" i="47"/>
  <c r="I183" i="47"/>
  <c r="I202" i="47"/>
  <c r="I180" i="47"/>
  <c r="I168" i="47"/>
  <c r="I167" i="47"/>
  <c r="I182" i="47"/>
  <c r="I169" i="47"/>
  <c r="I173" i="47"/>
  <c r="I150" i="47"/>
  <c r="I231" i="47"/>
  <c r="I220" i="47"/>
  <c r="I212" i="47"/>
  <c r="I230" i="47"/>
  <c r="I219" i="47"/>
  <c r="I211" i="47"/>
  <c r="I189" i="47"/>
  <c r="I200" i="47"/>
  <c r="I190" i="47"/>
  <c r="I184" i="47"/>
  <c r="I188" i="47"/>
  <c r="I166" i="47"/>
  <c r="I170" i="47"/>
  <c r="I174" i="47"/>
  <c r="I229" i="47"/>
  <c r="I218" i="47"/>
  <c r="I236" i="47"/>
  <c r="I228" i="47"/>
  <c r="I217" i="47"/>
  <c r="I210" i="47"/>
  <c r="I187" i="47"/>
  <c r="I206" i="47"/>
  <c r="I198" i="47"/>
  <c r="I203" i="47"/>
  <c r="I205" i="47"/>
  <c r="I195" i="47"/>
  <c r="I201" i="47"/>
  <c r="I171" i="47"/>
  <c r="I175" i="47"/>
  <c r="V225" i="47"/>
  <c r="V203" i="47"/>
  <c r="V204" i="47"/>
  <c r="V188" i="47"/>
  <c r="V235" i="47"/>
  <c r="V199" i="47"/>
  <c r="E42" i="43"/>
  <c r="V228" i="47"/>
  <c r="V190" i="47"/>
  <c r="V200" i="47"/>
  <c r="V219" i="47"/>
  <c r="V210" i="47"/>
  <c r="V185" i="47"/>
  <c r="V191" i="47"/>
  <c r="V212" i="47"/>
  <c r="V176" i="47"/>
  <c r="V221" i="47"/>
  <c r="V168" i="47"/>
  <c r="V174" i="47"/>
  <c r="V229" i="47"/>
  <c r="V234" i="47"/>
  <c r="V232" i="47"/>
  <c r="V218" i="47"/>
  <c r="V213" i="47"/>
  <c r="V195" i="47"/>
  <c r="V205" i="47"/>
  <c r="V220" i="47"/>
  <c r="V171" i="47"/>
  <c r="V202" i="47"/>
  <c r="V216" i="47"/>
  <c r="V196" i="47"/>
  <c r="V217" i="47"/>
  <c r="V227" i="47"/>
  <c r="V172" i="47"/>
  <c r="V233" i="47"/>
  <c r="V189" i="47"/>
  <c r="V165" i="47"/>
  <c r="V167" i="47"/>
  <c r="V173" i="47"/>
  <c r="V230" i="47"/>
  <c r="V214" i="47"/>
  <c r="V187" i="47"/>
  <c r="V206" i="47"/>
  <c r="V166" i="47"/>
  <c r="V198" i="47"/>
  <c r="V226" i="47"/>
  <c r="V182" i="47"/>
  <c r="V170" i="47"/>
  <c r="V183" i="47"/>
  <c r="V201" i="47"/>
  <c r="V169" i="47"/>
  <c r="M231" i="47"/>
  <c r="M219" i="47"/>
  <c r="M198" i="47"/>
  <c r="M165" i="47"/>
  <c r="M218" i="47"/>
  <c r="M210" i="47"/>
  <c r="M181" i="47"/>
  <c r="M172" i="47"/>
  <c r="M216" i="47"/>
  <c r="M196" i="47"/>
  <c r="M173" i="47"/>
  <c r="M214" i="47"/>
  <c r="M191" i="47"/>
  <c r="M199" i="47"/>
  <c r="M174" i="47"/>
  <c r="M220" i="47"/>
  <c r="M211" i="47"/>
  <c r="M205" i="47"/>
  <c r="M171" i="47"/>
  <c r="M236" i="47"/>
  <c r="M187" i="47"/>
  <c r="M184" i="47"/>
  <c r="M176" i="47"/>
  <c r="M234" i="47"/>
  <c r="M185" i="47"/>
  <c r="M201" i="47"/>
  <c r="M167" i="47"/>
  <c r="M232" i="47"/>
  <c r="M183" i="47"/>
  <c r="M182" i="47"/>
  <c r="M212" i="47"/>
  <c r="M189" i="47"/>
  <c r="M188" i="47"/>
  <c r="M175" i="47"/>
  <c r="M228" i="47"/>
  <c r="M204" i="47"/>
  <c r="M203" i="47"/>
  <c r="M235" i="47"/>
  <c r="M226" i="47"/>
  <c r="M202" i="47"/>
  <c r="M186" i="47"/>
  <c r="M233" i="47"/>
  <c r="M221" i="47"/>
  <c r="M200" i="47"/>
  <c r="M166" i="47"/>
  <c r="M230" i="47"/>
  <c r="M206" i="47"/>
  <c r="M180" i="47"/>
  <c r="M229" i="47"/>
  <c r="M217" i="47"/>
  <c r="M197" i="47"/>
  <c r="M168" i="47"/>
  <c r="M227" i="47"/>
  <c r="M215" i="47"/>
  <c r="M195" i="47"/>
  <c r="M169" i="47"/>
  <c r="M225" i="47"/>
  <c r="M213" i="47"/>
  <c r="M190" i="47"/>
  <c r="M170" i="47"/>
  <c r="K176" i="47"/>
  <c r="K191" i="47"/>
  <c r="K216" i="47"/>
  <c r="K230" i="47"/>
  <c r="K200" i="47"/>
  <c r="K205" i="47"/>
  <c r="K229" i="47"/>
  <c r="K181" i="47"/>
  <c r="K203" i="47"/>
  <c r="K227" i="47"/>
  <c r="K174" i="47"/>
  <c r="K183" i="47"/>
  <c r="K190" i="47"/>
  <c r="K213" i="47"/>
  <c r="K168" i="47"/>
  <c r="K199" i="47"/>
  <c r="K220" i="47"/>
  <c r="K234" i="47"/>
  <c r="K165" i="47"/>
  <c r="K202" i="47"/>
  <c r="K188" i="47"/>
  <c r="K235" i="47"/>
  <c r="K175" i="47"/>
  <c r="K180" i="47"/>
  <c r="K210" i="47"/>
  <c r="K221" i="47"/>
  <c r="K173" i="47"/>
  <c r="K206" i="47"/>
  <c r="K211" i="47"/>
  <c r="K219" i="47"/>
  <c r="K172" i="47"/>
  <c r="K196" i="47"/>
  <c r="K218" i="47"/>
  <c r="K232" i="47"/>
  <c r="K170" i="47"/>
  <c r="K187" i="47"/>
  <c r="K195" i="47"/>
  <c r="K215" i="47"/>
  <c r="L81" i="47"/>
  <c r="L213" i="47"/>
  <c r="L203" i="47"/>
  <c r="L172" i="47"/>
  <c r="L173" i="47"/>
  <c r="L229" i="47"/>
  <c r="L189" i="47"/>
  <c r="L190" i="47"/>
  <c r="L236" i="47"/>
  <c r="L218" i="47"/>
  <c r="L187" i="47"/>
  <c r="L188" i="47"/>
  <c r="L234" i="47"/>
  <c r="L214" i="47"/>
  <c r="L185" i="47"/>
  <c r="L184" i="47"/>
  <c r="L210" i="47"/>
  <c r="L191" i="47"/>
  <c r="L180" i="47"/>
  <c r="L230" i="47"/>
  <c r="L220" i="47"/>
  <c r="L206" i="47"/>
  <c r="L169" i="47"/>
  <c r="L228" i="47"/>
  <c r="L212" i="47"/>
  <c r="L204" i="47"/>
  <c r="L168" i="47"/>
  <c r="L226" i="47"/>
  <c r="L211" i="47"/>
  <c r="L202" i="47"/>
  <c r="L174" i="47"/>
  <c r="L232" i="47"/>
  <c r="L231" i="47"/>
  <c r="L183" i="47"/>
  <c r="L166" i="47"/>
  <c r="L219" i="47"/>
  <c r="L225" i="47"/>
  <c r="L198" i="47"/>
  <c r="L171" i="47"/>
  <c r="L217" i="47"/>
  <c r="L197" i="47"/>
  <c r="L176" i="47"/>
  <c r="L215" i="47"/>
  <c r="L205" i="47"/>
  <c r="L186" i="47"/>
  <c r="L167" i="47"/>
  <c r="L221" i="47"/>
  <c r="L233" i="47"/>
  <c r="L200" i="47"/>
  <c r="L165" i="47"/>
  <c r="L235" i="47"/>
  <c r="L201" i="47"/>
  <c r="L181" i="47"/>
  <c r="L175" i="47"/>
  <c r="L227" i="47"/>
  <c r="L199" i="47"/>
  <c r="L195" i="47"/>
  <c r="L170" i="47"/>
  <c r="L216" i="47"/>
  <c r="L196" i="47"/>
  <c r="L182" i="47"/>
  <c r="T202" i="47"/>
  <c r="P234" i="47"/>
  <c r="P221" i="47"/>
  <c r="V175" i="47"/>
  <c r="Q205" i="47"/>
  <c r="S185" i="47"/>
  <c r="R214" i="47"/>
  <c r="R221" i="47"/>
  <c r="R180" i="47"/>
  <c r="K233" i="47"/>
  <c r="K186" i="47"/>
  <c r="K189" i="47"/>
  <c r="K169" i="47"/>
  <c r="S220" i="47"/>
  <c r="S210" i="47"/>
  <c r="V186" i="47"/>
  <c r="Q219" i="47"/>
  <c r="U188" i="47"/>
  <c r="T228" i="47"/>
  <c r="T230" i="47"/>
  <c r="T214" i="47"/>
  <c r="T225" i="47"/>
  <c r="T233" i="47"/>
  <c r="T171" i="47"/>
  <c r="T188" i="47"/>
  <c r="T215" i="47"/>
  <c r="T217" i="47"/>
  <c r="T219" i="47"/>
  <c r="T211" i="47"/>
  <c r="N189" i="47"/>
  <c r="N195" i="47"/>
  <c r="N211" i="47"/>
  <c r="N166" i="47"/>
  <c r="N183" i="47"/>
  <c r="N204" i="47"/>
  <c r="N214" i="47"/>
  <c r="N169" i="47"/>
  <c r="N187" i="47"/>
  <c r="N206" i="47"/>
  <c r="N216" i="47"/>
  <c r="N175" i="47"/>
  <c r="N199" i="47"/>
  <c r="N226" i="47"/>
  <c r="N218" i="47"/>
  <c r="O166" i="47"/>
  <c r="O169" i="47"/>
  <c r="O189" i="47"/>
  <c r="O199" i="47"/>
  <c r="O190" i="47"/>
  <c r="O220" i="47"/>
  <c r="O213" i="47"/>
  <c r="V181" i="47"/>
  <c r="S205" i="47"/>
  <c r="K231" i="47"/>
  <c r="S212" i="47"/>
  <c r="U191" i="47"/>
  <c r="R68" i="47"/>
  <c r="R228" i="47"/>
  <c r="R191" i="47"/>
  <c r="R203" i="47"/>
  <c r="R227" i="47"/>
  <c r="R236" i="47"/>
  <c r="R234" i="47"/>
  <c r="R175" i="47"/>
  <c r="R215" i="47"/>
  <c r="R170" i="47"/>
  <c r="R218" i="47"/>
  <c r="R189" i="47"/>
  <c r="R176" i="47"/>
  <c r="R202" i="47"/>
  <c r="R210" i="47"/>
  <c r="R220" i="47"/>
  <c r="R233" i="47"/>
  <c r="R216" i="47"/>
  <c r="R200" i="47"/>
  <c r="R235" i="47"/>
  <c r="E38" i="43"/>
  <c r="R199" i="47"/>
  <c r="R184" i="47"/>
  <c r="R197" i="47"/>
  <c r="R166" i="47"/>
  <c r="R212" i="47"/>
  <c r="R225" i="47"/>
  <c r="R188" i="47"/>
  <c r="R172" i="47"/>
  <c r="R165" i="47"/>
  <c r="R211" i="47"/>
  <c r="R182" i="47"/>
  <c r="R229" i="47"/>
  <c r="R171" i="47"/>
  <c r="R168" i="47"/>
  <c r="R190" i="47"/>
  <c r="R201" i="47"/>
  <c r="R186" i="47"/>
  <c r="R219" i="47"/>
  <c r="R173" i="47"/>
  <c r="R230" i="47"/>
  <c r="R205" i="47"/>
  <c r="R231" i="47"/>
  <c r="R217" i="47"/>
  <c r="O98" i="47"/>
  <c r="O234" i="47"/>
  <c r="O226" i="47"/>
  <c r="O215" i="47"/>
  <c r="O233" i="47"/>
  <c r="O225" i="47"/>
  <c r="O214" i="47"/>
  <c r="O195" i="47"/>
  <c r="O184" i="47"/>
  <c r="O201" i="47"/>
  <c r="O206" i="47"/>
  <c r="O200" i="47"/>
  <c r="O202" i="47"/>
  <c r="O165" i="47"/>
  <c r="O172" i="47"/>
  <c r="O175" i="47"/>
  <c r="O230" i="47"/>
  <c r="O219" i="47"/>
  <c r="O211" i="47"/>
  <c r="O229" i="47"/>
  <c r="O218" i="47"/>
  <c r="O210" i="47"/>
  <c r="O188" i="47"/>
  <c r="O205" i="47"/>
  <c r="O196" i="47"/>
  <c r="O182" i="47"/>
  <c r="O185" i="47"/>
  <c r="O187" i="47"/>
  <c r="O173" i="47"/>
  <c r="O167" i="47"/>
  <c r="O170" i="47"/>
  <c r="P220" i="47"/>
  <c r="P201" i="47"/>
  <c r="P166" i="47"/>
  <c r="P233" i="47"/>
  <c r="P210" i="47"/>
  <c r="P236" i="47"/>
  <c r="P195" i="47"/>
  <c r="P184" i="47"/>
  <c r="P188" i="47"/>
  <c r="P225" i="47"/>
  <c r="P229" i="47"/>
  <c r="P228" i="47"/>
  <c r="P232" i="47"/>
  <c r="P174" i="47"/>
  <c r="P191" i="47"/>
  <c r="P205" i="47"/>
  <c r="E36" i="43"/>
  <c r="P203" i="47"/>
  <c r="P235" i="47"/>
  <c r="P212" i="47"/>
  <c r="P186" i="47"/>
  <c r="P190" i="47"/>
  <c r="P214" i="47"/>
  <c r="P172" i="47"/>
  <c r="P197" i="47"/>
  <c r="P181" i="47"/>
  <c r="P230" i="47"/>
  <c r="P176" i="47"/>
  <c r="P231" i="47"/>
  <c r="P215" i="47"/>
  <c r="P189" i="47"/>
  <c r="P218" i="47"/>
  <c r="P171" i="47"/>
  <c r="P198" i="47"/>
  <c r="P183" i="47"/>
  <c r="P196" i="47"/>
  <c r="P199" i="47"/>
  <c r="P167" i="47"/>
  <c r="P175" i="47"/>
  <c r="P219" i="47"/>
  <c r="P169" i="47"/>
  <c r="P173" i="47"/>
  <c r="P168" i="47"/>
  <c r="P217" i="47"/>
  <c r="P211" i="47"/>
  <c r="P227" i="47"/>
  <c r="V184" i="47"/>
  <c r="Q187" i="47"/>
  <c r="U183" i="47"/>
  <c r="R204" i="47"/>
  <c r="R195" i="47"/>
  <c r="K236" i="47"/>
  <c r="K225" i="47"/>
  <c r="K201" i="47"/>
  <c r="K185" i="47"/>
  <c r="S233" i="47"/>
  <c r="S201" i="47"/>
  <c r="S200" i="47"/>
  <c r="V215" i="47"/>
  <c r="R183" i="47"/>
  <c r="T200" i="47"/>
  <c r="T175" i="47"/>
  <c r="T210" i="47"/>
  <c r="T234" i="47"/>
  <c r="T236" i="47"/>
  <c r="T191" i="47"/>
  <c r="T195" i="47"/>
  <c r="T167" i="47"/>
  <c r="T174" i="47"/>
  <c r="T172" i="47"/>
  <c r="T183" i="47"/>
  <c r="N170" i="47"/>
  <c r="N182" i="47"/>
  <c r="N202" i="47"/>
  <c r="N212" i="47"/>
  <c r="N167" i="47"/>
  <c r="N203" i="47"/>
  <c r="N210" i="47"/>
  <c r="N225" i="47"/>
  <c r="N165" i="47"/>
  <c r="N205" i="47"/>
  <c r="N213" i="47"/>
  <c r="N227" i="47"/>
  <c r="N176" i="47"/>
  <c r="N221" i="47"/>
  <c r="N229" i="47"/>
  <c r="O171" i="47"/>
  <c r="O183" i="47"/>
  <c r="O180" i="47"/>
  <c r="O203" i="47"/>
  <c r="O197" i="47"/>
  <c r="O227" i="47"/>
  <c r="O217" i="47"/>
  <c r="O236" i="47"/>
  <c r="P202" i="47"/>
  <c r="V211" i="47"/>
  <c r="T213" i="47"/>
  <c r="R169" i="47"/>
  <c r="K212" i="47"/>
  <c r="K171" i="47"/>
  <c r="S188" i="47"/>
  <c r="T204" i="47"/>
  <c r="P187" i="47"/>
  <c r="P185" i="47"/>
  <c r="P200" i="47"/>
  <c r="V236" i="47"/>
  <c r="R174" i="47"/>
  <c r="T203" i="47"/>
  <c r="R185" i="47"/>
  <c r="R187" i="47"/>
  <c r="K228" i="47"/>
  <c r="K214" i="47"/>
  <c r="K204" i="47"/>
  <c r="K167" i="47"/>
  <c r="S184" i="47"/>
  <c r="S170" i="47"/>
  <c r="S173" i="47"/>
  <c r="Q172" i="47"/>
  <c r="R213" i="47"/>
  <c r="P206" i="47"/>
  <c r="T206" i="47"/>
  <c r="T165" i="47"/>
  <c r="T180" i="47"/>
  <c r="T184" i="47"/>
  <c r="T199" i="47"/>
  <c r="T201" i="47"/>
  <c r="T186" i="47"/>
  <c r="T190" i="47"/>
  <c r="T198" i="47"/>
  <c r="T232" i="47"/>
  <c r="N171" i="47"/>
  <c r="N201" i="47"/>
  <c r="N234" i="47"/>
  <c r="N220" i="47"/>
  <c r="N168" i="47"/>
  <c r="N186" i="47"/>
  <c r="N215" i="47"/>
  <c r="N233" i="47"/>
  <c r="N196" i="47"/>
  <c r="N188" i="47"/>
  <c r="N219" i="47"/>
  <c r="N235" i="47"/>
  <c r="N185" i="47"/>
  <c r="N190" i="47"/>
  <c r="O176" i="47"/>
  <c r="O181" i="47"/>
  <c r="O198" i="47"/>
  <c r="E35" i="43"/>
  <c r="O212" i="47"/>
  <c r="O231" i="47"/>
  <c r="O221" i="47"/>
  <c r="T197" i="47"/>
  <c r="P213" i="47"/>
  <c r="Q184" i="47"/>
  <c r="R232" i="47"/>
  <c r="R198" i="47"/>
  <c r="K184" i="47"/>
  <c r="S234" i="47"/>
  <c r="V197" i="47"/>
  <c r="U83" i="47"/>
  <c r="AM204" i="79"/>
  <c r="AM206" i="79" s="1"/>
  <c r="J104" i="43"/>
  <c r="I104" i="43"/>
  <c r="R75" i="43"/>
  <c r="R66" i="43"/>
  <c r="R69" i="43"/>
  <c r="R72" i="43"/>
  <c r="Q82" i="47"/>
  <c r="P83" i="47"/>
  <c r="AM391" i="46"/>
  <c r="AM393" i="46" s="1"/>
  <c r="U63" i="47"/>
  <c r="U71" i="47"/>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I132" i="43" l="1"/>
  <c r="I133" i="43" s="1"/>
  <c r="H19" i="43"/>
  <c r="I145" i="43"/>
  <c r="F146" i="43"/>
  <c r="I110" i="43" s="1"/>
  <c r="E116" i="43" s="1"/>
  <c r="W228" i="47"/>
  <c r="W188" i="47"/>
  <c r="W206" i="47"/>
  <c r="W174" i="47"/>
  <c r="W189" i="47"/>
  <c r="W212" i="47"/>
  <c r="W173" i="47"/>
  <c r="W168" i="47"/>
  <c r="W191" i="47"/>
  <c r="W214" i="47"/>
  <c r="W172" i="47"/>
  <c r="W181" i="47"/>
  <c r="W196" i="47"/>
  <c r="W216" i="47"/>
  <c r="W175" i="47"/>
  <c r="W205" i="47"/>
  <c r="W187" i="47"/>
  <c r="W236" i="47"/>
  <c r="W170" i="47"/>
  <c r="W190" i="47"/>
  <c r="W211" i="47"/>
  <c r="W220" i="47"/>
  <c r="W169" i="47"/>
  <c r="W180" i="47"/>
  <c r="W225" i="47"/>
  <c r="W165" i="47"/>
  <c r="W197" i="47"/>
  <c r="W215" i="47"/>
  <c r="W227" i="47"/>
  <c r="W195" i="47"/>
  <c r="W184" i="47"/>
  <c r="W171" i="47"/>
  <c r="W203" i="47"/>
  <c r="W210" i="47"/>
  <c r="W218" i="47"/>
  <c r="W166" i="47"/>
  <c r="W200" i="47"/>
  <c r="W219" i="47"/>
  <c r="W231" i="47"/>
  <c r="W182" i="47"/>
  <c r="W202" i="47"/>
  <c r="W233" i="47"/>
  <c r="W199" i="47"/>
  <c r="W204" i="47"/>
  <c r="W226" i="47"/>
  <c r="W235" i="47"/>
  <c r="W232" i="47"/>
  <c r="W221" i="47"/>
  <c r="W213" i="47"/>
  <c r="W201" i="47"/>
  <c r="W198" i="47"/>
  <c r="W229" i="47"/>
  <c r="E43" i="43"/>
  <c r="W230" i="47"/>
  <c r="W167" i="47"/>
  <c r="W183" i="47"/>
  <c r="W176" i="47"/>
  <c r="W186" i="47"/>
  <c r="W185" i="47"/>
  <c r="W234" i="47"/>
  <c r="W217" i="47"/>
  <c r="M104" i="43"/>
  <c r="W161" i="47"/>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E119" i="43" l="1"/>
  <c r="I113" i="43"/>
  <c r="I146" i="43"/>
  <c r="V104" i="47"/>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U164" i="47" l="1"/>
  <c r="U177" i="47" s="1"/>
  <c r="U179" i="47" s="1"/>
  <c r="U192" i="47" s="1"/>
  <c r="U194" i="47" s="1"/>
  <c r="U207" i="47" s="1"/>
  <c r="U209" i="47" s="1"/>
  <c r="U222" i="47" s="1"/>
  <c r="U224" i="47" s="1"/>
  <c r="U237" i="47" s="1"/>
  <c r="P84" i="43" s="1"/>
  <c r="P85" i="43" s="1"/>
  <c r="R164" i="47"/>
  <c r="R177" i="47" s="1"/>
  <c r="R179" i="47" s="1"/>
  <c r="R192" i="47" s="1"/>
  <c r="R194" i="47" s="1"/>
  <c r="R207" i="47" s="1"/>
  <c r="R209" i="47" s="1"/>
  <c r="R222" i="47" s="1"/>
  <c r="R224" i="47" s="1"/>
  <c r="R237" i="47" s="1"/>
  <c r="M84" i="43" s="1"/>
  <c r="M85" i="43" s="1"/>
  <c r="T164" i="47"/>
  <c r="T177" i="47" s="1"/>
  <c r="T179" i="47" s="1"/>
  <c r="T192" i="47" s="1"/>
  <c r="T194" i="47" s="1"/>
  <c r="T207" i="47" s="1"/>
  <c r="T209" i="47" s="1"/>
  <c r="T222" i="47" s="1"/>
  <c r="T224" i="47" s="1"/>
  <c r="T237" i="47" s="1"/>
  <c r="O84" i="43" s="1"/>
  <c r="O85" i="43" s="1"/>
  <c r="P164" i="47"/>
  <c r="P177" i="47" s="1"/>
  <c r="P179" i="47" s="1"/>
  <c r="P192" i="47" s="1"/>
  <c r="P194" i="47" s="1"/>
  <c r="P207" i="47" s="1"/>
  <c r="P209" i="47" s="1"/>
  <c r="P222" i="47" s="1"/>
  <c r="P224" i="47" s="1"/>
  <c r="P237" i="47" s="1"/>
  <c r="K84" i="43" s="1"/>
  <c r="K85" i="43" s="1"/>
  <c r="S164" i="47"/>
  <c r="S177" i="47" s="1"/>
  <c r="S179" i="47" s="1"/>
  <c r="S192" i="47" s="1"/>
  <c r="S194" i="47" s="1"/>
  <c r="S207" i="47" s="1"/>
  <c r="S209" i="47" s="1"/>
  <c r="S222" i="47" s="1"/>
  <c r="S224" i="47" s="1"/>
  <c r="S237" i="47" s="1"/>
  <c r="N84" i="43" s="1"/>
  <c r="N85" i="43" s="1"/>
  <c r="V164" i="47"/>
  <c r="V177" i="47" s="1"/>
  <c r="V179" i="47" s="1"/>
  <c r="V192" i="47" s="1"/>
  <c r="V194" i="47" s="1"/>
  <c r="V207" i="47" s="1"/>
  <c r="V209" i="47" s="1"/>
  <c r="V222" i="47" s="1"/>
  <c r="V224" i="47" s="1"/>
  <c r="V237" i="47" s="1"/>
  <c r="Q84" i="43" s="1"/>
  <c r="F42" i="43" s="1"/>
  <c r="G42" i="43" s="1"/>
  <c r="Q164" i="47"/>
  <c r="Q177" i="47" s="1"/>
  <c r="Q179" i="47" s="1"/>
  <c r="Q192" i="47" s="1"/>
  <c r="Q194" i="47" s="1"/>
  <c r="Q207" i="47" s="1"/>
  <c r="Q209" i="47" s="1"/>
  <c r="Q222" i="47" s="1"/>
  <c r="Q224" i="47" s="1"/>
  <c r="Q237" i="47" s="1"/>
  <c r="L84" i="43" s="1"/>
  <c r="L85"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41" i="43" l="1"/>
  <c r="G41" i="43" s="1"/>
  <c r="F36" i="43"/>
  <c r="G36" i="43" s="1"/>
  <c r="F40" i="43"/>
  <c r="G40" i="43" s="1"/>
  <c r="M164" i="47"/>
  <c r="M177" i="47" s="1"/>
  <c r="M179" i="47" s="1"/>
  <c r="M192" i="47" s="1"/>
  <c r="M194" i="47" s="1"/>
  <c r="M207" i="47" s="1"/>
  <c r="M209" i="47" s="1"/>
  <c r="M222" i="47" s="1"/>
  <c r="M224" i="47" s="1"/>
  <c r="M237" i="47" s="1"/>
  <c r="H84" i="43" s="1"/>
  <c r="H85" i="43" s="1"/>
  <c r="O164" i="47"/>
  <c r="O177" i="47" s="1"/>
  <c r="O179" i="47" s="1"/>
  <c r="O192" i="47" s="1"/>
  <c r="O194" i="47" s="1"/>
  <c r="O207" i="47" s="1"/>
  <c r="O209" i="47" s="1"/>
  <c r="O222" i="47" s="1"/>
  <c r="O224" i="47" s="1"/>
  <c r="O237" i="47" s="1"/>
  <c r="J84" i="43" s="1"/>
  <c r="J85" i="43" s="1"/>
  <c r="F37" i="43"/>
  <c r="G37" i="43" s="1"/>
  <c r="F39" i="43"/>
  <c r="G39" i="43" s="1"/>
  <c r="F38" i="43"/>
  <c r="G38" i="43" s="1"/>
  <c r="Q85" i="43"/>
  <c r="N164" i="47"/>
  <c r="N177" i="47" s="1"/>
  <c r="N179" i="47" s="1"/>
  <c r="N192" i="47" s="1"/>
  <c r="N194" i="47" s="1"/>
  <c r="N207" i="47" s="1"/>
  <c r="N209" i="47" s="1"/>
  <c r="N222" i="47" s="1"/>
  <c r="N224" i="47" s="1"/>
  <c r="N237" i="47" s="1"/>
  <c r="I84" i="43" s="1"/>
  <c r="I85" i="43" s="1"/>
  <c r="J164" i="47"/>
  <c r="J177" i="47" s="1"/>
  <c r="J179" i="47" s="1"/>
  <c r="J192" i="47" s="1"/>
  <c r="J194" i="47" s="1"/>
  <c r="J207" i="47" s="1"/>
  <c r="J209" i="47" s="1"/>
  <c r="J222" i="47" s="1"/>
  <c r="J224" i="47" s="1"/>
  <c r="J237" i="47" s="1"/>
  <c r="E84" i="43" s="1"/>
  <c r="G154" i="43" s="1"/>
  <c r="L104" i="47"/>
  <c r="L117" i="47" s="1"/>
  <c r="L119" i="47" s="1"/>
  <c r="L132" i="47" s="1"/>
  <c r="L134" i="47" s="1"/>
  <c r="L147" i="47" s="1"/>
  <c r="L149" i="47" s="1"/>
  <c r="L162" i="47" s="1"/>
  <c r="I104" i="47"/>
  <c r="I117" i="47" s="1"/>
  <c r="I119" i="47" s="1"/>
  <c r="I132" i="47" s="1"/>
  <c r="I134" i="47" s="1"/>
  <c r="I147" i="47" s="1"/>
  <c r="G155" i="43" l="1"/>
  <c r="K111" i="43"/>
  <c r="I149" i="47"/>
  <c r="I162" i="47" s="1"/>
  <c r="I164" i="47" s="1"/>
  <c r="I177" i="47" s="1"/>
  <c r="I179" i="47" s="1"/>
  <c r="I192" i="47" s="1"/>
  <c r="I194" i="47" s="1"/>
  <c r="I207" i="47" s="1"/>
  <c r="I209" i="47" s="1"/>
  <c r="I222" i="47" s="1"/>
  <c r="I224" i="47" s="1"/>
  <c r="I237" i="47" s="1"/>
  <c r="D84" i="43" s="1"/>
  <c r="F30" i="43"/>
  <c r="G30" i="43" s="1"/>
  <c r="E85" i="43"/>
  <c r="F35" i="43"/>
  <c r="G35" i="43" s="1"/>
  <c r="L164" i="47"/>
  <c r="L177" i="47" s="1"/>
  <c r="L179" i="47" s="1"/>
  <c r="L192" i="47" s="1"/>
  <c r="L194" i="47" s="1"/>
  <c r="L207" i="47" s="1"/>
  <c r="L209" i="47" s="1"/>
  <c r="L222" i="47" s="1"/>
  <c r="L224" i="47" s="1"/>
  <c r="L237" i="47" s="1"/>
  <c r="G84" i="43" s="1"/>
  <c r="G85" i="43" s="1"/>
  <c r="F34" i="43"/>
  <c r="G34" i="43" s="1"/>
  <c r="F33" i="43"/>
  <c r="G33" i="43" s="1"/>
  <c r="W42" i="47"/>
  <c r="D105" i="43" s="1"/>
  <c r="K42" i="47"/>
  <c r="L111" i="43" l="1"/>
  <c r="F117" i="43"/>
  <c r="G117" i="43" s="1"/>
  <c r="D85" i="43"/>
  <c r="F154" i="43"/>
  <c r="K110" i="43" s="1"/>
  <c r="F116" i="43" s="1"/>
  <c r="F29" i="43"/>
  <c r="G29" i="43" s="1"/>
  <c r="F32" i="43"/>
  <c r="G32" i="43" s="1"/>
  <c r="D106" i="43"/>
  <c r="K44" i="47"/>
  <c r="K57" i="47" s="1"/>
  <c r="K59" i="47" s="1"/>
  <c r="W44" i="47"/>
  <c r="W57" i="47" s="1"/>
  <c r="G116" i="43" l="1"/>
  <c r="L110" i="43"/>
  <c r="F155" i="43"/>
  <c r="W59" i="47"/>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H154" i="43" s="1"/>
  <c r="K112" i="43" s="1"/>
  <c r="F118" i="43" s="1"/>
  <c r="W89" i="47"/>
  <c r="W102" i="47" s="1"/>
  <c r="G105" i="43"/>
  <c r="G118" i="43" l="1"/>
  <c r="G119" i="43" s="1"/>
  <c r="F119" i="43"/>
  <c r="L112" i="43"/>
  <c r="L113" i="43" s="1"/>
  <c r="K113" i="43"/>
  <c r="H155" i="43"/>
  <c r="I154" i="43"/>
  <c r="I155" i="43" s="1"/>
  <c r="R84" i="43"/>
  <c r="R85" i="43" s="1"/>
  <c r="F85" i="43"/>
  <c r="F31" i="43"/>
  <c r="F43" i="43" s="1"/>
  <c r="G106" i="43"/>
  <c r="W104" i="47"/>
  <c r="W117" i="47" s="1"/>
  <c r="H105" i="43"/>
  <c r="H106" i="43" s="1"/>
  <c r="H21" i="43" l="1"/>
  <c r="H22" i="43" s="1"/>
  <c r="G31" i="43"/>
  <c r="G43" i="43" s="1"/>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 r="J116" i="43" l="1"/>
  <c r="J117" i="43"/>
  <c r="I118" i="43" l="1"/>
  <c r="J118" i="43" s="1"/>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<sst xmlns="http://schemas.openxmlformats.org/spreadsheetml/2006/main" count="3925" uniqueCount="841">
  <si>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</si>
  <si>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</si>
  <si>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</si>
  <si>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</si>
  <si>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</si>
  <si>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</si>
  <si>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</si>
  <si>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</si>
  <si>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</si>
  <si>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</si>
  <si>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</si>
  <si>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</si>
  <si>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</si>
  <si>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</si>
  <si>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</si>
  <si>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</si>
  <si>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</si>
  <si>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</si>
  <si>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</si>
  <si>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</si>
  <si>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</si>
  <si>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</si>
  <si>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</si>
  <si>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</si>
  <si>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</si>
  <si>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</si>
  <si>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</si>
  <si>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</si>
  <si>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</si>
  <si>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</si>
  <si>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</si>
  <si>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</si>
  <si>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</si>
  <si>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</si>
  <si>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</si>
  <si>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</si>
  <si>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</si>
  <si>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</si>
  <si>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</si>
  <si>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</si>
  <si>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</si>
  <si>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</si>
  <si>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</si>
  <si>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</si>
  <si>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</si>
  <si>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</si>
  <si>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</si>
  <si>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</si>
  <si>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</si>
  <si>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</si>
  <si>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</si>
  <si>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</si>
  <si>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</si>
  <si>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</si>
  <si>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</si>
  <si>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</si>
  <si>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</si>
  <si>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</si>
  <si>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</si>
  <si>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</si>
  <si>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</si>
  <si>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</si>
  <si>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</si>
  <si>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</si>
  <si>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</si>
  <si>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</si>
  <si>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</si>
  <si>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</si>
  <si>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</si>
  <si>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</si>
  <si>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</si>
  <si>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</si>
  <si>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</si>
  <si>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</si>
  <si>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</si>
  <si>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</si>
  <si>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</si>
  <si>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</si>
  <si>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</si>
  <si>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</si>
  <si>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</si>
  <si>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</si>
  <si>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</si>
  <si>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</si>
  <si>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</si>
  <si>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</si>
  <si>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</si>
  <si>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</si>
  <si>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</si>
  <si>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</si>
  <si>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</si>
  <si>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</si>
  <si>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</si>
  <si>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</si>
  <si>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</si>
  <si>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</si>
  <si>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</si>
  <si>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</si>
  <si>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</si>
  <si>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</si>
  <si>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</si>
  <si>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</si>
  <si>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</si>
  <si>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</si>
  <si>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</si>
  <si>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</si>
  <si>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</si>
  <si>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</si>
  <si>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</si>
  <si>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</si>
  <si>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</si>
  <si>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</si>
  <si>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</si>
  <si>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</si>
  <si>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</si>
  <si>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</si>
  <si>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</si>
  <si>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</si>
  <si>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</si>
  <si>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</si>
  <si>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</si>
  <si>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</si>
  <si>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</si>
  <si>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</si>
  <si>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</si>
  <si>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</si>
  <si>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</si>
  <si>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</si>
  <si>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</si>
  <si>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</si>
  <si>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</si>
  <si>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</si>
  <si>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</si>
  <si>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</si>
  <si>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</si>
  <si>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</si>
  <si>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</si>
  <si>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</si>
  <si>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</si>
  <si>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</si>
  <si>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</si>
  <si>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</si>
  <si>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</si>
  <si>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</si>
  <si>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</si>
  <si>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</si>
  <si>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</si>
  <si>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</si>
  <si>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</si>
  <si>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</si>
  <si>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</si>
  <si>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</si>
  <si>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</si>
  <si>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</si>
  <si>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</si>
  <si>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</si>
  <si>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</si>
  <si>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</si>
  <si>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</si>
  <si>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</si>
  <si>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</si>
  <si>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</si>
  <si>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</si>
  <si>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</si>
  <si>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</si>
  <si>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</si>
  <si>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</si>
  <si>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</si>
  <si>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</si>
  <si>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</si>
  <si>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</si>
  <si>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</si>
  <si>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</si>
  <si>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</si>
  <si>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</si>
  <si>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</si>
  <si>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</si>
  <si>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</si>
  <si>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</si>
  <si>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</si>
  <si>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</si>
  <si>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</si>
  <si>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</si>
  <si>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</si>
  <si>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</si>
  <si>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</si>
  <si>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</si>
  <si>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</si>
  <si>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</si>
  <si>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</si>
  <si>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</si>
  <si>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</si>
  <si>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</si>
  <si>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</si>
  <si>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</si>
  <si>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</si>
  <si>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</si>
  <si>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</si>
  <si>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</si>
  <si>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</si>
  <si>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</si>
  <si>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</si>
  <si>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</si>
  <si>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</si>
  <si>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</si>
  <si>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</si>
  <si>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</si>
  <si>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</si>
  <si>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</si>
  <si>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</si>
  <si>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</si>
  <si>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</si>
  <si>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</si>
  <si>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</si>
  <si>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</si>
  <si>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</si>
  <si>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</si>
  <si>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</si>
  <si>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</si>
  <si>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</si>
  <si>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</si>
  <si>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</si>
  <si>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</si>
  <si>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</si>
  <si>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</si>
  <si>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</si>
  <si>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</si>
  <si>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</si>
  <si>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</si>
  <si>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</si>
  <si>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</si>
  <si>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</si>
  <si>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</si>
  <si>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</si>
  <si>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</si>
  <si>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</si>
  <si>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</si>
  <si>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</si>
  <si>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</si>
  <si>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</si>
  <si>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</si>
  <si>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</si>
  <si>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</si>
  <si>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</si>
  <si>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</si>
  <si>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</si>
  <si>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</si>
  <si>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</si>
  <si>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</si>
  <si>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</si>
  <si>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</si>
  <si>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</si>
  <si>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</si>
  <si>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</si>
  <si>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</si>
  <si>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</si>
  <si>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</si>
  <si>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</si>
  <si>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</si>
  <si>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</si>
  <si>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</si>
  <si>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</si>
  <si>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</si>
  <si>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</si>
  <si>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</si>
  <si>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</si>
  <si>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</si>
  <si>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</si>
  <si>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</si>
  <si>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</si>
  <si>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</si>
  <si>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</si>
  <si>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</si>
  <si>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</si>
  <si>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</si>
  <si>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</si>
  <si>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</si>
  <si>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</si>
  <si>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</si>
  <si>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</si>
  <si>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</si>
  <si>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</si>
  <si>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</si>
  <si>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</si>
  <si>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</si>
  <si>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</si>
  <si>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</si>
  <si>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</si>
  <si>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</si>
  <si>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</si>
  <si>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</si>
  <si>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</si>
  <si>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</si>
  <si>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</si>
  <si>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</si>
  <si>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</si>
  <si>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</si>
  <si>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</si>
  <si>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</si>
  <si>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</si>
  <si>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</si>
  <si>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</si>
  <si>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</si>
  <si>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</si>
  <si>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</si>
  <si>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</si>
  <si>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</si>
  <si>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</si>
  <si>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</si>
  <si>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</si>
  <si>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</si>
  <si>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</si>
  <si>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</si>
  <si>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</si>
  <si>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</si>
  <si>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</si>
  <si>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</si>
  <si>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</si>
  <si>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</si>
  <si>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</si>
  <si>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</si>
  <si>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</si>
  <si>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</si>
  <si>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</si>
  <si>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</si>
  <si>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</si>
  <si>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</si>
  <si>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</si>
  <si>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</si>
  <si>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</si>
  <si>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</si>
  <si>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</si>
  <si>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</si>
  <si>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</si>
  <si>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</si>
  <si>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</si>
  <si>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</si>
  <si>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</si>
  <si>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</si>
  <si>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</si>
  <si>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</si>
  <si>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</si>
  <si>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</si>
  <si>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</si>
  <si>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</si>
  <si>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</si>
  <si>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</si>
  <si>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</si>
  <si>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</si>
  <si>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</si>
  <si>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</si>
  <si>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</si>
  <si>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</si>
  <si>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</si>
  <si>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</si>
  <si>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</si>
  <si>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</si>
  <si>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</si>
  <si>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</si>
  <si>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</si>
  <si>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</si>
  <si>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</si>
  <si>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</si>
  <si>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</si>
  <si>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</si>
  <si>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</si>
  <si>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</si>
  <si>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</si>
  <si>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</si>
  <si>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</si>
  <si>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</si>
  <si>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</si>
  <si>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</si>
  <si>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</si>
  <si>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</si>
  <si>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</si>
  <si>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</si>
  <si>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</si>
  <si>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</si>
  <si>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</si>
  <si>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</si>
  <si>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</si>
  <si>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</si>
  <si>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</si>
  <si>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</si>
  <si>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</si>
  <si>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</si>
  <si>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</si>
  <si>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</si>
  <si>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</si>
  <si>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</si>
  <si>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</si>
  <si>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</si>
  <si>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</si>
  <si>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</si>
  <si>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</si>
  <si>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</si>
  <si>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</si>
  <si>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</si>
  <si>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</si>
  <si>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</si>
  <si>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</si>
  <si>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</si>
  <si>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</si>
  <si>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</si>
  <si>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</si>
  <si>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</si>
  <si>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</si>
  <si>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</si>
  <si>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</si>
  <si>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</si>
  <si>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</si>
  <si>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</si>
  <si>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</si>
  <si>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</si>
  <si>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</si>
  <si>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</si>
  <si>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</si>
  <si>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</si>
  <si>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</si>
  <si>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</si>
  <si>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</si>
  <si>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</si>
  <si>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</si>
  <si>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</si>
  <si>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</si>
  <si>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</si>
  <si>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</si>
  <si>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</si>
  <si>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</si>
  <si>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</si>
  <si>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</si>
  <si>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</si>
  <si>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</si>
  <si>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</si>
  <si>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</si>
  <si>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</si>
  <si>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</si>
  <si>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</si>
  <si>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</si>
  <si>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</si>
  <si>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</si>
  <si>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</si>
  <si>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</si>
  <si>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</si>
  <si>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</si>
  <si>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</si>
  <si>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</si>
  <si>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</si>
  <si>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</si>
  <si>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</si>
  <si>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</si>
  <si>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</si>
  <si>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</si>
  <si>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</si>
  <si>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</si>
  <si>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</si>
  <si>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</si>
  <si>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</si>
  <si>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</si>
  <si>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</si>
  <si>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</si>
  <si>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</si>
  <si>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</si>
  <si>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</si>
  <si>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</si>
  <si>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</si>
  <si>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</si>
  <si>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</si>
  <si>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</si>
  <si>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</si>
  <si>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</si>
  <si>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</si>
  <si>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</si>
  <si>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</si>
  <si>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</si>
  <si>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</si>
  <si>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</si>
  <si>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</si>
  <si>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</si>
  <si>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</si>
  <si>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</si>
  <si>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</si>
  <si>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</si>
  <si>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</si>
  <si>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</si>
  <si>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</si>
  <si>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</si>
  <si>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</si>
  <si>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</si>
  <si>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</si>
  <si>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</si>
  <si>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</si>
  <si>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</si>
  <si>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</si>
  <si>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</si>
  <si>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</si>
  <si>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</si>
  <si>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</si>
  <si>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</si>
  <si>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</si>
  <si>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</si>
  <si>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</si>
  <si>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</si>
  <si>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</si>
  <si>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</si>
  <si>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</si>
  <si>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</si>
  <si>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</si>
  <si>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</si>
  <si>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</si>
  <si>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</si>
  <si>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</si>
  <si>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</si>
  <si>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</si>
  <si>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</si>
  <si>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</si>
  <si>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</si>
  <si>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</si>
  <si>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</si>
  <si>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</si>
  <si>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</si>
  <si>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</si>
  <si>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</si>
  <si>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</si>
  <si>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</si>
  <si>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</si>
  <si>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</si>
  <si>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</si>
  <si>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</si>
  <si>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</si>
  <si>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</si>
  <si>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</si>
  <si>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</si>
  <si>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</si>
  <si>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</si>
  <si>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</si>
  <si>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</si>
  <si>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</si>
  <si>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</si>
  <si>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</si>
  <si>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</si>
  <si>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</si>
  <si>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</si>
  <si>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</si>
  <si>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</si>
  <si>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</si>
  <si>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</si>
  <si>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</si>
  <si>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</si>
  <si>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</si>
  <si>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</si>
  <si>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</si>
  <si>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</si>
  <si>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</si>
  <si>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</si>
  <si>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</si>
  <si>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</si>
  <si>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</si>
  <si>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</si>
  <si>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</si>
  <si>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</si>
  <si>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</si>
  <si>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</si>
  <si>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</si>
  <si>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</si>
  <si>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</si>
  <si>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</si>
  <si>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</si>
  <si>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</si>
  <si>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</si>
  <si>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</si>
  <si>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</si>
  <si>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</si>
  <si>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</si>
  <si>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</si>
  <si>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</si>
  <si>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</si>
  <si>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</si>
  <si>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</si>
  <si>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</si>
  <si>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</si>
  <si>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</si>
  <si>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</si>
  <si>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</si>
  <si>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</si>
  <si>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</si>
  <si>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</si>
  <si>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</si>
  <si>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</si>
  <si>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</si>
  <si>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</si>
  <si>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</si>
  <si>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</si>
  <si>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</si>
  <si>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</si>
  <si>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</si>
  <si>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</si>
  <si>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</si>
  <si>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</si>
  <si>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</si>
  <si>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</si>
  <si>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</si>
  <si>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</si>
  <si>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</si>
  <si>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</si>
  <si>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</si>
  <si>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</si>
  <si>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</si>
  <si>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</si>
  <si>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</si>
  <si>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</si>
  <si>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</si>
  <si>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</si>
  <si>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</si>
  <si>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</si>
  <si>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</si>
  <si>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</si>
  <si>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</si>
  <si>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</si>
  <si>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</si>
  <si>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</si>
  <si>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</si>
  <si>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</si>
  <si>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</si>
  <si>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</si>
  <si>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</si>
  <si>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</si>
  <si>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</si>
  <si>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</si>
  <si>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</si>
  <si>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</si>
  <si>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</si>
  <si>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</si>
  <si>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</si>
  <si>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</si>
  <si>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</si>
  <si>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</si>
  <si>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</si>
  <si>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</si>
  <si>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</si>
  <si>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</si>
  <si>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</si>
  <si>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</si>
  <si>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</si>
  <si>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</si>
  <si>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</si>
  <si>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</si>
  <si>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</si>
  <si>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</si>
  <si>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</si>
  <si>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</si>
  <si>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</si>
  <si>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</si>
  <si>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</si>
  <si>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</si>
  <si>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</si>
  <si>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</si>
  <si>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</si>
  <si>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</si>
  <si>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</si>
  <si>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</si>
  <si>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</si>
  <si>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</si>
  <si>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</si>
  <si>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</si>
  <si>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</si>
  <si>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</si>
  <si>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</si>
  <si>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</si>
  <si>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</si>
  <si>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</si>
  <si>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</si>
  <si>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</si>
  <si>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</si>
  <si>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</si>
  <si>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</si>
  <si>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</si>
  <si>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</si>
  <si>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</si>
  <si>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</si>
  <si>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</si>
  <si>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</si>
  <si>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</si>
  <si>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</si>
  <si>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</si>
  <si>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</si>
  <si>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</si>
  <si>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</si>
  <si>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</si>
  <si>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</si>
  <si>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</si>
  <si>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</si>
  <si>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</si>
  <si>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</si>
  <si>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</si>
  <si>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</si>
  <si>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</si>
  <si>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</si>
  <si>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</si>
  <si>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</si>
  <si>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</si>
  <si>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</si>
  <si>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</si>
  <si>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</si>
  <si>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</si>
  <si>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</si>
  <si>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</si>
  <si>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</si>
  <si>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</si>
  <si>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</si>
  <si>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</si>
  <si>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</si>
  <si>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</si>
  <si>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</si>
  <si>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</si>
  <si>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</si>
  <si>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</si>
  <si>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</si>
  <si>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</si>
  <si>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</si>
  <si>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</si>
  <si>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</si>
  <si>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</si>
  <si>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</si>
  <si>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</si>
  <si>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</si>
  <si>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</si>
  <si>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</si>
  <si>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</si>
  <si>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</si>
  <si>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</si>
  <si>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</si>
  <si>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</si>
  <si>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</si>
  <si>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</si>
  <si>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</si>
  <si>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</si>
  <si>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</si>
  <si>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</si>
  <si>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</si>
  <si>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</si>
  <si>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</si>
  <si>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</si>
  <si>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</si>
  <si>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</si>
  <si>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</si>
  <si>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</si>
  <si>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</si>
  <si>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</si>
  <si>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</si>
  <si>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Applicants are responsible for ensuring that all documents filed with the OEB, including responses to OEB staff questions and other supporting documentation, do not include personal information (as that phrase is defined in the Freedom of Information and Protection of Privacy Act), unless filed in accordance with rule 9A of the OEB’s Rules of Practice and Procedure.</t>
  </si>
  <si>
    <t>Tier 1</t>
  </si>
  <si>
    <t>Consumer</t>
  </si>
  <si>
    <t>Grimsby Power Inc.</t>
  </si>
  <si>
    <t>EE</t>
  </si>
  <si>
    <t>DR</t>
  </si>
  <si>
    <t>Business</t>
  </si>
  <si>
    <t>Commercial Demand Response (part of the Residential program schedule)</t>
  </si>
  <si>
    <t>Commercial &amp; Institutional</t>
  </si>
  <si>
    <t>Demand Response 3 (part of the Industrial program schedule)</t>
  </si>
  <si>
    <t>Industrial</t>
  </si>
  <si>
    <t>Pre-2011 Programs Completed in 2011</t>
  </si>
  <si>
    <t>C&amp;I</t>
  </si>
  <si>
    <t>Tier 1 - 2011 Adjustment</t>
  </si>
  <si>
    <t>DR-3</t>
  </si>
  <si>
    <t>Small Business Lighting</t>
  </si>
  <si>
    <t>Annual Coupons</t>
  </si>
  <si>
    <t>Bi-Annual Retailer Events</t>
  </si>
  <si>
    <t>HVAC</t>
  </si>
  <si>
    <t>peaksaverPLUS</t>
  </si>
  <si>
    <t>peaksaverPLUS (IHD)</t>
  </si>
  <si>
    <t>Commercial</t>
  </si>
  <si>
    <t>Time-of-Use Savings</t>
  </si>
  <si>
    <t xml:space="preserve">Demand Response 3 </t>
  </si>
  <si>
    <t>Energy Managers</t>
  </si>
  <si>
    <t>Save on Energy Heating &amp; Cooling Program</t>
  </si>
  <si>
    <t>Save on Energy Instant Discount Program</t>
  </si>
  <si>
    <t>Whole Home Pilot Program</t>
  </si>
  <si>
    <t>Save on Energy Business Refrigeration Program</t>
  </si>
  <si>
    <t>Non-Residential</t>
  </si>
  <si>
    <t>EB-2021-0027</t>
  </si>
  <si>
    <t>2022 COS Application</t>
  </si>
  <si>
    <t>EB-2015-0072</t>
  </si>
  <si>
    <t>2016 COS Application</t>
  </si>
  <si>
    <t>GS 50 - 4,999 kW</t>
  </si>
  <si>
    <t>Street Light</t>
  </si>
  <si>
    <t>USL</t>
  </si>
  <si>
    <t>2016 (Full Year)</t>
  </si>
  <si>
    <t>2016 Settlement Agreement, p. 23</t>
  </si>
  <si>
    <t>2011 - 2012 (2012 value is 20% of 2011-2020 CDM target)</t>
  </si>
  <si>
    <t>EB-2015-0072 IR Responses page 266 of 373 (refers to pages 18 and 41 of 2012 Settlement Agreement - Settlement Agreement itself does not include threshold)</t>
  </si>
  <si>
    <t>2015-2020</t>
  </si>
  <si>
    <t>EB-2009-0198</t>
  </si>
  <si>
    <t>EB-2010-0129</t>
  </si>
  <si>
    <t>EB-2011-0273</t>
  </si>
  <si>
    <t>EB-2012-0127</t>
  </si>
  <si>
    <t>EB-2013-0132</t>
  </si>
  <si>
    <t>EB-2014-0076</t>
  </si>
  <si>
    <t>EB-2016-0073</t>
  </si>
  <si>
    <t>EB-2017-0043</t>
  </si>
  <si>
    <t>EB-2018-0035</t>
  </si>
  <si>
    <t>EB-2019-0038</t>
  </si>
  <si>
    <t>EB-2020-0025</t>
  </si>
  <si>
    <t>Instant Discount Program</t>
  </si>
  <si>
    <t>Whole Home Pilot</t>
  </si>
  <si>
    <t>Direct Lighting Install</t>
  </si>
  <si>
    <t>GS&lt;50</t>
  </si>
  <si>
    <t>GS&gt;50</t>
  </si>
  <si>
    <t>HPNC</t>
  </si>
  <si>
    <t>Allocations from 2011 to 2014 are from EB-2015-0072</t>
  </si>
  <si>
    <t>VECC IR-45 Attachment 1</t>
  </si>
  <si>
    <t>Lost Revenue Year</t>
  </si>
  <si>
    <t>Program Year</t>
  </si>
  <si>
    <t>GS &lt; 50</t>
  </si>
  <si>
    <t>GS 50 to 4,999</t>
  </si>
  <si>
    <t>2015 Lost Revenue Total</t>
  </si>
  <si>
    <t>2019 Lost Revenue Total</t>
  </si>
  <si>
    <t>2018 Lost Revenue Total</t>
  </si>
  <si>
    <t>2017 Lost Revenue Total</t>
  </si>
  <si>
    <t>2016 Lost Revenue Total</t>
  </si>
  <si>
    <t>2020 Lost Revenue Total</t>
  </si>
  <si>
    <t>Carrying Charges to December 31, 2021</t>
  </si>
  <si>
    <t>Rate Classification</t>
  </si>
  <si>
    <t>GS 50 to 4,999 kW</t>
  </si>
  <si>
    <t>Total LRAM Amounts</t>
  </si>
  <si>
    <t>2015 Lost Revenue</t>
  </si>
  <si>
    <t>2016 Lost Revenue</t>
  </si>
  <si>
    <t>2017 Lost Revenue</t>
  </si>
  <si>
    <t>2018 Lost Revenue</t>
  </si>
  <si>
    <t>2019 Lost Revenue</t>
  </si>
  <si>
    <t>2020 Lost Revenue</t>
  </si>
  <si>
    <t>Total Interest</t>
  </si>
  <si>
    <t>Total LRAMVA Claim</t>
  </si>
  <si>
    <t>Total Lost Revenues</t>
  </si>
  <si>
    <t>Billing Determinant</t>
  </si>
  <si>
    <t>Proposed Rate Rider</t>
  </si>
  <si>
    <t>GS &lt; 50 kW</t>
  </si>
  <si>
    <t>GS &gt; 50 to 4,999 kW</t>
  </si>
  <si>
    <t>Total LRAM Claim</t>
  </si>
  <si>
    <t>2022 Forecasted kWh/kW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</si>
</sst>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1">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Red]\(&quot;$&quot;#,##0\)"/>
    <numFmt numFmtId="165" formatCode="&quot;$&quot;#,##0.00_);[Red]\(&quot;$&quot;#,##0.00\)"/>
    <numFmt numFmtId="166" formatCode="_(&quot;$&quot;* #,##0.00_);_(&quot;$&quot;* \(#,##0.00\);_(&quot;$&quot;* &quot;-&quot;??_);_(@_)"/>
    <numFmt numFmtId="167" formatCode="_(* #,##0.00_);_(* \(#,##0.00\);_(* &quot;-&quot;??_);_(@_)"/>
    <numFmt numFmtId="168" formatCode="0.0"/>
    <numFmt numFmtId="169" formatCode="&quot;$&quot;#,##0.0000"/>
    <numFmt numFmtId="170" formatCode="&quot;$&quot;#,##0.00"/>
    <numFmt numFmtId="171" formatCode="0.0_);[Red]\(0.0\)"/>
    <numFmt numFmtId="172" formatCode="&quot;$&quot;#,##0"/>
    <numFmt numFmtId="173" formatCode="0.0000"/>
    <numFmt numFmtId="174" formatCode="&quot;$&quot;#,##0.00;[Red]&quot;$&quot;#,##0.00"/>
    <numFmt numFmtId="175" formatCode="_-* #,##0_-;\-* #,##0_-;_-* &quot;-&quot;??_-;_-@_-"/>
    <numFmt numFmtId="176" formatCode="_(* #,##0.0_);_(* \(#,##0.0\);_(* &quot;-&quot;??_);_(@_)"/>
    <numFmt numFmtId="177" formatCode="_-&quot;$&quot;* #,##0.0000_-;\-&quot;$&quot;* #,##0.0000_-;_-&quot;$&quot;* &quot;-&quot;??_-;_-@_-"/>
    <numFmt numFmtId="178" formatCode="_(* #,##0_);_(* \(#,##0\);_(* &quot;-&quot;??_);_(@_)"/>
    <numFmt numFmtId="179" formatCode="#,##0.0_);\(#,##0.0\)"/>
    <numFmt numFmtId="180" formatCode="&quot;$&quot;_(#,##0.00_);&quot;$&quot;\(#,##0.00\)"/>
    <numFmt numFmtId="181" formatCode="_(&quot;$&quot;* #,##0.00000000000000000_);_(&quot;$&quot;* \(#,##0.00000000000000000\);_(&quot;$&quot;* &quot;-&quot;??_);_(@_)"/>
    <numFmt numFmtId="182" formatCode="_-&quot;£&quot;* #,##0.00_-;\-&quot;£&quot;* #,##0.00_-;_-&quot;£&quot;* &quot;-&quot;??_-;_-@_-"/>
    <numFmt numFmtId="183" formatCode="#,##0.0_)\x;\(#,##0.0\)\x"/>
    <numFmt numFmtId="184" formatCode="_(&quot;$&quot;* #,##0.00000000_);_(&quot;$&quot;* \(#,##0.00000000\);_(&quot;$&quot;* &quot;-&quot;??_);_(@_)"/>
    <numFmt numFmtId="185" formatCode="_(&quot;$&quot;* #,##0.00000000000_);_(&quot;$&quot;* \(#,##0.00000000000\);_(&quot;$&quot;* &quot;-&quot;??_);_(@_)"/>
    <numFmt numFmtId="186" formatCode="_(&quot;$&quot;* #,##0.000000000000_);_(&quot;$&quot;* \(#,##0.000000000000\);_(&quot;$&quot;* &quot;-&quot;??_);_(@_)"/>
    <numFmt numFmtId="187" formatCode="_-&quot;£&quot;* #,##0_-;\-&quot;£&quot;* #,##0_-;_-&quot;£&quot;* &quot;-&quot;_-;_-@_-"/>
    <numFmt numFmtId="188" formatCode="#,##0.0_)_x;\(#,##0.0\)_x"/>
    <numFmt numFmtId="189" formatCode="_(* #,##0.0_);_(* \(#,##0.0\);_(* &quot;-&quot;?_);_(@_)"/>
    <numFmt numFmtId="190" formatCode="#,##0.0_)_x;\(#,##0.0\)_x;0.0_)_x;@_)_x"/>
    <numFmt numFmtId="191" formatCode="_(&quot;$&quot;* #,##0.00000000000000_);_(&quot;$&quot;* \(#,##0.00000000000000\);_(&quot;$&quot;* &quot;-&quot;??_);_(@_)"/>
    <numFmt numFmtId="192" formatCode="0.0_)\%;\(0.0\)\%"/>
    <numFmt numFmtId="193" formatCode="_(&quot;$&quot;* #,##0.000000000000000_);_(&quot;$&quot;* \(#,##0.000000000000000\);_(&quot;$&quot;* &quot;-&quot;??_);_(@_)"/>
    <numFmt numFmtId="194" formatCode="#,##0.0_)_%;\(#,##0.0\)_%"/>
    <numFmt numFmtId="195" formatCode="_(* #,##0.000_);_(* \(#,##0.000\);_(* &quot;-&quot;??_);_(@_)"/>
    <numFmt numFmtId="196" formatCode="#,##0.0_);\(#,##0.0\);0_._0_)"/>
    <numFmt numFmtId="197" formatCode="0.000000"/>
    <numFmt numFmtId="198" formatCode="\¥\ #,##0_);[Red]\(\¥\ #,##0\)"/>
    <numFmt numFmtId="199" formatCode="[&gt;1]&quot;10Q: &quot;0&quot; qtrs&quot;;&quot;10Q: &quot;0&quot; qtr&quot;"/>
    <numFmt numFmtId="200" formatCode="0.0%;[Red]\(0.0%\)"/>
    <numFmt numFmtId="201" formatCode="#,##0.0\ \ \ _);\(#,##0.0\)\ \ "/>
    <numFmt numFmtId="202" formatCode="_-* #,##0.00\ _F_-;\-* #,##0.00\ _F_-;_-* &quot;-&quot;??\ _F_-;_-@_-"/>
    <numFmt numFmtId="203" formatCode="m\-d\-yy"/>
    <numFmt numFmtId="204" formatCode="&quot;£&quot;#,##0.00_);[Red]\(&quot;£&quot;#,##0.00\)"/>
    <numFmt numFmtId="205" formatCode="0.0_)"/>
    <numFmt numFmtId="206" formatCode="m/yy"/>
    <numFmt numFmtId="207" formatCode="#,###.0#"/>
    <numFmt numFmtId="208" formatCode="#,###.#"/>
    <numFmt numFmtId="209" formatCode="0000\ \-\ 0000"/>
    <numFmt numFmtId="210" formatCode="[Red][&gt;0.0000001]\+#,##0.?#;[Red][&lt;-0.0000001]\-#,##0.?#;[Green]&quot;=  &quot;"/>
    <numFmt numFmtId="211" formatCode="#.#######\x"/>
    <numFmt numFmtId="212" formatCode="0.00000E+00"/>
    <numFmt numFmtId="213" formatCode="_(* #,##0.0_);_(* \(#,##0.0\);_(* &quot;-&quot;_);_(@_)"/>
    <numFmt numFmtId="214" formatCode="_-* #,##0.00\ _D_M_-;\-* #,##0.00\ _D_M_-;_-* &quot;-&quot;??\ _D_M_-;_-@_-"/>
    <numFmt numFmtId="215" formatCode="#,##0.00_%_);\(#,##0.00\)_%;**;@_%_)"/>
    <numFmt numFmtId="216" formatCode="0.000\x"/>
    <numFmt numFmtId="217" formatCode="_(&quot;$&quot;* #,##0.0_);_(&quot;$&quot;* \(#,##0.0\);_(&quot;$&quot;* &quot;-&quot;_);_(@_)"/>
    <numFmt numFmtId="218" formatCode="_(&quot;$&quot;* #,##0_);_(&quot;$&quot;* \(#,##0\);_(&quot;$&quot;* &quot;-&quot;??_);_(@_)"/>
    <numFmt numFmtId="219" formatCode="&quot;$&quot;#,##0.00_%_);\(&quot;$&quot;#,##0.00\)_%;**;@_%_)"/>
    <numFmt numFmtId="220" formatCode="&quot;$&quot;#,##0.00_%_);\(&quot;$&quot;#,##0.00\)_%;&quot;$&quot;###0.00_%_);@_%_)"/>
    <numFmt numFmtId="221" formatCode="&quot;$&quot;#,##0.00_);[Red]\(&quot;$&quot;#,##0.00\);&quot;--  &quot;;_(@_)"/>
    <numFmt numFmtId="222" formatCode="_(\§\ #,##0_)\ ;[Red]\(\§\ #,##0\)\ ;&quot; - &quot;;_(@\ _)"/>
    <numFmt numFmtId="223" formatCode="_(\§\ #,##0.00_);[Red]\(\§\ #,##0.00\);&quot; - &quot;_0_0;_(@_)"/>
    <numFmt numFmtId="224" formatCode="###0.00_)"/>
    <numFmt numFmtId="225" formatCode="m/d/yy_%_)"/>
    <numFmt numFmtId="226" formatCode="mmm\-d\-yyyy"/>
    <numFmt numFmtId="227" formatCode="mmm\-dd\-yyyy"/>
    <numFmt numFmtId="228" formatCode="mmm\-yyyy"/>
    <numFmt numFmtId="229" formatCode="m/d/yy_%_);;**"/>
    <numFmt numFmtId="230" formatCode="#,##0.0_);[Red]\(#,##0.0\)"/>
    <numFmt numFmtId="231" formatCode="_([$€-2]* #,##0.00_);_([$€-2]* \(#,##0.00\);_([$€-2]* &quot;-&quot;??_)"/>
    <numFmt numFmtId="232" formatCode="&quot;$&quot;#,##0.000_);[Red]\(&quot;$&quot;#,##0.000\)"/>
    <numFmt numFmtId="233" formatCode="0.0000000000000"/>
    <numFmt numFmtId="234" formatCode="0.0%"/>
    <numFmt numFmtId="235" formatCode="0_)"/>
    <numFmt numFmtId="236" formatCode="[$-409]d\-mmm\-yy;@"/>
    <numFmt numFmtId="237" formatCode="#,##0.00_);[Red]\(#,##0.00\);\-\-\ \ \ "/>
    <numFmt numFmtId="238" formatCode="General_)"/>
    <numFmt numFmtId="239" formatCode="&quot;&quot;"/>
    <numFmt numFmtId="240" formatCode="#,##0.0\ ;\(#,##0.0\ \)"/>
    <numFmt numFmtId="241" formatCode="0.0%;0.0%;\-\ "/>
    <numFmt numFmtId="242" formatCode="0.0%\ ;\(0.0%\)"/>
    <numFmt numFmtId="243" formatCode="_ * #,##0.00_)\ _$_ ;_ * \(#,##0.00\)\ _$_ ;_ * &quot;-&quot;??_)\ _$_ ;_ @_ "/>
    <numFmt numFmtId="244" formatCode="#,##0.00000\ ;\(#,##0.00000\ \)"/>
    <numFmt numFmtId="245" formatCode="0.000000000000"/>
    <numFmt numFmtId="246" formatCode="_ * #,##0.00_)\ &quot;$&quot;_ ;_ * \(#,##0.00\)\ &quot;$&quot;_ ;_ * &quot;-&quot;??_)\ &quot;$&quot;_ ;_ @_ "/>
    <numFmt numFmtId="247" formatCode="#,##0.0000\ ;\(#,##0.0000\ \)"/>
    <numFmt numFmtId="248" formatCode="0.000%\ ;\(0.000%\)"/>
    <numFmt numFmtId="249" formatCode="#,##0.0\x_)_);\(#,##0.0\x\)_);#,##0.0\x_)_);@_%_)"/>
    <numFmt numFmtId="250" formatCode="_(* #,##0.00000_);_(* \(#,##0.00000\);_(* &quot;-&quot;?_);_(@_)"/>
    <numFmt numFmtId="251" formatCode="0.00_)"/>
    <numFmt numFmtId="252" formatCode="#,##0.000_);[Red]\(#,##0.000\)"/>
    <numFmt numFmtId="253" formatCode="0_);\(0\)"/>
    <numFmt numFmtId="254" formatCode="[$-1009]d\-mmm\-yy;@"/>
    <numFmt numFmtId="255" formatCode="#,##0.0_);[Red]\(#,##0.0\);&quot;--  &quot;"/>
    <numFmt numFmtId="256" formatCode="#,##0.00&quot;x&quot;_);[Red]\(#,##0.00&quot;x&quot;\)"/>
    <numFmt numFmtId="257" formatCode="#,##0_);\(#,##0\);&quot;-  &quot;"/>
    <numFmt numFmtId="258" formatCode="#,##0.0_);\(#,##0.0\);&quot;-  &quot;"/>
    <numFmt numFmtId="259" formatCode="#,##0.0_);\(#,##0.0\);\-_)"/>
    <numFmt numFmtId="260" formatCode="0.00000000"/>
    <numFmt numFmtId="261" formatCode="#,##0.0%_);[Red]\(#,##0.0%\)"/>
    <numFmt numFmtId="262" formatCode="#,##0.00%_);[Red]\(#,##0.00%\)"/>
    <numFmt numFmtId="263" formatCode="0.0%_);\(0.0%\);&quot;-  &quot;"/>
    <numFmt numFmtId="264" formatCode="#,##0.0\%_);\(#,##0.0\%\);#,##0.0\%_);@_%_)"/>
    <numFmt numFmtId="265" formatCode="mm/dd/yy"/>
    <numFmt numFmtId="266" formatCode="0.00\ ;\-0.00\ ;&quot;- &quot;"/>
    <numFmt numFmtId="267" formatCode="#,##0.0000"/>
    <numFmt numFmtId="268" formatCode="#,##0\ ;[Red]\(#,##0\);\ \-\ "/>
    <numFmt numFmtId="269" formatCode="#,##0.00_);\(#,##0.00\);#,##0.00_);@_)"/>
    <numFmt numFmtId="270" formatCode="[White]General"/>
    <numFmt numFmtId="271" formatCode="#,###.##"/>
    <numFmt numFmtId="272" formatCode="&quot;$&quot;#,##0.000000_);[Red]\(&quot;$&quot;#,##0.000000\)"/>
    <numFmt numFmtId="273" formatCode="&quot;Table &quot;0"/>
    <numFmt numFmtId="274" formatCode="_(General_)"/>
    <numFmt numFmtId="275" formatCode="0.00\ "/>
    <numFmt numFmtId="276" formatCode="_-&quot;L.&quot;\ * #,##0.00_-;\-&quot;L.&quot;\ * #,##0.00_-;_-&quot;L.&quot;\ * &quot;-&quot;??_-;_-@_-"/>
    <numFmt numFmtId="277" formatCode="0_%_);\(0\)_%;0_%_);@_%_)"/>
    <numFmt numFmtId="278" formatCode="0,000\x"/>
    <numFmt numFmtId="279" formatCode="yyyy&quot;A&quot;"/>
    <numFmt numFmtId="280" formatCode="_-* #,##0\ _D_M_-;\-* #,##0\ _D_M_-;_-* &quot;-&quot;\ _D_M_-;_-@_-"/>
    <numFmt numFmtId="281" formatCode="&quot;@ &quot;0.00"/>
    <numFmt numFmtId="282" formatCode="&quot;Yes&quot;_%_);&quot;Error&quot;_%_);&quot;No&quot;_%_);&quot;--&quot;_%_)"/>
    <numFmt numFmtId="283" formatCode="&quot;$&quot;#,##0.00000"/>
    <numFmt numFmtId="284" formatCode="_-&quot;$&quot;* #,##0_-;\-&quot;$&quot;* #,##0_-;_-&quot;$&quot;* &quot;-&quot;??_-;_-@_-"/>
    <numFmt numFmtId="285" formatCode="&quot;$&quot;#,##0.0000_);[Red]\(&quot;$&quot;#,##0.0000\)"/>
    <numFmt numFmtId="286" formatCode="#,##0.0"/>
    <numFmt numFmtId="287" formatCode="0.000%"/>
  </numFmts>
  <fonts count="252">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8"/>
      <name val="Calibri"/>
      <family val="2"/>
      <scheme val="minor"/>
    </font>
    <font>
      <i/>
      <sz val="11"/>
      <color theme="1"/>
      <name val="Calibri"/>
      <family val="2"/>
      <scheme val="minor"/>
    </font>
    <font>
      <i/>
      <sz val="11"/>
      <color theme="1"/>
      <name val="Arial"/>
      <family val="2"/>
    </font>
    <font>
      <b/>
      <sz val="10.5"/>
      <color rgb="FF000000"/>
      <name val="Arial"/>
      <family val="2"/>
    </font>
    <font>
      <sz val="10.5"/>
      <color theme="1"/>
      <name val="Arial"/>
      <family val="2"/>
    </font>
    <font>
      <b/>
      <sz val="10.5"/>
      <color theme="1"/>
      <name val="Arial"/>
      <family val="2"/>
    </font>
  </fonts>
  <fills count="9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66"/>
        <bgColor indexed="64"/>
      </patternFill>
    </fill>
    <fill>
      <patternFill patternType="solid">
        <fgColor theme="6" tint="0.59999389629810485"/>
        <bgColor indexed="64"/>
      </patternFill>
    </fill>
    <fill>
      <patternFill patternType="solid">
        <fgColor rgb="FFC5D9F0"/>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7" fontId="12" fillId="0" borderId="0" applyFont="0" applyFill="0" applyBorder="0" applyAlignment="0" applyProtection="0"/>
    <xf numFmtId="167" fontId="13"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7"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9" fontId="12" fillId="0" borderId="0" applyFont="0" applyFill="0" applyBorder="0" applyAlignment="0" applyProtection="0"/>
    <xf numFmtId="0" fontId="78" fillId="0" borderId="0"/>
    <xf numFmtId="0" fontId="79" fillId="0" borderId="0" applyFont="0" applyFill="0" applyBorder="0" applyAlignment="0" applyProtection="0"/>
    <xf numFmtId="180" fontId="12" fillId="0" borderId="0" applyFont="0" applyFill="0" applyBorder="0" applyAlignment="0" applyProtection="0"/>
    <xf numFmtId="176" fontId="12" fillId="0" borderId="0" applyFont="0" applyFill="0" applyBorder="0" applyAlignment="0" applyProtection="0"/>
    <xf numFmtId="181" fontId="80" fillId="0" borderId="0" applyFont="0" applyFill="0" applyBorder="0" applyAlignment="0" applyProtection="0"/>
    <xf numFmtId="182"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3"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80" fillId="0" borderId="0" applyFont="0" applyFill="0" applyBorder="0" applyAlignment="0" applyProtection="0"/>
    <xf numFmtId="188" fontId="12" fillId="0" borderId="0" applyFont="0" applyFill="0" applyBorder="0" applyAlignment="0" applyProtection="0"/>
    <xf numFmtId="189" fontId="12" fillId="0" borderId="0" applyFont="0" applyFill="0" applyBorder="0" applyAlignment="0" applyProtection="0"/>
    <xf numFmtId="190" fontId="12" fillId="0" borderId="0" applyFont="0" applyFill="0" applyBorder="0" applyProtection="0">
      <alignment horizontal="right"/>
    </xf>
    <xf numFmtId="191" fontId="80" fillId="0" borderId="0" applyFont="0" applyFill="0" applyBorder="0" applyAlignment="0" applyProtection="0"/>
    <xf numFmtId="41" fontId="80" fillId="0" borderId="0" applyFont="0" applyFill="0" applyBorder="0" applyAlignment="0" applyProtection="0"/>
    <xf numFmtId="192" fontId="12" fillId="0" borderId="0" applyFont="0" applyFill="0" applyBorder="0" applyAlignment="0" applyProtection="0"/>
    <xf numFmtId="173" fontId="12" fillId="0" borderId="0" applyFont="0" applyFill="0" applyBorder="0" applyAlignment="0" applyProtection="0"/>
    <xf numFmtId="193" fontId="80"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196"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7"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8" fontId="84" fillId="0" borderId="0" applyFont="0" applyFill="0" applyBorder="0" applyAlignment="0" applyProtection="0"/>
    <xf numFmtId="0" fontId="79" fillId="25" borderId="0" applyFont="0" applyFill="0" applyProtection="0"/>
    <xf numFmtId="179" fontId="12" fillId="0" borderId="0"/>
    <xf numFmtId="199"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0"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1" fontId="88" fillId="0" borderId="10">
      <alignment horizontal="right"/>
    </xf>
    <xf numFmtId="201" fontId="88" fillId="0" borderId="10" applyFill="0">
      <alignment horizontal="right"/>
    </xf>
    <xf numFmtId="3" fontId="12" fillId="0" borderId="10" applyFill="0">
      <alignment horizontal="right"/>
    </xf>
    <xf numFmtId="202" fontId="88" fillId="0" borderId="10" applyFill="0">
      <alignment horizontal="right"/>
    </xf>
    <xf numFmtId="203" fontId="11" fillId="62" borderId="66">
      <alignment horizontal="center" vertical="center"/>
    </xf>
    <xf numFmtId="0" fontId="12" fillId="0" borderId="0"/>
    <xf numFmtId="179" fontId="89" fillId="0" borderId="0"/>
    <xf numFmtId="0" fontId="12" fillId="0" borderId="0"/>
    <xf numFmtId="204" fontId="12" fillId="0" borderId="10">
      <alignment horizontal="right"/>
      <protection locked="0"/>
    </xf>
    <xf numFmtId="6" fontId="88" fillId="0" borderId="10" applyNumberFormat="0" applyFont="0" applyBorder="0" applyProtection="0">
      <alignment horizontal="right"/>
    </xf>
    <xf numFmtId="205"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6"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7" fontId="80" fillId="0" borderId="0" applyFill="0" applyBorder="0" applyAlignment="0"/>
    <xf numFmtId="208" fontId="80" fillId="0" borderId="0" applyFill="0" applyBorder="0" applyAlignment="0"/>
    <xf numFmtId="170" fontId="80" fillId="0" borderId="0" applyFill="0" applyBorder="0" applyAlignment="0"/>
    <xf numFmtId="209" fontId="80" fillId="0" borderId="0" applyFill="0" applyBorder="0" applyAlignment="0"/>
    <xf numFmtId="170" fontId="12" fillId="0" borderId="0" applyFill="0" applyBorder="0" applyAlignment="0"/>
    <xf numFmtId="207" fontId="80" fillId="0" borderId="0" applyFill="0" applyBorder="0" applyAlignment="0"/>
    <xf numFmtId="209" fontId="12" fillId="0" borderId="0" applyFill="0" applyBorder="0" applyAlignment="0"/>
    <xf numFmtId="208"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9" fontId="98" fillId="66" borderId="0" applyNumberFormat="0" applyFont="0" applyBorder="0" applyAlignment="0">
      <alignment horizontal="left"/>
    </xf>
    <xf numFmtId="0" fontId="26" fillId="0" borderId="20" applyNumberFormat="0" applyFill="0" applyAlignment="0" applyProtection="0"/>
    <xf numFmtId="210"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1"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8" fontId="85" fillId="0" borderId="0" applyBorder="0">
      <alignment horizontal="right"/>
    </xf>
    <xf numFmtId="168" fontId="85" fillId="0" borderId="68" applyAlignment="0">
      <alignment horizontal="right"/>
    </xf>
    <xf numFmtId="212" fontId="80" fillId="0" borderId="0"/>
    <xf numFmtId="212" fontId="80" fillId="0" borderId="0"/>
    <xf numFmtId="212" fontId="80" fillId="0" borderId="0"/>
    <xf numFmtId="212" fontId="80" fillId="0" borderId="0"/>
    <xf numFmtId="212" fontId="80" fillId="0" borderId="0"/>
    <xf numFmtId="212" fontId="80" fillId="0" borderId="0"/>
    <xf numFmtId="212" fontId="80" fillId="0" borderId="0"/>
    <xf numFmtId="212" fontId="80" fillId="0" borderId="0"/>
    <xf numFmtId="41" fontId="103" fillId="0" borderId="0" applyFont="0" applyBorder="0">
      <alignment horizontal="right"/>
    </xf>
    <xf numFmtId="207" fontId="80" fillId="0" borderId="0" applyFont="0" applyFill="0" applyBorder="0" applyAlignment="0" applyProtection="0"/>
    <xf numFmtId="213"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3" fontId="12" fillId="0" borderId="0" applyFont="0" applyFill="0" applyBorder="0" applyAlignment="0" applyProtection="0">
      <alignment horizontal="right"/>
    </xf>
    <xf numFmtId="214"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7" fontId="12" fillId="0" borderId="0" applyFont="0" applyFill="0" applyBorder="0" applyAlignment="0" applyProtection="0"/>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5"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7"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9"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6" fontId="12" fillId="0" borderId="0" applyFill="0" applyBorder="0">
      <alignment horizontal="right"/>
      <protection locked="0"/>
    </xf>
    <xf numFmtId="208" fontId="80" fillId="0" borderId="0" applyFont="0" applyFill="0" applyBorder="0" applyAlignment="0" applyProtection="0"/>
    <xf numFmtId="217" fontId="37" fillId="0" borderId="0">
      <alignment horizontal="right"/>
    </xf>
    <xf numFmtId="8" fontId="113" fillId="0" borderId="70">
      <protection locked="0"/>
    </xf>
    <xf numFmtId="0" fontId="104" fillId="0" borderId="0" applyFont="0" applyFill="0" applyBorder="0" applyProtection="0">
      <alignment horizontal="right"/>
    </xf>
    <xf numFmtId="188"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6" fontId="107" fillId="0" borderId="0" applyFont="0" applyFill="0" applyBorder="0" applyAlignment="0" applyProtection="0"/>
    <xf numFmtId="166" fontId="12" fillId="0" borderId="0" applyFont="0" applyFill="0" applyBorder="0" applyAlignment="0" applyProtection="0"/>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6" fontId="6" fillId="0" borderId="0" applyFont="0" applyFill="0" applyBorder="0" applyAlignment="0" applyProtection="0"/>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9"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6" fontId="108" fillId="0" borderId="0" applyFont="0" applyFill="0" applyBorder="0" applyAlignment="0" applyProtection="0"/>
    <xf numFmtId="44" fontId="77" fillId="0" borderId="0" applyFont="0" applyFill="0" applyBorder="0" applyAlignment="0" applyProtection="0"/>
    <xf numFmtId="166"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20" fontId="80" fillId="0" borderId="0" applyFont="0" applyFill="0" applyBorder="0" applyProtection="0">
      <alignment horizontal="right"/>
    </xf>
    <xf numFmtId="221" fontId="108" fillId="0" borderId="71" applyFont="0" applyFill="0" applyBorder="0" applyAlignment="0" applyProtection="0"/>
    <xf numFmtId="222" fontId="88" fillId="0" borderId="0" applyFont="0" applyFill="0" applyBorder="0" applyAlignment="0" applyProtection="0">
      <alignment vertical="center"/>
    </xf>
    <xf numFmtId="223"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4" fontId="78" fillId="0" borderId="72" applyNumberFormat="0" applyFill="0">
      <alignment horizontal="right"/>
    </xf>
    <xf numFmtId="224" fontId="78" fillId="0" borderId="72" applyNumberFormat="0" applyFill="0">
      <alignment horizontal="right"/>
    </xf>
    <xf numFmtId="1" fontId="115" fillId="0" borderId="0"/>
    <xf numFmtId="225" fontId="98" fillId="0" borderId="0" applyFont="0" applyFill="0" applyBorder="0" applyProtection="0">
      <alignment horizontal="right"/>
    </xf>
    <xf numFmtId="226" fontId="81" fillId="65" borderId="9" applyFont="0" applyFill="0" applyBorder="0" applyAlignment="0" applyProtection="0"/>
    <xf numFmtId="227" fontId="108" fillId="0" borderId="0" applyFont="0" applyFill="0" applyBorder="0" applyAlignment="0" applyProtection="0"/>
    <xf numFmtId="227" fontId="108" fillId="0" borderId="0" applyFont="0" applyFill="0" applyBorder="0" applyAlignment="0" applyProtection="0"/>
    <xf numFmtId="228" fontId="85" fillId="0" borderId="5" applyFont="0" applyFill="0" applyBorder="0" applyAlignment="0" applyProtection="0"/>
    <xf numFmtId="180" fontId="12" fillId="0" borderId="0" applyFont="0" applyFill="0" applyBorder="0" applyAlignment="0" applyProtection="0"/>
    <xf numFmtId="229"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8" fontId="12" fillId="0" borderId="73" applyNumberFormat="0" applyFont="0" applyFill="0" applyAlignment="0" applyProtection="0"/>
    <xf numFmtId="168" fontId="12" fillId="0" borderId="73" applyNumberFormat="0" applyFont="0" applyFill="0" applyAlignment="0" applyProtection="0"/>
    <xf numFmtId="168" fontId="12" fillId="0" borderId="73" applyNumberFormat="0" applyFont="0" applyFill="0" applyAlignment="0" applyProtection="0"/>
    <xf numFmtId="42" fontId="118" fillId="0" borderId="0" applyFill="0" applyBorder="0" applyAlignment="0" applyProtection="0"/>
    <xf numFmtId="1" fontId="98" fillId="0" borderId="0"/>
    <xf numFmtId="230" fontId="119" fillId="0" borderId="0">
      <protection locked="0"/>
    </xf>
    <xf numFmtId="230" fontId="119" fillId="0" borderId="0">
      <protection locked="0"/>
    </xf>
    <xf numFmtId="207" fontId="80" fillId="0" borderId="0" applyFill="0" applyBorder="0" applyAlignment="0"/>
    <xf numFmtId="208" fontId="80" fillId="0" borderId="0" applyFill="0" applyBorder="0" applyAlignment="0"/>
    <xf numFmtId="207" fontId="80" fillId="0" borderId="0" applyFill="0" applyBorder="0" applyAlignment="0"/>
    <xf numFmtId="209" fontId="12" fillId="0" borderId="0" applyFill="0" applyBorder="0" applyAlignment="0"/>
    <xf numFmtId="208" fontId="80" fillId="0" borderId="0" applyFill="0" applyBorder="0" applyAlignment="0"/>
    <xf numFmtId="0" fontId="25" fillId="8" borderId="29" applyNumberFormat="0" applyAlignment="0" applyProtection="0"/>
    <xf numFmtId="231"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2" fontId="101" fillId="68" borderId="11">
      <alignment horizontal="left"/>
    </xf>
    <xf numFmtId="1" fontId="121" fillId="69" borderId="43" applyNumberFormat="0" applyBorder="0" applyAlignment="0">
      <alignment horizontal="centerContinuous" vertical="center"/>
      <protection locked="0"/>
    </xf>
    <xf numFmtId="233" fontId="12" fillId="0" borderId="0">
      <protection locked="0"/>
    </xf>
    <xf numFmtId="211"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4" fontId="12" fillId="71" borderId="34" applyNumberFormat="0" applyFont="0" applyBorder="0" applyAlignment="0" applyProtection="0"/>
    <xf numFmtId="183" fontId="12" fillId="0" borderId="0" applyFont="0" applyFill="0" applyBorder="0" applyAlignment="0" applyProtection="0">
      <alignment horizontal="right"/>
    </xf>
    <xf numFmtId="179"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5" fontId="87" fillId="0" borderId="0">
      <alignment horizontal="centerContinuous"/>
    </xf>
    <xf numFmtId="0" fontId="134" fillId="0" borderId="75" applyNumberFormat="0" applyFill="0" applyBorder="0" applyAlignment="0" applyProtection="0">
      <alignment horizontal="left"/>
    </xf>
    <xf numFmtId="235"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6"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7"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8"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9" fontId="145" fillId="0" borderId="78" applyFont="0" applyFill="0" applyBorder="0" applyAlignment="0" applyProtection="0"/>
    <xf numFmtId="240"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7" fontId="80" fillId="0" borderId="0" applyFill="0" applyBorder="0" applyAlignment="0"/>
    <xf numFmtId="208" fontId="80" fillId="0" borderId="0" applyFill="0" applyBorder="0" applyAlignment="0"/>
    <xf numFmtId="207" fontId="80" fillId="0" borderId="0" applyFill="0" applyBorder="0" applyAlignment="0"/>
    <xf numFmtId="209" fontId="12" fillId="0" borderId="0" applyFill="0" applyBorder="0" applyAlignment="0"/>
    <xf numFmtId="208"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1"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2" fontId="12" fillId="0" borderId="0" applyFont="0" applyFill="0" applyBorder="0" applyAlignment="0" applyProtection="0"/>
    <xf numFmtId="243" fontId="6" fillId="0" borderId="0" applyFont="0" applyFill="0" applyBorder="0" applyAlignment="0" applyProtection="0"/>
    <xf numFmtId="244"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248" fontId="12" fillId="0" borderId="0">
      <protection locked="0"/>
    </xf>
    <xf numFmtId="228" fontId="108" fillId="65" borderId="0">
      <alignment horizontal="center"/>
    </xf>
    <xf numFmtId="249" fontId="106" fillId="0" borderId="0" applyFont="0" applyFill="0" applyBorder="0" applyProtection="0">
      <alignment horizontal="right"/>
    </xf>
    <xf numFmtId="250" fontId="12" fillId="0" borderId="0" applyFont="0" applyFill="0" applyBorder="0" applyAlignment="0" applyProtection="0"/>
    <xf numFmtId="176"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8"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8"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8" fontId="156" fillId="0" borderId="0" applyNumberFormat="0" applyFill="0" applyBorder="0" applyAlignment="0" applyProtection="0">
      <alignment vertical="center"/>
    </xf>
    <xf numFmtId="1" fontId="84" fillId="0" borderId="0"/>
    <xf numFmtId="251" fontId="157" fillId="0" borderId="0"/>
    <xf numFmtId="37" fontId="81" fillId="77" borderId="0" applyFont="0" applyFill="0" applyBorder="0" applyAlignment="0" applyProtection="0"/>
    <xf numFmtId="230" fontId="12" fillId="0" borderId="0" applyFont="0" applyFill="0" applyBorder="0" applyAlignment="0"/>
    <xf numFmtId="252" fontId="108" fillId="0" borderId="0" applyFont="0" applyFill="0" applyBorder="0" applyAlignment="0"/>
    <xf numFmtId="253" fontId="108" fillId="0" borderId="0" applyFont="0" applyFill="0" applyBorder="0" applyAlignment="0"/>
    <xf numFmtId="252" fontId="108" fillId="0" borderId="0" applyFont="0" applyFill="0" applyBorder="0" applyAlignment="0"/>
    <xf numFmtId="254"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6" fontId="12" fillId="0" borderId="0"/>
    <xf numFmtId="0" fontId="101" fillId="0" borderId="0"/>
    <xf numFmtId="0" fontId="101" fillId="0" borderId="0"/>
    <xf numFmtId="236" fontId="12" fillId="0" borderId="0"/>
    <xf numFmtId="0" fontId="34"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9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4" fillId="0" borderId="0"/>
    <xf numFmtId="0" fontId="125" fillId="0" borderId="0"/>
    <xf numFmtId="0" fontId="12" fillId="0" borderId="0"/>
    <xf numFmtId="236" fontId="12" fillId="0" borderId="0"/>
    <xf numFmtId="236"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6" fontId="12"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1" fillId="0" borderId="0"/>
    <xf numFmtId="0" fontId="101" fillId="0" borderId="0"/>
    <xf numFmtId="0" fontId="101" fillId="0" borderId="0"/>
    <xf numFmtId="0" fontId="101"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1" fillId="0" borderId="0"/>
    <xf numFmtId="0" fontId="101"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6" fillId="0" borderId="0"/>
    <xf numFmtId="236" fontId="12" fillId="0" borderId="0"/>
    <xf numFmtId="236" fontId="12" fillId="0" borderId="0"/>
    <xf numFmtId="0"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6" fontId="12" fillId="0" borderId="0"/>
    <xf numFmtId="236" fontId="12" fillId="0" borderId="0"/>
    <xf numFmtId="0" fontId="9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54" fontId="6" fillId="0" borderId="0"/>
    <xf numFmtId="0" fontId="6" fillId="0" borderId="0"/>
    <xf numFmtId="0" fontId="107" fillId="0" borderId="0"/>
    <xf numFmtId="236" fontId="12" fillId="0" borderId="0"/>
    <xf numFmtId="0" fontId="12" fillId="0" borderId="0"/>
    <xf numFmtId="236" fontId="12" fillId="0" borderId="0"/>
    <xf numFmtId="0" fontId="77" fillId="0" borderId="0"/>
    <xf numFmtId="0" fontId="6" fillId="0" borderId="0"/>
    <xf numFmtId="0" fontId="77" fillId="0" borderId="0"/>
    <xf numFmtId="236" fontId="12" fillId="0" borderId="0"/>
    <xf numFmtId="236"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0" fontId="6" fillId="0" borderId="0"/>
    <xf numFmtId="236" fontId="12" fillId="0" borderId="0"/>
    <xf numFmtId="236" fontId="12" fillId="0" borderId="0"/>
    <xf numFmtId="236" fontId="12" fillId="0" borderId="0"/>
    <xf numFmtId="0" fontId="6" fillId="0" borderId="0"/>
    <xf numFmtId="0" fontId="12" fillId="0" borderId="0"/>
    <xf numFmtId="0" fontId="12" fillId="0" borderId="0"/>
    <xf numFmtId="0" fontId="12" fillId="0" borderId="0"/>
    <xf numFmtId="0" fontId="12" fillId="0" borderId="0"/>
    <xf numFmtId="236" fontId="12" fillId="0" borderId="0"/>
    <xf numFmtId="0" fontId="12"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2"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2" fillId="0" borderId="0"/>
    <xf numFmtId="236" fontId="12" fillId="0" borderId="0"/>
    <xf numFmtId="236" fontId="12" fillId="0" borderId="0"/>
    <xf numFmtId="236" fontId="12" fillId="0" borderId="0"/>
    <xf numFmtId="0" fontId="12" fillId="0" borderId="0">
      <alignment wrapText="1"/>
    </xf>
    <xf numFmtId="0" fontId="12" fillId="0" borderId="0">
      <alignment wrapText="1"/>
    </xf>
    <xf numFmtId="0" fontId="9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2" fillId="0" borderId="0"/>
    <xf numFmtId="236" fontId="12" fillId="0" borderId="0"/>
    <xf numFmtId="0" fontId="12" fillId="0" borderId="0"/>
    <xf numFmtId="0" fontId="6" fillId="0" borderId="0"/>
    <xf numFmtId="236" fontId="12" fillId="0" borderId="0"/>
    <xf numFmtId="236" fontId="12" fillId="0" borderId="0"/>
    <xf numFmtId="236" fontId="12"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2" fillId="0" borderId="0"/>
    <xf numFmtId="236" fontId="12" fillId="0" borderId="0"/>
    <xf numFmtId="236" fontId="12" fillId="0" borderId="0"/>
    <xf numFmtId="236"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6" fillId="0" borderId="0"/>
    <xf numFmtId="236" fontId="12" fillId="0" borderId="0"/>
    <xf numFmtId="0" fontId="101" fillId="0" borderId="0"/>
    <xf numFmtId="0" fontId="12" fillId="0" borderId="0">
      <alignment wrapText="1"/>
    </xf>
    <xf numFmtId="236" fontId="12"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2" fillId="0" borderId="0">
      <alignment wrapText="1"/>
    </xf>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4"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6"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4"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4"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0" fontId="159" fillId="0" borderId="0"/>
    <xf numFmtId="0" fontId="12" fillId="0" borderId="0"/>
    <xf numFmtId="0" fontId="160" fillId="0" borderId="0"/>
    <xf numFmtId="256"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7" fontId="162" fillId="0" borderId="0" applyBorder="0" applyProtection="0">
      <alignment horizontal="right"/>
    </xf>
    <xf numFmtId="257" fontId="163" fillId="78" borderId="0" applyBorder="0" applyProtection="0">
      <alignment horizontal="right"/>
    </xf>
    <xf numFmtId="257" fontId="164" fillId="0" borderId="33" applyBorder="0"/>
    <xf numFmtId="257" fontId="162" fillId="0" borderId="0" applyBorder="0" applyProtection="0">
      <alignment horizontal="right"/>
    </xf>
    <xf numFmtId="258" fontId="162" fillId="0" borderId="0" applyBorder="0" applyProtection="0">
      <alignment horizontal="right"/>
    </xf>
    <xf numFmtId="258" fontId="165" fillId="78" borderId="0" applyProtection="0">
      <alignment horizontal="right"/>
    </xf>
    <xf numFmtId="37" fontId="79" fillId="0" borderId="0" applyFill="0" applyBorder="0" applyProtection="0">
      <alignment horizontal="right"/>
    </xf>
    <xf numFmtId="189" fontId="81" fillId="0" borderId="0" applyFont="0" applyFill="0" applyBorder="0" applyProtection="0">
      <alignment horizontal="right"/>
    </xf>
    <xf numFmtId="259"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8" fontId="170" fillId="0" borderId="5">
      <alignment vertical="center"/>
    </xf>
    <xf numFmtId="2" fontId="98" fillId="0" borderId="0"/>
    <xf numFmtId="234" fontId="171" fillId="0" borderId="0" applyFill="0" applyBorder="0" applyAlignment="0" applyProtection="0"/>
    <xf numFmtId="170" fontId="12" fillId="0" borderId="0" applyFont="0" applyFill="0" applyBorder="0" applyAlignment="0" applyProtection="0"/>
    <xf numFmtId="260" fontId="80" fillId="0" borderId="0" applyFont="0" applyFill="0" applyBorder="0" applyAlignment="0" applyProtection="0"/>
    <xf numFmtId="261" fontId="172" fillId="65" borderId="34" applyFill="0" applyBorder="0" applyAlignment="0" applyProtection="0">
      <alignment horizontal="right"/>
      <protection locked="0"/>
    </xf>
    <xf numFmtId="262"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3" fontId="162" fillId="0" borderId="0" applyBorder="0" applyProtection="0">
      <alignment horizontal="right"/>
    </xf>
    <xf numFmtId="263" fontId="163" fillId="78" borderId="0" applyProtection="0">
      <alignment horizontal="right"/>
    </xf>
    <xf numFmtId="263"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4"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4" fontId="98" fillId="0" borderId="0" applyFont="0" applyFill="0" applyBorder="0" applyProtection="0">
      <alignment horizontal="right"/>
    </xf>
    <xf numFmtId="9" fontId="12" fillId="0" borderId="0"/>
    <xf numFmtId="265" fontId="12" fillId="0" borderId="0" applyFill="0" applyBorder="0">
      <alignment horizontal="right"/>
      <protection locked="0"/>
    </xf>
    <xf numFmtId="1" fontId="84" fillId="0" borderId="0"/>
    <xf numFmtId="248" fontId="12" fillId="0" borderId="0">
      <protection locked="0"/>
    </xf>
    <xf numFmtId="234" fontId="12" fillId="0" borderId="0" applyFont="0" applyFill="0" applyBorder="0" applyAlignment="0" applyProtection="0"/>
    <xf numFmtId="207" fontId="80" fillId="0" borderId="0" applyFill="0" applyBorder="0" applyAlignment="0"/>
    <xf numFmtId="208" fontId="80" fillId="0" borderId="0" applyFill="0" applyBorder="0" applyAlignment="0"/>
    <xf numFmtId="207" fontId="80" fillId="0" borderId="0" applyFill="0" applyBorder="0" applyAlignment="0"/>
    <xf numFmtId="209" fontId="12" fillId="0" borderId="0" applyFill="0" applyBorder="0" applyAlignment="0"/>
    <xf numFmtId="208" fontId="80" fillId="0" borderId="0" applyFill="0" applyBorder="0" applyAlignment="0"/>
    <xf numFmtId="10" fontId="98" fillId="0" borderId="0"/>
    <xf numFmtId="10" fontId="98" fillId="73" borderId="0"/>
    <xf numFmtId="9" fontId="98" fillId="0" borderId="0" applyFont="0" applyFill="0" applyBorder="0" applyAlignment="0" applyProtection="0"/>
    <xf numFmtId="168" fontId="19" fillId="0" borderId="0"/>
    <xf numFmtId="266"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0"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7"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4" fontId="181" fillId="0" borderId="76"/>
    <xf numFmtId="268"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4"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2"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9"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9"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0"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8"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8" fontId="12" fillId="25" borderId="83" applyNumberFormat="0" applyAlignment="0">
      <alignment vertical="center"/>
    </xf>
    <xf numFmtId="238" fontId="194" fillId="86" borderId="84" applyNumberFormat="0" applyBorder="0" applyAlignment="0" applyProtection="0">
      <alignment vertical="center"/>
    </xf>
    <xf numFmtId="238" fontId="12" fillId="25" borderId="83" applyNumberFormat="0" applyProtection="0">
      <alignment horizontal="centerContinuous" vertical="center"/>
    </xf>
    <xf numFmtId="238" fontId="195" fillId="87" borderId="0" applyNumberFormat="0" applyBorder="0" applyAlignment="0" applyProtection="0">
      <alignment vertical="center"/>
    </xf>
    <xf numFmtId="238"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1" fontId="80" fillId="0" borderId="0" applyFill="0" applyBorder="0" applyAlignment="0"/>
    <xf numFmtId="272"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3"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4"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8" fontId="85" fillId="0" borderId="85"/>
    <xf numFmtId="0" fontId="204" fillId="0" borderId="0">
      <alignment horizontal="fill"/>
    </xf>
    <xf numFmtId="275" fontId="173" fillId="70" borderId="11" applyBorder="0">
      <alignment horizontal="right" vertical="center"/>
      <protection locked="0"/>
    </xf>
    <xf numFmtId="42" fontId="12" fillId="0" borderId="0" applyFont="0" applyFill="0" applyBorder="0" applyAlignment="0" applyProtection="0"/>
    <xf numFmtId="276"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4"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7" fontId="98" fillId="0" borderId="0" applyFont="0" applyFill="0" applyBorder="0" applyProtection="0">
      <alignment horizontal="right"/>
    </xf>
    <xf numFmtId="278" fontId="12" fillId="0" borderId="0"/>
    <xf numFmtId="279" fontId="162" fillId="0" borderId="0" applyFill="0" applyBorder="0" applyProtection="0"/>
    <xf numFmtId="0" fontId="12" fillId="0" borderId="0">
      <alignment horizontal="center"/>
    </xf>
    <xf numFmtId="280" fontId="79" fillId="0" borderId="5">
      <alignment horizontal="right"/>
    </xf>
    <xf numFmtId="281" fontId="12" fillId="0" borderId="0" applyFont="0" applyFill="0" applyBorder="0" applyAlignment="0" applyProtection="0"/>
    <xf numFmtId="282" fontId="90" fillId="0" borderId="0" applyFont="0" applyFill="0" applyBorder="0" applyProtection="0">
      <alignment horizontal="right"/>
    </xf>
    <xf numFmtId="0" fontId="12" fillId="0" borderId="0"/>
    <xf numFmtId="167" fontId="12" fillId="0" borderId="0" applyFont="0" applyFill="0" applyBorder="0" applyAlignment="0" applyProtection="0"/>
    <xf numFmtId="254"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0" fontId="12" fillId="0" borderId="88">
      <alignment horizontal="right"/>
    </xf>
    <xf numFmtId="201" fontId="88" fillId="0" borderId="88">
      <alignment horizontal="right"/>
    </xf>
    <xf numFmtId="201" fontId="88" fillId="0" borderId="88" applyFill="0">
      <alignment horizontal="right"/>
    </xf>
    <xf numFmtId="3" fontId="12" fillId="0" borderId="88" applyFill="0">
      <alignment horizontal="right"/>
    </xf>
    <xf numFmtId="202" fontId="88" fillId="0" borderId="88" applyFill="0">
      <alignment horizontal="right"/>
    </xf>
    <xf numFmtId="204"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6" fontId="81" fillId="65" borderId="87" applyFont="0" applyFill="0" applyBorder="0" applyAlignment="0" applyProtection="0"/>
    <xf numFmtId="228" fontId="85" fillId="0" borderId="86" applyFont="0" applyFill="0" applyBorder="0" applyAlignment="0" applyProtection="0"/>
    <xf numFmtId="232"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8" fontId="12" fillId="0" borderId="86" applyBorder="0" applyProtection="0">
      <alignment horizontal="right" vertical="center"/>
    </xf>
    <xf numFmtId="167"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5" fontId="173" fillId="70" borderId="89" applyBorder="0">
      <alignment horizontal="right" vertical="center"/>
      <protection locked="0"/>
    </xf>
    <xf numFmtId="280"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5"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8" fontId="194" fillId="86" borderId="93" applyNumberFormat="0" applyBorder="0" applyAlignment="0" applyProtection="0">
      <alignment vertical="center"/>
    </xf>
    <xf numFmtId="168"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73">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4"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5"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4"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7"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7"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7" fontId="45" fillId="28" borderId="45" xfId="70" applyNumberFormat="1" applyFont="1" applyFill="1" applyBorder="1" applyAlignment="1" applyProtection="1">
      <alignment horizontal="center"/>
      <protection locked="0"/>
    </xf>
    <xf numFmtId="0" fontId="5" fillId="2" borderId="0" xfId="0" applyFont="1" applyFill="1" applyBorder="1"/>
    <xf numFmtId="177"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7" fontId="45" fillId="2" borderId="89" xfId="70" applyNumberFormat="1" applyFont="1" applyFill="1" applyBorder="1" applyAlignment="1" applyProtection="1">
      <alignment horizontal="center"/>
      <protection locked="0"/>
    </xf>
    <xf numFmtId="177" fontId="45" fillId="2" borderId="4" xfId="70" applyNumberFormat="1" applyFont="1" applyFill="1" applyBorder="1" applyAlignment="1" applyProtection="1">
      <alignment horizontal="center"/>
      <protection locked="0"/>
    </xf>
    <xf numFmtId="177" fontId="45" fillId="2" borderId="5" xfId="70" applyNumberFormat="1" applyFont="1" applyFill="1" applyBorder="1" applyAlignment="1" applyProtection="1">
      <alignment horizontal="center"/>
      <protection locked="0"/>
    </xf>
    <xf numFmtId="177" fontId="45" fillId="2" borderId="45" xfId="70" applyNumberFormat="1" applyFont="1" applyFill="1" applyBorder="1" applyAlignment="1" applyProtection="1">
      <alignment horizontal="center"/>
      <protection locked="0"/>
    </xf>
    <xf numFmtId="177"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7" fontId="45" fillId="2" borderId="0" xfId="70" applyNumberFormat="1" applyFont="1" applyFill="1" applyBorder="1" applyAlignment="1" applyProtection="1">
      <alignment horizontal="center" vertical="center"/>
      <protection locked="0"/>
    </xf>
    <xf numFmtId="177"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5" fontId="51" fillId="28" borderId="28" xfId="40" applyNumberFormat="1" applyFont="1" applyFill="1" applyBorder="1" applyAlignment="1">
      <alignment horizontal="left" vertical="center"/>
    </xf>
    <xf numFmtId="175" fontId="51" fillId="2" borderId="28" xfId="40" applyNumberFormat="1" applyFont="1" applyFill="1" applyBorder="1" applyAlignment="1">
      <alignment horizontal="left" vertical="center"/>
    </xf>
    <xf numFmtId="175"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2"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3"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5"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5"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5" fontId="212" fillId="90" borderId="28" xfId="40" applyNumberFormat="1" applyFont="1" applyFill="1" applyBorder="1" applyAlignment="1">
      <alignment horizontal="left" vertical="center"/>
    </xf>
    <xf numFmtId="175" fontId="212" fillId="2" borderId="28" xfId="40" applyNumberFormat="1" applyFont="1" applyFill="1" applyBorder="1" applyAlignment="1">
      <alignment horizontal="left" vertical="center"/>
    </xf>
    <xf numFmtId="0" fontId="50" fillId="2" borderId="0" xfId="0" applyFont="1" applyFill="1" applyAlignment="1">
      <alignment horizontal="center"/>
    </xf>
    <xf numFmtId="284"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1" fontId="213" fillId="26" borderId="118" xfId="6" applyNumberFormat="1" applyFont="1" applyFill="1" applyBorder="1" applyAlignment="1">
      <alignment horizontal="center" vertical="center" wrapText="1"/>
    </xf>
    <xf numFmtId="171" fontId="213" fillId="26" borderId="103" xfId="6" applyNumberFormat="1" applyFont="1" applyFill="1" applyBorder="1" applyAlignment="1">
      <alignment horizontal="center" vertical="center" wrapText="1"/>
    </xf>
    <xf numFmtId="171"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2" fontId="91" fillId="2" borderId="13" xfId="0" applyNumberFormat="1" applyFont="1" applyFill="1" applyBorder="1" applyAlignment="1">
      <alignment horizontal="center"/>
    </xf>
    <xf numFmtId="172" fontId="91" fillId="2" borderId="119" xfId="0" applyNumberFormat="1" applyFont="1" applyFill="1" applyBorder="1" applyAlignment="1">
      <alignment horizontal="center"/>
    </xf>
    <xf numFmtId="172" fontId="91" fillId="2" borderId="8" xfId="0" applyNumberFormat="1" applyFont="1" applyFill="1" applyBorder="1" applyAlignment="1">
      <alignment horizontal="center"/>
    </xf>
    <xf numFmtId="172" fontId="91" fillId="2" borderId="38" xfId="0" applyNumberFormat="1" applyFont="1" applyFill="1" applyBorder="1" applyAlignment="1">
      <alignment horizontal="center"/>
    </xf>
    <xf numFmtId="172" fontId="91" fillId="2" borderId="9" xfId="0" applyNumberFormat="1" applyFont="1" applyFill="1" applyBorder="1" applyAlignment="1">
      <alignment horizontal="center"/>
    </xf>
    <xf numFmtId="172" fontId="91" fillId="2" borderId="5" xfId="0" applyNumberFormat="1" applyFont="1" applyFill="1" applyBorder="1" applyAlignment="1">
      <alignment horizontal="center"/>
    </xf>
    <xf numFmtId="172" fontId="44" fillId="2" borderId="9" xfId="0" applyNumberFormat="1" applyFont="1" applyFill="1" applyBorder="1" applyAlignment="1">
      <alignment horizontal="center"/>
    </xf>
    <xf numFmtId="165" fontId="218" fillId="2" borderId="0" xfId="0" applyNumberFormat="1" applyFont="1" applyFill="1" applyBorder="1" applyAlignment="1">
      <alignment horizontal="center"/>
    </xf>
    <xf numFmtId="0" fontId="219" fillId="2" borderId="0" xfId="0" applyFont="1" applyFill="1" applyBorder="1"/>
    <xf numFmtId="165" fontId="219" fillId="2" borderId="0" xfId="0" applyNumberFormat="1" applyFont="1" applyFill="1" applyBorder="1" applyAlignment="1">
      <alignment horizontal="center"/>
    </xf>
    <xf numFmtId="172" fontId="91" fillId="2" borderId="95" xfId="0" applyNumberFormat="1" applyFont="1" applyFill="1" applyBorder="1" applyAlignment="1">
      <alignment horizontal="center"/>
    </xf>
    <xf numFmtId="172" fontId="91" fillId="2" borderId="103" xfId="0" applyNumberFormat="1" applyFont="1" applyFill="1" applyBorder="1" applyAlignment="1">
      <alignment horizontal="center"/>
    </xf>
    <xf numFmtId="165" fontId="91" fillId="2" borderId="96" xfId="0" applyNumberFormat="1" applyFont="1" applyFill="1" applyBorder="1" applyAlignment="1">
      <alignment horizontal="center"/>
    </xf>
    <xf numFmtId="165" fontId="91" fillId="2" borderId="97" xfId="0" applyNumberFormat="1" applyFont="1" applyFill="1" applyBorder="1" applyAlignment="1">
      <alignment horizontal="center"/>
    </xf>
    <xf numFmtId="165" fontId="13" fillId="2" borderId="0" xfId="0" applyNumberFormat="1" applyFont="1" applyFill="1" applyBorder="1" applyAlignment="1">
      <alignment horizontal="center"/>
    </xf>
    <xf numFmtId="174" fontId="13" fillId="2" borderId="0" xfId="0" applyNumberFormat="1" applyFont="1" applyFill="1"/>
    <xf numFmtId="172" fontId="91" fillId="2" borderId="89" xfId="0" applyNumberFormat="1" applyFont="1" applyFill="1" applyBorder="1" applyAlignment="1">
      <alignment horizontal="center"/>
    </xf>
    <xf numFmtId="172" fontId="91" fillId="2" borderId="0" xfId="0" applyNumberFormat="1" applyFont="1" applyFill="1" applyBorder="1" applyAlignment="1">
      <alignment horizontal="center"/>
    </xf>
    <xf numFmtId="165" fontId="91" fillId="2" borderId="0" xfId="0" applyNumberFormat="1" applyFont="1" applyFill="1" applyBorder="1" applyAlignment="1">
      <alignment horizontal="center"/>
    </xf>
    <xf numFmtId="165" fontId="91" fillId="2" borderId="12" xfId="0" applyNumberFormat="1" applyFont="1" applyFill="1" applyBorder="1" applyAlignment="1">
      <alignment horizontal="center"/>
    </xf>
    <xf numFmtId="165" fontId="13" fillId="2" borderId="0" xfId="0" applyNumberFormat="1" applyFont="1" applyFill="1"/>
    <xf numFmtId="165" fontId="217" fillId="2" borderId="0" xfId="0" applyNumberFormat="1" applyFont="1" applyFill="1" applyBorder="1" applyAlignment="1">
      <alignment horizontal="center"/>
    </xf>
    <xf numFmtId="165" fontId="91" fillId="28" borderId="35" xfId="0" applyNumberFormat="1" applyFont="1" applyFill="1" applyBorder="1" applyAlignment="1">
      <alignment horizontal="center"/>
    </xf>
    <xf numFmtId="165" fontId="91" fillId="28" borderId="120" xfId="0" applyNumberFormat="1" applyFont="1" applyFill="1" applyBorder="1" applyAlignment="1">
      <alignment horizontal="center"/>
    </xf>
    <xf numFmtId="165" fontId="91" fillId="28" borderId="45" xfId="0" applyNumberFormat="1" applyFont="1" applyFill="1" applyBorder="1" applyAlignment="1">
      <alignment horizontal="center"/>
    </xf>
    <xf numFmtId="0" fontId="13" fillId="2" borderId="0" xfId="0" applyFont="1" applyFill="1" applyBorder="1"/>
    <xf numFmtId="165"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1"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4" fontId="216" fillId="2" borderId="123" xfId="70" applyNumberFormat="1" applyFont="1" applyFill="1" applyBorder="1" applyAlignment="1">
      <alignment horizontal="left" vertical="center"/>
    </xf>
    <xf numFmtId="175"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1"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2" fontId="3" fillId="2" borderId="0" xfId="0" applyNumberFormat="1" applyFont="1" applyFill="1"/>
    <xf numFmtId="171" fontId="52" fillId="26" borderId="49" xfId="6" applyNumberFormat="1" applyFont="1" applyFill="1" applyBorder="1" applyAlignment="1">
      <alignment horizontal="center" vertical="center" wrapText="1"/>
    </xf>
    <xf numFmtId="171" fontId="52" fillId="26" borderId="34" xfId="6" applyNumberFormat="1" applyFont="1" applyFill="1" applyBorder="1" applyAlignment="1">
      <alignment horizontal="center" vertical="center" wrapText="1"/>
    </xf>
    <xf numFmtId="171" fontId="52" fillId="2" borderId="0" xfId="6" applyNumberFormat="1" applyFont="1" applyFill="1" applyBorder="1" applyAlignment="1">
      <alignment horizontal="center" vertical="center" wrapText="1"/>
    </xf>
    <xf numFmtId="171"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0" fontId="45" fillId="0" borderId="7" xfId="70" applyNumberFormat="1" applyFont="1" applyFill="1" applyBorder="1"/>
    <xf numFmtId="170"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0"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0" fontId="41" fillId="28" borderId="7" xfId="0" applyNumberFormat="1" applyFont="1" applyFill="1" applyBorder="1" applyProtection="1">
      <protection locked="0"/>
    </xf>
    <xf numFmtId="170"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0" fontId="49" fillId="2" borderId="7" xfId="0" applyNumberFormat="1" applyFont="1" applyFill="1" applyBorder="1"/>
    <xf numFmtId="10" fontId="45" fillId="2" borderId="8" xfId="0" applyNumberFormat="1" applyFont="1" applyFill="1" applyBorder="1" applyAlignment="1">
      <alignment horizontal="center"/>
    </xf>
    <xf numFmtId="170" fontId="45" fillId="2" borderId="7" xfId="70" applyNumberFormat="1" applyFont="1" applyFill="1" applyBorder="1"/>
    <xf numFmtId="170"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4" fontId="216" fillId="2" borderId="124" xfId="70" applyNumberFormat="1" applyFont="1" applyFill="1" applyBorder="1" applyAlignment="1">
      <alignment horizontal="left" vertical="center"/>
    </xf>
    <xf numFmtId="171" fontId="213" fillId="27" borderId="110" xfId="0" applyNumberFormat="1" applyFont="1" applyFill="1" applyBorder="1" applyAlignment="1">
      <alignment horizontal="center" vertical="center" wrapText="1"/>
    </xf>
    <xf numFmtId="171"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5"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5" fontId="212" fillId="2" borderId="28" xfId="40" applyNumberFormat="1" applyFont="1" applyFill="1" applyBorder="1" applyAlignment="1" applyProtection="1">
      <alignment horizontal="left" vertical="center"/>
      <protection locked="0"/>
    </xf>
    <xf numFmtId="175"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3" fontId="45" fillId="2" borderId="0" xfId="0" applyNumberFormat="1" applyFont="1" applyFill="1" applyBorder="1" applyAlignment="1" applyProtection="1">
      <alignment horizontal="center" vertical="center"/>
      <protection locked="0"/>
    </xf>
    <xf numFmtId="172"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0" fontId="8" fillId="2" borderId="0" xfId="71" applyNumberFormat="1" applyFont="1" applyFill="1" applyBorder="1" applyAlignment="1" applyProtection="1">
      <alignment horizontal="center" vertical="center"/>
      <protection locked="0"/>
    </xf>
    <xf numFmtId="170"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4" fontId="8" fillId="2" borderId="0" xfId="70"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172"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70" fontId="45" fillId="2" borderId="0" xfId="71" applyNumberFormat="1" applyFont="1" applyFill="1" applyBorder="1" applyAlignment="1" applyProtection="1">
      <alignment horizontal="center" vertical="center"/>
      <protection locked="0"/>
    </xf>
    <xf numFmtId="170"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0"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0" fontId="8" fillId="2" borderId="12" xfId="70" applyNumberFormat="1" applyFont="1" applyFill="1" applyBorder="1" applyAlignment="1" applyProtection="1">
      <alignment horizontal="center" vertical="center"/>
      <protection locked="0"/>
    </xf>
    <xf numFmtId="172"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0"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3"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9"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5"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7" fontId="8" fillId="2" borderId="0" xfId="71" applyFont="1" applyFill="1" applyBorder="1" applyAlignment="1" applyProtection="1">
      <alignment vertical="center"/>
      <protection locked="0"/>
    </xf>
    <xf numFmtId="167" fontId="8" fillId="2" borderId="0" xfId="71" applyFont="1" applyFill="1" applyBorder="1" applyAlignment="1" applyProtection="1">
      <protection locked="0"/>
    </xf>
    <xf numFmtId="177"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7"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7"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2"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1"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1"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5"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1" fontId="47" fillId="88" borderId="110" xfId="0" applyNumberFormat="1" applyFont="1" applyFill="1" applyBorder="1" applyAlignment="1">
      <alignment horizontal="left" vertical="center" wrapText="1"/>
    </xf>
    <xf numFmtId="171"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5"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1" fontId="45" fillId="88" borderId="122" xfId="0" applyNumberFormat="1" applyFont="1" applyFill="1" applyBorder="1" applyAlignment="1">
      <alignment horizontal="center" vertical="center" wrapText="1"/>
    </xf>
    <xf numFmtId="171" fontId="45" fillId="88" borderId="138" xfId="0" applyNumberFormat="1" applyFont="1" applyFill="1" applyBorder="1" applyAlignment="1">
      <alignment horizontal="center" vertical="center" wrapText="1"/>
    </xf>
    <xf numFmtId="171" fontId="45" fillId="88" borderId="134" xfId="0" applyNumberFormat="1" applyFont="1" applyFill="1" applyBorder="1" applyAlignment="1">
      <alignment horizontal="center" vertical="center" wrapText="1"/>
    </xf>
    <xf numFmtId="171" fontId="91" fillId="88" borderId="122" xfId="0" applyNumberFormat="1" applyFont="1" applyFill="1" applyBorder="1" applyAlignment="1">
      <alignment horizontal="center" vertical="center" wrapText="1"/>
    </xf>
    <xf numFmtId="0" fontId="219" fillId="2" borderId="138" xfId="0" applyFont="1" applyFill="1" applyBorder="1"/>
    <xf numFmtId="171" fontId="91" fillId="88" borderId="138" xfId="0" applyNumberFormat="1" applyFont="1" applyFill="1" applyBorder="1" applyAlignment="1">
      <alignment horizontal="center" vertical="center" wrapText="1"/>
    </xf>
    <xf numFmtId="171"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5" fontId="51" fillId="2" borderId="0" xfId="40" applyNumberFormat="1" applyFont="1" applyFill="1" applyBorder="1" applyAlignment="1">
      <alignment horizontal="left" vertical="center"/>
    </xf>
    <xf numFmtId="175"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7"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5"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5" fontId="91" fillId="2" borderId="35" xfId="0" applyNumberFormat="1" applyFont="1" applyFill="1" applyBorder="1" applyAlignment="1">
      <alignment horizontal="center"/>
    </xf>
    <xf numFmtId="165" fontId="236" fillId="2" borderId="54" xfId="73" applyNumberFormat="1" applyFont="1" applyFill="1" applyBorder="1" applyAlignment="1">
      <alignment horizontal="center" vertical="center"/>
    </xf>
    <xf numFmtId="172" fontId="47" fillId="2" borderId="110" xfId="0" applyNumberFormat="1" applyFont="1" applyFill="1" applyBorder="1" applyAlignment="1">
      <alignment horizontal="center"/>
    </xf>
    <xf numFmtId="172" fontId="47" fillId="2" borderId="34" xfId="0" applyNumberFormat="1" applyFont="1" applyFill="1" applyBorder="1" applyAlignment="1">
      <alignment horizontal="center"/>
    </xf>
    <xf numFmtId="165"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0"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5" fontId="212" fillId="90" borderId="140" xfId="40" applyNumberFormat="1" applyFont="1" applyFill="1" applyBorder="1" applyAlignment="1">
      <alignment horizontal="left" vertical="center"/>
    </xf>
    <xf numFmtId="170" fontId="91" fillId="28" borderId="13" xfId="0" applyNumberFormat="1" applyFont="1" applyFill="1" applyBorder="1" applyAlignment="1">
      <alignment horizontal="center"/>
    </xf>
    <xf numFmtId="170"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2" fontId="47" fillId="2" borderId="13" xfId="0" applyNumberFormat="1" applyFont="1" applyFill="1" applyBorder="1" applyAlignment="1">
      <alignment horizontal="left" vertical="center"/>
    </xf>
    <xf numFmtId="172" fontId="91" fillId="2" borderId="7" xfId="0" quotePrefix="1" applyNumberFormat="1" applyFont="1" applyFill="1" applyBorder="1" applyAlignment="1">
      <alignment horizontal="left" vertical="center"/>
    </xf>
    <xf numFmtId="172" fontId="221" fillId="2" borderId="7" xfId="0" applyNumberFormat="1" applyFont="1" applyFill="1" applyBorder="1" applyAlignment="1">
      <alignment horizontal="left" vertical="center"/>
    </xf>
    <xf numFmtId="172" fontId="47" fillId="2" borderId="7" xfId="0" applyNumberFormat="1" applyFont="1" applyFill="1" applyBorder="1" applyAlignment="1">
      <alignment horizontal="left" vertical="center"/>
    </xf>
    <xf numFmtId="172" fontId="47" fillId="2" borderId="7" xfId="0" quotePrefix="1" applyNumberFormat="1" applyFont="1" applyFill="1" applyBorder="1" applyAlignment="1">
      <alignment horizontal="left" vertical="center"/>
    </xf>
    <xf numFmtId="172"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2" fontId="91" fillId="2" borderId="119" xfId="0" applyNumberFormat="1" applyFont="1" applyFill="1" applyBorder="1" applyAlignment="1">
      <alignment horizontal="left" vertical="center" wrapText="1"/>
    </xf>
    <xf numFmtId="172" fontId="91" fillId="2" borderId="142" xfId="0" applyNumberFormat="1" applyFont="1" applyFill="1" applyBorder="1" applyAlignment="1">
      <alignment horizontal="left" vertical="center" wrapText="1"/>
    </xf>
    <xf numFmtId="172" fontId="91" fillId="2" borderId="142" xfId="0" applyNumberFormat="1" applyFont="1" applyFill="1" applyBorder="1" applyAlignment="1">
      <alignment horizontal="left" vertical="center"/>
    </xf>
    <xf numFmtId="172" fontId="91" fillId="2" borderId="142" xfId="0" applyNumberFormat="1" applyFont="1" applyFill="1" applyBorder="1" applyAlignment="1">
      <alignment horizontal="center" vertical="center"/>
    </xf>
    <xf numFmtId="172"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5" fontId="91" fillId="2" borderId="116" xfId="0" applyNumberFormat="1" applyFont="1" applyFill="1" applyBorder="1" applyAlignment="1">
      <alignment horizontal="center"/>
    </xf>
    <xf numFmtId="165" fontId="91" fillId="2" borderId="117" xfId="0" applyNumberFormat="1" applyFont="1" applyFill="1" applyBorder="1" applyAlignment="1">
      <alignment horizontal="center"/>
    </xf>
    <xf numFmtId="169" fontId="45" fillId="2" borderId="137" xfId="0" applyNumberFormat="1" applyFont="1" applyFill="1" applyBorder="1" applyAlignment="1" applyProtection="1">
      <alignment horizontal="center"/>
    </xf>
    <xf numFmtId="285" fontId="41" fillId="2" borderId="103" xfId="0" applyNumberFormat="1" applyFont="1" applyFill="1" applyBorder="1" applyAlignment="1" applyProtection="1">
      <alignment horizontal="center"/>
    </xf>
    <xf numFmtId="285" fontId="45" fillId="2" borderId="137" xfId="0" applyNumberFormat="1" applyFont="1" applyFill="1" applyBorder="1" applyAlignment="1" applyProtection="1">
      <alignment horizontal="center"/>
    </xf>
    <xf numFmtId="169" fontId="45" fillId="2" borderId="107" xfId="0" applyNumberFormat="1" applyFont="1" applyFill="1" applyBorder="1" applyAlignment="1" applyProtection="1">
      <alignment horizontal="center"/>
    </xf>
    <xf numFmtId="285" fontId="41" fillId="2" borderId="37" xfId="0" applyNumberFormat="1" applyFont="1" applyFill="1" applyBorder="1" applyAlignment="1" applyProtection="1">
      <alignment horizontal="center"/>
    </xf>
    <xf numFmtId="285" fontId="45" fillId="2" borderId="107" xfId="0" applyNumberFormat="1" applyFont="1" applyFill="1" applyBorder="1" applyAlignment="1" applyProtection="1">
      <alignment horizontal="center"/>
    </xf>
    <xf numFmtId="169" fontId="45" fillId="2" borderId="48" xfId="0" applyNumberFormat="1" applyFont="1" applyFill="1" applyBorder="1" applyAlignment="1" applyProtection="1">
      <alignment horizontal="center"/>
    </xf>
    <xf numFmtId="285" fontId="41" fillId="2" borderId="55" xfId="0" applyNumberFormat="1" applyFont="1" applyFill="1" applyBorder="1" applyAlignment="1" applyProtection="1">
      <alignment horizontal="center"/>
    </xf>
    <xf numFmtId="285"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8"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8"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2" fontId="241" fillId="2" borderId="0" xfId="5151" applyNumberFormat="1" applyFont="1" applyFill="1" applyBorder="1" applyAlignment="1">
      <alignment vertical="center"/>
    </xf>
    <xf numFmtId="172"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0" fontId="48" fillId="2" borderId="0" xfId="0" applyFont="1" applyFill="1" applyAlignment="1">
      <alignment horizontal="left" vertical="center" wrapText="1"/>
    </xf>
    <xf numFmtId="3" fontId="0" fillId="28" borderId="113" xfId="0" applyNumberFormat="1" applyFont="1" applyFill="1" applyBorder="1" applyAlignment="1">
      <alignment vertical="top"/>
    </xf>
    <xf numFmtId="3" fontId="0" fillId="28" borderId="53" xfId="0" applyNumberFormat="1" applyFont="1" applyFill="1" applyBorder="1" applyAlignment="1">
      <alignment vertical="top"/>
    </xf>
    <xf numFmtId="3" fontId="0" fillId="28" borderId="114" xfId="0" applyNumberFormat="1" applyFont="1" applyFill="1" applyBorder="1" applyAlignment="1">
      <alignment vertical="top"/>
    </xf>
    <xf numFmtId="3" fontId="247" fillId="28" borderId="35" xfId="0" applyNumberFormat="1" applyFont="1" applyFill="1" applyBorder="1" applyAlignment="1">
      <alignment vertical="top"/>
    </xf>
    <xf numFmtId="3" fontId="247" fillId="28" borderId="116" xfId="0" applyNumberFormat="1" applyFont="1" applyFill="1" applyBorder="1" applyAlignment="1">
      <alignment vertical="top"/>
    </xf>
    <xf numFmtId="3" fontId="247" fillId="28" borderId="53" xfId="0" applyNumberFormat="1" applyFont="1" applyFill="1" applyBorder="1" applyAlignment="1">
      <alignment vertical="top"/>
    </xf>
    <xf numFmtId="178" fontId="13" fillId="2" borderId="110" xfId="71" applyNumberFormat="1" applyFont="1" applyFill="1" applyBorder="1" applyAlignment="1">
      <alignment horizontal="center"/>
    </xf>
    <xf numFmtId="286" fontId="45" fillId="28" borderId="35" xfId="0" applyNumberFormat="1" applyFont="1" applyFill="1" applyBorder="1" applyAlignment="1" applyProtection="1">
      <alignment horizontal="center" vertical="center"/>
      <protection locked="0"/>
    </xf>
    <xf numFmtId="0" fontId="91" fillId="94" borderId="0" xfId="0" applyFont="1" applyFill="1" applyBorder="1" applyAlignment="1" applyProtection="1">
      <alignment vertical="top" wrapText="1"/>
      <protection locked="0"/>
    </xf>
    <xf numFmtId="9" fontId="0" fillId="2" borderId="0" xfId="0" applyNumberFormat="1" applyFill="1"/>
    <xf numFmtId="234" fontId="0" fillId="2" borderId="0" xfId="72" applyNumberFormat="1" applyFont="1" applyFill="1"/>
    <xf numFmtId="10" fontId="0" fillId="2" borderId="0" xfId="72" applyNumberFormat="1" applyFont="1" applyFill="1"/>
    <xf numFmtId="287" fontId="0" fillId="2" borderId="0" xfId="72" applyNumberFormat="1" applyFont="1" applyFill="1"/>
    <xf numFmtId="10" fontId="248" fillId="28" borderId="48" xfId="0" applyNumberFormat="1" applyFont="1" applyFill="1" applyBorder="1" applyAlignment="1" applyProtection="1">
      <alignment horizontal="center"/>
      <protection locked="0"/>
    </xf>
    <xf numFmtId="9" fontId="0" fillId="95" borderId="110" xfId="72" applyFont="1" applyFill="1" applyBorder="1"/>
    <xf numFmtId="9" fontId="0" fillId="2" borderId="0" xfId="72" applyFont="1" applyFill="1"/>
    <xf numFmtId="0" fontId="13" fillId="2" borderId="110" xfId="0" applyFont="1" applyFill="1" applyBorder="1"/>
    <xf numFmtId="0" fontId="0" fillId="2" borderId="110" xfId="0" applyFont="1" applyFill="1" applyBorder="1" applyAlignment="1">
      <alignment horizontal="center"/>
    </xf>
    <xf numFmtId="165" fontId="0" fillId="2" borderId="110" xfId="0" applyNumberFormat="1" applyFont="1" applyFill="1" applyBorder="1"/>
    <xf numFmtId="165" fontId="3" fillId="2" borderId="110" xfId="0" applyNumberFormat="1" applyFont="1" applyFill="1" applyBorder="1"/>
    <xf numFmtId="165" fontId="0" fillId="2" borderId="0" xfId="0" applyNumberFormat="1" applyFont="1" applyFill="1"/>
    <xf numFmtId="0" fontId="3" fillId="96" borderId="110" xfId="0" applyFont="1" applyFill="1" applyBorder="1" applyAlignment="1">
      <alignment horizontal="center"/>
    </xf>
    <xf numFmtId="0" fontId="217" fillId="96" borderId="110" xfId="0" applyFont="1" applyFill="1" applyBorder="1" applyAlignment="1">
      <alignment horizontal="center"/>
    </xf>
    <xf numFmtId="0" fontId="0" fillId="2" borderId="110" xfId="0" applyFont="1" applyFill="1" applyBorder="1" applyAlignment="1">
      <alignment vertical="center"/>
    </xf>
    <xf numFmtId="165" fontId="13" fillId="2" borderId="110" xfId="0" applyNumberFormat="1" applyFont="1" applyFill="1" applyBorder="1"/>
    <xf numFmtId="164" fontId="13" fillId="2" borderId="110" xfId="0" applyNumberFormat="1" applyFont="1" applyFill="1" applyBorder="1"/>
    <xf numFmtId="0" fontId="249" fillId="96" borderId="110" xfId="0" applyFont="1" applyFill="1" applyBorder="1" applyAlignment="1">
      <alignment horizontal="left" vertical="center" wrapText="1" indent="2"/>
    </xf>
    <xf numFmtId="0" fontId="249" fillId="96" borderId="110" xfId="0" applyFont="1" applyFill="1" applyBorder="1" applyAlignment="1">
      <alignment horizontal="center" vertical="center" wrapText="1"/>
    </xf>
    <xf numFmtId="0" fontId="249" fillId="96" borderId="110" xfId="0" applyFont="1" applyFill="1" applyBorder="1" applyAlignment="1">
      <alignment vertical="center" wrapText="1"/>
    </xf>
    <xf numFmtId="0" fontId="250" fillId="0" borderId="110" xfId="0" applyFont="1" applyBorder="1" applyAlignment="1">
      <alignment vertical="center" wrapText="1"/>
    </xf>
    <xf numFmtId="164" fontId="250" fillId="0" borderId="110" xfId="0" applyNumberFormat="1" applyFont="1" applyBorder="1" applyAlignment="1">
      <alignment horizontal="right" vertical="center" wrapText="1" indent="3"/>
    </xf>
    <xf numFmtId="0" fontId="250" fillId="0" borderId="110" xfId="0" applyFont="1" applyBorder="1" applyAlignment="1">
      <alignment horizontal="center" vertical="center" wrapText="1"/>
    </xf>
    <xf numFmtId="0" fontId="251" fillId="0" borderId="110" xfId="0" applyFont="1" applyBorder="1" applyAlignment="1">
      <alignment vertical="center" wrapText="1"/>
    </xf>
    <xf numFmtId="3" fontId="250" fillId="0" borderId="110" xfId="0" applyNumberFormat="1" applyFont="1" applyBorder="1" applyAlignment="1">
      <alignment horizontal="left" vertical="center" wrapText="1" indent="3"/>
    </xf>
    <xf numFmtId="3" fontId="250" fillId="0" borderId="110" xfId="0" applyNumberFormat="1" applyFont="1" applyBorder="1" applyAlignment="1">
      <alignment horizontal="left" vertical="center" wrapText="1" indent="5"/>
    </xf>
    <xf numFmtId="285" fontId="250" fillId="0" borderId="110" xfId="0" applyNumberFormat="1" applyFont="1" applyBorder="1" applyAlignment="1">
      <alignment horizontal="center" vertical="center" wrapText="1"/>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2" fontId="91" fillId="28" borderId="122" xfId="0" applyNumberFormat="1" applyFont="1" applyFill="1" applyBorder="1" applyAlignment="1">
      <alignment horizontal="left"/>
    </xf>
    <xf numFmtId="172"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2" fontId="47" fillId="2" borderId="122" xfId="0" applyNumberFormat="1" applyFont="1" applyFill="1" applyBorder="1" applyAlignment="1">
      <alignment horizontal="left"/>
    </xf>
    <xf numFmtId="172" fontId="47" fillId="2" borderId="134" xfId="0" applyNumberFormat="1" applyFont="1" applyFill="1" applyBorder="1" applyAlignment="1">
      <alignment horizontal="left"/>
    </xf>
    <xf numFmtId="171" fontId="213" fillId="26" borderId="122" xfId="6" applyNumberFormat="1" applyFont="1" applyFill="1" applyBorder="1" applyAlignment="1">
      <alignment horizontal="center" vertical="center" wrapText="1"/>
    </xf>
    <xf numFmtId="171" fontId="213" fillId="26" borderId="134" xfId="6" applyNumberFormat="1" applyFont="1" applyFill="1" applyBorder="1" applyAlignment="1">
      <alignment horizontal="center" vertical="center" wrapText="1"/>
    </xf>
    <xf numFmtId="0" fontId="3" fillId="2" borderId="110" xfId="0" applyFont="1" applyFill="1" applyBorder="1" applyAlignment="1">
      <alignment horizontal="center"/>
    </xf>
    <xf numFmtId="0" fontId="3" fillId="2" borderId="122" xfId="0" applyFont="1" applyFill="1" applyBorder="1" applyAlignment="1">
      <alignment horizontal="center"/>
    </xf>
    <xf numFmtId="0" fontId="3" fillId="2" borderId="134" xfId="0" applyFont="1" applyFill="1" applyBorder="1" applyAlignment="1">
      <alignment horizontal="center"/>
    </xf>
    <xf numFmtId="0" fontId="0" fillId="2" borderId="110" xfId="0" applyFont="1" applyFill="1" applyBorder="1" applyAlignment="1">
      <alignment horizontal="center" vertical="center"/>
    </xf>
    <xf numFmtId="0" fontId="0" fillId="2" borderId="110" xfId="0" applyFont="1" applyFill="1" applyBorder="1" applyAlignment="1">
      <alignment horizontal="center"/>
    </xf>
    <xf numFmtId="0" fontId="41" fillId="0" borderId="110" xfId="0" applyFont="1" applyBorder="1" applyAlignment="1">
      <alignment horizontal="justify" vertical="center" wrapText="1"/>
    </xf>
    <xf numFmtId="0" fontId="0" fillId="2" borderId="137" xfId="0" applyFont="1" applyFill="1" applyBorder="1" applyAlignment="1">
      <alignment horizontal="center"/>
    </xf>
    <xf numFmtId="0" fontId="0" fillId="2" borderId="88" xfId="0" applyFont="1" applyFill="1" applyBorder="1" applyAlignment="1">
      <alignment horizontal="center"/>
    </xf>
    <xf numFmtId="0" fontId="0" fillId="2" borderId="9" xfId="0" applyFont="1" applyFill="1" applyBorder="1" applyAlignment="1">
      <alignment horizontal="center"/>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5" fontId="212" fillId="92" borderId="140" xfId="40" applyNumberFormat="1" applyFont="1" applyFill="1" applyBorder="1" applyAlignment="1">
      <alignment horizontal="left" vertical="center"/>
    </xf>
    <xf numFmtId="175"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92" borderId="0" xfId="0" applyFont="1" applyFill="1" applyAlignment="1">
      <alignment horizontal="left"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9">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C5D9F0"/>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29658"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6918" y="134471"/>
          <a:ext cx="18848915"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41584"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564417"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568751"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345960" cy="1974476"/>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654433" cy="2335383"/>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28575</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28575</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28575</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28575</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28575</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63888"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70384" cy="218470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0393" y="281441"/>
          <a:ext cx="15448110" cy="1571964"/>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07128" y="216648"/>
          <a:ext cx="17446165"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blair\Dropbox\Cost%20of%20Service%20Requirements\Grimsby%202022%20COS%20Load%20Forecast%2020210722%20645p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Board Approved Proxy"/>
      <sheetName val="Summary"/>
      <sheetName val="Ch 2 Appendices"/>
      <sheetName val="Ch 2 Appendices (Adj)"/>
      <sheetName val="Exhibit 3 Tables"/>
      <sheetName val="2021 COP Forecast"/>
      <sheetName val="2022 COP Forecast"/>
      <sheetName val="Data"/>
      <sheetName val="Data (ED)"/>
      <sheetName val="Purchases"/>
      <sheetName val="Weather"/>
      <sheetName val="Economic"/>
      <sheetName val="CDM"/>
      <sheetName val="Purchased Power Model"/>
      <sheetName val="WMP pivot"/>
      <sheetName val="WMP historical data"/>
      <sheetName val="WMP Purchases"/>
      <sheetName val="Sheet1"/>
      <sheetName val="Sheet11"/>
      <sheetName val="Purchased Power Model (WN)"/>
      <sheetName val="Rate Class Energy Model"/>
      <sheetName val="Rate Class Energy Model (WN)"/>
      <sheetName val="Customer Count"/>
      <sheetName val="GS Reclassification Adjustment"/>
      <sheetName val="Rate Class Customer Model"/>
      <sheetName val="Rate Class Load Model"/>
      <sheetName val="Embedded Distributor"/>
      <sheetName val="New GS&gt;50 Customers"/>
      <sheetName val="Rate Class Energy Model WN Cov"/>
      <sheetName val="Purchased Power Model (NoCoV)"/>
      <sheetName val="2018 COP Forecast"/>
    </sheetNames>
    <sheetDataSet>
      <sheetData sheetId="0"/>
      <sheetData sheetId="1">
        <row r="23">
          <cell r="M23">
            <v>223982.44608207929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9"/>
  <sheetViews>
    <sheetView zoomScale="90" zoomScaleNormal="90" workbookViewId="0">
      <selection activeCell="G6" sqref="G6"/>
    </sheetView>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3" ht="174" customHeight="1"/>
    <row r="3" spans="1:3" ht="20.25">
      <c r="B3" s="794" t="s">
        <v>174</v>
      </c>
      <c r="C3" s="794"/>
    </row>
    <row r="4" spans="1:3" ht="11.25" customHeight="1"/>
    <row r="5" spans="1:3" s="30" customFormat="1" ht="25.5" customHeight="1">
      <c r="B5" s="60" t="s">
        <v>419</v>
      </c>
      <c r="C5" s="60" t="s">
        <v>173</v>
      </c>
    </row>
    <row r="6" spans="1:3" s="176" customFormat="1" ht="48" customHeight="1">
      <c r="A6" s="241"/>
      <c r="B6" s="618" t="s">
        <v>170</v>
      </c>
      <c r="C6" s="671" t="s">
        <v>593</v>
      </c>
    </row>
    <row r="7" spans="1:3" s="176" customFormat="1" ht="21" customHeight="1">
      <c r="A7" s="241"/>
      <c r="B7" s="612" t="s">
        <v>551</v>
      </c>
      <c r="C7" s="672" t="s">
        <v>606</v>
      </c>
    </row>
    <row r="8" spans="1:3" s="176" customFormat="1" ht="32.25" customHeight="1">
      <c r="B8" s="612" t="s">
        <v>367</v>
      </c>
      <c r="C8" s="673" t="s">
        <v>594</v>
      </c>
    </row>
    <row r="9" spans="1:3" s="176" customFormat="1" ht="27.75" customHeight="1">
      <c r="B9" s="612" t="s">
        <v>169</v>
      </c>
      <c r="C9" s="673" t="s">
        <v>595</v>
      </c>
    </row>
    <row r="10" spans="1:3" s="176" customFormat="1" ht="33" customHeight="1">
      <c r="B10" s="612" t="s">
        <v>591</v>
      </c>
      <c r="C10" s="672" t="s">
        <v>599</v>
      </c>
    </row>
    <row r="11" spans="1:3" s="176" customFormat="1" ht="26.25" customHeight="1">
      <c r="B11" s="627" t="s">
        <v>368</v>
      </c>
      <c r="C11" s="675" t="s">
        <v>596</v>
      </c>
    </row>
    <row r="12" spans="1:3" s="176" customFormat="1" ht="39.75" customHeight="1">
      <c r="B12" s="612" t="s">
        <v>369</v>
      </c>
      <c r="C12" s="673" t="s">
        <v>597</v>
      </c>
    </row>
    <row r="13" spans="1:3" s="176" customFormat="1" ht="18" customHeight="1">
      <c r="B13" s="612" t="s">
        <v>370</v>
      </c>
      <c r="C13" s="673" t="s">
        <v>598</v>
      </c>
    </row>
    <row r="14" spans="1:3" s="176" customFormat="1" ht="13.5" customHeight="1">
      <c r="B14" s="612"/>
      <c r="C14" s="674"/>
    </row>
    <row r="15" spans="1:3" s="176" customFormat="1" ht="18" customHeight="1">
      <c r="B15" s="612" t="s">
        <v>662</v>
      </c>
      <c r="C15" s="672" t="s">
        <v>660</v>
      </c>
    </row>
    <row r="16" spans="1:3" s="176" customFormat="1" ht="8.25" customHeight="1">
      <c r="B16" s="612"/>
      <c r="C16" s="674"/>
    </row>
    <row r="17" spans="2:3" s="176" customFormat="1" ht="33" customHeight="1">
      <c r="B17" s="676" t="s">
        <v>592</v>
      </c>
      <c r="C17" s="677" t="s">
        <v>661</v>
      </c>
    </row>
    <row r="18" spans="2:3" s="103" customFormat="1" ht="15.75">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P534"/>
  <sheetViews>
    <sheetView zoomScale="90" zoomScaleNormal="90" zoomScaleSheetLayoutView="80" zoomScalePageLayoutView="85" workbookViewId="0">
      <selection activeCell="C7" sqref="C7:X7"/>
    </sheetView>
  </sheetViews>
  <sheetFormatPr defaultColWidth="9" defaultRowHeight="14.25" outlineLevelRow="1" outlineLevelCol="1"/>
  <cols>
    <col min="1" max="1" width="4.5703125" style="509" customWidth="1"/>
    <col min="2" max="2" width="43.5703125" style="254" customWidth="1"/>
    <col min="3" max="3" width="14" style="254" customWidth="1"/>
    <col min="4" max="4" width="18" style="253" customWidth="1"/>
    <col min="5" max="8" width="10.42578125" style="253" customWidth="1" outlineLevel="1"/>
    <col min="9" max="13" width="9" style="253" customWidth="1" outlineLevel="1"/>
    <col min="14" max="14" width="12.42578125" style="253" customWidth="1" outlineLevel="1"/>
    <col min="15" max="15" width="17.5703125" style="253" customWidth="1"/>
    <col min="16" max="24" width="9.42578125" style="253" customWidth="1" outlineLevel="1"/>
    <col min="25" max="25" width="14" style="255" customWidth="1"/>
    <col min="26" max="26" width="14.5703125" style="255" customWidth="1"/>
    <col min="27" max="27" width="17" style="255" customWidth="1"/>
    <col min="28" max="28" width="17.5703125" style="255" customWidth="1"/>
    <col min="29" max="30" width="14.5703125" style="255" customWidth="1"/>
    <col min="31" max="35" width="14.5703125" style="255" hidden="1" customWidth="1"/>
    <col min="36" max="38" width="15" style="255" hidden="1" customWidth="1"/>
    <col min="39" max="39" width="14.28515625" style="256" customWidth="1"/>
    <col min="40" max="40" width="14.5703125" style="253" customWidth="1"/>
    <col min="41" max="41" width="15" style="253" customWidth="1"/>
    <col min="42" max="42" width="14" style="253" customWidth="1"/>
    <col min="43" max="43" width="9.5703125" style="253" customWidth="1"/>
    <col min="44" max="44" width="11" style="253" customWidth="1"/>
    <col min="45" max="45" width="12" style="253" customWidth="1"/>
    <col min="46" max="46" width="6.42578125" style="253" bestFit="1" customWidth="1"/>
    <col min="47" max="51" width="9" style="253"/>
    <col min="52" max="52" width="6.42578125" style="253" bestFit="1" customWidth="1"/>
    <col min="53" max="16384" width="9" style="253"/>
  </cols>
  <sheetData>
    <row r="1" spans="1:39" ht="164.25" customHeight="1"/>
    <row r="2" spans="1:39" ht="23.25" customHeight="1" thickBot="1"/>
    <row r="3" spans="1:39" ht="25.5" customHeight="1" thickBot="1">
      <c r="B3" s="854"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54"/>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850" t="s">
        <v>550</v>
      </c>
      <c r="D5" s="851"/>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54" t="s">
        <v>504</v>
      </c>
      <c r="C7" s="855" t="s">
        <v>625</v>
      </c>
      <c r="D7" s="855"/>
      <c r="E7" s="855"/>
      <c r="F7" s="855"/>
      <c r="G7" s="855"/>
      <c r="H7" s="855"/>
      <c r="I7" s="855"/>
      <c r="J7" s="855"/>
      <c r="K7" s="855"/>
      <c r="L7" s="855"/>
      <c r="M7" s="855"/>
      <c r="N7" s="855"/>
      <c r="O7" s="855"/>
      <c r="P7" s="855"/>
      <c r="Q7" s="855"/>
      <c r="R7" s="855"/>
      <c r="S7" s="855"/>
      <c r="T7" s="855"/>
      <c r="U7" s="855"/>
      <c r="V7" s="855"/>
      <c r="W7" s="855"/>
      <c r="X7" s="855"/>
      <c r="Y7" s="606"/>
      <c r="Z7" s="606"/>
      <c r="AA7" s="606"/>
      <c r="AB7" s="606"/>
      <c r="AC7" s="606"/>
      <c r="AD7" s="606"/>
      <c r="AE7" s="270"/>
      <c r="AF7" s="270"/>
      <c r="AG7" s="270"/>
      <c r="AH7" s="270"/>
      <c r="AI7" s="270"/>
      <c r="AJ7" s="270"/>
      <c r="AK7" s="270"/>
      <c r="AL7" s="270"/>
    </row>
    <row r="8" spans="1:39" s="271" customFormat="1" ht="58.5" customHeight="1">
      <c r="A8" s="509"/>
      <c r="B8" s="854"/>
      <c r="C8" s="855" t="s">
        <v>563</v>
      </c>
      <c r="D8" s="855"/>
      <c r="E8" s="855"/>
      <c r="F8" s="855"/>
      <c r="G8" s="855"/>
      <c r="H8" s="855"/>
      <c r="I8" s="855"/>
      <c r="J8" s="855"/>
      <c r="K8" s="855"/>
      <c r="L8" s="855"/>
      <c r="M8" s="855"/>
      <c r="N8" s="855"/>
      <c r="O8" s="855"/>
      <c r="P8" s="855"/>
      <c r="Q8" s="855"/>
      <c r="R8" s="855"/>
      <c r="S8" s="855"/>
      <c r="T8" s="855"/>
      <c r="U8" s="855"/>
      <c r="V8" s="855"/>
      <c r="W8" s="855"/>
      <c r="X8" s="855"/>
      <c r="Y8" s="606"/>
      <c r="Z8" s="606"/>
      <c r="AA8" s="606"/>
      <c r="AB8" s="606"/>
      <c r="AC8" s="606"/>
      <c r="AD8" s="606"/>
      <c r="AE8" s="272"/>
      <c r="AF8" s="255"/>
      <c r="AG8" s="255"/>
      <c r="AH8" s="255"/>
      <c r="AI8" s="255"/>
      <c r="AJ8" s="255"/>
      <c r="AK8" s="255"/>
      <c r="AL8" s="255"/>
      <c r="AM8" s="256"/>
    </row>
    <row r="9" spans="1:39" s="271" customFormat="1" ht="57.75" customHeight="1">
      <c r="A9" s="509"/>
      <c r="B9" s="273"/>
      <c r="C9" s="855" t="s">
        <v>562</v>
      </c>
      <c r="D9" s="855"/>
      <c r="E9" s="855"/>
      <c r="F9" s="855"/>
      <c r="G9" s="855"/>
      <c r="H9" s="855"/>
      <c r="I9" s="855"/>
      <c r="J9" s="855"/>
      <c r="K9" s="855"/>
      <c r="L9" s="855"/>
      <c r="M9" s="855"/>
      <c r="N9" s="855"/>
      <c r="O9" s="855"/>
      <c r="P9" s="855"/>
      <c r="Q9" s="855"/>
      <c r="R9" s="855"/>
      <c r="S9" s="855"/>
      <c r="T9" s="855"/>
      <c r="U9" s="855"/>
      <c r="V9" s="855"/>
      <c r="W9" s="855"/>
      <c r="X9" s="855"/>
      <c r="Y9" s="606"/>
      <c r="Z9" s="606"/>
      <c r="AA9" s="606"/>
      <c r="AB9" s="606"/>
      <c r="AC9" s="606"/>
      <c r="AD9" s="606"/>
      <c r="AE9" s="272"/>
      <c r="AF9" s="255"/>
      <c r="AG9" s="255"/>
      <c r="AH9" s="255"/>
      <c r="AI9" s="255"/>
      <c r="AJ9" s="255"/>
      <c r="AK9" s="255"/>
      <c r="AL9" s="255"/>
      <c r="AM9" s="256"/>
    </row>
    <row r="10" spans="1:39" ht="41.25" customHeight="1">
      <c r="B10" s="275"/>
      <c r="C10" s="855" t="s">
        <v>628</v>
      </c>
      <c r="D10" s="855"/>
      <c r="E10" s="855"/>
      <c r="F10" s="855"/>
      <c r="G10" s="855"/>
      <c r="H10" s="855"/>
      <c r="I10" s="855"/>
      <c r="J10" s="855"/>
      <c r="K10" s="855"/>
      <c r="L10" s="855"/>
      <c r="M10" s="855"/>
      <c r="N10" s="855"/>
      <c r="O10" s="855"/>
      <c r="P10" s="855"/>
      <c r="Q10" s="855"/>
      <c r="R10" s="855"/>
      <c r="S10" s="855"/>
      <c r="T10" s="855"/>
      <c r="U10" s="855"/>
      <c r="V10" s="855"/>
      <c r="W10" s="855"/>
      <c r="X10" s="855"/>
      <c r="Y10" s="606"/>
      <c r="Z10" s="606"/>
      <c r="AA10" s="606"/>
      <c r="AB10" s="606"/>
      <c r="AC10" s="606"/>
      <c r="AD10" s="606"/>
      <c r="AE10" s="272"/>
      <c r="AF10" s="276"/>
      <c r="AG10" s="276"/>
      <c r="AH10" s="276"/>
      <c r="AI10" s="276"/>
      <c r="AJ10" s="276"/>
      <c r="AK10" s="276"/>
      <c r="AL10" s="276"/>
    </row>
    <row r="11" spans="1:39" ht="53.25" customHeight="1">
      <c r="C11" s="855" t="s">
        <v>613</v>
      </c>
      <c r="D11" s="855"/>
      <c r="E11" s="855"/>
      <c r="F11" s="855"/>
      <c r="G11" s="855"/>
      <c r="H11" s="855"/>
      <c r="I11" s="855"/>
      <c r="J11" s="855"/>
      <c r="K11" s="855"/>
      <c r="L11" s="855"/>
      <c r="M11" s="855"/>
      <c r="N11" s="855"/>
      <c r="O11" s="855"/>
      <c r="P11" s="855"/>
      <c r="Q11" s="855"/>
      <c r="R11" s="855"/>
      <c r="S11" s="855"/>
      <c r="T11" s="855"/>
      <c r="U11" s="855"/>
      <c r="V11" s="855"/>
      <c r="W11" s="855"/>
      <c r="X11" s="855"/>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54" t="s">
        <v>526</v>
      </c>
      <c r="C13" s="591" t="s">
        <v>521</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854"/>
      <c r="C14" s="591" t="s">
        <v>522</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523</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524</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56" t="s">
        <v>211</v>
      </c>
      <c r="C19" s="858" t="s">
        <v>33</v>
      </c>
      <c r="D19" s="284" t="s">
        <v>421</v>
      </c>
      <c r="E19" s="860" t="s">
        <v>209</v>
      </c>
      <c r="F19" s="861"/>
      <c r="G19" s="861"/>
      <c r="H19" s="861"/>
      <c r="I19" s="861"/>
      <c r="J19" s="861"/>
      <c r="K19" s="861"/>
      <c r="L19" s="861"/>
      <c r="M19" s="862"/>
      <c r="N19" s="866" t="s">
        <v>213</v>
      </c>
      <c r="O19" s="284" t="s">
        <v>422</v>
      </c>
      <c r="P19" s="860" t="s">
        <v>212</v>
      </c>
      <c r="Q19" s="861"/>
      <c r="R19" s="861"/>
      <c r="S19" s="861"/>
      <c r="T19" s="861"/>
      <c r="U19" s="861"/>
      <c r="V19" s="861"/>
      <c r="W19" s="861"/>
      <c r="X19" s="862"/>
      <c r="Y19" s="863" t="s">
        <v>243</v>
      </c>
      <c r="Z19" s="864"/>
      <c r="AA19" s="864"/>
      <c r="AB19" s="864"/>
      <c r="AC19" s="864"/>
      <c r="AD19" s="864"/>
      <c r="AE19" s="864"/>
      <c r="AF19" s="864"/>
      <c r="AG19" s="864"/>
      <c r="AH19" s="864"/>
      <c r="AI19" s="864"/>
      <c r="AJ19" s="864"/>
      <c r="AK19" s="864"/>
      <c r="AL19" s="864"/>
      <c r="AM19" s="865"/>
    </row>
    <row r="20" spans="1:39" s="283" customFormat="1" ht="59.25" customHeight="1">
      <c r="A20" s="509"/>
      <c r="B20" s="857"/>
      <c r="C20" s="859"/>
      <c r="D20" s="285">
        <v>2011</v>
      </c>
      <c r="E20" s="285">
        <v>2012</v>
      </c>
      <c r="F20" s="285">
        <v>2013</v>
      </c>
      <c r="G20" s="285">
        <v>2014</v>
      </c>
      <c r="H20" s="285">
        <v>2015</v>
      </c>
      <c r="I20" s="285">
        <v>2016</v>
      </c>
      <c r="J20" s="285">
        <v>2017</v>
      </c>
      <c r="K20" s="285">
        <v>2018</v>
      </c>
      <c r="L20" s="285">
        <v>2019</v>
      </c>
      <c r="M20" s="285">
        <v>2020</v>
      </c>
      <c r="N20" s="867"/>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 50 - 4,999 kW</v>
      </c>
      <c r="AB20" s="286" t="str">
        <f>'1.  LRAMVA Summary'!G52</f>
        <v>Street Light</v>
      </c>
      <c r="AC20" s="286" t="str">
        <f>'1.  LRAMVA Summary'!H52</f>
        <v>USL</v>
      </c>
      <c r="AD20" s="286" t="str">
        <f>'1.  LRAMVA Summary'!I52</f>
        <v>Embedded Distributor</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kWh</v>
      </c>
      <c r="AD21" s="291" t="str">
        <f>'1.  LRAMVA Summary'!I53</f>
        <v>kW</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f>'7.  Persistence Report'!AQ28</f>
        <v>67825.52381669551</v>
      </c>
      <c r="E22" s="295">
        <f>'7.  Persistence Report'!AR28</f>
        <v>67825.52381669551</v>
      </c>
      <c r="F22" s="295">
        <f>'7.  Persistence Report'!AS28</f>
        <v>67825.52381669551</v>
      </c>
      <c r="G22" s="295">
        <f>'7.  Persistence Report'!AT28</f>
        <v>67623.304878497031</v>
      </c>
      <c r="H22" s="295">
        <f>'7.  Persistence Report'!AU28</f>
        <v>48325.214941736747</v>
      </c>
      <c r="I22" s="295">
        <f>'7.  Persistence Report'!AV28</f>
        <v>0</v>
      </c>
      <c r="J22" s="295">
        <f>'7.  Persistence Report'!AW28</f>
        <v>0</v>
      </c>
      <c r="K22" s="295">
        <f>'7.  Persistence Report'!AX28</f>
        <v>0</v>
      </c>
      <c r="L22" s="295">
        <f>'7.  Persistence Report'!AY28</f>
        <v>0</v>
      </c>
      <c r="M22" s="295">
        <f>'7.  Persistence Report'!AZ28</f>
        <v>0</v>
      </c>
      <c r="N22" s="291"/>
      <c r="O22" s="295">
        <f>'7.  Persistence Report'!L28</f>
        <v>9.6486581159934879</v>
      </c>
      <c r="P22" s="295">
        <f>'7.  Persistence Report'!M28</f>
        <v>9.6486581159934879</v>
      </c>
      <c r="Q22" s="295">
        <f>'7.  Persistence Report'!N28</f>
        <v>9.6486581159934879</v>
      </c>
      <c r="R22" s="295">
        <f>'7.  Persistence Report'!O28</f>
        <v>9.4225267896019691</v>
      </c>
      <c r="S22" s="295">
        <f>'7.  Persistence Report'!P28</f>
        <v>6.3537858912670284</v>
      </c>
      <c r="T22" s="295">
        <f>'7.  Persistence Report'!Q28</f>
        <v>0</v>
      </c>
      <c r="U22" s="295">
        <f>'7.  Persistence Report'!R28</f>
        <v>0</v>
      </c>
      <c r="V22" s="295">
        <f>'7.  Persistence Report'!S28</f>
        <v>0</v>
      </c>
      <c r="W22" s="295">
        <f>'7.  Persistence Report'!T28</f>
        <v>0</v>
      </c>
      <c r="X22" s="295">
        <f>'7.  Persistence Report'!U28</f>
        <v>0</v>
      </c>
      <c r="Y22" s="410">
        <v>1</v>
      </c>
      <c r="Z22" s="410"/>
      <c r="AA22" s="410"/>
      <c r="AB22" s="410"/>
      <c r="AC22" s="410"/>
      <c r="AD22" s="410"/>
      <c r="AE22" s="410"/>
      <c r="AF22" s="410"/>
      <c r="AG22" s="410"/>
      <c r="AH22" s="410"/>
      <c r="AI22" s="410"/>
      <c r="AJ22" s="410"/>
      <c r="AK22" s="410"/>
      <c r="AL22" s="410"/>
      <c r="AM22" s="296">
        <f>SUM(Y22:AL22)</f>
        <v>1</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1</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f>'7.  Persistence Report'!AQ27</f>
        <v>1179.4237917478158</v>
      </c>
      <c r="E25" s="295">
        <f>'7.  Persistence Report'!AR27</f>
        <v>1179.4237917478158</v>
      </c>
      <c r="F25" s="295">
        <f>'7.  Persistence Report'!AS27</f>
        <v>1179.4237917478158</v>
      </c>
      <c r="G25" s="295">
        <f>'7.  Persistence Report'!AT27</f>
        <v>394.63550138826508</v>
      </c>
      <c r="H25" s="295">
        <f>'7.  Persistence Report'!AU27</f>
        <v>0</v>
      </c>
      <c r="I25" s="295">
        <f>'7.  Persistence Report'!AV27</f>
        <v>0</v>
      </c>
      <c r="J25" s="295">
        <f>'7.  Persistence Report'!AW27</f>
        <v>0</v>
      </c>
      <c r="K25" s="295">
        <f>'7.  Persistence Report'!AX27</f>
        <v>0</v>
      </c>
      <c r="L25" s="295">
        <f>'7.  Persistence Report'!AY27</f>
        <v>0</v>
      </c>
      <c r="M25" s="295">
        <f>'7.  Persistence Report'!AZ27</f>
        <v>0</v>
      </c>
      <c r="N25" s="291"/>
      <c r="O25" s="295">
        <f>'7.  Persistence Report'!L27</f>
        <v>1.0989141385972014</v>
      </c>
      <c r="P25" s="295">
        <f>'7.  Persistence Report'!M27</f>
        <v>1.0989141385972014</v>
      </c>
      <c r="Q25" s="295">
        <f>'7.  Persistence Report'!N27</f>
        <v>1.0989141385972014</v>
      </c>
      <c r="R25" s="295">
        <f>'7.  Persistence Report'!O27</f>
        <v>0.22132463774958833</v>
      </c>
      <c r="S25" s="295">
        <f>'7.  Persistence Report'!P27</f>
        <v>0</v>
      </c>
      <c r="T25" s="295">
        <f>'7.  Persistence Report'!Q27</f>
        <v>0</v>
      </c>
      <c r="U25" s="295">
        <f>'7.  Persistence Report'!R27</f>
        <v>0</v>
      </c>
      <c r="V25" s="295">
        <f>'7.  Persistence Report'!S27</f>
        <v>0</v>
      </c>
      <c r="W25" s="295">
        <f>'7.  Persistence Report'!T27</f>
        <v>0</v>
      </c>
      <c r="X25" s="295">
        <f>'7.  Persistence Report'!U27</f>
        <v>0</v>
      </c>
      <c r="Y25" s="410">
        <v>1</v>
      </c>
      <c r="Z25" s="410"/>
      <c r="AA25" s="410"/>
      <c r="AB25" s="410"/>
      <c r="AC25" s="410"/>
      <c r="AD25" s="410"/>
      <c r="AE25" s="410"/>
      <c r="AF25" s="410"/>
      <c r="AG25" s="410"/>
      <c r="AH25" s="410"/>
      <c r="AI25" s="410"/>
      <c r="AJ25" s="410"/>
      <c r="AK25" s="410"/>
      <c r="AL25" s="410"/>
      <c r="AM25" s="296">
        <f>SUM(Y25:AL25)</f>
        <v>1</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1</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f>'7.  Persistence Report'!AQ31</f>
        <v>127172.63356929056</v>
      </c>
      <c r="E28" s="295">
        <f>'7.  Persistence Report'!AR31</f>
        <v>127172.63356929056</v>
      </c>
      <c r="F28" s="295">
        <f>'7.  Persistence Report'!AS31</f>
        <v>127172.63356929056</v>
      </c>
      <c r="G28" s="295">
        <f>'7.  Persistence Report'!AT31</f>
        <v>127172.63356929056</v>
      </c>
      <c r="H28" s="295">
        <f>'7.  Persistence Report'!AU31</f>
        <v>127172.63356929056</v>
      </c>
      <c r="I28" s="295">
        <f>'7.  Persistence Report'!AV31</f>
        <v>127172.63356929056</v>
      </c>
      <c r="J28" s="295">
        <f>'7.  Persistence Report'!AW31</f>
        <v>127172.63356929056</v>
      </c>
      <c r="K28" s="295">
        <f>'7.  Persistence Report'!AX31</f>
        <v>127172.63356929056</v>
      </c>
      <c r="L28" s="295">
        <f>'7.  Persistence Report'!AY31</f>
        <v>127172.63356929056</v>
      </c>
      <c r="M28" s="295">
        <f>'7.  Persistence Report'!AZ31</f>
        <v>127172.63356929056</v>
      </c>
      <c r="N28" s="291"/>
      <c r="O28" s="295">
        <f>'7.  Persistence Report'!L31</f>
        <v>71.606686463603651</v>
      </c>
      <c r="P28" s="295">
        <f>'7.  Persistence Report'!M31</f>
        <v>71.606686463603651</v>
      </c>
      <c r="Q28" s="295">
        <f>'7.  Persistence Report'!N31</f>
        <v>71.606686463603651</v>
      </c>
      <c r="R28" s="295">
        <f>'7.  Persistence Report'!O31</f>
        <v>71.606686463603651</v>
      </c>
      <c r="S28" s="295">
        <f>'7.  Persistence Report'!P31</f>
        <v>71.606686463603651</v>
      </c>
      <c r="T28" s="295">
        <f>'7.  Persistence Report'!Q31</f>
        <v>71.606686463603651</v>
      </c>
      <c r="U28" s="295">
        <f>'7.  Persistence Report'!R31</f>
        <v>71.606686463603651</v>
      </c>
      <c r="V28" s="295">
        <f>'7.  Persistence Report'!S31</f>
        <v>71.606686463603651</v>
      </c>
      <c r="W28" s="295">
        <f>'7.  Persistence Report'!T31</f>
        <v>71.606686463603651</v>
      </c>
      <c r="X28" s="295">
        <f>'7.  Persistence Report'!U31</f>
        <v>71.606686463603651</v>
      </c>
      <c r="Y28" s="410">
        <v>1</v>
      </c>
      <c r="Z28" s="410"/>
      <c r="AA28" s="410"/>
      <c r="AB28" s="410"/>
      <c r="AC28" s="410"/>
      <c r="AD28" s="410"/>
      <c r="AE28" s="410"/>
      <c r="AF28" s="410"/>
      <c r="AG28" s="410"/>
      <c r="AH28" s="410"/>
      <c r="AI28" s="410"/>
      <c r="AJ28" s="410"/>
      <c r="AK28" s="410"/>
      <c r="AL28" s="410"/>
      <c r="AM28" s="296">
        <f>SUM(Y28:AL28)</f>
        <v>1</v>
      </c>
    </row>
    <row r="29" spans="1:39" s="283" customFormat="1" ht="15" outlineLevel="1">
      <c r="A29" s="509"/>
      <c r="B29" s="294" t="s">
        <v>214</v>
      </c>
      <c r="C29" s="291" t="s">
        <v>163</v>
      </c>
      <c r="D29" s="295">
        <f>'7.  Persistence Report'!AQ53</f>
        <v>-19860.510089357191</v>
      </c>
      <c r="E29" s="295">
        <f>'7.  Persistence Report'!AR53</f>
        <v>-19860.510089357191</v>
      </c>
      <c r="F29" s="295">
        <f>'7.  Persistence Report'!AS53</f>
        <v>-19860.510089357191</v>
      </c>
      <c r="G29" s="295">
        <f>'7.  Persistence Report'!AT53</f>
        <v>-19860.510089357191</v>
      </c>
      <c r="H29" s="295">
        <f>'7.  Persistence Report'!AU53</f>
        <v>-19860.510089357191</v>
      </c>
      <c r="I29" s="295">
        <f>'7.  Persistence Report'!AV53</f>
        <v>-19860.510089357191</v>
      </c>
      <c r="J29" s="295">
        <f>'7.  Persistence Report'!AW53</f>
        <v>-19860.510089357191</v>
      </c>
      <c r="K29" s="295">
        <f>'7.  Persistence Report'!AX53</f>
        <v>-19860.510089357191</v>
      </c>
      <c r="L29" s="295">
        <f>'7.  Persistence Report'!AY53</f>
        <v>-19860.510089357191</v>
      </c>
      <c r="M29" s="295">
        <f>'7.  Persistence Report'!AZ53</f>
        <v>-19860.510089357191</v>
      </c>
      <c r="N29" s="468"/>
      <c r="O29" s="295">
        <f>'7.  Persistence Report'!L53</f>
        <v>-10.942016877649834</v>
      </c>
      <c r="P29" s="295">
        <f>'7.  Persistence Report'!M53</f>
        <v>-10.942016877649834</v>
      </c>
      <c r="Q29" s="295">
        <f>'7.  Persistence Report'!N53</f>
        <v>-10.942016877649834</v>
      </c>
      <c r="R29" s="295">
        <f>'7.  Persistence Report'!O53</f>
        <v>-10.942016877649834</v>
      </c>
      <c r="S29" s="295">
        <f>'7.  Persistence Report'!P53</f>
        <v>-10.942016877649834</v>
      </c>
      <c r="T29" s="295">
        <f>'7.  Persistence Report'!Q53</f>
        <v>-10.942016877649834</v>
      </c>
      <c r="U29" s="295">
        <f>'7.  Persistence Report'!R53</f>
        <v>-10.942016877649834</v>
      </c>
      <c r="V29" s="295">
        <f>'7.  Persistence Report'!S53</f>
        <v>-10.942016877649834</v>
      </c>
      <c r="W29" s="295">
        <f>'7.  Persistence Report'!T53</f>
        <v>-10.942016877649834</v>
      </c>
      <c r="X29" s="295">
        <f>'7.  Persistence Report'!U53</f>
        <v>-10.942016877649834</v>
      </c>
      <c r="Y29" s="411">
        <f>Y28</f>
        <v>1</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f>'7.  Persistence Report'!AQ30</f>
        <v>42622.492232442448</v>
      </c>
      <c r="E31" s="295">
        <f>'7.  Persistence Report'!AR30</f>
        <v>42622.492232442448</v>
      </c>
      <c r="F31" s="295">
        <f>'7.  Persistence Report'!AS30</f>
        <v>42622.492232442448</v>
      </c>
      <c r="G31" s="295">
        <f>'7.  Persistence Report'!AT30</f>
        <v>42622.492232442448</v>
      </c>
      <c r="H31" s="295">
        <f>'7.  Persistence Report'!AU30</f>
        <v>39227.876390293124</v>
      </c>
      <c r="I31" s="295">
        <f>'7.  Persistence Report'!AV30</f>
        <v>35519.40157396737</v>
      </c>
      <c r="J31" s="295">
        <f>'7.  Persistence Report'!AW30</f>
        <v>27802.033308289963</v>
      </c>
      <c r="K31" s="295">
        <f>'7.  Persistence Report'!AX30</f>
        <v>27623.185137852928</v>
      </c>
      <c r="L31" s="295">
        <f>'7.  Persistence Report'!AY30</f>
        <v>34726.275796328016</v>
      </c>
      <c r="M31" s="295">
        <f>'7.  Persistence Report'!AZ30</f>
        <v>13407.016952416385</v>
      </c>
      <c r="N31" s="291"/>
      <c r="O31" s="295">
        <f>'7.  Persistence Report'!L30</f>
        <v>2.6149429895522425</v>
      </c>
      <c r="P31" s="295">
        <f>'7.  Persistence Report'!M30</f>
        <v>2.6149429895522425</v>
      </c>
      <c r="Q31" s="295">
        <f>'7.  Persistence Report'!N30</f>
        <v>2.6149429895522425</v>
      </c>
      <c r="R31" s="295">
        <f>'7.  Persistence Report'!O30</f>
        <v>2.6149429895522425</v>
      </c>
      <c r="S31" s="295">
        <f>'7.  Persistence Report'!P30</f>
        <v>2.457762261594401</v>
      </c>
      <c r="T31" s="295">
        <f>'7.  Persistence Report'!Q30</f>
        <v>2.2860489372158939</v>
      </c>
      <c r="U31" s="295">
        <f>'7.  Persistence Report'!R30</f>
        <v>1.9287120194838765</v>
      </c>
      <c r="V31" s="295">
        <f>'7.  Persistence Report'!S30</f>
        <v>1.9082955616714294</v>
      </c>
      <c r="W31" s="295">
        <f>'7.  Persistence Report'!T30</f>
        <v>2.2371896140077774</v>
      </c>
      <c r="X31" s="295">
        <f>'7.  Persistence Report'!U30</f>
        <v>1.2500450355255228</v>
      </c>
      <c r="Y31" s="410">
        <v>1</v>
      </c>
      <c r="Z31" s="410"/>
      <c r="AA31" s="410"/>
      <c r="AB31" s="410"/>
      <c r="AC31" s="410"/>
      <c r="AD31" s="410"/>
      <c r="AE31" s="410"/>
      <c r="AF31" s="410"/>
      <c r="AG31" s="410"/>
      <c r="AH31" s="410"/>
      <c r="AI31" s="410"/>
      <c r="AJ31" s="410"/>
      <c r="AK31" s="410"/>
      <c r="AL31" s="410"/>
      <c r="AM31" s="296">
        <f>SUM(Y31:AL31)</f>
        <v>1</v>
      </c>
    </row>
    <row r="32" spans="1:39" s="283" customFormat="1" ht="15" outlineLevel="1">
      <c r="A32" s="509"/>
      <c r="B32" s="294" t="s">
        <v>214</v>
      </c>
      <c r="C32" s="291" t="s">
        <v>163</v>
      </c>
      <c r="D32" s="765">
        <f>'7.  Persistence Report'!AQ55</f>
        <v>628.27165709389078</v>
      </c>
      <c r="E32" s="765">
        <f>'7.  Persistence Report'!AR55</f>
        <v>628.27165709389078</v>
      </c>
      <c r="F32" s="765">
        <f>'7.  Persistence Report'!AS55</f>
        <v>628.27165709389078</v>
      </c>
      <c r="G32" s="765">
        <f>'7.  Persistence Report'!AT55</f>
        <v>628.27165709389078</v>
      </c>
      <c r="H32" s="765">
        <f>'7.  Persistence Report'!AU55</f>
        <v>628.27165709389078</v>
      </c>
      <c r="I32" s="765">
        <f>'7.  Persistence Report'!AV55</f>
        <v>574.03973704249211</v>
      </c>
      <c r="J32" s="765">
        <f>'7.  Persistence Report'!AW55</f>
        <v>352.16841624123106</v>
      </c>
      <c r="K32" s="765">
        <f>'7.  Persistence Report'!AX55</f>
        <v>351.68893052960357</v>
      </c>
      <c r="L32" s="765">
        <f>'7.  Persistence Report'!AY55</f>
        <v>351.68893052960357</v>
      </c>
      <c r="M32" s="765">
        <f>'7.  Persistence Report'!AZ55</f>
        <v>124.57336508120605</v>
      </c>
      <c r="N32" s="468"/>
      <c r="O32" s="765">
        <f>'7.  Persistence Report'!L55</f>
        <v>3.6692732632003212E-2</v>
      </c>
      <c r="P32" s="765">
        <f>'7.  Persistence Report'!M55</f>
        <v>3.6692732632003212E-2</v>
      </c>
      <c r="Q32" s="765">
        <f>'7.  Persistence Report'!N55</f>
        <v>3.6692732632003212E-2</v>
      </c>
      <c r="R32" s="765">
        <f>'7.  Persistence Report'!O55</f>
        <v>3.6692732632003212E-2</v>
      </c>
      <c r="S32" s="765">
        <f>'7.  Persistence Report'!P55</f>
        <v>3.6692732632003212E-2</v>
      </c>
      <c r="T32" s="765">
        <f>'7.  Persistence Report'!Q55</f>
        <v>3.4181634743874242E-2</v>
      </c>
      <c r="U32" s="765">
        <f>'7.  Persistence Report'!R55</f>
        <v>2.3908338047530155E-2</v>
      </c>
      <c r="V32" s="765">
        <f>'7.  Persistence Report'!S55</f>
        <v>2.3853602235700537E-2</v>
      </c>
      <c r="W32" s="765">
        <f>'7.  Persistence Report'!T55</f>
        <v>2.3853602235700537E-2</v>
      </c>
      <c r="X32" s="765">
        <f>'7.  Persistence Report'!U55</f>
        <v>1.3337481541132224E-2</v>
      </c>
      <c r="Y32" s="411">
        <f>Y31</f>
        <v>1</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f>'7.  Persistence Report'!AQ29</f>
        <v>66979.755117844819</v>
      </c>
      <c r="E34" s="295">
        <f>'7.  Persistence Report'!AR29</f>
        <v>66979.755117844819</v>
      </c>
      <c r="F34" s="295">
        <f>'7.  Persistence Report'!AS29</f>
        <v>66979.755117844819</v>
      </c>
      <c r="G34" s="295">
        <f>'7.  Persistence Report'!AT29</f>
        <v>66979.755117844819</v>
      </c>
      <c r="H34" s="295">
        <f>'7.  Persistence Report'!AU29</f>
        <v>61214.563466114676</v>
      </c>
      <c r="I34" s="295">
        <f>'7.  Persistence Report'!AV29</f>
        <v>54916.33443346047</v>
      </c>
      <c r="J34" s="295">
        <f>'7.  Persistence Report'!AW29</f>
        <v>41403.415333894023</v>
      </c>
      <c r="K34" s="295">
        <f>'7.  Persistence Report'!AX29</f>
        <v>41252.377334731376</v>
      </c>
      <c r="L34" s="295">
        <f>'7.  Persistence Report'!AY29</f>
        <v>53315.798019115733</v>
      </c>
      <c r="M34" s="295">
        <f>'7.  Persistence Report'!AZ29</f>
        <v>17108.574927217196</v>
      </c>
      <c r="N34" s="291"/>
      <c r="O34" s="295">
        <f>'7.  Persistence Report'!L29</f>
        <v>3.8324155493702978</v>
      </c>
      <c r="P34" s="295">
        <f>'7.  Persistence Report'!M29</f>
        <v>3.8324155493702978</v>
      </c>
      <c r="Q34" s="295">
        <f>'7.  Persistence Report'!N29</f>
        <v>3.8324155493702978</v>
      </c>
      <c r="R34" s="295">
        <f>'7.  Persistence Report'!O29</f>
        <v>3.8324155493702978</v>
      </c>
      <c r="S34" s="295">
        <f>'7.  Persistence Report'!P29</f>
        <v>3.5654701679860934</v>
      </c>
      <c r="T34" s="295">
        <f>'7.  Persistence Report'!Q29</f>
        <v>3.2738435833499353</v>
      </c>
      <c r="U34" s="295">
        <f>'7.  Persistence Report'!R29</f>
        <v>2.6481555645370412</v>
      </c>
      <c r="V34" s="295">
        <f>'7.  Persistence Report'!S29</f>
        <v>2.6309137838107119</v>
      </c>
      <c r="W34" s="295">
        <f>'7.  Persistence Report'!T29</f>
        <v>3.1894857498310745</v>
      </c>
      <c r="X34" s="295">
        <f>'7.  Persistence Report'!U29</f>
        <v>1.5129845056392617</v>
      </c>
      <c r="Y34" s="410">
        <v>1</v>
      </c>
      <c r="Z34" s="410"/>
      <c r="AA34" s="410"/>
      <c r="AB34" s="410"/>
      <c r="AC34" s="410"/>
      <c r="AD34" s="410"/>
      <c r="AE34" s="410"/>
      <c r="AF34" s="410"/>
      <c r="AG34" s="410"/>
      <c r="AH34" s="410"/>
      <c r="AI34" s="410"/>
      <c r="AJ34" s="410"/>
      <c r="AK34" s="410"/>
      <c r="AL34" s="410"/>
      <c r="AM34" s="296">
        <f>SUM(Y34:AL34)</f>
        <v>1</v>
      </c>
    </row>
    <row r="35" spans="1:39" s="283" customFormat="1" ht="15" outlineLevel="1">
      <c r="A35" s="509"/>
      <c r="B35" s="294" t="s">
        <v>214</v>
      </c>
      <c r="C35" s="291" t="s">
        <v>163</v>
      </c>
      <c r="D35" s="295">
        <f>'7.  Persistence Report'!AQ54</f>
        <v>4976.3721382382209</v>
      </c>
      <c r="E35" s="295">
        <f>'7.  Persistence Report'!AR54</f>
        <v>4976.3721382382209</v>
      </c>
      <c r="F35" s="295">
        <f>'7.  Persistence Report'!AS54</f>
        <v>4976.3721382382209</v>
      </c>
      <c r="G35" s="295">
        <f>'7.  Persistence Report'!AT54</f>
        <v>4976.3721382382209</v>
      </c>
      <c r="H35" s="295">
        <f>'7.  Persistence Report'!AU54</f>
        <v>4976.3721382382209</v>
      </c>
      <c r="I35" s="295">
        <f>'7.  Persistence Report'!AV54</f>
        <v>4522.0958662257417</v>
      </c>
      <c r="J35" s="295">
        <f>'7.  Persistence Report'!AW54</f>
        <v>2441.4305179176195</v>
      </c>
      <c r="K35" s="295">
        <f>'7.  Persistence Report'!AX54</f>
        <v>2440.9331381570596</v>
      </c>
      <c r="L35" s="295">
        <f>'7.  Persistence Report'!AY54</f>
        <v>2440.9331381570596</v>
      </c>
      <c r="M35" s="295">
        <f>'7.  Persistence Report'!AZ54</f>
        <v>538.48874212385067</v>
      </c>
      <c r="N35" s="468"/>
      <c r="O35" s="765">
        <f>'7.  Persistence Report'!L54</f>
        <v>0.24584319297710769</v>
      </c>
      <c r="P35" s="765">
        <f>'7.  Persistence Report'!M54</f>
        <v>0.24584319297710769</v>
      </c>
      <c r="Q35" s="765">
        <f>'7.  Persistence Report'!N54</f>
        <v>0.24584319297710769</v>
      </c>
      <c r="R35" s="765">
        <f>'7.  Persistence Report'!O54</f>
        <v>0.24584319297710769</v>
      </c>
      <c r="S35" s="765">
        <f>'7.  Persistence Report'!P54</f>
        <v>0.24584319297710769</v>
      </c>
      <c r="T35" s="765">
        <f>'7.  Persistence Report'!Q54</f>
        <v>0.22480886142114398</v>
      </c>
      <c r="U35" s="765">
        <f>'7.  Persistence Report'!R54</f>
        <v>0.12846791761742365</v>
      </c>
      <c r="V35" s="765">
        <f>'7.  Persistence Report'!S54</f>
        <v>0.12841113910594426</v>
      </c>
      <c r="W35" s="765">
        <f>'7.  Persistence Report'!T54</f>
        <v>0.12841113910594426</v>
      </c>
      <c r="X35" s="765">
        <f>'7.  Persistence Report'!U54</f>
        <v>4.0322351162715729E-2</v>
      </c>
      <c r="Y35" s="411">
        <f>Y34</f>
        <v>1</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484</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f>'7.  Persistence Report'!AQ37</f>
        <v>33991.755665595745</v>
      </c>
      <c r="E50" s="295">
        <f>'7.  Persistence Report'!AR37</f>
        <v>33991.755665595745</v>
      </c>
      <c r="F50" s="295">
        <f>'7.  Persistence Report'!AS37</f>
        <v>33991.755665595745</v>
      </c>
      <c r="G50" s="295">
        <f>'7.  Persistence Report'!AT37</f>
        <v>33991.755665595745</v>
      </c>
      <c r="H50" s="295">
        <f>'7.  Persistence Report'!AU37</f>
        <v>33991.755665595745</v>
      </c>
      <c r="I50" s="295">
        <f>'7.  Persistence Report'!AV37</f>
        <v>33991.755665595745</v>
      </c>
      <c r="J50" s="295">
        <f>'7.  Persistence Report'!AW37</f>
        <v>33991.755665595745</v>
      </c>
      <c r="K50" s="295">
        <f>'7.  Persistence Report'!AX37</f>
        <v>33991.755665595745</v>
      </c>
      <c r="L50" s="295">
        <f>'7.  Persistence Report'!AY37</f>
        <v>33991.755665595745</v>
      </c>
      <c r="M50" s="295">
        <f>'7.  Persistence Report'!AZ37</f>
        <v>33991.755665595745</v>
      </c>
      <c r="N50" s="295">
        <v>12</v>
      </c>
      <c r="O50" s="295">
        <f>'7.  Persistence Report'!L37</f>
        <v>0</v>
      </c>
      <c r="P50" s="295">
        <f>'7.  Persistence Report'!M37</f>
        <v>0</v>
      </c>
      <c r="Q50" s="295">
        <f>'7.  Persistence Report'!N37</f>
        <v>0</v>
      </c>
      <c r="R50" s="295">
        <f>'7.  Persistence Report'!O37</f>
        <v>0</v>
      </c>
      <c r="S50" s="295">
        <f>'7.  Persistence Report'!P37</f>
        <v>0</v>
      </c>
      <c r="T50" s="295">
        <f>'7.  Persistence Report'!Q37</f>
        <v>0</v>
      </c>
      <c r="U50" s="295">
        <f>'7.  Persistence Report'!R37</f>
        <v>0</v>
      </c>
      <c r="V50" s="295">
        <f>'7.  Persistence Report'!S37</f>
        <v>0</v>
      </c>
      <c r="W50" s="295">
        <f>'7.  Persistence Report'!T37</f>
        <v>0</v>
      </c>
      <c r="X50" s="295">
        <f>'7.  Persistence Report'!U37</f>
        <v>0</v>
      </c>
      <c r="Y50" s="415"/>
      <c r="Z50" s="415">
        <f>'3-a.  Rate Class Allocations'!G23</f>
        <v>1</v>
      </c>
      <c r="AA50" s="415">
        <f>'3-a.  Rate Class Allocations'!H23</f>
        <v>0</v>
      </c>
      <c r="AB50" s="415"/>
      <c r="AC50" s="415"/>
      <c r="AD50" s="415"/>
      <c r="AE50" s="415"/>
      <c r="AF50" s="415"/>
      <c r="AG50" s="415"/>
      <c r="AH50" s="415"/>
      <c r="AI50" s="415"/>
      <c r="AJ50" s="415"/>
      <c r="AK50" s="415"/>
      <c r="AL50" s="415"/>
      <c r="AM50" s="296">
        <f>SUM(Y50:AL50)</f>
        <v>1</v>
      </c>
    </row>
    <row r="51" spans="1:42" s="283" customFormat="1" ht="15"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1</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f>'7.  Persistence Report'!AQ36</f>
        <v>79311.697156286915</v>
      </c>
      <c r="E53" s="295">
        <f>'7.  Persistence Report'!AR36</f>
        <v>79311.697156286915</v>
      </c>
      <c r="F53" s="295">
        <f>'7.  Persistence Report'!AS36</f>
        <v>79311.697156286915</v>
      </c>
      <c r="G53" s="295">
        <f>'7.  Persistence Report'!AT36</f>
        <v>60355.595475884329</v>
      </c>
      <c r="H53" s="295">
        <f>'7.  Persistence Report'!AU36</f>
        <v>60355.595475884329</v>
      </c>
      <c r="I53" s="295">
        <f>'7.  Persistence Report'!AV36</f>
        <v>60214.927627941375</v>
      </c>
      <c r="J53" s="295">
        <f>'7.  Persistence Report'!AW36</f>
        <v>11372.17952023955</v>
      </c>
      <c r="K53" s="295">
        <f>'7.  Persistence Report'!AX36</f>
        <v>11066.022630157735</v>
      </c>
      <c r="L53" s="295">
        <f>'7.  Persistence Report'!AY36</f>
        <v>11066.022630157735</v>
      </c>
      <c r="M53" s="295">
        <f>'7.  Persistence Report'!AZ36</f>
        <v>11066.022630157735</v>
      </c>
      <c r="N53" s="295">
        <v>12</v>
      </c>
      <c r="O53" s="295">
        <f>'7.  Persistence Report'!L36</f>
        <v>31.639357056624537</v>
      </c>
      <c r="P53" s="295">
        <f>'7.  Persistence Report'!M36</f>
        <v>31.639357056624537</v>
      </c>
      <c r="Q53" s="295">
        <f>'7.  Persistence Report'!N36</f>
        <v>31.639357056624537</v>
      </c>
      <c r="R53" s="295">
        <f>'7.  Persistence Report'!O36</f>
        <v>24.694160438244545</v>
      </c>
      <c r="S53" s="295">
        <f>'7.  Persistence Report'!P36</f>
        <v>24.694160438244545</v>
      </c>
      <c r="T53" s="295">
        <f>'7.  Persistence Report'!Q36</f>
        <v>24.636552636167735</v>
      </c>
      <c r="U53" s="295">
        <f>'7.  Persistence Report'!R36</f>
        <v>5.1685720023312207</v>
      </c>
      <c r="V53" s="295">
        <f>'7.  Persistence Report'!S36</f>
        <v>4.7607087636274192</v>
      </c>
      <c r="W53" s="295">
        <f>'7.  Persistence Report'!T36</f>
        <v>4.7607087636274192</v>
      </c>
      <c r="X53" s="295">
        <f>'7.  Persistence Report'!U36</f>
        <v>4.7607087636274192</v>
      </c>
      <c r="Y53" s="415"/>
      <c r="Z53" s="415">
        <f>'3-a.  Rate Class Allocations'!G22</f>
        <v>1</v>
      </c>
      <c r="AA53" s="415">
        <f>'3-a.  Rate Class Allocations'!H22</f>
        <v>0</v>
      </c>
      <c r="AB53" s="415"/>
      <c r="AC53" s="415"/>
      <c r="AD53" s="415"/>
      <c r="AE53" s="415"/>
      <c r="AF53" s="415"/>
      <c r="AG53" s="415"/>
      <c r="AH53" s="415"/>
      <c r="AI53" s="415"/>
      <c r="AJ53" s="415"/>
      <c r="AK53" s="415"/>
      <c r="AL53" s="415"/>
      <c r="AM53" s="296">
        <f>SUM(Y53:AL53)</f>
        <v>1</v>
      </c>
    </row>
    <row r="54" spans="1:42" s="283" customFormat="1" ht="15"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1</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485</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486</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10"/>
      <c r="B90" s="288" t="s">
        <v>14</v>
      </c>
      <c r="C90" s="289"/>
      <c r="D90" s="290"/>
      <c r="E90" s="290"/>
      <c r="F90" s="290"/>
      <c r="G90" s="290"/>
      <c r="H90" s="290"/>
      <c r="I90" s="290"/>
      <c r="J90" s="290"/>
      <c r="K90" s="290"/>
      <c r="L90" s="290"/>
      <c r="M90" s="290"/>
      <c r="N90" s="290"/>
      <c r="O90" s="290"/>
      <c r="P90" s="290"/>
      <c r="Q90" s="290"/>
      <c r="R90" s="290"/>
      <c r="S90" s="290"/>
      <c r="T90" s="290"/>
      <c r="U90" s="290"/>
      <c r="V90" s="290"/>
      <c r="W90" s="290"/>
      <c r="X90" s="290"/>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10"/>
      <c r="B94" s="288" t="s">
        <v>487</v>
      </c>
      <c r="C94" s="289"/>
      <c r="D94" s="290"/>
      <c r="E94" s="290"/>
      <c r="F94" s="290"/>
      <c r="G94" s="290"/>
      <c r="H94" s="290"/>
      <c r="I94" s="290"/>
      <c r="J94" s="290"/>
      <c r="K94" s="290"/>
      <c r="L94" s="290"/>
      <c r="M94" s="290"/>
      <c r="N94" s="290"/>
      <c r="O94" s="290"/>
      <c r="P94" s="290"/>
      <c r="Q94" s="290"/>
      <c r="R94" s="290"/>
      <c r="S94" s="290"/>
      <c r="T94" s="290"/>
      <c r="U94" s="290"/>
      <c r="V94" s="290"/>
      <c r="W94" s="290"/>
      <c r="X94" s="290"/>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10"/>
      <c r="B101" s="288" t="s">
        <v>15</v>
      </c>
      <c r="C101" s="320"/>
      <c r="D101" s="289"/>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f>'7.  Persistence Report'!AQ39</f>
        <v>511483.47684033611</v>
      </c>
      <c r="E102" s="295">
        <f>'7.  Persistence Report'!AR39</f>
        <v>511483.47684033611</v>
      </c>
      <c r="F102" s="295">
        <f>'7.  Persistence Report'!AS39</f>
        <v>511483.47684033611</v>
      </c>
      <c r="G102" s="295">
        <f>'7.  Persistence Report'!AT39</f>
        <v>511483.47684033611</v>
      </c>
      <c r="H102" s="295">
        <f>'7.  Persistence Report'!AU39</f>
        <v>511483.47684033611</v>
      </c>
      <c r="I102" s="295">
        <f>'7.  Persistence Report'!AV39</f>
        <v>511483.47684033611</v>
      </c>
      <c r="J102" s="295">
        <f>'7.  Persistence Report'!AW39</f>
        <v>511483.47684033611</v>
      </c>
      <c r="K102" s="295">
        <f>'7.  Persistence Report'!AX39</f>
        <v>511483.47684033611</v>
      </c>
      <c r="L102" s="295">
        <f>'7.  Persistence Report'!AY39</f>
        <v>511483.47684033611</v>
      </c>
      <c r="M102" s="295">
        <f>'7.  Persistence Report'!AZ39</f>
        <v>511483.47684033611</v>
      </c>
      <c r="N102" s="295">
        <v>12</v>
      </c>
      <c r="O102" s="295">
        <f>'7.  Persistence Report'!L39</f>
        <v>88.024416480000014</v>
      </c>
      <c r="P102" s="295">
        <f>'7.  Persistence Report'!M39</f>
        <v>88.024416480000014</v>
      </c>
      <c r="Q102" s="295">
        <f>'7.  Persistence Report'!N39</f>
        <v>88.024416480000014</v>
      </c>
      <c r="R102" s="295">
        <f>'7.  Persistence Report'!O39</f>
        <v>88.024416480000014</v>
      </c>
      <c r="S102" s="295">
        <f>'7.  Persistence Report'!P39</f>
        <v>88.024416480000014</v>
      </c>
      <c r="T102" s="295">
        <f>'7.  Persistence Report'!Q39</f>
        <v>88.024416480000014</v>
      </c>
      <c r="U102" s="295">
        <f>'7.  Persistence Report'!R39</f>
        <v>88.024416480000014</v>
      </c>
      <c r="V102" s="295">
        <f>'7.  Persistence Report'!S39</f>
        <v>88.024416480000014</v>
      </c>
      <c r="W102" s="295">
        <f>'7.  Persistence Report'!T39</f>
        <v>88.024416480000014</v>
      </c>
      <c r="X102" s="295">
        <f>'7.  Persistence Report'!U39</f>
        <v>88.024416480000014</v>
      </c>
      <c r="Y102" s="410"/>
      <c r="Z102" s="410">
        <f>'3-a.  Rate Class Allocations'!G23</f>
        <v>1</v>
      </c>
      <c r="AA102" s="410">
        <f>'3-a.  Rate Class Allocations'!H23</f>
        <v>0</v>
      </c>
      <c r="AB102" s="410"/>
      <c r="AC102" s="410"/>
      <c r="AD102" s="410"/>
      <c r="AE102" s="415"/>
      <c r="AF102" s="415"/>
      <c r="AG102" s="415"/>
      <c r="AH102" s="415"/>
      <c r="AI102" s="415"/>
      <c r="AJ102" s="415"/>
      <c r="AK102" s="415"/>
      <c r="AL102" s="415"/>
      <c r="AM102" s="296">
        <f>SUM(Y102:AL102)</f>
        <v>1</v>
      </c>
    </row>
    <row r="103" spans="1:39" s="283" customFormat="1" ht="1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1</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f>'7.  Persistence Report'!AQ40</f>
        <v>110414.09060265709</v>
      </c>
      <c r="E105" s="295">
        <f>'7.  Persistence Report'!AR40</f>
        <v>110414.09060265709</v>
      </c>
      <c r="F105" s="295">
        <f>'7.  Persistence Report'!AS40</f>
        <v>110414.09060265709</v>
      </c>
      <c r="G105" s="295">
        <f>'7.  Persistence Report'!AT40</f>
        <v>110414.09060265709</v>
      </c>
      <c r="H105" s="295">
        <f>'7.  Persistence Report'!AU40</f>
        <v>110414.09060265709</v>
      </c>
      <c r="I105" s="295">
        <f>'7.  Persistence Report'!AV40</f>
        <v>110414.09060265709</v>
      </c>
      <c r="J105" s="295">
        <f>'7.  Persistence Report'!AW40</f>
        <v>110414.09060265709</v>
      </c>
      <c r="K105" s="295">
        <f>'7.  Persistence Report'!AX40</f>
        <v>110414.09060265709</v>
      </c>
      <c r="L105" s="295">
        <f>'7.  Persistence Report'!AY40</f>
        <v>110414.09060265709</v>
      </c>
      <c r="M105" s="295">
        <f>'7.  Persistence Report'!AZ40</f>
        <v>110414.09060265709</v>
      </c>
      <c r="N105" s="295">
        <v>12</v>
      </c>
      <c r="O105" s="295">
        <f>'7.  Persistence Report'!L40</f>
        <v>21.498070600205818</v>
      </c>
      <c r="P105" s="295">
        <f>'7.  Persistence Report'!M40</f>
        <v>21.498070600205818</v>
      </c>
      <c r="Q105" s="295">
        <f>'7.  Persistence Report'!N40</f>
        <v>21.498070600205818</v>
      </c>
      <c r="R105" s="295">
        <f>'7.  Persistence Report'!O40</f>
        <v>21.498070600205818</v>
      </c>
      <c r="S105" s="295">
        <f>'7.  Persistence Report'!P40</f>
        <v>21.498070600205818</v>
      </c>
      <c r="T105" s="295">
        <f>'7.  Persistence Report'!Q40</f>
        <v>21.498070600205818</v>
      </c>
      <c r="U105" s="295">
        <f>'7.  Persistence Report'!R40</f>
        <v>21.498070600205818</v>
      </c>
      <c r="V105" s="295">
        <f>'7.  Persistence Report'!S40</f>
        <v>21.498070600205818</v>
      </c>
      <c r="W105" s="295">
        <f>'7.  Persistence Report'!T40</f>
        <v>21.498070600205818</v>
      </c>
      <c r="X105" s="295">
        <f>'7.  Persistence Report'!U40</f>
        <v>21.498070600205818</v>
      </c>
      <c r="Y105" s="410"/>
      <c r="Z105" s="410">
        <f>'3-a.  Rate Class Allocations'!G24</f>
        <v>0</v>
      </c>
      <c r="AA105" s="410">
        <f>'3-a.  Rate Class Allocations'!H24</f>
        <v>1</v>
      </c>
      <c r="AB105" s="410"/>
      <c r="AC105" s="410"/>
      <c r="AD105" s="410"/>
      <c r="AE105" s="415"/>
      <c r="AF105" s="415"/>
      <c r="AG105" s="415"/>
      <c r="AH105" s="415"/>
      <c r="AI105" s="415"/>
      <c r="AJ105" s="415"/>
      <c r="AK105" s="415"/>
      <c r="AL105" s="415"/>
      <c r="AM105" s="296">
        <f>SUM(Y105:AL105)</f>
        <v>1</v>
      </c>
    </row>
    <row r="106" spans="1:39" s="283" customFormat="1" ht="15" outlineLevel="1">
      <c r="A106" s="509"/>
      <c r="B106" s="315" t="s">
        <v>214</v>
      </c>
      <c r="C106" s="291" t="s">
        <v>163</v>
      </c>
      <c r="D106" s="295">
        <f>'7.  Persistence Report'!AQ52</f>
        <v>-375.29060265707415</v>
      </c>
      <c r="E106" s="295">
        <f>'7.  Persistence Report'!AR52</f>
        <v>-375.29060265707415</v>
      </c>
      <c r="F106" s="295">
        <f>'7.  Persistence Report'!AS52</f>
        <v>-375.29060265707415</v>
      </c>
      <c r="G106" s="295">
        <f>'7.  Persistence Report'!AT52</f>
        <v>-375.29060265707415</v>
      </c>
      <c r="H106" s="295">
        <f>'7.  Persistence Report'!AU52</f>
        <v>-375.29060265707398</v>
      </c>
      <c r="I106" s="295">
        <f>'7.  Persistence Report'!AV52</f>
        <v>-375.29060265707398</v>
      </c>
      <c r="J106" s="295">
        <f>'7.  Persistence Report'!AW52</f>
        <v>-375.29060265707398</v>
      </c>
      <c r="K106" s="295">
        <f>'7.  Persistence Report'!AX52</f>
        <v>-375.29060265707398</v>
      </c>
      <c r="L106" s="295">
        <f>'7.  Persistence Report'!AY52</f>
        <v>-375.29060265707398</v>
      </c>
      <c r="M106" s="295">
        <f>'7.  Persistence Report'!AZ52</f>
        <v>-375.29060265707398</v>
      </c>
      <c r="N106" s="295">
        <f>N105</f>
        <v>12</v>
      </c>
      <c r="O106" s="765">
        <f>'7.  Persistence Report'!L52</f>
        <v>-7.3070600205817071E-2</v>
      </c>
      <c r="P106" s="765">
        <f>'7.  Persistence Report'!M52</f>
        <v>-7.3070600205817071E-2</v>
      </c>
      <c r="Q106" s="765">
        <f>'7.  Persistence Report'!N52</f>
        <v>-7.3070600205817071E-2</v>
      </c>
      <c r="R106" s="765">
        <f>'7.  Persistence Report'!O52</f>
        <v>-7.3070600205817071E-2</v>
      </c>
      <c r="S106" s="765">
        <f>'7.  Persistence Report'!P52</f>
        <v>-7.3070600205817099E-2</v>
      </c>
      <c r="T106" s="765">
        <f>'7.  Persistence Report'!Q52</f>
        <v>-7.3070600205817099E-2</v>
      </c>
      <c r="U106" s="765">
        <f>'7.  Persistence Report'!R52</f>
        <v>-7.3070600205817099E-2</v>
      </c>
      <c r="V106" s="765">
        <f>'7.  Persistence Report'!S52</f>
        <v>-7.3070600205817099E-2</v>
      </c>
      <c r="W106" s="765">
        <f>'7.  Persistence Report'!T52</f>
        <v>-7.3070600205817099E-2</v>
      </c>
      <c r="X106" s="765">
        <f>'7.  Persistence Report'!U52</f>
        <v>-7.3070600205817099E-2</v>
      </c>
      <c r="Y106" s="411">
        <f>Y105</f>
        <v>0</v>
      </c>
      <c r="Z106" s="411">
        <f>Z105</f>
        <v>0</v>
      </c>
      <c r="AA106" s="411">
        <f>AA105</f>
        <v>1</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488</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9"/>
      <c r="B117" s="288" t="s">
        <v>489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490</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491</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492</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9"/>
      <c r="B127" s="327" t="s">
        <v>237</v>
      </c>
      <c r="C127" s="328"/>
      <c r="D127" s="328">
        <f>SUM(D22:D125)</f>
        <v>1026349.6918962147</v>
      </c>
      <c r="E127" s="328"/>
      <c r="F127" s="328"/>
      <c r="G127" s="328"/>
      <c r="H127" s="328"/>
      <c r="I127" s="328"/>
      <c r="J127" s="328"/>
      <c r="K127" s="328"/>
      <c r="L127" s="328"/>
      <c r="M127" s="328"/>
      <c r="N127" s="328"/>
      <c r="O127" s="328">
        <f>SUM(O22:O125)</f>
        <v>219.23090984170071</v>
      </c>
      <c r="P127" s="328"/>
      <c r="Q127" s="328"/>
      <c r="R127" s="328"/>
      <c r="S127" s="328"/>
      <c r="T127" s="328"/>
      <c r="U127" s="328"/>
      <c r="V127" s="328"/>
      <c r="W127" s="328"/>
      <c r="X127" s="328"/>
      <c r="Y127" s="329">
        <f>IF(Y21="kWh",SUMPRODUCT(D22:D125,Y22:Y125))</f>
        <v>291523.96223399608</v>
      </c>
      <c r="Z127" s="329">
        <f>IF(Z21="kWh",SUMPRODUCT(D22:D125,Z22:Z125))</f>
        <v>624786.92966221878</v>
      </c>
      <c r="AA127" s="329">
        <f>IF(AA21="kW",SUMPRODUCT(N22:N125,O22:O125,AA22:AA125),SUMPRODUCT(D22:D125,AA22:AA125))</f>
        <v>257.09999999999997</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8.6E-3</v>
      </c>
      <c r="Z130" s="341">
        <f>HLOOKUP(Z$20,'3.  Distribution Rates'!$C$122:$P$133,3,FALSE)</f>
        <v>0.01</v>
      </c>
      <c r="AA130" s="341">
        <f>HLOOKUP(AA$20,'3.  Distribution Rates'!$C$122:$P$133,3,FALSE)</f>
        <v>1.4155</v>
      </c>
      <c r="AB130" s="341">
        <f>HLOOKUP(AB$20,'3.  Distribution Rates'!$C$122:$P$133,3,FALSE)</f>
        <v>3.2406999999999999</v>
      </c>
      <c r="AC130" s="341">
        <f>HLOOKUP(AC$20,'3.  Distribution Rates'!$C$122:$P$133,3,FALSE)</f>
        <v>9.9000000000000008E-3</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1"/>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2507.1060752123662</v>
      </c>
      <c r="Z131" s="346">
        <f t="shared" si="33"/>
        <v>6247.8692966221879</v>
      </c>
      <c r="AA131" s="347">
        <f t="shared" si="33"/>
        <v>363.92504999999994</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9118.9004218345544</v>
      </c>
    </row>
    <row r="132" spans="1:40" s="303" customFormat="1" ht="15.7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9118.9004218345544</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291523.96223399608</v>
      </c>
      <c r="Z135" s="291">
        <f>SUMPRODUCT(E22:E125,Z22:Z125)</f>
        <v>624786.92966221878</v>
      </c>
      <c r="AA135" s="291">
        <f>IF(AA21="kW",SUMPRODUCT(N22:N125,P22:P125,AA22:AA125),SUMPRODUCT(E22:E125,AA22:AA125))</f>
        <v>257.09999999999997</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291523.96223399608</v>
      </c>
      <c r="Z136" s="291">
        <f>SUMPRODUCT(F22:F125,Z22:Z125)</f>
        <v>624786.92966221878</v>
      </c>
      <c r="AA136" s="291">
        <f>IF(AA21="kW",SUMPRODUCT(N22:N125,Q22:Q125,AA22:AA125),SUMPRODUCT(F22:F125,AA22:AA125))</f>
        <v>257.09999999999997</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290536.95500543807</v>
      </c>
      <c r="Z137" s="291">
        <f>SUMPRODUCT(G22:G125,Z22:Z125)</f>
        <v>605830.82798181614</v>
      </c>
      <c r="AA137" s="291">
        <f>IF(AA21="kW",SUMPRODUCT(N22:N125,R22:R125,AA22:AA125),SUMPRODUCT(G22:G125,AA22:AA125))</f>
        <v>257.09999999999997</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261684.42207341001</v>
      </c>
      <c r="Z138" s="291">
        <f>SUMPRODUCT(H22:H125,Z22:Z125)</f>
        <v>605830.82798181614</v>
      </c>
      <c r="AA138" s="291">
        <f>IF(AA21="kW",SUMPRODUCT(N22:N125,S22:S125,AA22:AA125),SUMPRODUCT(H22:H125,AA22:AA125))</f>
        <v>257.09999999999997</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202843.99509062944</v>
      </c>
      <c r="Z139" s="291">
        <f>SUMPRODUCT(I22:I125,Z22:Z125)</f>
        <v>605690.16013387323</v>
      </c>
      <c r="AA139" s="291">
        <f>IF(AA21="kW",SUMPRODUCT(N22:N125,T22:T125,AA22:AA125),SUMPRODUCT(I22:I125,AA22:AA125))</f>
        <v>257.09999999999997</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179311.17105627622</v>
      </c>
      <c r="Z140" s="291">
        <f>SUMPRODUCT(J22:J125,Z22:Z125)</f>
        <v>556847.41202617146</v>
      </c>
      <c r="AA140" s="291">
        <f>IF(AA21="kW",SUMPRODUCT(N22:N125,U22:U125,AA22:AA125),SUMPRODUCT(J22:J125,AA22:AA125))</f>
        <v>257.09999999999997</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178980.30802120434</v>
      </c>
      <c r="Z141" s="291">
        <f>SUMPRODUCT(K22:K125,Z22:Z125)</f>
        <v>556541.25513608963</v>
      </c>
      <c r="AA141" s="291">
        <f>IF(AA21="kW",SUMPRODUCT(N22:N125,V22:V125,AA22:AA125),SUMPRODUCT(K22:K125,AA22:AA125))</f>
        <v>257.09999999999997</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198146.81936406379</v>
      </c>
      <c r="Z142" s="291">
        <f>SUMPRODUCT(L22:L125,Z22:Z125)</f>
        <v>556541.25513608963</v>
      </c>
      <c r="AA142" s="291">
        <f>IF(AA21="kW",SUMPRODUCT(N22:N125,W22:W125,AA22:AA125),SUMPRODUCT(L22:L125,AA22:AA125))</f>
        <v>257.09999999999997</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138490.77746677198</v>
      </c>
      <c r="Z143" s="326">
        <f>SUMPRODUCT(M22:M125,Z22:Z125)</f>
        <v>556541.25513608963</v>
      </c>
      <c r="AA143" s="326">
        <f>IF(AA21="kW",SUMPRODUCT(N22:N125,X22:X125,AA22:AA125),SUMPRODUCT(M22:M125,AA22:AA125))</f>
        <v>257.09999999999997</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581</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90" t="s">
        <v>525</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856" t="s">
        <v>211</v>
      </c>
      <c r="C147" s="858" t="s">
        <v>33</v>
      </c>
      <c r="D147" s="284" t="s">
        <v>421</v>
      </c>
      <c r="E147" s="860" t="s">
        <v>209</v>
      </c>
      <c r="F147" s="861"/>
      <c r="G147" s="861"/>
      <c r="H147" s="861"/>
      <c r="I147" s="861"/>
      <c r="J147" s="861"/>
      <c r="K147" s="861"/>
      <c r="L147" s="861"/>
      <c r="M147" s="862"/>
      <c r="N147" s="866" t="s">
        <v>213</v>
      </c>
      <c r="O147" s="284" t="s">
        <v>422</v>
      </c>
      <c r="P147" s="860" t="s">
        <v>212</v>
      </c>
      <c r="Q147" s="861"/>
      <c r="R147" s="861"/>
      <c r="S147" s="861"/>
      <c r="T147" s="861"/>
      <c r="U147" s="861"/>
      <c r="V147" s="861"/>
      <c r="W147" s="861"/>
      <c r="X147" s="862"/>
      <c r="Y147" s="863" t="s">
        <v>243</v>
      </c>
      <c r="Z147" s="864"/>
      <c r="AA147" s="864"/>
      <c r="AB147" s="864"/>
      <c r="AC147" s="864"/>
      <c r="AD147" s="864"/>
      <c r="AE147" s="864"/>
      <c r="AF147" s="864"/>
      <c r="AG147" s="864"/>
      <c r="AH147" s="864"/>
      <c r="AI147" s="864"/>
      <c r="AJ147" s="864"/>
      <c r="AK147" s="864"/>
      <c r="AL147" s="864"/>
      <c r="AM147" s="865"/>
    </row>
    <row r="148" spans="1:39" ht="60.75" customHeight="1">
      <c r="B148" s="857"/>
      <c r="C148" s="859"/>
      <c r="D148" s="285">
        <v>2012</v>
      </c>
      <c r="E148" s="285">
        <v>2013</v>
      </c>
      <c r="F148" s="285">
        <v>2014</v>
      </c>
      <c r="G148" s="285">
        <v>2015</v>
      </c>
      <c r="H148" s="285">
        <v>2016</v>
      </c>
      <c r="I148" s="285">
        <v>2017</v>
      </c>
      <c r="J148" s="285">
        <v>2018</v>
      </c>
      <c r="K148" s="285">
        <v>2019</v>
      </c>
      <c r="L148" s="285">
        <v>2020</v>
      </c>
      <c r="M148" s="285">
        <v>2021</v>
      </c>
      <c r="N148" s="867"/>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 50 - 4,999 kW</v>
      </c>
      <c r="AB148" s="285" t="str">
        <f>'1.  LRAMVA Summary'!G52</f>
        <v>Street Light</v>
      </c>
      <c r="AC148" s="285" t="str">
        <f>'1.  LRAMVA Summary'!H52</f>
        <v>USL</v>
      </c>
      <c r="AD148" s="285" t="str">
        <f>'1.  LRAMVA Summary'!I52</f>
        <v>Embedded Distributor</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kWh</v>
      </c>
      <c r="AD149" s="291" t="str">
        <f>'1.  LRAMVA Summary'!I53</f>
        <v>kW</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f>'7.  Persistence Report'!AR45</f>
        <v>37883.032441619216</v>
      </c>
      <c r="E150" s="295">
        <f>'7.  Persistence Report'!AS45</f>
        <v>37883.032441619216</v>
      </c>
      <c r="F150" s="295">
        <f>'7.  Persistence Report'!AT45</f>
        <v>37883.032441619216</v>
      </c>
      <c r="G150" s="295">
        <f>'7.  Persistence Report'!AU45</f>
        <v>37575.577276619209</v>
      </c>
      <c r="H150" s="295">
        <f>'7.  Persistence Report'!AV45</f>
        <v>21408.240645692586</v>
      </c>
      <c r="I150" s="295">
        <f>'7.  Persistence Report'!AW45</f>
        <v>0</v>
      </c>
      <c r="J150" s="295">
        <f>'7.  Persistence Report'!AX45</f>
        <v>0</v>
      </c>
      <c r="K150" s="295">
        <f>'7.  Persistence Report'!AY45</f>
        <v>0</v>
      </c>
      <c r="L150" s="295">
        <f>'7.  Persistence Report'!AZ45</f>
        <v>0</v>
      </c>
      <c r="M150" s="295">
        <f>'7.  Persistence Report'!BA45</f>
        <v>0</v>
      </c>
      <c r="N150" s="291"/>
      <c r="O150" s="295">
        <f>'7.  Persistence Report'!M45</f>
        <v>5.7295774927000052</v>
      </c>
      <c r="P150" s="295">
        <f>'7.  Persistence Report'!N45</f>
        <v>5.7295774927000052</v>
      </c>
      <c r="Q150" s="295">
        <f>'7.  Persistence Report'!O45</f>
        <v>5.7295774927000052</v>
      </c>
      <c r="R150" s="295">
        <f>'7.  Persistence Report'!P45</f>
        <v>5.385765756337638</v>
      </c>
      <c r="S150" s="295">
        <f>'7.  Persistence Report'!Q45</f>
        <v>2.8147495574607895</v>
      </c>
      <c r="T150" s="295">
        <f>'7.  Persistence Report'!R45</f>
        <v>0</v>
      </c>
      <c r="U150" s="295">
        <f>'7.  Persistence Report'!S45</f>
        <v>0</v>
      </c>
      <c r="V150" s="295">
        <f>'7.  Persistence Report'!T45</f>
        <v>0</v>
      </c>
      <c r="W150" s="295">
        <f>'7.  Persistence Report'!U45</f>
        <v>0</v>
      </c>
      <c r="X150" s="295">
        <f>'7.  Persistence Report'!V45</f>
        <v>0</v>
      </c>
      <c r="Y150" s="410">
        <v>1</v>
      </c>
      <c r="Z150" s="410"/>
      <c r="AA150" s="410"/>
      <c r="AB150" s="410"/>
      <c r="AC150" s="410"/>
      <c r="AD150" s="410"/>
      <c r="AE150" s="410"/>
      <c r="AF150" s="410"/>
      <c r="AG150" s="410"/>
      <c r="AH150" s="410"/>
      <c r="AI150" s="410"/>
      <c r="AJ150" s="410"/>
      <c r="AK150" s="410"/>
      <c r="AL150" s="410"/>
      <c r="AM150" s="296">
        <f>SUM(Y150:AL150)</f>
        <v>1</v>
      </c>
    </row>
    <row r="151" spans="1:39" ht="15"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1</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5.7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f>'7.  Persistence Report'!AR44</f>
        <v>8696.2832739460046</v>
      </c>
      <c r="E153" s="295">
        <f>'7.  Persistence Report'!AS44</f>
        <v>8696.2832739460046</v>
      </c>
      <c r="F153" s="295">
        <f>'7.  Persistence Report'!AT44</f>
        <v>8696.2832739460046</v>
      </c>
      <c r="G153" s="295">
        <f>'7.  Persistence Report'!AU44</f>
        <v>8691.9503112635011</v>
      </c>
      <c r="H153" s="295">
        <f>'7.  Persistence Report'!AV44</f>
        <v>0</v>
      </c>
      <c r="I153" s="295">
        <f>'7.  Persistence Report'!AW44</f>
        <v>0</v>
      </c>
      <c r="J153" s="295">
        <f>'7.  Persistence Report'!AX44</f>
        <v>0</v>
      </c>
      <c r="K153" s="295">
        <f>'7.  Persistence Report'!AY44</f>
        <v>0</v>
      </c>
      <c r="L153" s="295">
        <f>'7.  Persistence Report'!AZ44</f>
        <v>0</v>
      </c>
      <c r="M153" s="295">
        <f>'7.  Persistence Report'!BA44</f>
        <v>0</v>
      </c>
      <c r="N153" s="291"/>
      <c r="O153" s="295">
        <f>'7.  Persistence Report'!M44</f>
        <v>4.879578468245561</v>
      </c>
      <c r="P153" s="295">
        <f>'7.  Persistence Report'!N44</f>
        <v>4.879578468245561</v>
      </c>
      <c r="Q153" s="295">
        <f>'7.  Persistence Report'!O44</f>
        <v>4.879578468245561</v>
      </c>
      <c r="R153" s="295">
        <f>'7.  Persistence Report'!P44</f>
        <v>4.8747331327526116</v>
      </c>
      <c r="S153" s="295">
        <f>'7.  Persistence Report'!Q44</f>
        <v>0</v>
      </c>
      <c r="T153" s="295">
        <f>'7.  Persistence Report'!R44</f>
        <v>0</v>
      </c>
      <c r="U153" s="295">
        <f>'7.  Persistence Report'!S44</f>
        <v>0</v>
      </c>
      <c r="V153" s="295">
        <f>'7.  Persistence Report'!T44</f>
        <v>0</v>
      </c>
      <c r="W153" s="295">
        <f>'7.  Persistence Report'!U44</f>
        <v>0</v>
      </c>
      <c r="X153" s="295">
        <f>'7.  Persistence Report'!V44</f>
        <v>0</v>
      </c>
      <c r="Y153" s="410">
        <v>1</v>
      </c>
      <c r="Z153" s="410"/>
      <c r="AA153" s="410"/>
      <c r="AB153" s="410"/>
      <c r="AC153" s="410"/>
      <c r="AD153" s="410"/>
      <c r="AE153" s="410"/>
      <c r="AF153" s="410"/>
      <c r="AG153" s="410"/>
      <c r="AH153" s="410"/>
      <c r="AI153" s="410"/>
      <c r="AJ153" s="410"/>
      <c r="AK153" s="410"/>
      <c r="AL153" s="410"/>
      <c r="AM153" s="296">
        <f>SUM(Y153:AL153)</f>
        <v>1</v>
      </c>
    </row>
    <row r="154" spans="1:39" ht="15"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1</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5.7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f>'7.  Persistence Report'!AR48</f>
        <v>79835.504029713469</v>
      </c>
      <c r="E156" s="295">
        <f>'7.  Persistence Report'!AS48</f>
        <v>79835.504029713469</v>
      </c>
      <c r="F156" s="295">
        <f>'7.  Persistence Report'!AT48</f>
        <v>79835.504029713469</v>
      </c>
      <c r="G156" s="295">
        <f>'7.  Persistence Report'!AU48</f>
        <v>79835.504029713469</v>
      </c>
      <c r="H156" s="295">
        <f>'7.  Persistence Report'!AV48</f>
        <v>79835.504029713469</v>
      </c>
      <c r="I156" s="295">
        <f>'7.  Persistence Report'!AW48</f>
        <v>79835.504029713469</v>
      </c>
      <c r="J156" s="295">
        <f>'7.  Persistence Report'!AX48</f>
        <v>79835.504029713469</v>
      </c>
      <c r="K156" s="295">
        <f>'7.  Persistence Report'!AY48</f>
        <v>79835.504029713469</v>
      </c>
      <c r="L156" s="295">
        <f>'7.  Persistence Report'!AZ48</f>
        <v>79835.504029713469</v>
      </c>
      <c r="M156" s="295">
        <f>'7.  Persistence Report'!BA48</f>
        <v>79835.504029713469</v>
      </c>
      <c r="N156" s="291"/>
      <c r="O156" s="295">
        <f>'7.  Persistence Report'!M48</f>
        <v>47.814467127247454</v>
      </c>
      <c r="P156" s="295">
        <f>'7.  Persistence Report'!N48</f>
        <v>47.814467127247454</v>
      </c>
      <c r="Q156" s="295">
        <f>'7.  Persistence Report'!O48</f>
        <v>47.814467127247454</v>
      </c>
      <c r="R156" s="295">
        <f>'7.  Persistence Report'!P48</f>
        <v>47.814467127247454</v>
      </c>
      <c r="S156" s="295">
        <f>'7.  Persistence Report'!Q48</f>
        <v>47.814467127247454</v>
      </c>
      <c r="T156" s="295">
        <f>'7.  Persistence Report'!R48</f>
        <v>47.814467127247454</v>
      </c>
      <c r="U156" s="295">
        <f>'7.  Persistence Report'!S48</f>
        <v>47.814467127247454</v>
      </c>
      <c r="V156" s="295">
        <f>'7.  Persistence Report'!T48</f>
        <v>47.814467127247454</v>
      </c>
      <c r="W156" s="295">
        <f>'7.  Persistence Report'!U48</f>
        <v>47.814467127247454</v>
      </c>
      <c r="X156" s="295">
        <f>'7.  Persistence Report'!V48</f>
        <v>47.814467127247454</v>
      </c>
      <c r="Y156" s="410">
        <v>1</v>
      </c>
      <c r="Z156" s="410"/>
      <c r="AA156" s="410"/>
      <c r="AB156" s="410"/>
      <c r="AC156" s="410"/>
      <c r="AD156" s="410"/>
      <c r="AE156" s="410"/>
      <c r="AF156" s="410"/>
      <c r="AG156" s="410"/>
      <c r="AH156" s="410"/>
      <c r="AI156" s="410"/>
      <c r="AJ156" s="410"/>
      <c r="AK156" s="410"/>
      <c r="AL156" s="410"/>
      <c r="AM156" s="296">
        <f>SUM(Y156:AL156)</f>
        <v>1</v>
      </c>
    </row>
    <row r="157" spans="1:39" ht="15" outlineLevel="1">
      <c r="B157" s="294" t="s">
        <v>244</v>
      </c>
      <c r="C157" s="291" t="s">
        <v>163</v>
      </c>
      <c r="D157" s="295">
        <f>'7.  Persistence Report'!AR65+'7.  Persistence Report'!AR70</f>
        <v>2586.8452446420724</v>
      </c>
      <c r="E157" s="295">
        <f>'7.  Persistence Report'!AS65+'7.  Persistence Report'!AS70</f>
        <v>2586.8452446420724</v>
      </c>
      <c r="F157" s="295">
        <f>'7.  Persistence Report'!AT65+'7.  Persistence Report'!AT70</f>
        <v>2586.8452446420724</v>
      </c>
      <c r="G157" s="295">
        <f>'7.  Persistence Report'!AU65+'7.  Persistence Report'!AU70</f>
        <v>2586.8452446420724</v>
      </c>
      <c r="H157" s="295">
        <f>'7.  Persistence Report'!AV65+'7.  Persistence Report'!AV70</f>
        <v>2586.8452446420724</v>
      </c>
      <c r="I157" s="295">
        <f>'7.  Persistence Report'!AW65+'7.  Persistence Report'!AW70</f>
        <v>2586.8452446420724</v>
      </c>
      <c r="J157" s="295">
        <f>'7.  Persistence Report'!AX65+'7.  Persistence Report'!AX70</f>
        <v>2586.8452446420724</v>
      </c>
      <c r="K157" s="295">
        <f>'7.  Persistence Report'!AY65+'7.  Persistence Report'!AY70</f>
        <v>2586.8452446420724</v>
      </c>
      <c r="L157" s="295">
        <f>'7.  Persistence Report'!AZ65+'7.  Persistence Report'!AZ70</f>
        <v>2586.8452446420724</v>
      </c>
      <c r="M157" s="295">
        <f>'7.  Persistence Report'!BA65+'7.  Persistence Report'!BA70</f>
        <v>2586.8452446420724</v>
      </c>
      <c r="N157" s="468"/>
      <c r="O157" s="295">
        <f>'7.  Persistence Report'!M65+'7.  Persistence Report'!M70</f>
        <v>1.3745973891348862</v>
      </c>
      <c r="P157" s="295">
        <f>'7.  Persistence Report'!N65+'7.  Persistence Report'!N70</f>
        <v>1.3745973891348862</v>
      </c>
      <c r="Q157" s="295">
        <f>'7.  Persistence Report'!O65+'7.  Persistence Report'!O70</f>
        <v>1.3745973891348862</v>
      </c>
      <c r="R157" s="295">
        <f>'7.  Persistence Report'!P65+'7.  Persistence Report'!P70</f>
        <v>1.3745973891348862</v>
      </c>
      <c r="S157" s="295">
        <f>'7.  Persistence Report'!Q65+'7.  Persistence Report'!Q70</f>
        <v>1.3745973891348862</v>
      </c>
      <c r="T157" s="295">
        <f>'7.  Persistence Report'!R65+'7.  Persistence Report'!R70</f>
        <v>1.3745973891348862</v>
      </c>
      <c r="U157" s="295">
        <f>'7.  Persistence Report'!S65+'7.  Persistence Report'!S70</f>
        <v>1.3745973891348862</v>
      </c>
      <c r="V157" s="295">
        <f>'7.  Persistence Report'!T65+'7.  Persistence Report'!T70</f>
        <v>1.3745973891348862</v>
      </c>
      <c r="W157" s="295">
        <f>'7.  Persistence Report'!U65+'7.  Persistence Report'!U70</f>
        <v>1.3745973891348862</v>
      </c>
      <c r="X157" s="295">
        <f>'7.  Persistence Report'!V65+'7.  Persistence Report'!V70</f>
        <v>1.3745973891348862</v>
      </c>
      <c r="Y157" s="411">
        <f>Y156</f>
        <v>1</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f>'7.  Persistence Report'!AR47</f>
        <v>3186.7739096980999</v>
      </c>
      <c r="E159" s="295">
        <f>'7.  Persistence Report'!AS47</f>
        <v>3186.7739096980999</v>
      </c>
      <c r="F159" s="295">
        <f>'7.  Persistence Report'!AT47</f>
        <v>3186.7739096980999</v>
      </c>
      <c r="G159" s="295">
        <f>'7.  Persistence Report'!AU47</f>
        <v>3186.7739096980999</v>
      </c>
      <c r="H159" s="295">
        <f>'7.  Persistence Report'!AV47</f>
        <v>3138.8974455484476</v>
      </c>
      <c r="I159" s="295">
        <f>'7.  Persistence Report'!AW47</f>
        <v>3138.8974455484476</v>
      </c>
      <c r="J159" s="295">
        <f>'7.  Persistence Report'!AX47</f>
        <v>1478.0961366830195</v>
      </c>
      <c r="K159" s="295">
        <f>'7.  Persistence Report'!AY47</f>
        <v>1469.9384792976141</v>
      </c>
      <c r="L159" s="295">
        <f>'7.  Persistence Report'!AZ47</f>
        <v>1469.9384792976141</v>
      </c>
      <c r="M159" s="295">
        <f>'7.  Persistence Report'!BA47</f>
        <v>1469.9384792976141</v>
      </c>
      <c r="N159" s="291"/>
      <c r="O159" s="295">
        <f>'7.  Persistence Report'!M47</f>
        <v>0.52516187932928149</v>
      </c>
      <c r="P159" s="295">
        <f>'7.  Persistence Report'!N47</f>
        <v>0.52516187932928149</v>
      </c>
      <c r="Q159" s="295">
        <f>'7.  Persistence Report'!O47</f>
        <v>0.52516187932928149</v>
      </c>
      <c r="R159" s="295">
        <f>'7.  Persistence Report'!P47</f>
        <v>0.52516187932928149</v>
      </c>
      <c r="S159" s="295">
        <f>'7.  Persistence Report'!Q47</f>
        <v>0.52294505779865275</v>
      </c>
      <c r="T159" s="295">
        <f>'7.  Persistence Report'!R47</f>
        <v>0.52294505779865275</v>
      </c>
      <c r="U159" s="295">
        <f>'7.  Persistence Report'!S47</f>
        <v>0.44604505766328528</v>
      </c>
      <c r="V159" s="295">
        <f>'7.  Persistence Report'!T47</f>
        <v>0.44511381823572754</v>
      </c>
      <c r="W159" s="295">
        <f>'7.  Persistence Report'!U47</f>
        <v>0.44511381823572754</v>
      </c>
      <c r="X159" s="295">
        <f>'7.  Persistence Report'!V47</f>
        <v>0.44511381823572754</v>
      </c>
      <c r="Y159" s="410">
        <v>1</v>
      </c>
      <c r="Z159" s="410"/>
      <c r="AA159" s="410"/>
      <c r="AB159" s="410"/>
      <c r="AC159" s="410"/>
      <c r="AD159" s="410"/>
      <c r="AE159" s="410"/>
      <c r="AF159" s="410"/>
      <c r="AG159" s="410"/>
      <c r="AH159" s="410"/>
      <c r="AI159" s="410"/>
      <c r="AJ159" s="410"/>
      <c r="AK159" s="410"/>
      <c r="AL159" s="410"/>
      <c r="AM159" s="296">
        <f>SUM(Y159:AL159)</f>
        <v>1</v>
      </c>
    </row>
    <row r="160" spans="1:39" ht="15"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1</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f>'7.  Persistence Report'!AR46</f>
        <v>61040.643446799695</v>
      </c>
      <c r="E162" s="295">
        <f>'7.  Persistence Report'!AS46</f>
        <v>61040.643446799695</v>
      </c>
      <c r="F162" s="295">
        <f>'7.  Persistence Report'!AT46</f>
        <v>61040.643446799695</v>
      </c>
      <c r="G162" s="295">
        <f>'7.  Persistence Report'!AU46</f>
        <v>61040.643446799695</v>
      </c>
      <c r="H162" s="295">
        <f>'7.  Persistence Report'!AV46</f>
        <v>54871.65532435276</v>
      </c>
      <c r="I162" s="295">
        <f>'7.  Persistence Report'!AW46</f>
        <v>44618.493325495721</v>
      </c>
      <c r="J162" s="295">
        <f>'7.  Persistence Report'!AX46</f>
        <v>30434.388676335999</v>
      </c>
      <c r="K162" s="295">
        <f>'7.  Persistence Report'!AY46</f>
        <v>30371.125210898164</v>
      </c>
      <c r="L162" s="295">
        <f>'7.  Persistence Report'!AZ46</f>
        <v>30371.125210898164</v>
      </c>
      <c r="M162" s="295">
        <f>'7.  Persistence Report'!BA46</f>
        <v>15426.220457809699</v>
      </c>
      <c r="N162" s="291"/>
      <c r="O162" s="295">
        <f>'7.  Persistence Report'!M46</f>
        <v>3.3731698983251817</v>
      </c>
      <c r="P162" s="295">
        <f>'7.  Persistence Report'!N46</f>
        <v>3.3731698983251817</v>
      </c>
      <c r="Q162" s="295">
        <f>'7.  Persistence Report'!O46</f>
        <v>3.3731698983251817</v>
      </c>
      <c r="R162" s="295">
        <f>'7.  Persistence Report'!P46</f>
        <v>3.3731698983251817</v>
      </c>
      <c r="S162" s="295">
        <f>'7.  Persistence Report'!Q46</f>
        <v>3.0875275491056162</v>
      </c>
      <c r="T162" s="295">
        <f>'7.  Persistence Report'!R46</f>
        <v>2.6127759006747193</v>
      </c>
      <c r="U162" s="295">
        <f>'7.  Persistence Report'!S46</f>
        <v>1.956010010849162</v>
      </c>
      <c r="V162" s="295">
        <f>'7.  Persistence Report'!T46</f>
        <v>1.9487881540640211</v>
      </c>
      <c r="W162" s="295">
        <f>'7.  Persistence Report'!U46</f>
        <v>1.9487881540640211</v>
      </c>
      <c r="X162" s="295">
        <f>'7.  Persistence Report'!V46</f>
        <v>1.2567949749879075</v>
      </c>
      <c r="Y162" s="410">
        <v>1</v>
      </c>
      <c r="Z162" s="410"/>
      <c r="AA162" s="410"/>
      <c r="AB162" s="410"/>
      <c r="AC162" s="410"/>
      <c r="AD162" s="410"/>
      <c r="AE162" s="410"/>
      <c r="AF162" s="410"/>
      <c r="AG162" s="410"/>
      <c r="AH162" s="410"/>
      <c r="AI162" s="410"/>
      <c r="AJ162" s="410"/>
      <c r="AK162" s="410"/>
      <c r="AL162" s="410"/>
      <c r="AM162" s="296">
        <f>SUM(Y162:AL162)</f>
        <v>1</v>
      </c>
    </row>
    <row r="163" spans="1:39" ht="15"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1</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f>'7.  Persistence Report'!AR42</f>
        <v>633895.82072705775</v>
      </c>
      <c r="E178" s="295">
        <f>'7.  Persistence Report'!AS42</f>
        <v>633895.82072705775</v>
      </c>
      <c r="F178" s="295">
        <f>'7.  Persistence Report'!AT42</f>
        <v>633895.82072705775</v>
      </c>
      <c r="G178" s="295">
        <f>'7.  Persistence Report'!AU42</f>
        <v>633895.82072705775</v>
      </c>
      <c r="H178" s="295">
        <f>'7.  Persistence Report'!AV42</f>
        <v>633895.82072705775</v>
      </c>
      <c r="I178" s="295">
        <f>'7.  Persistence Report'!AW42</f>
        <v>597224.88668735768</v>
      </c>
      <c r="J178" s="295">
        <f>'7.  Persistence Report'!AX42</f>
        <v>597032.61114852596</v>
      </c>
      <c r="K178" s="295">
        <f>'7.  Persistence Report'!AY42</f>
        <v>597032.61114852596</v>
      </c>
      <c r="L178" s="295">
        <f>'7.  Persistence Report'!AZ42</f>
        <v>592515.86589625408</v>
      </c>
      <c r="M178" s="295">
        <f>'7.  Persistence Report'!BA42</f>
        <v>589923.05376245151</v>
      </c>
      <c r="N178" s="295">
        <v>12</v>
      </c>
      <c r="O178" s="295">
        <f>'7.  Persistence Report'!M42</f>
        <v>129.27555456060517</v>
      </c>
      <c r="P178" s="295">
        <f>'7.  Persistence Report'!N42</f>
        <v>129.27555456060517</v>
      </c>
      <c r="Q178" s="295">
        <f>'7.  Persistence Report'!O42</f>
        <v>129.27555456060517</v>
      </c>
      <c r="R178" s="295">
        <f>'7.  Persistence Report'!P42</f>
        <v>129.27555456060517</v>
      </c>
      <c r="S178" s="295">
        <f>'7.  Persistence Report'!Q42</f>
        <v>129.27555456060517</v>
      </c>
      <c r="T178" s="295">
        <f>'7.  Persistence Report'!R42</f>
        <v>118.18944956934764</v>
      </c>
      <c r="U178" s="295">
        <f>'7.  Persistence Report'!S42</f>
        <v>118.1298237927617</v>
      </c>
      <c r="V178" s="295">
        <f>'7.  Persistence Report'!T42</f>
        <v>118.1298237927617</v>
      </c>
      <c r="W178" s="295">
        <f>'7.  Persistence Report'!U42</f>
        <v>116.84919800718873</v>
      </c>
      <c r="X178" s="295">
        <f>'7.  Persistence Report'!V42</f>
        <v>116.04515169969298</v>
      </c>
      <c r="Y178" s="467"/>
      <c r="Z178" s="469">
        <f>'3-a.  Rate Class Allocations'!G27</f>
        <v>6.4052938541225915E-2</v>
      </c>
      <c r="AA178" s="469">
        <f>'3-a.  Rate Class Allocations'!H27</f>
        <v>0.93594706145877427</v>
      </c>
      <c r="AB178" s="415"/>
      <c r="AC178" s="415"/>
      <c r="AD178" s="415"/>
      <c r="AE178" s="415"/>
      <c r="AF178" s="415"/>
      <c r="AG178" s="415"/>
      <c r="AH178" s="415"/>
      <c r="AI178" s="415"/>
      <c r="AJ178" s="415"/>
      <c r="AK178" s="415"/>
      <c r="AL178" s="415"/>
      <c r="AM178" s="296">
        <f>SUM(Y178:AL178)</f>
        <v>1.0000000000000002</v>
      </c>
    </row>
    <row r="179" spans="1:39" ht="15" outlineLevel="1">
      <c r="B179" s="294" t="s">
        <v>244</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6.4052938541225915E-2</v>
      </c>
      <c r="AA179" s="411">
        <f t="shared" ref="AA179:AL179" si="46">AA178</f>
        <v>0.93594706145877427</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295">
        <f>'7.  Persistence Report'!AR41</f>
        <v>123968.39219651751</v>
      </c>
      <c r="E181" s="295">
        <f>'7.  Persistence Report'!AS41</f>
        <v>123968.39219651754</v>
      </c>
      <c r="F181" s="295">
        <f>'7.  Persistence Report'!AT41</f>
        <v>123968.39219651754</v>
      </c>
      <c r="G181" s="295">
        <f>'7.  Persistence Report'!AU41</f>
        <v>93169.133517483977</v>
      </c>
      <c r="H181" s="295">
        <f>'7.  Persistence Report'!AV41</f>
        <v>93169.133517483977</v>
      </c>
      <c r="I181" s="295">
        <f>'7.  Persistence Report'!AW41</f>
        <v>16691.179508701152</v>
      </c>
      <c r="J181" s="295">
        <f>'7.  Persistence Report'!AX41</f>
        <v>16691.179508701152</v>
      </c>
      <c r="K181" s="295">
        <f>'7.  Persistence Report'!AY41</f>
        <v>16548.931644745899</v>
      </c>
      <c r="L181" s="295">
        <f>'7.  Persistence Report'!AZ41</f>
        <v>16548.931644745899</v>
      </c>
      <c r="M181" s="295">
        <f>'7.  Persistence Report'!BA41</f>
        <v>16548.931644745899</v>
      </c>
      <c r="N181" s="295">
        <v>12</v>
      </c>
      <c r="O181" s="295">
        <f>'7.  Persistence Report'!M41</f>
        <v>33.625511361085657</v>
      </c>
      <c r="P181" s="295">
        <f>'7.  Persistence Report'!N41</f>
        <v>33.625511361085657</v>
      </c>
      <c r="Q181" s="295">
        <f>'7.  Persistence Report'!O41</f>
        <v>33.625511361085657</v>
      </c>
      <c r="R181" s="295">
        <f>'7.  Persistence Report'!P41</f>
        <v>26.277695559492606</v>
      </c>
      <c r="S181" s="295">
        <f>'7.  Persistence Report'!Q41</f>
        <v>26.277695559492606</v>
      </c>
      <c r="T181" s="295">
        <f>'7.  Persistence Report'!R41</f>
        <v>4.4738857252281639</v>
      </c>
      <c r="U181" s="295">
        <f>'7.  Persistence Report'!S41</f>
        <v>4.4738857252281639</v>
      </c>
      <c r="V181" s="295">
        <f>'7.  Persistence Report'!T41</f>
        <v>4.3314413213409635</v>
      </c>
      <c r="W181" s="295">
        <f>'7.  Persistence Report'!U41</f>
        <v>4.3314413213409635</v>
      </c>
      <c r="X181" s="295">
        <f>'7.  Persistence Report'!V41</f>
        <v>4.3314413213409635</v>
      </c>
      <c r="Y181" s="415"/>
      <c r="Z181" s="469">
        <f>'3-a.  Rate Class Allocations'!G26</f>
        <v>1</v>
      </c>
      <c r="AA181" s="469">
        <f>'3-a.  Rate Class Allocations'!H26</f>
        <v>0</v>
      </c>
      <c r="AB181" s="415"/>
      <c r="AC181" s="415"/>
      <c r="AD181" s="415"/>
      <c r="AE181" s="415"/>
      <c r="AF181" s="415"/>
      <c r="AG181" s="415"/>
      <c r="AH181" s="415"/>
      <c r="AI181" s="415"/>
      <c r="AJ181" s="415"/>
      <c r="AK181" s="415"/>
      <c r="AL181" s="415"/>
      <c r="AM181" s="296">
        <f>SUM(Y181:AL181)</f>
        <v>1</v>
      </c>
    </row>
    <row r="182" spans="1:39" ht="15" outlineLevel="1">
      <c r="B182" s="294" t="s">
        <v>244</v>
      </c>
      <c r="C182" s="291" t="s">
        <v>163</v>
      </c>
      <c r="D182" s="295">
        <f>'7.  Persistence Report'!AR58</f>
        <v>887.78982288500004</v>
      </c>
      <c r="E182" s="295">
        <f>'7.  Persistence Report'!AS58</f>
        <v>887.78982288500004</v>
      </c>
      <c r="F182" s="295">
        <f>'7.  Persistence Report'!AT58</f>
        <v>887.78982288500004</v>
      </c>
      <c r="G182" s="295">
        <f>'7.  Persistence Report'!AU58</f>
        <v>887.78982288500004</v>
      </c>
      <c r="H182" s="295">
        <f>'7.  Persistence Report'!AV58</f>
        <v>887.78982288500004</v>
      </c>
      <c r="I182" s="295">
        <f>'7.  Persistence Report'!AW58</f>
        <v>237.92767253299999</v>
      </c>
      <c r="J182" s="295">
        <f>'7.  Persistence Report'!AX58</f>
        <v>237.92767253299999</v>
      </c>
      <c r="K182" s="295">
        <f>'7.  Persistence Report'!AY58</f>
        <v>237.92767253299999</v>
      </c>
      <c r="L182" s="295">
        <f>'7.  Persistence Report'!AZ58</f>
        <v>237.92767253299999</v>
      </c>
      <c r="M182" s="295">
        <f>'7.  Persistence Report'!BA58</f>
        <v>237.92767253299999</v>
      </c>
      <c r="N182" s="295">
        <f>N181</f>
        <v>12</v>
      </c>
      <c r="O182" s="765">
        <f>'7.  Persistence Report'!M58</f>
        <v>0.24433126300000002</v>
      </c>
      <c r="P182" s="765">
        <f>'7.  Persistence Report'!N58</f>
        <v>0.24433126300000002</v>
      </c>
      <c r="Q182" s="765">
        <f>'7.  Persistence Report'!O58</f>
        <v>0.24433126300000002</v>
      </c>
      <c r="R182" s="765">
        <f>'7.  Persistence Report'!P58</f>
        <v>0.24433126300000002</v>
      </c>
      <c r="S182" s="765">
        <f>'7.  Persistence Report'!Q58</f>
        <v>0.24433126300000002</v>
      </c>
      <c r="T182" s="765">
        <f>'7.  Persistence Report'!R58</f>
        <v>6.5480779000000003E-2</v>
      </c>
      <c r="U182" s="765">
        <f>'7.  Persistence Report'!S58</f>
        <v>6.5480779000000003E-2</v>
      </c>
      <c r="V182" s="765">
        <f>'7.  Persistence Report'!T58</f>
        <v>6.5480779000000003E-2</v>
      </c>
      <c r="W182" s="765">
        <f>'7.  Persistence Report'!U58</f>
        <v>6.5480779000000003E-2</v>
      </c>
      <c r="X182" s="765">
        <f>'7.  Persistence Report'!V58</f>
        <v>6.5480779000000003E-2</v>
      </c>
      <c r="Y182" s="411">
        <f>Y181</f>
        <v>0</v>
      </c>
      <c r="Z182" s="411">
        <f>Z181</f>
        <v>1</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f>'7.  Persistence Report'!AR43</f>
        <v>50352.508925126152</v>
      </c>
      <c r="E190" s="295">
        <f>'7.  Persistence Report'!AS43</f>
        <v>50352.508925126152</v>
      </c>
      <c r="F190" s="295">
        <f>'7.  Persistence Report'!AT43</f>
        <v>50352.508925126152</v>
      </c>
      <c r="G190" s="295">
        <f>'7.  Persistence Report'!AU43</f>
        <v>50352.508925126152</v>
      </c>
      <c r="H190" s="295">
        <f>'7.  Persistence Report'!AV43</f>
        <v>0</v>
      </c>
      <c r="I190" s="295">
        <f>'7.  Persistence Report'!AW43</f>
        <v>0</v>
      </c>
      <c r="J190" s="295">
        <f>'7.  Persistence Report'!AX43</f>
        <v>0</v>
      </c>
      <c r="K190" s="295">
        <f>'7.  Persistence Report'!AY43</f>
        <v>0</v>
      </c>
      <c r="L190" s="295">
        <f>'7.  Persistence Report'!AZ43</f>
        <v>0</v>
      </c>
      <c r="M190" s="295">
        <f>'7.  Persistence Report'!BA43</f>
        <v>0</v>
      </c>
      <c r="N190" s="295">
        <v>12</v>
      </c>
      <c r="O190" s="295">
        <f>'7.  Persistence Report'!M43</f>
        <v>10.354349259129565</v>
      </c>
      <c r="P190" s="295">
        <f>'7.  Persistence Report'!N43</f>
        <v>10.354349259129565</v>
      </c>
      <c r="Q190" s="295">
        <f>'7.  Persistence Report'!O43</f>
        <v>10.354349259129565</v>
      </c>
      <c r="R190" s="295">
        <f>'7.  Persistence Report'!P43</f>
        <v>10.354349259129565</v>
      </c>
      <c r="S190" s="295">
        <f>'7.  Persistence Report'!Q43</f>
        <v>0</v>
      </c>
      <c r="T190" s="295">
        <f>'7.  Persistence Report'!R43</f>
        <v>0</v>
      </c>
      <c r="U190" s="295">
        <f>'7.  Persistence Report'!S43</f>
        <v>0</v>
      </c>
      <c r="V190" s="295">
        <f>'7.  Persistence Report'!T43</f>
        <v>0</v>
      </c>
      <c r="W190" s="295">
        <f>'7.  Persistence Report'!U43</f>
        <v>0</v>
      </c>
      <c r="X190" s="295">
        <f>'7.  Persistence Report'!V43</f>
        <v>0</v>
      </c>
      <c r="Y190" s="415"/>
      <c r="Z190" s="415">
        <f>'3-a.  Rate Class Allocations'!G28</f>
        <v>1</v>
      </c>
      <c r="AA190" s="415">
        <f>'3-a.  Rate Class Allocations'!H28</f>
        <v>0</v>
      </c>
      <c r="AB190" s="415"/>
      <c r="AC190" s="415"/>
      <c r="AD190" s="415"/>
      <c r="AE190" s="415"/>
      <c r="AF190" s="415"/>
      <c r="AG190" s="415"/>
      <c r="AH190" s="415"/>
      <c r="AI190" s="415"/>
      <c r="AJ190" s="415"/>
      <c r="AK190" s="415"/>
      <c r="AL190" s="415"/>
      <c r="AM190" s="296">
        <f>SUM(Y190:AL190)</f>
        <v>1</v>
      </c>
    </row>
    <row r="191" spans="1:39" ht="15" outlineLevel="1">
      <c r="B191" s="294" t="s">
        <v>244</v>
      </c>
      <c r="C191" s="291" t="s">
        <v>163</v>
      </c>
      <c r="D191" s="295">
        <f>'7.  Persistence Report'!AR72</f>
        <v>1708.1195250000001</v>
      </c>
      <c r="E191" s="295">
        <f>'7.  Persistence Report'!AS72</f>
        <v>1708.1195250000001</v>
      </c>
      <c r="F191" s="295">
        <f>'7.  Persistence Report'!AT72</f>
        <v>1708.1195250000001</v>
      </c>
      <c r="G191" s="295">
        <f>'7.  Persistence Report'!AU72</f>
        <v>1708.1195250000001</v>
      </c>
      <c r="H191" s="295">
        <f>'7.  Persistence Report'!AV72</f>
        <v>0</v>
      </c>
      <c r="I191" s="295">
        <f>'7.  Persistence Report'!AW72</f>
        <v>0</v>
      </c>
      <c r="J191" s="295">
        <f>'7.  Persistence Report'!AX72</f>
        <v>0</v>
      </c>
      <c r="K191" s="295">
        <f>'7.  Persistence Report'!AY72</f>
        <v>0</v>
      </c>
      <c r="L191" s="295">
        <f>'7.  Persistence Report'!AZ72</f>
        <v>0</v>
      </c>
      <c r="M191" s="295">
        <f>'7.  Persistence Report'!BA72</f>
        <v>0</v>
      </c>
      <c r="N191" s="295">
        <f>N190</f>
        <v>12</v>
      </c>
      <c r="O191" s="765">
        <f>'7.  Persistence Report'!M72</f>
        <v>0.34493254499999998</v>
      </c>
      <c r="P191" s="765">
        <f>'7.  Persistence Report'!N72</f>
        <v>0.34493254499999998</v>
      </c>
      <c r="Q191" s="765">
        <f>'7.  Persistence Report'!O72</f>
        <v>0.34493254499999998</v>
      </c>
      <c r="R191" s="765">
        <f>'7.  Persistence Report'!P72</f>
        <v>0.34493254499999998</v>
      </c>
      <c r="S191" s="765">
        <f>'7.  Persistence Report'!Q72</f>
        <v>0</v>
      </c>
      <c r="T191" s="765">
        <f>'7.  Persistence Report'!R72</f>
        <v>0</v>
      </c>
      <c r="U191" s="765">
        <f>'7.  Persistence Report'!S72</f>
        <v>0</v>
      </c>
      <c r="V191" s="765">
        <f>'7.  Persistence Report'!T72</f>
        <v>0</v>
      </c>
      <c r="W191" s="765">
        <f>'7.  Persistence Report'!U72</f>
        <v>0</v>
      </c>
      <c r="X191" s="765">
        <f>'7.  Persistence Report'!V72</f>
        <v>0</v>
      </c>
      <c r="Y191" s="411">
        <f>Y190</f>
        <v>0</v>
      </c>
      <c r="Z191" s="411">
        <f>Z190</f>
        <v>1</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485</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486</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 outlineLevel="1">
      <c r="B220" s="294" t="s">
        <v>244</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0</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10"/>
      <c r="B222" s="288" t="s">
        <v>487</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f>'7.  Persistence Report'!AU50</f>
        <v>249.52278976495649</v>
      </c>
      <c r="E233" s="295">
        <f>'7.  Persistence Report'!AV50</f>
        <v>249.52278976495649</v>
      </c>
      <c r="F233" s="295">
        <f>'7.  Persistence Report'!AW50</f>
        <v>249.52278976495649</v>
      </c>
      <c r="G233" s="295">
        <f>'7.  Persistence Report'!AX50</f>
        <v>249.52278976495649</v>
      </c>
      <c r="H233" s="295">
        <f>'7.  Persistence Report'!AY50</f>
        <v>249.52278976495649</v>
      </c>
      <c r="I233" s="295">
        <f>'7.  Persistence Report'!AZ50</f>
        <v>249.52278976495649</v>
      </c>
      <c r="J233" s="295">
        <f>'7.  Persistence Report'!BA50</f>
        <v>249.52278976495649</v>
      </c>
      <c r="K233" s="295">
        <f>'7.  Persistence Report'!BB50</f>
        <v>249.52278976495649</v>
      </c>
      <c r="L233" s="295">
        <f>'7.  Persistence Report'!BC50</f>
        <v>249.52278976495649</v>
      </c>
      <c r="M233" s="295">
        <f>'7.  Persistence Report'!BD50</f>
        <v>0</v>
      </c>
      <c r="N233" s="295">
        <v>12</v>
      </c>
      <c r="O233" s="295">
        <f>'7.  Persistence Report'!M50</f>
        <v>0.25754897302612006</v>
      </c>
      <c r="P233" s="295">
        <f>'7.  Persistence Report'!N50</f>
        <v>0.25754897302612006</v>
      </c>
      <c r="Q233" s="295">
        <f>'7.  Persistence Report'!O50</f>
        <v>0.25754897302612006</v>
      </c>
      <c r="R233" s="295">
        <f>'7.  Persistence Report'!P50</f>
        <v>0.25754897302612006</v>
      </c>
      <c r="S233" s="295">
        <f>'7.  Persistence Report'!Q50</f>
        <v>0.25754897302612006</v>
      </c>
      <c r="T233" s="295">
        <f>'7.  Persistence Report'!R50</f>
        <v>0.25754897302612006</v>
      </c>
      <c r="U233" s="295">
        <f>'7.  Persistence Report'!S50</f>
        <v>0.25754897302612006</v>
      </c>
      <c r="V233" s="295">
        <f>'7.  Persistence Report'!T50</f>
        <v>0.25754897302612006</v>
      </c>
      <c r="W233" s="295">
        <f>'7.  Persistence Report'!U50</f>
        <v>0.25754897302612006</v>
      </c>
      <c r="X233" s="295">
        <f>'7.  Persistence Report'!V50</f>
        <v>0.25754897302612006</v>
      </c>
      <c r="Y233" s="426"/>
      <c r="Z233" s="415">
        <f>'3-a.  Rate Class Allocations'!G29</f>
        <v>1</v>
      </c>
      <c r="AA233" s="415">
        <f>'3-a.  Rate Class Allocations'!H29</f>
        <v>0</v>
      </c>
      <c r="AB233" s="415"/>
      <c r="AC233" s="415"/>
      <c r="AD233" s="415"/>
      <c r="AE233" s="415"/>
      <c r="AF233" s="415"/>
      <c r="AG233" s="415"/>
      <c r="AH233" s="415"/>
      <c r="AI233" s="415"/>
      <c r="AJ233" s="415"/>
      <c r="AK233" s="415"/>
      <c r="AL233" s="415"/>
      <c r="AM233" s="296">
        <f>SUM(Y233:AL233)</f>
        <v>1</v>
      </c>
    </row>
    <row r="234" spans="1:39" ht="1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1</v>
      </c>
      <c r="AA234" s="411">
        <f t="shared" ref="AA234:AL234" si="63">AA233</f>
        <v>0</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5"/>
    </row>
    <row r="235" spans="1:39" ht="15.7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488</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9"/>
      <c r="B245" s="288" t="s">
        <v>489</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490</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491</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492</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245</v>
      </c>
      <c r="C255" s="329"/>
      <c r="D255" s="329">
        <f>SUM(D150:D253)</f>
        <v>1004291.2363327699</v>
      </c>
      <c r="E255" s="329"/>
      <c r="F255" s="329"/>
      <c r="G255" s="329"/>
      <c r="H255" s="329"/>
      <c r="I255" s="329"/>
      <c r="J255" s="329"/>
      <c r="K255" s="329"/>
      <c r="L255" s="329"/>
      <c r="M255" s="329"/>
      <c r="N255" s="329"/>
      <c r="O255" s="329">
        <f>SUM(O150:O253)</f>
        <v>237.79878021682893</v>
      </c>
      <c r="P255" s="329"/>
      <c r="Q255" s="329"/>
      <c r="R255" s="329"/>
      <c r="S255" s="329"/>
      <c r="T255" s="329"/>
      <c r="U255" s="329"/>
      <c r="V255" s="329"/>
      <c r="W255" s="329"/>
      <c r="X255" s="329"/>
      <c r="Y255" s="329">
        <f>IF(Y149="kWh",SUMPRODUCT(D150:D253,Y150:Y253))</f>
        <v>193229.08234641855</v>
      </c>
      <c r="Z255" s="329">
        <f>IF(Z149="kWh",SUMPRODUCT(D150:D253,Z150:Z253))</f>
        <v>217769.22330586382</v>
      </c>
      <c r="AA255" s="329">
        <f>IF(AA149="kW",SUMPRODUCT(N150:N253,O150:O253,AA150:AA253),SUMPRODUCT(D150:D253,AA150:AA253))</f>
        <v>1451.9409049134222</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1.1599999999999999E-2</v>
      </c>
      <c r="Z258" s="341">
        <f>HLOOKUP(Z$20,'3.  Distribution Rates'!$C$122:$P$133,4,FALSE)</f>
        <v>1.2500000000000001E-2</v>
      </c>
      <c r="AA258" s="341">
        <f>HLOOKUP(AA$20,'3.  Distribution Rates'!$C$122:$P$133,4,FALSE)</f>
        <v>1.6936</v>
      </c>
      <c r="AB258" s="341">
        <f>HLOOKUP(AB$20,'3.  Distribution Rates'!$C$122:$P$133,4,FALSE)</f>
        <v>4.3468999999999998</v>
      </c>
      <c r="AC258" s="341">
        <f>HLOOKUP(AC$20,'3.  Distribution Rates'!$C$122:$P$133,4,FALSE)</f>
        <v>1.11E-2</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3381.6779619143545</v>
      </c>
      <c r="Z259" s="378">
        <f t="shared" si="70"/>
        <v>7809.8366207777353</v>
      </c>
      <c r="AA259" s="378">
        <f t="shared" si="70"/>
        <v>435.42455999999993</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9">
        <f>SUM(Y259:AL259)</f>
        <v>11626.939142692088</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2241.4573552184552</v>
      </c>
      <c r="Z260" s="378">
        <f t="shared" si="71"/>
        <v>2722.1152913232982</v>
      </c>
      <c r="AA260" s="379">
        <f t="shared" si="71"/>
        <v>2459.0071165613717</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9">
        <f>SUM(Y260:AL260)</f>
        <v>7422.5797631031255</v>
      </c>
    </row>
    <row r="261" spans="1:41" s="380" customFormat="1" ht="15.75">
      <c r="A261" s="511"/>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5623.1353171328101</v>
      </c>
      <c r="Z261" s="346">
        <f t="shared" ref="Z261:AE261" si="73">SUM(Z259:Z260)</f>
        <v>10531.951912101034</v>
      </c>
      <c r="AA261" s="346">
        <f t="shared" si="73"/>
        <v>2894.4316765613717</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19049.518905795216</v>
      </c>
    </row>
    <row r="262" spans="1:41" s="380" customFormat="1" ht="15.75">
      <c r="A262" s="511"/>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75">
      <c r="A263" s="511"/>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19049.518905795216</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193229.08234641855</v>
      </c>
      <c r="Z265" s="291">
        <f>SUMPRODUCT(E150:E253,Z150:Z253)</f>
        <v>217769.22330586382</v>
      </c>
      <c r="AA265" s="291">
        <f>IF(AA149="kW",SUMPRODUCT(N150:N253,P150:P253,AA150:AA253),SUMPRODUCT(E150:E253,AA150:AA253))</f>
        <v>1451.9409049134222</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193229.08234641855</v>
      </c>
      <c r="Z266" s="291">
        <f>SUMPRODUCT(F150:F253,Z150:Z253)</f>
        <v>217769.22330586382</v>
      </c>
      <c r="AA266" s="291">
        <f>IF(AA149="kW",SUMPRODUCT(N150:N253,Q150:Q253,AA150:AA253),SUMPRODUCT(F150:F253,AA150:AA253))</f>
        <v>1451.9409049134222</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192917.29421873603</v>
      </c>
      <c r="Z267" s="291">
        <f>SUMPRODUCT(G150:G253,Z150:Z253)</f>
        <v>186969.96462683027</v>
      </c>
      <c r="AA267" s="291">
        <f>IF(AA149="kW",SUMPRODUCT(N150:N253,R150:R253,AA150:AA253),SUMPRODUCT(G150:G253,AA150:AA253))</f>
        <v>1451.9409049134222</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161841.14268994931</v>
      </c>
      <c r="Z268" s="291">
        <f>SUMPRODUCT(H150:H253,Z150:Z253)</f>
        <v>134909.33617670412</v>
      </c>
      <c r="AA268" s="291">
        <f>IF(AA149="kW",SUMPRODUCT(N150:N253,S150:S253,AA150:AA253),SUMPRODUCT(H150:H253,AA150:AA253))</f>
        <v>1451.9409049134222</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130179.7400453997</v>
      </c>
      <c r="Z269" s="291">
        <f>SUMPRODUCT(I150:I253,Z150:Z253)</f>
        <v>55432.638933275033</v>
      </c>
      <c r="AA269" s="291">
        <f>IF(AA149="kW",SUMPRODUCT(N150:N253,T150:T253,AA150:AA253),SUMPRODUCT(I150:I253,AA150:AA253))</f>
        <v>1327.4288162383311</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114334.83408737456</v>
      </c>
      <c r="Z270" s="291">
        <f>SUMPRODUCT(J150:J253,Z150:Z253)</f>
        <v>55420.323120003268</v>
      </c>
      <c r="AA270" s="291">
        <f>IF(AA149="kW",SUMPRODUCT(N150:N253,U150:U253,AA150:AA253),SUMPRODUCT(J150:J253,AA150:AA253))</f>
        <v>1326.7591373937371</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114263.41296455133</v>
      </c>
      <c r="Z271" s="291">
        <f>SUMPRODUCT(K150:K253,Z150:Z253)</f>
        <v>55278.07525604801</v>
      </c>
      <c r="AA271" s="291">
        <f>IF(AA149="kW",SUMPRODUCT(N150:N253,V150:V253,AA150:AA253),SUMPRODUCT(K150:K253,AA150:AA253))</f>
        <v>1326.7591373937371</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114263.41296455133</v>
      </c>
      <c r="Z272" s="326">
        <f>SUMPRODUCT(L150:L253,Z150:Z253)</f>
        <v>54988.764449997871</v>
      </c>
      <c r="AA272" s="326">
        <f>IF(AA149="kW",SUMPRODUCT(N150:N253,W150:W253,AA150:AA253),SUMPRODUCT(L150:L253,AA150:AA253))</f>
        <v>1312.3759621037129</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581</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92" t="s">
        <v>525</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856" t="s">
        <v>211</v>
      </c>
      <c r="C276" s="858" t="s">
        <v>33</v>
      </c>
      <c r="D276" s="284" t="s">
        <v>421</v>
      </c>
      <c r="E276" s="860" t="s">
        <v>209</v>
      </c>
      <c r="F276" s="861"/>
      <c r="G276" s="861"/>
      <c r="H276" s="861"/>
      <c r="I276" s="861"/>
      <c r="J276" s="861"/>
      <c r="K276" s="861"/>
      <c r="L276" s="861"/>
      <c r="M276" s="862"/>
      <c r="N276" s="866" t="s">
        <v>213</v>
      </c>
      <c r="O276" s="284" t="s">
        <v>422</v>
      </c>
      <c r="P276" s="860" t="s">
        <v>212</v>
      </c>
      <c r="Q276" s="861"/>
      <c r="R276" s="861"/>
      <c r="S276" s="861"/>
      <c r="T276" s="861"/>
      <c r="U276" s="861"/>
      <c r="V276" s="861"/>
      <c r="W276" s="861"/>
      <c r="X276" s="862"/>
      <c r="Y276" s="863" t="s">
        <v>243</v>
      </c>
      <c r="Z276" s="864"/>
      <c r="AA276" s="864"/>
      <c r="AB276" s="864"/>
      <c r="AC276" s="864"/>
      <c r="AD276" s="864"/>
      <c r="AE276" s="864"/>
      <c r="AF276" s="864"/>
      <c r="AG276" s="864"/>
      <c r="AH276" s="864"/>
      <c r="AI276" s="864"/>
      <c r="AJ276" s="864"/>
      <c r="AK276" s="864"/>
      <c r="AL276" s="864"/>
      <c r="AM276" s="865"/>
    </row>
    <row r="277" spans="1:39" ht="60.75" customHeight="1">
      <c r="B277" s="857"/>
      <c r="C277" s="859"/>
      <c r="D277" s="285">
        <v>2013</v>
      </c>
      <c r="E277" s="285">
        <v>2014</v>
      </c>
      <c r="F277" s="285">
        <v>2015</v>
      </c>
      <c r="G277" s="285">
        <v>2016</v>
      </c>
      <c r="H277" s="285">
        <v>2017</v>
      </c>
      <c r="I277" s="285">
        <v>2018</v>
      </c>
      <c r="J277" s="285">
        <v>2019</v>
      </c>
      <c r="K277" s="285">
        <v>2020</v>
      </c>
      <c r="L277" s="285">
        <v>2021</v>
      </c>
      <c r="M277" s="285">
        <v>2022</v>
      </c>
      <c r="N277" s="867"/>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 50 - 4,999 kW</v>
      </c>
      <c r="AB277" s="285" t="str">
        <f>'1.  LRAMVA Summary'!G52</f>
        <v>Street Light</v>
      </c>
      <c r="AC277" s="285" t="str">
        <f>'1.  LRAMVA Summary'!H52</f>
        <v>USL</v>
      </c>
      <c r="AD277" s="285" t="str">
        <f>'1.  LRAMVA Summary'!I52</f>
        <v>Embedded Distributor</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kWh</v>
      </c>
      <c r="AD278" s="291" t="str">
        <f>'1.  LRAMVA Summary'!I53</f>
        <v>kW</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f>'7.  Persistence Report'!AS62+'7.  Persistence Report'!AS69</f>
        <v>13729.214819870298</v>
      </c>
      <c r="E279" s="295">
        <f>'7.  Persistence Report'!AT62+'7.  Persistence Report'!AT69</f>
        <v>13729.214819870298</v>
      </c>
      <c r="F279" s="295">
        <f>'7.  Persistence Report'!AU62+'7.  Persistence Report'!AU69</f>
        <v>13729.214819870298</v>
      </c>
      <c r="G279" s="295">
        <f>'7.  Persistence Report'!AV62+'7.  Persistence Report'!AV69</f>
        <v>13729.214819870298</v>
      </c>
      <c r="H279" s="295">
        <f>'7.  Persistence Report'!AW62+'7.  Persistence Report'!AW69</f>
        <v>9504.6735363403623</v>
      </c>
      <c r="I279" s="295">
        <f>'7.  Persistence Report'!AX62+'7.  Persistence Report'!AX69</f>
        <v>0</v>
      </c>
      <c r="J279" s="295">
        <f>'7.  Persistence Report'!AY62+'7.  Persistence Report'!AY69</f>
        <v>0</v>
      </c>
      <c r="K279" s="295">
        <f>'7.  Persistence Report'!AZ62+'7.  Persistence Report'!AZ69</f>
        <v>0</v>
      </c>
      <c r="L279" s="295">
        <f>'7.  Persistence Report'!BA62+'7.  Persistence Report'!BA69</f>
        <v>0</v>
      </c>
      <c r="M279" s="295">
        <f>'7.  Persistence Report'!BB62+'7.  Persistence Report'!BB69</f>
        <v>0</v>
      </c>
      <c r="N279" s="291"/>
      <c r="O279" s="295">
        <f>'7.  Persistence Report'!N62+'7.  Persistence Report'!N69</f>
        <v>1.9803448265408572</v>
      </c>
      <c r="P279" s="295">
        <f>'7.  Persistence Report'!O62+'7.  Persistence Report'!O69</f>
        <v>1.9803448265408572</v>
      </c>
      <c r="Q279" s="295">
        <f>'7.  Persistence Report'!P62+'7.  Persistence Report'!P69</f>
        <v>1.9803448265408572</v>
      </c>
      <c r="R279" s="295">
        <f>'7.  Persistence Report'!Q62+'7.  Persistence Report'!Q69</f>
        <v>1.9803448265408572</v>
      </c>
      <c r="S279" s="295">
        <f>'7.  Persistence Report'!R62+'7.  Persistence Report'!R69</f>
        <v>1.3968904682669931</v>
      </c>
      <c r="T279" s="295">
        <f>'7.  Persistence Report'!S62+'7.  Persistence Report'!S69</f>
        <v>0</v>
      </c>
      <c r="U279" s="295">
        <f>'7.  Persistence Report'!T62+'7.  Persistence Report'!T69</f>
        <v>0</v>
      </c>
      <c r="V279" s="295">
        <f>'7.  Persistence Report'!U62+'7.  Persistence Report'!U69</f>
        <v>0</v>
      </c>
      <c r="W279" s="295">
        <f>'7.  Persistence Report'!V62+'7.  Persistence Report'!V69</f>
        <v>0</v>
      </c>
      <c r="X279" s="295">
        <f>'7.  Persistence Report'!W62+'7.  Persistence Report'!W69</f>
        <v>0</v>
      </c>
      <c r="Y279" s="410">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1</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7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f>'7.  Persistence Report'!AS61</f>
        <v>5911.038047</v>
      </c>
      <c r="E282" s="295">
        <f>'7.  Persistence Report'!AT61</f>
        <v>5911.038047</v>
      </c>
      <c r="F282" s="295">
        <f>'7.  Persistence Report'!AU61</f>
        <v>5911.038047</v>
      </c>
      <c r="G282" s="295">
        <f>'7.  Persistence Report'!AV61</f>
        <v>5911.038047</v>
      </c>
      <c r="H282" s="295">
        <f>'7.  Persistence Report'!AW61</f>
        <v>0</v>
      </c>
      <c r="I282" s="295">
        <f>'7.  Persistence Report'!AX61</f>
        <v>0</v>
      </c>
      <c r="J282" s="295">
        <f>'7.  Persistence Report'!AY61</f>
        <v>0</v>
      </c>
      <c r="K282" s="295">
        <f>'7.  Persistence Report'!AZ61</f>
        <v>0</v>
      </c>
      <c r="L282" s="295">
        <f>'7.  Persistence Report'!BA61</f>
        <v>0</v>
      </c>
      <c r="M282" s="295">
        <f>'7.  Persistence Report'!BB61</f>
        <v>0</v>
      </c>
      <c r="N282" s="291"/>
      <c r="O282" s="295">
        <f>'7.  Persistence Report'!N61</f>
        <v>3.315105585</v>
      </c>
      <c r="P282" s="295">
        <f>'7.  Persistence Report'!O61</f>
        <v>3.315105585</v>
      </c>
      <c r="Q282" s="295">
        <f>'7.  Persistence Report'!P61</f>
        <v>3.315105585</v>
      </c>
      <c r="R282" s="295">
        <f>'7.  Persistence Report'!Q61</f>
        <v>3.315105585</v>
      </c>
      <c r="S282" s="295">
        <f>'7.  Persistence Report'!R61</f>
        <v>0</v>
      </c>
      <c r="T282" s="295">
        <f>'7.  Persistence Report'!S61</f>
        <v>0</v>
      </c>
      <c r="U282" s="295">
        <f>'7.  Persistence Report'!T61</f>
        <v>0</v>
      </c>
      <c r="V282" s="295">
        <f>'7.  Persistence Report'!U61</f>
        <v>0</v>
      </c>
      <c r="W282" s="295">
        <f>'7.  Persistence Report'!V61</f>
        <v>0</v>
      </c>
      <c r="X282" s="295">
        <f>'7.  Persistence Report'!W61</f>
        <v>0</v>
      </c>
      <c r="Y282" s="410">
        <v>1</v>
      </c>
      <c r="Z282" s="410"/>
      <c r="AA282" s="410"/>
      <c r="AB282" s="410"/>
      <c r="AC282" s="410"/>
      <c r="AD282" s="410"/>
      <c r="AE282" s="410"/>
      <c r="AF282" s="410"/>
      <c r="AG282" s="410"/>
      <c r="AH282" s="410"/>
      <c r="AI282" s="410"/>
      <c r="AJ282" s="410"/>
      <c r="AK282" s="410"/>
      <c r="AL282" s="410"/>
      <c r="AM282" s="296">
        <f>SUM(Y282:AL282)</f>
        <v>1</v>
      </c>
    </row>
    <row r="283" spans="1:39" ht="15"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1</v>
      </c>
      <c r="Z283" s="411">
        <f>Z282</f>
        <v>0</v>
      </c>
      <c r="AA283" s="411">
        <f t="shared" ref="AA283:AL283" si="78">AA282</f>
        <v>0</v>
      </c>
      <c r="AB283" s="411">
        <f t="shared" si="78"/>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7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f>'7.  Persistence Report'!AS64</f>
        <v>66990.575928988997</v>
      </c>
      <c r="E285" s="295">
        <f>'7.  Persistence Report'!AT64</f>
        <v>66990.575928988997</v>
      </c>
      <c r="F285" s="295">
        <f>'7.  Persistence Report'!AU64</f>
        <v>66990.575928988997</v>
      </c>
      <c r="G285" s="295">
        <f>'7.  Persistence Report'!AV64</f>
        <v>66990.575928988997</v>
      </c>
      <c r="H285" s="295">
        <f>'7.  Persistence Report'!AW64</f>
        <v>66990.575928988997</v>
      </c>
      <c r="I285" s="295">
        <f>'7.  Persistence Report'!AX64</f>
        <v>66990.575928988997</v>
      </c>
      <c r="J285" s="295">
        <f>'7.  Persistence Report'!AY64</f>
        <v>66990.575928988997</v>
      </c>
      <c r="K285" s="295">
        <f>'7.  Persistence Report'!AZ64</f>
        <v>66990.575928988997</v>
      </c>
      <c r="L285" s="295">
        <f>'7.  Persistence Report'!BA64</f>
        <v>66990.575928988997</v>
      </c>
      <c r="M285" s="295">
        <f>'7.  Persistence Report'!BB64</f>
        <v>66990.575928988997</v>
      </c>
      <c r="N285" s="291"/>
      <c r="O285" s="295">
        <f>'7.  Persistence Report'!N64</f>
        <v>38.877597268999999</v>
      </c>
      <c r="P285" s="295">
        <f>'7.  Persistence Report'!O64</f>
        <v>38.877597268999999</v>
      </c>
      <c r="Q285" s="295">
        <f>'7.  Persistence Report'!P64</f>
        <v>38.877597268999999</v>
      </c>
      <c r="R285" s="295">
        <f>'7.  Persistence Report'!Q64</f>
        <v>38.877597268999999</v>
      </c>
      <c r="S285" s="295">
        <f>'7.  Persistence Report'!R64</f>
        <v>38.877597268999999</v>
      </c>
      <c r="T285" s="295">
        <f>'7.  Persistence Report'!S64</f>
        <v>38.877597268999999</v>
      </c>
      <c r="U285" s="295">
        <f>'7.  Persistence Report'!T64</f>
        <v>38.877597268999999</v>
      </c>
      <c r="V285" s="295">
        <f>'7.  Persistence Report'!U64</f>
        <v>38.877597268999999</v>
      </c>
      <c r="W285" s="295">
        <f>'7.  Persistence Report'!V64</f>
        <v>38.877597268999999</v>
      </c>
      <c r="X285" s="295">
        <f>'7.  Persistence Report'!W64</f>
        <v>38.877597268999999</v>
      </c>
      <c r="Y285" s="410">
        <v>1</v>
      </c>
      <c r="Z285" s="410"/>
      <c r="AA285" s="410"/>
      <c r="AB285" s="410"/>
      <c r="AC285" s="410"/>
      <c r="AD285" s="410"/>
      <c r="AE285" s="410"/>
      <c r="AF285" s="410"/>
      <c r="AG285" s="410"/>
      <c r="AH285" s="410"/>
      <c r="AI285" s="410"/>
      <c r="AJ285" s="410"/>
      <c r="AK285" s="410"/>
      <c r="AL285" s="410"/>
      <c r="AM285" s="296">
        <f>SUM(Y285:AL285)</f>
        <v>1</v>
      </c>
    </row>
    <row r="286" spans="1:39" ht="15" outlineLevel="1">
      <c r="B286" s="294" t="s">
        <v>249</v>
      </c>
      <c r="C286" s="291" t="s">
        <v>163</v>
      </c>
      <c r="D286" s="295">
        <f>'7.  Persistence Report'!AS85</f>
        <v>1257.7989729000001</v>
      </c>
      <c r="E286" s="295">
        <f>'7.  Persistence Report'!AT85</f>
        <v>1257.7989729000001</v>
      </c>
      <c r="F286" s="295">
        <f>'7.  Persistence Report'!AU85</f>
        <v>1257.7989729000001</v>
      </c>
      <c r="G286" s="295">
        <f>'7.  Persistence Report'!AV85</f>
        <v>1257.7989729000001</v>
      </c>
      <c r="H286" s="295">
        <f>'7.  Persistence Report'!AW85</f>
        <v>1257.7989729000001</v>
      </c>
      <c r="I286" s="295">
        <f>'7.  Persistence Report'!AX85</f>
        <v>1257.7989729000001</v>
      </c>
      <c r="J286" s="295">
        <f>'7.  Persistence Report'!AY85</f>
        <v>1257.7989729000001</v>
      </c>
      <c r="K286" s="295">
        <f>'7.  Persistence Report'!AZ85</f>
        <v>1257.7989729000001</v>
      </c>
      <c r="L286" s="295">
        <f>'7.  Persistence Report'!BA85</f>
        <v>1257.7989729000001</v>
      </c>
      <c r="M286" s="295">
        <f>'7.  Persistence Report'!BB85</f>
        <v>1257.7989729000001</v>
      </c>
      <c r="N286" s="468"/>
      <c r="O286" s="295">
        <f>'7.  Persistence Report'!N85</f>
        <v>0.79055738799999997</v>
      </c>
      <c r="P286" s="295">
        <f>'7.  Persistence Report'!O85</f>
        <v>0.79055738799999997</v>
      </c>
      <c r="Q286" s="295">
        <f>'7.  Persistence Report'!P85</f>
        <v>0.79055738799999997</v>
      </c>
      <c r="R286" s="295">
        <f>'7.  Persistence Report'!Q85</f>
        <v>0.79055738799999997</v>
      </c>
      <c r="S286" s="295">
        <f>'7.  Persistence Report'!R85</f>
        <v>0.79055738799999997</v>
      </c>
      <c r="T286" s="295">
        <f>'7.  Persistence Report'!S85</f>
        <v>0.79055738799999997</v>
      </c>
      <c r="U286" s="295">
        <f>'7.  Persistence Report'!T85</f>
        <v>0.79055738799999997</v>
      </c>
      <c r="V286" s="295">
        <f>'7.  Persistence Report'!U85</f>
        <v>0.79055738799999997</v>
      </c>
      <c r="W286" s="295">
        <f>'7.  Persistence Report'!V85</f>
        <v>0.79055738799999997</v>
      </c>
      <c r="X286" s="295">
        <f>'7.  Persistence Report'!W85</f>
        <v>0.79055738799999997</v>
      </c>
      <c r="Y286" s="411">
        <f>Y285</f>
        <v>1</v>
      </c>
      <c r="Z286" s="411">
        <f>Z285</f>
        <v>0</v>
      </c>
      <c r="AA286" s="411">
        <f t="shared" ref="AA286:AL286" si="79">AA285</f>
        <v>0</v>
      </c>
      <c r="AB286" s="411">
        <f t="shared" si="79"/>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f>'7.  Persistence Report'!AS60</f>
        <v>17567.057494744</v>
      </c>
      <c r="E288" s="295">
        <f>'7.  Persistence Report'!AT60</f>
        <v>17567.057494744</v>
      </c>
      <c r="F288" s="295">
        <f>'7.  Persistence Report'!AU60</f>
        <v>16890.095516915</v>
      </c>
      <c r="G288" s="295">
        <f>'7.  Persistence Report'!AV60</f>
        <v>14309.396359901</v>
      </c>
      <c r="H288" s="295">
        <f>'7.  Persistence Report'!AW60</f>
        <v>14309.396359901</v>
      </c>
      <c r="I288" s="295">
        <f>'7.  Persistence Report'!AX60</f>
        <v>14309.396359901</v>
      </c>
      <c r="J288" s="295">
        <f>'7.  Persistence Report'!AY60</f>
        <v>14309.396359901</v>
      </c>
      <c r="K288" s="295">
        <f>'7.  Persistence Report'!AZ60</f>
        <v>14297.470979887999</v>
      </c>
      <c r="L288" s="295">
        <f>'7.  Persistence Report'!BA60</f>
        <v>10396.664550222</v>
      </c>
      <c r="M288" s="295">
        <f>'7.  Persistence Report'!BB60</f>
        <v>10396.664550222</v>
      </c>
      <c r="N288" s="291"/>
      <c r="O288" s="295">
        <f>'7.  Persistence Report'!N60</f>
        <v>1.1773995669999999</v>
      </c>
      <c r="P288" s="295">
        <f>'7.  Persistence Report'!O60</f>
        <v>1.1773995669999999</v>
      </c>
      <c r="Q288" s="295">
        <f>'7.  Persistence Report'!P60</f>
        <v>1.1349017219999999</v>
      </c>
      <c r="R288" s="295">
        <f>'7.  Persistence Report'!Q60</f>
        <v>0.97289239900000002</v>
      </c>
      <c r="S288" s="295">
        <f>'7.  Persistence Report'!R60</f>
        <v>0.97289239900000002</v>
      </c>
      <c r="T288" s="295">
        <f>'7.  Persistence Report'!S60</f>
        <v>0.97289239900000002</v>
      </c>
      <c r="U288" s="295">
        <f>'7.  Persistence Report'!T60</f>
        <v>0.97289239900000002</v>
      </c>
      <c r="V288" s="295">
        <f>'7.  Persistence Report'!U60</f>
        <v>0.97153105500000003</v>
      </c>
      <c r="W288" s="295">
        <f>'7.  Persistence Report'!V60</f>
        <v>0.72664896300000004</v>
      </c>
      <c r="X288" s="295">
        <f>'7.  Persistence Report'!W60</f>
        <v>0.72664896300000004</v>
      </c>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249</v>
      </c>
      <c r="C289" s="291" t="s">
        <v>163</v>
      </c>
      <c r="D289" s="295">
        <f>'7.  Persistence Report'!AS83</f>
        <v>54</v>
      </c>
      <c r="E289" s="295">
        <f>'7.  Persistence Report'!AT83</f>
        <v>54</v>
      </c>
      <c r="F289" s="295">
        <f>'7.  Persistence Report'!AU83</f>
        <v>51</v>
      </c>
      <c r="G289" s="295">
        <f>'7.  Persistence Report'!AV83</f>
        <v>44</v>
      </c>
      <c r="H289" s="295">
        <f>'7.  Persistence Report'!AW83</f>
        <v>44</v>
      </c>
      <c r="I289" s="295">
        <f>'7.  Persistence Report'!AX83</f>
        <v>44</v>
      </c>
      <c r="J289" s="295">
        <f>'7.  Persistence Report'!AY83</f>
        <v>44</v>
      </c>
      <c r="K289" s="295">
        <f>'7.  Persistence Report'!AZ83</f>
        <v>44</v>
      </c>
      <c r="L289" s="295">
        <f>'7.  Persistence Report'!BA83</f>
        <v>37</v>
      </c>
      <c r="M289" s="295">
        <f>'7.  Persistence Report'!BB83</f>
        <v>37</v>
      </c>
      <c r="N289" s="468"/>
      <c r="O289" s="765">
        <f>'7.  Persistence Report'!N83</f>
        <v>4.0000000000000001E-3</v>
      </c>
      <c r="P289" s="765">
        <f>'7.  Persistence Report'!O83</f>
        <v>4.0000000000000001E-3</v>
      </c>
      <c r="Q289" s="765">
        <f>'7.  Persistence Report'!P83</f>
        <v>4.0000000000000001E-3</v>
      </c>
      <c r="R289" s="765">
        <f>'7.  Persistence Report'!Q83</f>
        <v>3.0000000000000001E-3</v>
      </c>
      <c r="S289" s="765">
        <f>'7.  Persistence Report'!R83</f>
        <v>3.0000000000000001E-3</v>
      </c>
      <c r="T289" s="765">
        <f>'7.  Persistence Report'!S83</f>
        <v>3.0000000000000001E-3</v>
      </c>
      <c r="U289" s="765">
        <f>'7.  Persistence Report'!T83</f>
        <v>3.0000000000000001E-3</v>
      </c>
      <c r="V289" s="765">
        <f>'7.  Persistence Report'!U83</f>
        <v>3.0000000000000001E-3</v>
      </c>
      <c r="W289" s="765">
        <f>'7.  Persistence Report'!V83</f>
        <v>3.0000000000000001E-3</v>
      </c>
      <c r="X289" s="765">
        <f>'7.  Persistence Report'!W83</f>
        <v>3.0000000000000001E-3</v>
      </c>
      <c r="Y289" s="411">
        <f>Y288</f>
        <v>1</v>
      </c>
      <c r="Z289" s="411">
        <f>Z288</f>
        <v>0</v>
      </c>
      <c r="AA289" s="411">
        <f t="shared" ref="AA289:AL289" si="80">AA288</f>
        <v>0</v>
      </c>
      <c r="AB289" s="411">
        <f t="shared" si="80"/>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f>'7.  Persistence Report'!AS63</f>
        <v>39156.198184936002</v>
      </c>
      <c r="E291" s="295">
        <f>'7.  Persistence Report'!AT63</f>
        <v>39156.198184936002</v>
      </c>
      <c r="F291" s="295">
        <f>'7.  Persistence Report'!AU63</f>
        <v>36796.942964039998</v>
      </c>
      <c r="G291" s="295">
        <f>'7.  Persistence Report'!AV63</f>
        <v>28745.403746389002</v>
      </c>
      <c r="H291" s="295">
        <f>'7.  Persistence Report'!AW63</f>
        <v>28745.403746389002</v>
      </c>
      <c r="I291" s="295">
        <f>'7.  Persistence Report'!AX63</f>
        <v>28745.403746389002</v>
      </c>
      <c r="J291" s="295">
        <f>'7.  Persistence Report'!AY63</f>
        <v>28745.403746389002</v>
      </c>
      <c r="K291" s="295">
        <f>'7.  Persistence Report'!AZ63</f>
        <v>28711.528753887</v>
      </c>
      <c r="L291" s="295">
        <f>'7.  Persistence Report'!BA63</f>
        <v>24144.727566698999</v>
      </c>
      <c r="M291" s="295">
        <f>'7.  Persistence Report'!BB63</f>
        <v>24144.727566698999</v>
      </c>
      <c r="N291" s="291"/>
      <c r="O291" s="295">
        <f>'7.  Persistence Report'!N63</f>
        <v>2.6977948719999998</v>
      </c>
      <c r="P291" s="295">
        <f>'7.  Persistence Report'!O63</f>
        <v>2.6977948719999998</v>
      </c>
      <c r="Q291" s="295">
        <f>'7.  Persistence Report'!P63</f>
        <v>2.5496872019999999</v>
      </c>
      <c r="R291" s="295">
        <f>'7.  Persistence Report'!Q63</f>
        <v>2.0442333170000002</v>
      </c>
      <c r="S291" s="295">
        <f>'7.  Persistence Report'!R63</f>
        <v>2.0442333170000002</v>
      </c>
      <c r="T291" s="295">
        <f>'7.  Persistence Report'!S63</f>
        <v>2.0442333170000002</v>
      </c>
      <c r="U291" s="295">
        <f>'7.  Persistence Report'!T63</f>
        <v>2.0442333170000002</v>
      </c>
      <c r="V291" s="295">
        <f>'7.  Persistence Report'!U63</f>
        <v>2.0403663079999999</v>
      </c>
      <c r="W291" s="295">
        <f>'7.  Persistence Report'!V63</f>
        <v>1.7536748639999999</v>
      </c>
      <c r="X291" s="295">
        <f>'7.  Persistence Report'!W63</f>
        <v>1.7536748639999999</v>
      </c>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1</v>
      </c>
      <c r="Z292" s="411">
        <f>Z291</f>
        <v>0</v>
      </c>
      <c r="AA292" s="411">
        <f t="shared" ref="AA292:AL292" si="81">AA291</f>
        <v>0</v>
      </c>
      <c r="AB292" s="411">
        <f t="shared" si="81"/>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2">AA294</f>
        <v>0</v>
      </c>
      <c r="AB295" s="411">
        <f t="shared" si="82"/>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3">AA297</f>
        <v>0</v>
      </c>
      <c r="AB298" s="411">
        <f t="shared" si="83"/>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484</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4">AA300</f>
        <v>0</v>
      </c>
      <c r="AB301" s="411">
        <f t="shared" si="84"/>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5">AA303</f>
        <v>0</v>
      </c>
      <c r="AB304" s="411">
        <f t="shared" si="85"/>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295">
        <f>'7.  Persistence Report'!AS57</f>
        <v>882770.99154525995</v>
      </c>
      <c r="E307" s="295">
        <f>'7.  Persistence Report'!AT57</f>
        <v>882770.99154525995</v>
      </c>
      <c r="F307" s="295">
        <f>'7.  Persistence Report'!AU57</f>
        <v>882770.99154525995</v>
      </c>
      <c r="G307" s="295">
        <f>'7.  Persistence Report'!AV57</f>
        <v>882770.99154525995</v>
      </c>
      <c r="H307" s="295">
        <f>'7.  Persistence Report'!AW57</f>
        <v>870478.94714025804</v>
      </c>
      <c r="I307" s="295">
        <f>'7.  Persistence Report'!AX57</f>
        <v>853338.86731519096</v>
      </c>
      <c r="J307" s="295">
        <f>'7.  Persistence Report'!AY57</f>
        <v>853338.86731519096</v>
      </c>
      <c r="K307" s="295">
        <f>'7.  Persistence Report'!AZ57</f>
        <v>844299.36169195396</v>
      </c>
      <c r="L307" s="295">
        <f>'7.  Persistence Report'!BA57</f>
        <v>832052.50358621404</v>
      </c>
      <c r="M307" s="295">
        <f>'7.  Persistence Report'!BB57</f>
        <v>707105.50739288202</v>
      </c>
      <c r="N307" s="295">
        <v>12</v>
      </c>
      <c r="O307" s="295">
        <f>'7.  Persistence Report'!N57</f>
        <v>119.810687633</v>
      </c>
      <c r="P307" s="295">
        <f>'7.  Persistence Report'!O57</f>
        <v>119.810687633</v>
      </c>
      <c r="Q307" s="295">
        <f>'7.  Persistence Report'!P57</f>
        <v>119.810687633</v>
      </c>
      <c r="R307" s="295">
        <f>'7.  Persistence Report'!Q57</f>
        <v>119.810687633</v>
      </c>
      <c r="S307" s="295">
        <f>'7.  Persistence Report'!R57</f>
        <v>115.886966714</v>
      </c>
      <c r="T307" s="295">
        <f>'7.  Persistence Report'!S57</f>
        <v>112.883988973</v>
      </c>
      <c r="U307" s="295">
        <f>'7.  Persistence Report'!T57</f>
        <v>112.883988973</v>
      </c>
      <c r="V307" s="295">
        <f>'7.  Persistence Report'!U57</f>
        <v>112.883988973</v>
      </c>
      <c r="W307" s="295">
        <f>'7.  Persistence Report'!V57</f>
        <v>110.569867855</v>
      </c>
      <c r="X307" s="295">
        <f>'7.  Persistence Report'!W57</f>
        <v>88.678893467999998</v>
      </c>
      <c r="Y307" s="415"/>
      <c r="Z307" s="503">
        <f>'3-a.  Rate Class Allocations'!G32</f>
        <v>0.15109273666005862</v>
      </c>
      <c r="AA307" s="503">
        <f>'3-a.  Rate Class Allocations'!H32</f>
        <v>0.84890726333994138</v>
      </c>
      <c r="AB307" s="503"/>
      <c r="AC307" s="415"/>
      <c r="AD307" s="415"/>
      <c r="AE307" s="415"/>
      <c r="AF307" s="415"/>
      <c r="AG307" s="415"/>
      <c r="AH307" s="415"/>
      <c r="AI307" s="415"/>
      <c r="AJ307" s="415"/>
      <c r="AK307" s="415"/>
      <c r="AL307" s="415"/>
      <c r="AM307" s="296">
        <f>SUM(Y307:AL307)</f>
        <v>1</v>
      </c>
    </row>
    <row r="308" spans="1:39" ht="15" outlineLevel="1">
      <c r="B308" s="294" t="s">
        <v>249</v>
      </c>
      <c r="C308" s="291" t="s">
        <v>163</v>
      </c>
      <c r="D308" s="295">
        <f>'7.  Persistence Report'!AS75</f>
        <v>16934.80256</v>
      </c>
      <c r="E308" s="295">
        <f>'7.  Persistence Report'!AT75</f>
        <v>16934.80256</v>
      </c>
      <c r="F308" s="295">
        <f>'7.  Persistence Report'!AU75</f>
        <v>16934.80256</v>
      </c>
      <c r="G308" s="295">
        <f>'7.  Persistence Report'!AV75</f>
        <v>16934.80256</v>
      </c>
      <c r="H308" s="295">
        <f>'7.  Persistence Report'!AW75</f>
        <v>16934.80256</v>
      </c>
      <c r="I308" s="295">
        <f>'7.  Persistence Report'!AX75</f>
        <v>15917.778329999999</v>
      </c>
      <c r="J308" s="295">
        <f>'7.  Persistence Report'!AY75</f>
        <v>15917.778329999999</v>
      </c>
      <c r="K308" s="295">
        <f>'7.  Persistence Report'!AZ75</f>
        <v>15917.778329999999</v>
      </c>
      <c r="L308" s="295">
        <f>'7.  Persistence Report'!BA75</f>
        <v>15917.778329999999</v>
      </c>
      <c r="M308" s="295">
        <f>'7.  Persistence Report'!BB75</f>
        <v>8503.9200290000008</v>
      </c>
      <c r="N308" s="295">
        <f>N307</f>
        <v>12</v>
      </c>
      <c r="O308" s="295">
        <f>'7.  Persistence Report'!N75</f>
        <v>2.5740025740000001</v>
      </c>
      <c r="P308" s="295">
        <f>'7.  Persistence Report'!O75</f>
        <v>2.5740025740000001</v>
      </c>
      <c r="Q308" s="295">
        <f>'7.  Persistence Report'!P75</f>
        <v>2.5740025740000001</v>
      </c>
      <c r="R308" s="295">
        <f>'7.  Persistence Report'!Q75</f>
        <v>2.5740025740000001</v>
      </c>
      <c r="S308" s="295">
        <f>'7.  Persistence Report'!R75</f>
        <v>2.5740025740000001</v>
      </c>
      <c r="T308" s="295">
        <f>'7.  Persistence Report'!S75</f>
        <v>2.4194201400000002</v>
      </c>
      <c r="U308" s="295">
        <f>'7.  Persistence Report'!T75</f>
        <v>2.4194201400000002</v>
      </c>
      <c r="V308" s="295">
        <f>'7.  Persistence Report'!U75</f>
        <v>2.4194201400000002</v>
      </c>
      <c r="W308" s="295">
        <f>'7.  Persistence Report'!V75</f>
        <v>2.4194201400000002</v>
      </c>
      <c r="X308" s="295">
        <f>'7.  Persistence Report'!W75</f>
        <v>1.2925519480000001</v>
      </c>
      <c r="Y308" s="411">
        <f>Y307</f>
        <v>0</v>
      </c>
      <c r="Z308" s="411">
        <f>Z307</f>
        <v>0.15109273666005862</v>
      </c>
      <c r="AA308" s="411">
        <f t="shared" ref="AA308:AL308" si="86">AA307</f>
        <v>0.84890726333994138</v>
      </c>
      <c r="AB308" s="411">
        <f t="shared" si="86"/>
        <v>0</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295">
        <f>'7.  Persistence Report'!AS59</f>
        <v>187834.72316582</v>
      </c>
      <c r="E310" s="295">
        <f>'7.  Persistence Report'!AT59</f>
        <v>187834.72316582</v>
      </c>
      <c r="F310" s="295">
        <f>'7.  Persistence Report'!AU59</f>
        <v>163853.08325175001</v>
      </c>
      <c r="G310" s="295">
        <f>'7.  Persistence Report'!AV59</f>
        <v>117904.602214296</v>
      </c>
      <c r="H310" s="295">
        <f>'7.  Persistence Report'!AW59</f>
        <v>40973.837364366002</v>
      </c>
      <c r="I310" s="295">
        <f>'7.  Persistence Report'!AX59</f>
        <v>40973.837364366002</v>
      </c>
      <c r="J310" s="295">
        <f>'7.  Persistence Report'!AY59</f>
        <v>40973.837364366002</v>
      </c>
      <c r="K310" s="295">
        <f>'7.  Persistence Report'!AZ59</f>
        <v>40973.837364366002</v>
      </c>
      <c r="L310" s="295">
        <f>'7.  Persistence Report'!BA59</f>
        <v>40973.837364366002</v>
      </c>
      <c r="M310" s="295">
        <f>'7.  Persistence Report'!BB59</f>
        <v>40973.837364366002</v>
      </c>
      <c r="N310" s="295">
        <v>12</v>
      </c>
      <c r="O310" s="295">
        <f>'7.  Persistence Report'!N59</f>
        <v>52.318886319000001</v>
      </c>
      <c r="P310" s="295">
        <f>'7.  Persistence Report'!O59</f>
        <v>52.318886319000001</v>
      </c>
      <c r="Q310" s="295">
        <f>'7.  Persistence Report'!P59</f>
        <v>46.123599056000003</v>
      </c>
      <c r="R310" s="295">
        <f>'7.  Persistence Report'!Q59</f>
        <v>34.144241260999998</v>
      </c>
      <c r="S310" s="295">
        <f>'7.  Persistence Report'!R59</f>
        <v>10.804612437999999</v>
      </c>
      <c r="T310" s="295">
        <f>'7.  Persistence Report'!S59</f>
        <v>10.804612437999999</v>
      </c>
      <c r="U310" s="295">
        <f>'7.  Persistence Report'!T59</f>
        <v>10.804612437999999</v>
      </c>
      <c r="V310" s="295">
        <f>'7.  Persistence Report'!U59</f>
        <v>10.804612437999999</v>
      </c>
      <c r="W310" s="295">
        <f>'7.  Persistence Report'!V59</f>
        <v>10.804612437999999</v>
      </c>
      <c r="X310" s="295">
        <f>'7.  Persistence Report'!W59</f>
        <v>10.804612437999999</v>
      </c>
      <c r="Y310" s="415"/>
      <c r="Z310" s="503">
        <f>'3-a.  Rate Class Allocations'!G31</f>
        <v>1</v>
      </c>
      <c r="AA310" s="503">
        <f>'3-a.  Rate Class Allocations'!H31</f>
        <v>0</v>
      </c>
      <c r="AB310" s="415"/>
      <c r="AC310" s="415"/>
      <c r="AD310" s="415"/>
      <c r="AE310" s="415"/>
      <c r="AF310" s="415"/>
      <c r="AG310" s="415"/>
      <c r="AH310" s="415"/>
      <c r="AI310" s="415"/>
      <c r="AJ310" s="415"/>
      <c r="AK310" s="415"/>
      <c r="AL310" s="415"/>
      <c r="AM310" s="296">
        <f>SUM(Y310:AL310)</f>
        <v>1</v>
      </c>
    </row>
    <row r="311" spans="1:39" ht="1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1</v>
      </c>
      <c r="AA311" s="411">
        <f t="shared" ref="AA311:AL311" si="87">AA310</f>
        <v>0</v>
      </c>
      <c r="AB311" s="411">
        <f t="shared" si="87"/>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88">AA313</f>
        <v>0</v>
      </c>
      <c r="AB314" s="411">
        <f t="shared" si="88"/>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249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89">AA316</f>
        <v>0</v>
      </c>
      <c r="AB317" s="411">
        <f t="shared" si="89"/>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 outlineLevel="1">
      <c r="B320" s="294" t="s">
        <v>249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0">AA319</f>
        <v>0</v>
      </c>
      <c r="AB320" s="411">
        <f t="shared" si="90"/>
        <v>0</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485</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1">AA322</f>
        <v>0</v>
      </c>
      <c r="AB323" s="411">
        <f t="shared" si="91"/>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486</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2">AA325</f>
        <v>0</v>
      </c>
      <c r="AB326" s="411">
        <f t="shared" si="92"/>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3">AA328</f>
        <v>0</v>
      </c>
      <c r="AB329" s="411">
        <f t="shared" si="93"/>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4">AA332</f>
        <v>0</v>
      </c>
      <c r="AB333" s="411">
        <f t="shared" si="94"/>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5">AA335</f>
        <v>0</v>
      </c>
      <c r="AB336" s="411">
        <f t="shared" si="95"/>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f>'3-a.  Rate Class Allocations'!G33</f>
        <v>0</v>
      </c>
      <c r="AA338" s="415">
        <f>'3-a.  Rate Class Allocations'!H33</f>
        <v>1</v>
      </c>
      <c r="AB338" s="415"/>
      <c r="AC338" s="469"/>
      <c r="AD338" s="415"/>
      <c r="AE338" s="415"/>
      <c r="AF338" s="415"/>
      <c r="AG338" s="415"/>
      <c r="AH338" s="415"/>
      <c r="AI338" s="415"/>
      <c r="AJ338" s="415"/>
      <c r="AK338" s="415"/>
      <c r="AL338" s="415"/>
      <c r="AM338" s="296">
        <f>SUM(Y338:AL338)</f>
        <v>1</v>
      </c>
    </row>
    <row r="339" spans="1:39" ht="15" outlineLevel="1">
      <c r="B339" s="294" t="s">
        <v>249</v>
      </c>
      <c r="C339" s="291" t="s">
        <v>163</v>
      </c>
      <c r="D339" s="295">
        <f>'7.  Persistence Report'!AS93</f>
        <v>10467.69231</v>
      </c>
      <c r="E339" s="295">
        <f>'7.  Persistence Report'!AT93</f>
        <v>10467.69231</v>
      </c>
      <c r="F339" s="295">
        <f>'7.  Persistence Report'!AU93</f>
        <v>10467.69231</v>
      </c>
      <c r="G339" s="295">
        <f>'7.  Persistence Report'!AV93</f>
        <v>0</v>
      </c>
      <c r="H339" s="295">
        <f>'7.  Persistence Report'!AW93</f>
        <v>0</v>
      </c>
      <c r="I339" s="295">
        <f>'7.  Persistence Report'!AX93</f>
        <v>0</v>
      </c>
      <c r="J339" s="295">
        <f>'7.  Persistence Report'!AY93</f>
        <v>0</v>
      </c>
      <c r="K339" s="295">
        <f>'7.  Persistence Report'!AZ93</f>
        <v>0</v>
      </c>
      <c r="L339" s="295">
        <f>'7.  Persistence Report'!BA93</f>
        <v>0</v>
      </c>
      <c r="M339" s="295">
        <f>'7.  Persistence Report'!BB93</f>
        <v>0</v>
      </c>
      <c r="N339" s="295">
        <f>N338</f>
        <v>12</v>
      </c>
      <c r="O339" s="765">
        <f>'7.  Persistence Report'!N93</f>
        <v>0.17749799999999999</v>
      </c>
      <c r="P339" s="765">
        <f>'7.  Persistence Report'!O93</f>
        <v>0.17749799999999999</v>
      </c>
      <c r="Q339" s="765">
        <f>'7.  Persistence Report'!P93</f>
        <v>0.17749799999999999</v>
      </c>
      <c r="R339" s="765">
        <f>'7.  Persistence Report'!Q93</f>
        <v>0</v>
      </c>
      <c r="S339" s="765">
        <f>'7.  Persistence Report'!R93</f>
        <v>0</v>
      </c>
      <c r="T339" s="765">
        <f>'7.  Persistence Report'!S93</f>
        <v>0</v>
      </c>
      <c r="U339" s="765">
        <f>'7.  Persistence Report'!T93</f>
        <v>0</v>
      </c>
      <c r="V339" s="765">
        <f>'7.  Persistence Report'!U93</f>
        <v>0</v>
      </c>
      <c r="W339" s="765">
        <f>'7.  Persistence Report'!V93</f>
        <v>0</v>
      </c>
      <c r="X339" s="765">
        <f>'7.  Persistence Report'!W93</f>
        <v>0</v>
      </c>
      <c r="Y339" s="411">
        <f>Y338</f>
        <v>0</v>
      </c>
      <c r="Z339" s="411">
        <f>Z338</f>
        <v>0</v>
      </c>
      <c r="AA339" s="411">
        <f t="shared" ref="AA339:AL339" si="96">AA338</f>
        <v>1</v>
      </c>
      <c r="AB339" s="411">
        <f t="shared" si="96"/>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97">AA341</f>
        <v>0</v>
      </c>
      <c r="AB342" s="411">
        <f t="shared" si="97"/>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98">AA344</f>
        <v>0</v>
      </c>
      <c r="AB345" s="411">
        <f t="shared" si="98"/>
        <v>0</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c r="E348" s="295"/>
      <c r="F348" s="295"/>
      <c r="G348" s="295"/>
      <c r="H348" s="295"/>
      <c r="I348" s="295"/>
      <c r="J348" s="295"/>
      <c r="K348" s="295"/>
      <c r="L348" s="295"/>
      <c r="M348" s="295"/>
      <c r="N348" s="291"/>
      <c r="O348" s="295"/>
      <c r="P348" s="295"/>
      <c r="Q348" s="295"/>
      <c r="R348" s="295"/>
      <c r="S348" s="295"/>
      <c r="T348" s="295"/>
      <c r="U348" s="295"/>
      <c r="V348" s="295"/>
      <c r="W348" s="295"/>
      <c r="X348" s="295"/>
      <c r="Y348" s="470"/>
      <c r="Z348" s="410"/>
      <c r="AA348" s="410"/>
      <c r="AB348" s="410"/>
      <c r="AC348" s="410"/>
      <c r="AD348" s="410"/>
      <c r="AE348" s="410"/>
      <c r="AF348" s="410"/>
      <c r="AG348" s="410"/>
      <c r="AH348" s="410"/>
      <c r="AI348" s="410"/>
      <c r="AJ348" s="410"/>
      <c r="AK348" s="410"/>
      <c r="AL348" s="410"/>
      <c r="AM348" s="296">
        <f>SUM(Y348:AL348)</f>
        <v>0</v>
      </c>
    </row>
    <row r="349" spans="1:39" ht="15" outlineLevel="1">
      <c r="B349" s="294" t="s">
        <v>249</v>
      </c>
      <c r="C349" s="291" t="s">
        <v>163</v>
      </c>
      <c r="D349" s="295"/>
      <c r="E349" s="295"/>
      <c r="F349" s="295"/>
      <c r="G349" s="295"/>
      <c r="H349" s="295"/>
      <c r="I349" s="295"/>
      <c r="J349" s="295"/>
      <c r="K349" s="295"/>
      <c r="L349" s="295"/>
      <c r="M349" s="295"/>
      <c r="N349" s="468"/>
      <c r="O349" s="295"/>
      <c r="P349" s="295"/>
      <c r="Q349" s="295"/>
      <c r="R349" s="295"/>
      <c r="S349" s="295"/>
      <c r="T349" s="295"/>
      <c r="U349" s="295"/>
      <c r="V349" s="295"/>
      <c r="W349" s="295"/>
      <c r="X349" s="295"/>
      <c r="Y349" s="411">
        <f>Y348</f>
        <v>0</v>
      </c>
      <c r="Z349" s="411">
        <f>Z348</f>
        <v>0</v>
      </c>
      <c r="AA349" s="411">
        <f t="shared" ref="AA349:AL349" si="99">AA348</f>
        <v>0</v>
      </c>
      <c r="AB349" s="411">
        <f t="shared" si="99"/>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10"/>
      <c r="B351" s="288" t="s">
        <v>487</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0">AA352</f>
        <v>0</v>
      </c>
      <c r="AB353" s="411">
        <f t="shared" si="100"/>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1">AA355</f>
        <v>0</v>
      </c>
      <c r="AB356" s="411">
        <f t="shared" si="101"/>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2">AA359</f>
        <v>0</v>
      </c>
      <c r="AB360" s="411">
        <f t="shared" si="102"/>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3">AA362</f>
        <v>0</v>
      </c>
      <c r="AB363" s="411">
        <f t="shared" si="103"/>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75"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4">AA365</f>
        <v>0</v>
      </c>
      <c r="AB366" s="411">
        <f t="shared" si="104"/>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5">Z368</f>
        <v>0</v>
      </c>
      <c r="AA369" s="411">
        <f t="shared" si="105"/>
        <v>0</v>
      </c>
      <c r="AB369" s="411">
        <f t="shared" si="105"/>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488</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6">Z371</f>
        <v>0</v>
      </c>
      <c r="AA372" s="411">
        <f t="shared" si="106"/>
        <v>0</v>
      </c>
      <c r="AB372" s="411">
        <f t="shared" si="106"/>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9"/>
      <c r="B374" s="288" t="s">
        <v>489</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490</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07">Z375</f>
        <v>0</v>
      </c>
      <c r="AA376" s="411">
        <f t="shared" si="107"/>
        <v>0</v>
      </c>
      <c r="AB376" s="411">
        <f t="shared" si="107"/>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491</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08">Z378</f>
        <v>0</v>
      </c>
      <c r="AA379" s="411">
        <f t="shared" si="108"/>
        <v>0</v>
      </c>
      <c r="AB379" s="411">
        <f t="shared" si="108"/>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492</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09">Z381</f>
        <v>0</v>
      </c>
      <c r="AA382" s="411">
        <f t="shared" si="109"/>
        <v>0</v>
      </c>
      <c r="AB382" s="411">
        <f t="shared" si="109"/>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250</v>
      </c>
      <c r="C384" s="329"/>
      <c r="D384" s="329">
        <f>SUM(D279:D382)</f>
        <v>1242674.0930295193</v>
      </c>
      <c r="E384" s="329"/>
      <c r="F384" s="329"/>
      <c r="G384" s="329"/>
      <c r="H384" s="329"/>
      <c r="I384" s="329"/>
      <c r="J384" s="329"/>
      <c r="K384" s="329"/>
      <c r="L384" s="329"/>
      <c r="M384" s="329"/>
      <c r="N384" s="329"/>
      <c r="O384" s="329">
        <f>SUM(O279:O382)</f>
        <v>223.72387403354085</v>
      </c>
      <c r="P384" s="329"/>
      <c r="Q384" s="329"/>
      <c r="R384" s="329"/>
      <c r="S384" s="329"/>
      <c r="T384" s="329"/>
      <c r="U384" s="329"/>
      <c r="V384" s="329"/>
      <c r="W384" s="329"/>
      <c r="X384" s="329"/>
      <c r="Y384" s="329">
        <f>IF(Y278="kWh",SUMPRODUCT(D279:D382,Y279:Y382))</f>
        <v>144665.8834484393</v>
      </c>
      <c r="Z384" s="329">
        <f>IF(Z278="kWh",SUMPRODUCT(D279:D382,Z279:Z382))</f>
        <v>323773.73378609499</v>
      </c>
      <c r="AA384" s="329">
        <f>IF(AA278="kW",SUMPRODUCT(N279:N382,O279:O382,AA279:AA382),SUMPRODUCT(D279:D382,AA279:AA382))</f>
        <v>1248.8490052599707</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1.17E-2</v>
      </c>
      <c r="Z387" s="341">
        <f>HLOOKUP(Z$20,'3.  Distribution Rates'!$C$122:$P$133,5,FALSE)</f>
        <v>1.2699999999999999E-2</v>
      </c>
      <c r="AA387" s="341">
        <f>HLOOKUP(AA$20,'3.  Distribution Rates'!$C$122:$P$133,5,FALSE)</f>
        <v>1.7153</v>
      </c>
      <c r="AB387" s="341">
        <f>HLOOKUP(AB$20,'3.  Distribution Rates'!$C$122:$P$133,5,FALSE)</f>
        <v>4.7760999999999996</v>
      </c>
      <c r="AC387" s="341">
        <f>HLOOKUP(AC$20,'3.  Distribution Rates'!$C$122:$P$133,5,FALSE)</f>
        <v>1.12E-2</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3410.830358137754</v>
      </c>
      <c r="Z388" s="378">
        <f t="shared" si="110"/>
        <v>7934.7940067101781</v>
      </c>
      <c r="AA388" s="378">
        <f t="shared" si="110"/>
        <v>441.00362999999993</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9">
        <f>SUM(Y388:AL388)</f>
        <v>11786.627994847931</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2260.7802634530972</v>
      </c>
      <c r="Z389" s="378">
        <f t="shared" si="111"/>
        <v>2765.6691359844704</v>
      </c>
      <c r="AA389" s="378">
        <f t="shared" si="111"/>
        <v>2490.5142341979931</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9">
        <f>SUM(Y389:AL389)</f>
        <v>7516.9636336355616</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1692.5908363467399</v>
      </c>
      <c r="Z390" s="378">
        <f t="shared" ref="Z390:AE390" si="112">Z384*Z387</f>
        <v>4111.9264190834065</v>
      </c>
      <c r="AA390" s="378">
        <f t="shared" si="112"/>
        <v>2142.1506987224279</v>
      </c>
      <c r="AB390" s="378">
        <f t="shared" si="112"/>
        <v>0</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9">
        <f>SUM(Y390:AL390)</f>
        <v>7946.6679541525737</v>
      </c>
    </row>
    <row r="391" spans="1:41" s="380" customFormat="1" ht="15.75">
      <c r="A391" s="511"/>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7364.2014579375909</v>
      </c>
      <c r="Z391" s="346">
        <f>SUM(Z388:Z390)</f>
        <v>14812.389561778054</v>
      </c>
      <c r="AA391" s="346">
        <f t="shared" ref="AA391:AE391" si="114">SUM(AA388:AA390)</f>
        <v>5073.6685629204203</v>
      </c>
      <c r="AB391" s="346">
        <f t="shared" si="114"/>
        <v>0</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27250.259582636067</v>
      </c>
    </row>
    <row r="392" spans="1:41" s="380" customFormat="1" ht="15.75">
      <c r="A392" s="511"/>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0</v>
      </c>
      <c r="Z392" s="347">
        <f t="shared" si="116"/>
        <v>0</v>
      </c>
      <c r="AA392" s="347">
        <f t="shared" si="116"/>
        <v>0</v>
      </c>
      <c r="AB392" s="347">
        <f t="shared" si="116"/>
        <v>0</v>
      </c>
      <c r="AC392" s="347">
        <f t="shared" si="116"/>
        <v>0</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0</v>
      </c>
    </row>
    <row r="393" spans="1:41" ht="15.75" customHeight="1">
      <c r="A393" s="511"/>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27250.259582636067</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144665.8834484393</v>
      </c>
      <c r="Z395" s="291">
        <f>SUMPRODUCT(E279:E382,Z279:Z382)</f>
        <v>323773.73378609499</v>
      </c>
      <c r="AA395" s="291">
        <f>IF(AA278="kW",SUMPRODUCT(N279:N382,P279:P382,AA279:AA382),SUMPRODUCT(E279:E382,AA279:AA382))</f>
        <v>1248.8490052599707</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141626.6662497143</v>
      </c>
      <c r="Z396" s="291">
        <f>SUMPRODUCT(F279:F382,Z279:Z382)</f>
        <v>299792.09387202503</v>
      </c>
      <c r="AA396" s="291">
        <f>IF(AA278="kW",SUMPRODUCT(N279:N382,Q279:Q382,AA279:AA382),SUMPRODUCT(F279:F382,AA279:AA382))</f>
        <v>1248.8490052599707</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130987.4278750493</v>
      </c>
      <c r="Z397" s="291">
        <f>SUMPRODUCT(G279:G382,Z279:Z382)</f>
        <v>253843.61283457099</v>
      </c>
      <c r="AA397" s="291">
        <f>IF(AA278="kW",SUMPRODUCT(N279:N382,R279:R382,AA279:AA382),SUMPRODUCT(G279:G382,AA279:AA382))</f>
        <v>1246.7190292599707</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120851.84854451935</v>
      </c>
      <c r="Z398" s="291">
        <f>SUMPRODUCT(H279:H382,Z279:Z382)</f>
        <v>175055.60935634229</v>
      </c>
      <c r="AA398" s="291">
        <f>IF(AA278="kW",SUMPRODUCT(N279:N382,S279:S382,AA279:AA382),SUMPRODUCT(H279:H382,AA279:AA382))</f>
        <v>1206.7485270104751</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111347.17500817899</v>
      </c>
      <c r="Z399" s="291">
        <f>SUMPRODUCT(I279:I382,Z279:Z382)</f>
        <v>172312.20281484071</v>
      </c>
      <c r="AA399" s="291">
        <f>IF(AA278="kW",SUMPRODUCT(N279:N382,T279:T382,AA279:AA382),SUMPRODUCT(I279:I382,AA279:AA382))</f>
        <v>1174.5828178065899</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111347.17500817899</v>
      </c>
      <c r="Z400" s="291">
        <f>SUMPRODUCT(J279:J382,Z279:Z382)</f>
        <v>172312.20281484071</v>
      </c>
      <c r="AA400" s="291">
        <f>IF(AA278="kW",SUMPRODUCT(N279:N382,U279:U382,AA279:AA382),SUMPRODUCT(J279:J382,AA279:AA382))</f>
        <v>1174.5828178065899</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111301.374635664</v>
      </c>
      <c r="Z401" s="326">
        <f>SUMPRODUCT(K279:K382,Z279:Z382)</f>
        <v>170946.39917217186</v>
      </c>
      <c r="AA401" s="326">
        <f>IF(AA278="kW",SUMPRODUCT(N279:N382,V279:V382,AA279:AA382),SUMPRODUCT(K279:K382,AA279:AA382))</f>
        <v>1174.5828178065899</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581</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258</v>
      </c>
      <c r="C404" s="281"/>
      <c r="D404" s="590" t="s">
        <v>520</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856" t="s">
        <v>211</v>
      </c>
      <c r="C405" s="858" t="s">
        <v>33</v>
      </c>
      <c r="D405" s="284" t="s">
        <v>421</v>
      </c>
      <c r="E405" s="860" t="s">
        <v>209</v>
      </c>
      <c r="F405" s="861"/>
      <c r="G405" s="861"/>
      <c r="H405" s="861"/>
      <c r="I405" s="861"/>
      <c r="J405" s="861"/>
      <c r="K405" s="861"/>
      <c r="L405" s="861"/>
      <c r="M405" s="862"/>
      <c r="N405" s="866" t="s">
        <v>213</v>
      </c>
      <c r="O405" s="284" t="s">
        <v>422</v>
      </c>
      <c r="P405" s="860" t="s">
        <v>212</v>
      </c>
      <c r="Q405" s="861"/>
      <c r="R405" s="861"/>
      <c r="S405" s="861"/>
      <c r="T405" s="861"/>
      <c r="U405" s="861"/>
      <c r="V405" s="861"/>
      <c r="W405" s="861"/>
      <c r="X405" s="862"/>
      <c r="Y405" s="863" t="s">
        <v>243</v>
      </c>
      <c r="Z405" s="864"/>
      <c r="AA405" s="864"/>
      <c r="AB405" s="864"/>
      <c r="AC405" s="864"/>
      <c r="AD405" s="864"/>
      <c r="AE405" s="864"/>
      <c r="AF405" s="864"/>
      <c r="AG405" s="864"/>
      <c r="AH405" s="864"/>
      <c r="AI405" s="864"/>
      <c r="AJ405" s="864"/>
      <c r="AK405" s="864"/>
      <c r="AL405" s="864"/>
      <c r="AM405" s="865"/>
    </row>
    <row r="406" spans="1:40" ht="45.75" customHeight="1">
      <c r="B406" s="857"/>
      <c r="C406" s="859"/>
      <c r="D406" s="285">
        <v>2014</v>
      </c>
      <c r="E406" s="285">
        <v>2015</v>
      </c>
      <c r="F406" s="285">
        <v>2016</v>
      </c>
      <c r="G406" s="285">
        <v>2017</v>
      </c>
      <c r="H406" s="285">
        <v>2018</v>
      </c>
      <c r="I406" s="285">
        <v>2019</v>
      </c>
      <c r="J406" s="285">
        <v>2020</v>
      </c>
      <c r="K406" s="285">
        <v>2021</v>
      </c>
      <c r="L406" s="285">
        <v>2022</v>
      </c>
      <c r="M406" s="285">
        <v>2023</v>
      </c>
      <c r="N406" s="867"/>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 50 - 4,999 kW</v>
      </c>
      <c r="AB406" s="285" t="str">
        <f>'1.  LRAMVA Summary'!G52</f>
        <v>Street Light</v>
      </c>
      <c r="AC406" s="285" t="str">
        <f>'1.  LRAMVA Summary'!H52</f>
        <v>USL</v>
      </c>
      <c r="AD406" s="285" t="str">
        <f>'1.  LRAMVA Summary'!I52</f>
        <v>Embedded Distributor</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kWh</v>
      </c>
      <c r="AD407" s="291" t="str">
        <f>'1.  LRAMVA Summary'!I53</f>
        <v>kW</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f>'7.  Persistence Report'!AT78+'7.  Persistence Report'!AT79+'7.  Persistence Report'!AT80+'7.  Persistence Report'!AT81</f>
        <v>12736.119126666748</v>
      </c>
      <c r="E408" s="295">
        <f>'7.  Persistence Report'!AU78+'7.  Persistence Report'!AU79+'7.  Persistence Report'!AU80+'7.  Persistence Report'!AU81</f>
        <v>12736.119126666748</v>
      </c>
      <c r="F408" s="295">
        <f>'7.  Persistence Report'!AV78+'7.  Persistence Report'!AV79+'7.  Persistence Report'!AV80+'7.  Persistence Report'!AV81</f>
        <v>12736.119126666748</v>
      </c>
      <c r="G408" s="295">
        <f>'7.  Persistence Report'!AW78+'7.  Persistence Report'!AW79+'7.  Persistence Report'!AW80+'7.  Persistence Report'!AW81</f>
        <v>12527.303033466749</v>
      </c>
      <c r="H408" s="295">
        <f>'7.  Persistence Report'!AX78+'7.  Persistence Report'!AX79+'7.  Persistence Report'!AX80+'7.  Persistence Report'!AX81</f>
        <v>8173.4093079970035</v>
      </c>
      <c r="I408" s="295">
        <f>'7.  Persistence Report'!AY78+'7.  Persistence Report'!AY79+'7.  Persistence Report'!AY80+'7.  Persistence Report'!AY81</f>
        <v>0</v>
      </c>
      <c r="J408" s="295">
        <f>'7.  Persistence Report'!AZ78+'7.  Persistence Report'!AZ79+'7.  Persistence Report'!AZ80+'7.  Persistence Report'!AZ81</f>
        <v>0</v>
      </c>
      <c r="K408" s="295">
        <f>'7.  Persistence Report'!BA78+'7.  Persistence Report'!BA79+'7.  Persistence Report'!BA80+'7.  Persistence Report'!BA81</f>
        <v>0</v>
      </c>
      <c r="L408" s="295">
        <f>'7.  Persistence Report'!BB78+'7.  Persistence Report'!BB79+'7.  Persistence Report'!BB80+'7.  Persistence Report'!BB81</f>
        <v>0</v>
      </c>
      <c r="M408" s="295">
        <f>'7.  Persistence Report'!BC78+'7.  Persistence Report'!BC79+'7.  Persistence Report'!BC80+'7.  Persistence Report'!BC81</f>
        <v>0</v>
      </c>
      <c r="N408" s="291"/>
      <c r="O408" s="295">
        <f>'7.  Persistence Report'!O78+'7.  Persistence Report'!O79+'7.  Persistence Report'!O80+'7.  Persistence Report'!O81</f>
        <v>2.1694304153191313</v>
      </c>
      <c r="P408" s="295">
        <f>'7.  Persistence Report'!P78+'7.  Persistence Report'!P79+'7.  Persistence Report'!P80+'7.  Persistence Report'!P81</f>
        <v>2.1694304153191313</v>
      </c>
      <c r="Q408" s="295">
        <f>'7.  Persistence Report'!Q78+'7.  Persistence Report'!Q79+'7.  Persistence Report'!Q80+'7.  Persistence Report'!Q81</f>
        <v>2.1694304153191313</v>
      </c>
      <c r="R408" s="295">
        <f>'7.  Persistence Report'!R78+'7.  Persistence Report'!R79+'7.  Persistence Report'!R80+'7.  Persistence Report'!R81</f>
        <v>1.9359218203191313</v>
      </c>
      <c r="S408" s="295">
        <f>'7.  Persistence Report'!S78+'7.  Persistence Report'!S79+'7.  Persistence Report'!S80+'7.  Persistence Report'!S81</f>
        <v>1.2011981729057852</v>
      </c>
      <c r="T408" s="295">
        <f>'7.  Persistence Report'!T78+'7.  Persistence Report'!T79+'7.  Persistence Report'!T80+'7.  Persistence Report'!T81</f>
        <v>0</v>
      </c>
      <c r="U408" s="295">
        <f>'7.  Persistence Report'!U78+'7.  Persistence Report'!U79+'7.  Persistence Report'!U80+'7.  Persistence Report'!U81</f>
        <v>0</v>
      </c>
      <c r="V408" s="295">
        <f>'7.  Persistence Report'!V78+'7.  Persistence Report'!V79+'7.  Persistence Report'!V80+'7.  Persistence Report'!V81</f>
        <v>0</v>
      </c>
      <c r="W408" s="295">
        <f>'7.  Persistence Report'!W78+'7.  Persistence Report'!W79+'7.  Persistence Report'!W80+'7.  Persistence Report'!W81</f>
        <v>0</v>
      </c>
      <c r="X408" s="295">
        <f>'7.  Persistence Report'!X78+'7.  Persistence Report'!X79+'7.  Persistence Report'!X80+'7.  Persistence Report'!X81</f>
        <v>0</v>
      </c>
      <c r="Y408" s="470">
        <v>1</v>
      </c>
      <c r="Z408" s="410"/>
      <c r="AA408" s="410"/>
      <c r="AB408" s="410"/>
      <c r="AC408" s="410"/>
      <c r="AD408" s="410"/>
      <c r="AE408" s="410"/>
      <c r="AF408" s="410"/>
      <c r="AG408" s="410"/>
      <c r="AH408" s="410"/>
      <c r="AI408" s="410"/>
      <c r="AJ408" s="410"/>
      <c r="AK408" s="410"/>
      <c r="AL408" s="410"/>
      <c r="AM408" s="296">
        <f>SUM(Y408:AL408)</f>
        <v>1</v>
      </c>
    </row>
    <row r="409" spans="1:40" ht="15"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1</v>
      </c>
      <c r="Z409" s="411">
        <f>Z408</f>
        <v>0</v>
      </c>
      <c r="AA409" s="411">
        <f t="shared" ref="AA409:AL409" si="118">AA408</f>
        <v>0</v>
      </c>
      <c r="AB409" s="411">
        <f t="shared" si="118"/>
        <v>0</v>
      </c>
      <c r="AC409" s="411">
        <f t="shared" si="118"/>
        <v>0</v>
      </c>
      <c r="AD409" s="411">
        <f t="shared" si="118"/>
        <v>0</v>
      </c>
      <c r="AE409" s="411">
        <f t="shared" si="118"/>
        <v>0</v>
      </c>
      <c r="AF409" s="411">
        <f t="shared" si="118"/>
        <v>0</v>
      </c>
      <c r="AG409" s="411">
        <f t="shared" si="118"/>
        <v>0</v>
      </c>
      <c r="AH409" s="411">
        <f t="shared" si="118"/>
        <v>0</v>
      </c>
      <c r="AI409" s="411">
        <f t="shared" si="118"/>
        <v>0</v>
      </c>
      <c r="AJ409" s="411">
        <f t="shared" si="118"/>
        <v>0</v>
      </c>
      <c r="AK409" s="411">
        <f t="shared" si="118"/>
        <v>0</v>
      </c>
      <c r="AL409" s="411">
        <f t="shared" si="118"/>
        <v>0</v>
      </c>
      <c r="AM409" s="297"/>
    </row>
    <row r="410" spans="1:40" ht="15.7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295">
        <f>'7.  Persistence Report'!AT77</f>
        <v>3694.39878</v>
      </c>
      <c r="E411" s="295">
        <f>'7.  Persistence Report'!AU77</f>
        <v>3694.39878</v>
      </c>
      <c r="F411" s="295">
        <f>'7.  Persistence Report'!AV77</f>
        <v>3694.39878</v>
      </c>
      <c r="G411" s="295">
        <f>'7.  Persistence Report'!AW77</f>
        <v>3694.39878</v>
      </c>
      <c r="H411" s="295">
        <f>'7.  Persistence Report'!AX77</f>
        <v>0</v>
      </c>
      <c r="I411" s="295">
        <f>'7.  Persistence Report'!AY77</f>
        <v>0</v>
      </c>
      <c r="J411" s="295">
        <f>'7.  Persistence Report'!AZ77</f>
        <v>0</v>
      </c>
      <c r="K411" s="295">
        <f>'7.  Persistence Report'!BA77</f>
        <v>0</v>
      </c>
      <c r="L411" s="295">
        <f>'7.  Persistence Report'!BB77</f>
        <v>0</v>
      </c>
      <c r="M411" s="295">
        <f>'7.  Persistence Report'!BC77</f>
        <v>0</v>
      </c>
      <c r="N411" s="291"/>
      <c r="O411" s="295">
        <f>'7.  Persistence Report'!O77</f>
        <v>2.0719409899999999</v>
      </c>
      <c r="P411" s="295">
        <f>'7.  Persistence Report'!P77</f>
        <v>2.0719409899999999</v>
      </c>
      <c r="Q411" s="295">
        <f>'7.  Persistence Report'!Q77</f>
        <v>2.0719409899999999</v>
      </c>
      <c r="R411" s="295">
        <f>'7.  Persistence Report'!R77</f>
        <v>2.0719409899999999</v>
      </c>
      <c r="S411" s="295">
        <f>'7.  Persistence Report'!S77</f>
        <v>0</v>
      </c>
      <c r="T411" s="295">
        <f>'7.  Persistence Report'!T77</f>
        <v>0</v>
      </c>
      <c r="U411" s="295">
        <f>'7.  Persistence Report'!U77</f>
        <v>0</v>
      </c>
      <c r="V411" s="295">
        <f>'7.  Persistence Report'!V77</f>
        <v>0</v>
      </c>
      <c r="W411" s="295">
        <f>'7.  Persistence Report'!W77</f>
        <v>0</v>
      </c>
      <c r="X411" s="295">
        <f>'7.  Persistence Report'!X77</f>
        <v>0</v>
      </c>
      <c r="Y411" s="470">
        <v>1</v>
      </c>
      <c r="Z411" s="410"/>
      <c r="AA411" s="410"/>
      <c r="AB411" s="410"/>
      <c r="AC411" s="410"/>
      <c r="AD411" s="410"/>
      <c r="AE411" s="410"/>
      <c r="AF411" s="410"/>
      <c r="AG411" s="410"/>
      <c r="AH411" s="410"/>
      <c r="AI411" s="410"/>
      <c r="AJ411" s="410"/>
      <c r="AK411" s="410"/>
      <c r="AL411" s="410"/>
      <c r="AM411" s="296">
        <f>SUM(Y411:AL411)</f>
        <v>1</v>
      </c>
    </row>
    <row r="412" spans="1:40" ht="15"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1</v>
      </c>
      <c r="Z412" s="411">
        <f>Z411</f>
        <v>0</v>
      </c>
      <c r="AA412" s="411">
        <f t="shared" ref="AA412:AL412" si="119">AA411</f>
        <v>0</v>
      </c>
      <c r="AB412" s="411">
        <f t="shared" si="119"/>
        <v>0</v>
      </c>
      <c r="AC412" s="411">
        <f t="shared" si="119"/>
        <v>0</v>
      </c>
      <c r="AD412" s="411">
        <f t="shared" si="119"/>
        <v>0</v>
      </c>
      <c r="AE412" s="411">
        <f t="shared" si="119"/>
        <v>0</v>
      </c>
      <c r="AF412" s="411">
        <f t="shared" si="119"/>
        <v>0</v>
      </c>
      <c r="AG412" s="411">
        <f t="shared" si="119"/>
        <v>0</v>
      </c>
      <c r="AH412" s="411">
        <f t="shared" si="119"/>
        <v>0</v>
      </c>
      <c r="AI412" s="411">
        <f t="shared" si="119"/>
        <v>0</v>
      </c>
      <c r="AJ412" s="411">
        <f t="shared" si="119"/>
        <v>0</v>
      </c>
      <c r="AK412" s="411">
        <f t="shared" si="119"/>
        <v>0</v>
      </c>
      <c r="AL412" s="411">
        <f t="shared" si="119"/>
        <v>0</v>
      </c>
      <c r="AM412" s="297"/>
    </row>
    <row r="413" spans="1:40" ht="15.7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295">
        <f>'7.  Persistence Report'!AT86</f>
        <v>101187.12697659999</v>
      </c>
      <c r="E414" s="295">
        <f>'7.  Persistence Report'!AU86</f>
        <v>101187.12697659999</v>
      </c>
      <c r="F414" s="295">
        <f>'7.  Persistence Report'!AV86</f>
        <v>101187.12697659999</v>
      </c>
      <c r="G414" s="295">
        <f>'7.  Persistence Report'!AW86</f>
        <v>101187.12697659999</v>
      </c>
      <c r="H414" s="295">
        <f>'7.  Persistence Report'!AX86</f>
        <v>101187.12697659999</v>
      </c>
      <c r="I414" s="295">
        <f>'7.  Persistence Report'!AY86</f>
        <v>101187.12697659999</v>
      </c>
      <c r="J414" s="295">
        <f>'7.  Persistence Report'!AZ86</f>
        <v>101187.12697659999</v>
      </c>
      <c r="K414" s="295">
        <f>'7.  Persistence Report'!BA86</f>
        <v>101187.12697659999</v>
      </c>
      <c r="L414" s="295">
        <f>'7.  Persistence Report'!BB86</f>
        <v>101187.12697659999</v>
      </c>
      <c r="M414" s="295">
        <f>'7.  Persistence Report'!BC86</f>
        <v>101187.12697659999</v>
      </c>
      <c r="N414" s="291"/>
      <c r="O414" s="295">
        <f>'7.  Persistence Report'!O86</f>
        <v>55.289930536</v>
      </c>
      <c r="P414" s="295">
        <f>'7.  Persistence Report'!P86</f>
        <v>55.289930536</v>
      </c>
      <c r="Q414" s="295">
        <f>'7.  Persistence Report'!Q86</f>
        <v>55.289930536</v>
      </c>
      <c r="R414" s="295">
        <f>'7.  Persistence Report'!R86</f>
        <v>55.289930536</v>
      </c>
      <c r="S414" s="295">
        <f>'7.  Persistence Report'!S86</f>
        <v>55.289930536</v>
      </c>
      <c r="T414" s="295">
        <f>'7.  Persistence Report'!T86</f>
        <v>55.289930536</v>
      </c>
      <c r="U414" s="295">
        <f>'7.  Persistence Report'!U86</f>
        <v>55.289930536</v>
      </c>
      <c r="V414" s="295">
        <f>'7.  Persistence Report'!V86</f>
        <v>55.289930536</v>
      </c>
      <c r="W414" s="295">
        <f>'7.  Persistence Report'!W86</f>
        <v>55.289930536</v>
      </c>
      <c r="X414" s="295">
        <f>'7.  Persistence Report'!X86</f>
        <v>55.289930536</v>
      </c>
      <c r="Y414" s="470">
        <v>1</v>
      </c>
      <c r="Z414" s="410"/>
      <c r="AA414" s="410"/>
      <c r="AB414" s="410"/>
      <c r="AC414" s="410"/>
      <c r="AD414" s="410"/>
      <c r="AE414" s="410"/>
      <c r="AF414" s="410"/>
      <c r="AG414" s="410"/>
      <c r="AH414" s="410"/>
      <c r="AI414" s="410"/>
      <c r="AJ414" s="410"/>
      <c r="AK414" s="410"/>
      <c r="AL414" s="410"/>
      <c r="AM414" s="296">
        <f>SUM(Y414:AL414)</f>
        <v>1</v>
      </c>
    </row>
    <row r="415" spans="1:40" ht="15"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1</v>
      </c>
      <c r="Z415" s="411">
        <f>Z414</f>
        <v>0</v>
      </c>
      <c r="AA415" s="411">
        <f t="shared" ref="AA415:AL415" si="120">AA414</f>
        <v>0</v>
      </c>
      <c r="AB415" s="411">
        <f t="shared" si="120"/>
        <v>0</v>
      </c>
      <c r="AC415" s="411">
        <f t="shared" si="120"/>
        <v>0</v>
      </c>
      <c r="AD415" s="411">
        <f t="shared" si="120"/>
        <v>0</v>
      </c>
      <c r="AE415" s="411">
        <f t="shared" si="120"/>
        <v>0</v>
      </c>
      <c r="AF415" s="411">
        <f t="shared" si="120"/>
        <v>0</v>
      </c>
      <c r="AG415" s="411">
        <f t="shared" si="120"/>
        <v>0</v>
      </c>
      <c r="AH415" s="411">
        <f t="shared" si="120"/>
        <v>0</v>
      </c>
      <c r="AI415" s="411">
        <f t="shared" si="120"/>
        <v>0</v>
      </c>
      <c r="AJ415" s="411">
        <f t="shared" si="120"/>
        <v>0</v>
      </c>
      <c r="AK415" s="411">
        <f t="shared" si="120"/>
        <v>0</v>
      </c>
      <c r="AL415" s="411">
        <f t="shared" si="120"/>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295">
        <f>'7.  Persistence Report'!AT84</f>
        <v>65298.429450000003</v>
      </c>
      <c r="E417" s="295">
        <f>'7.  Persistence Report'!AU84</f>
        <v>60866.130299999997</v>
      </c>
      <c r="F417" s="295">
        <f>'7.  Persistence Report'!AV84</f>
        <v>58725.887600000002</v>
      </c>
      <c r="G417" s="295">
        <f>'7.  Persistence Report'!AW84</f>
        <v>58725.887600000002</v>
      </c>
      <c r="H417" s="295">
        <f>'7.  Persistence Report'!AX84</f>
        <v>58725.887600000002</v>
      </c>
      <c r="I417" s="295">
        <f>'7.  Persistence Report'!AY84</f>
        <v>58725.887600000002</v>
      </c>
      <c r="J417" s="295">
        <f>'7.  Persistence Report'!AZ84</f>
        <v>58725.887600000002</v>
      </c>
      <c r="K417" s="295">
        <f>'7.  Persistence Report'!BA84</f>
        <v>58613.864889999997</v>
      </c>
      <c r="L417" s="295">
        <f>'7.  Persistence Report'!BB84</f>
        <v>58613.864889999997</v>
      </c>
      <c r="M417" s="295">
        <f>'7.  Persistence Report'!BC84</f>
        <v>50153.866099999999</v>
      </c>
      <c r="N417" s="291"/>
      <c r="O417" s="295">
        <f>'7.  Persistence Report'!O84</f>
        <v>4.8729019009999996</v>
      </c>
      <c r="P417" s="295">
        <f>'7.  Persistence Report'!P84</f>
        <v>4.594478895</v>
      </c>
      <c r="Q417" s="295">
        <f>'7.  Persistence Report'!Q84</f>
        <v>4.4600410070000001</v>
      </c>
      <c r="R417" s="295">
        <f>'7.  Persistence Report'!R84</f>
        <v>4.4600410070000001</v>
      </c>
      <c r="S417" s="295">
        <f>'7.  Persistence Report'!S84</f>
        <v>4.4600410070000001</v>
      </c>
      <c r="T417" s="295">
        <f>'7.  Persistence Report'!T84</f>
        <v>4.4600410070000001</v>
      </c>
      <c r="U417" s="295">
        <f>'7.  Persistence Report'!U84</f>
        <v>4.4600410070000001</v>
      </c>
      <c r="V417" s="295">
        <f>'7.  Persistence Report'!V84</f>
        <v>4.4472530260000003</v>
      </c>
      <c r="W417" s="295">
        <f>'7.  Persistence Report'!W84</f>
        <v>4.4472530260000003</v>
      </c>
      <c r="X417" s="295">
        <f>'7.  Persistence Report'!X84</f>
        <v>3.9161571520000003</v>
      </c>
      <c r="Y417" s="470">
        <v>1</v>
      </c>
      <c r="Z417" s="410"/>
      <c r="AA417" s="410"/>
      <c r="AB417" s="410"/>
      <c r="AC417" s="410"/>
      <c r="AD417" s="410"/>
      <c r="AE417" s="410"/>
      <c r="AF417" s="410"/>
      <c r="AG417" s="410"/>
      <c r="AH417" s="410"/>
      <c r="AI417" s="410"/>
      <c r="AJ417" s="410"/>
      <c r="AK417" s="410"/>
      <c r="AL417" s="410"/>
      <c r="AM417" s="296">
        <f>SUM(Y417:AL417)</f>
        <v>1</v>
      </c>
    </row>
    <row r="418" spans="1:39" ht="15"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1</v>
      </c>
      <c r="Z418" s="411">
        <f>Z417</f>
        <v>0</v>
      </c>
      <c r="AA418" s="411">
        <f t="shared" ref="AA418:AL418" si="121">AA417</f>
        <v>0</v>
      </c>
      <c r="AB418" s="411">
        <f t="shared" si="121"/>
        <v>0</v>
      </c>
      <c r="AC418" s="411">
        <f t="shared" si="121"/>
        <v>0</v>
      </c>
      <c r="AD418" s="411">
        <f t="shared" si="121"/>
        <v>0</v>
      </c>
      <c r="AE418" s="411">
        <f t="shared" si="121"/>
        <v>0</v>
      </c>
      <c r="AF418" s="411">
        <f t="shared" si="121"/>
        <v>0</v>
      </c>
      <c r="AG418" s="411">
        <f t="shared" si="121"/>
        <v>0</v>
      </c>
      <c r="AH418" s="411">
        <f t="shared" si="121"/>
        <v>0</v>
      </c>
      <c r="AI418" s="411">
        <f t="shared" si="121"/>
        <v>0</v>
      </c>
      <c r="AJ418" s="411">
        <f t="shared" si="121"/>
        <v>0</v>
      </c>
      <c r="AK418" s="411">
        <f t="shared" si="121"/>
        <v>0</v>
      </c>
      <c r="AL418" s="411">
        <f t="shared" si="121"/>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295">
        <f>'7.  Persistence Report'!AT82</f>
        <v>280119.30940000003</v>
      </c>
      <c r="E420" s="295">
        <f>'7.  Persistence Report'!AU82</f>
        <v>243000.54190000001</v>
      </c>
      <c r="F420" s="295">
        <f>'7.  Persistence Report'!AV82</f>
        <v>223656.29550000001</v>
      </c>
      <c r="G420" s="295">
        <f>'7.  Persistence Report'!AW82</f>
        <v>223656.29550000001</v>
      </c>
      <c r="H420" s="295">
        <f>'7.  Persistence Report'!AX82</f>
        <v>223656.29550000001</v>
      </c>
      <c r="I420" s="295">
        <f>'7.  Persistence Report'!AY82</f>
        <v>223656.29550000001</v>
      </c>
      <c r="J420" s="295">
        <f>'7.  Persistence Report'!AZ82</f>
        <v>223656.29550000001</v>
      </c>
      <c r="K420" s="295">
        <f>'7.  Persistence Report'!BA82</f>
        <v>223559.41099999999</v>
      </c>
      <c r="L420" s="295">
        <f>'7.  Persistence Report'!BB82</f>
        <v>223559.41099999999</v>
      </c>
      <c r="M420" s="295">
        <f>'7.  Persistence Report'!BC82</f>
        <v>207922.67249999999</v>
      </c>
      <c r="N420" s="291"/>
      <c r="O420" s="295">
        <f>'7.  Persistence Report'!O82</f>
        <v>18.332490790000001</v>
      </c>
      <c r="P420" s="295">
        <f>'7.  Persistence Report'!P82</f>
        <v>16.00227482</v>
      </c>
      <c r="Q420" s="295">
        <f>'7.  Persistence Report'!Q82</f>
        <v>14.787895280000001</v>
      </c>
      <c r="R420" s="295">
        <f>'7.  Persistence Report'!R82</f>
        <v>14.787895280000001</v>
      </c>
      <c r="S420" s="295">
        <f>'7.  Persistence Report'!S82</f>
        <v>14.787895280000001</v>
      </c>
      <c r="T420" s="295">
        <f>'7.  Persistence Report'!T82</f>
        <v>14.787895280000001</v>
      </c>
      <c r="U420" s="295">
        <f>'7.  Persistence Report'!U82</f>
        <v>14.787895280000001</v>
      </c>
      <c r="V420" s="295">
        <f>'7.  Persistence Report'!V82</f>
        <v>14.77683541</v>
      </c>
      <c r="W420" s="295">
        <f>'7.  Persistence Report'!W82</f>
        <v>14.77683541</v>
      </c>
      <c r="X420" s="295">
        <f>'7.  Persistence Report'!X82</f>
        <v>13.795203190000001</v>
      </c>
      <c r="Y420" s="470">
        <v>1</v>
      </c>
      <c r="Z420" s="410"/>
      <c r="AA420" s="410"/>
      <c r="AB420" s="410"/>
      <c r="AC420" s="410"/>
      <c r="AD420" s="410"/>
      <c r="AE420" s="410"/>
      <c r="AF420" s="410"/>
      <c r="AG420" s="410"/>
      <c r="AH420" s="410"/>
      <c r="AI420" s="410"/>
      <c r="AJ420" s="410"/>
      <c r="AK420" s="410"/>
      <c r="AL420" s="410"/>
      <c r="AM420" s="296">
        <f>SUM(Y420:AL420)</f>
        <v>1</v>
      </c>
    </row>
    <row r="421" spans="1:39" ht="15"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1</v>
      </c>
      <c r="Z421" s="411">
        <f>Z420</f>
        <v>0</v>
      </c>
      <c r="AA421" s="411">
        <f t="shared" ref="AA421:AL421" si="122">AA420</f>
        <v>0</v>
      </c>
      <c r="AB421" s="411">
        <f t="shared" si="122"/>
        <v>0</v>
      </c>
      <c r="AC421" s="411">
        <f t="shared" si="122"/>
        <v>0</v>
      </c>
      <c r="AD421" s="411">
        <f t="shared" si="122"/>
        <v>0</v>
      </c>
      <c r="AE421" s="411">
        <f t="shared" si="122"/>
        <v>0</v>
      </c>
      <c r="AF421" s="411">
        <f t="shared" si="122"/>
        <v>0</v>
      </c>
      <c r="AG421" s="411">
        <f t="shared" si="122"/>
        <v>0</v>
      </c>
      <c r="AH421" s="411">
        <f t="shared" si="122"/>
        <v>0</v>
      </c>
      <c r="AI421" s="411">
        <f t="shared" si="122"/>
        <v>0</v>
      </c>
      <c r="AJ421" s="411">
        <f t="shared" si="122"/>
        <v>0</v>
      </c>
      <c r="AK421" s="411">
        <f t="shared" si="122"/>
        <v>0</v>
      </c>
      <c r="AL421" s="411">
        <f t="shared" si="122"/>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3">AA423</f>
        <v>0</v>
      </c>
      <c r="AB424" s="411">
        <f t="shared" si="123"/>
        <v>0</v>
      </c>
      <c r="AC424" s="411">
        <f t="shared" si="123"/>
        <v>0</v>
      </c>
      <c r="AD424" s="411">
        <f t="shared" si="123"/>
        <v>0</v>
      </c>
      <c r="AE424" s="411">
        <f t="shared" si="123"/>
        <v>0</v>
      </c>
      <c r="AF424" s="411">
        <f t="shared" si="123"/>
        <v>0</v>
      </c>
      <c r="AG424" s="411">
        <f t="shared" si="123"/>
        <v>0</v>
      </c>
      <c r="AH424" s="411">
        <f t="shared" si="123"/>
        <v>0</v>
      </c>
      <c r="AI424" s="411">
        <f t="shared" si="123"/>
        <v>0</v>
      </c>
      <c r="AJ424" s="411">
        <f t="shared" si="123"/>
        <v>0</v>
      </c>
      <c r="AK424" s="411">
        <f t="shared" si="123"/>
        <v>0</v>
      </c>
      <c r="AL424" s="411">
        <f t="shared" si="123"/>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24">AA426</f>
        <v>0</v>
      </c>
      <c r="AB427" s="411">
        <f t="shared" si="124"/>
        <v>0</v>
      </c>
      <c r="AC427" s="411">
        <f t="shared" si="124"/>
        <v>0</v>
      </c>
      <c r="AD427" s="411">
        <f t="shared" si="124"/>
        <v>0</v>
      </c>
      <c r="AE427" s="411">
        <f t="shared" si="124"/>
        <v>0</v>
      </c>
      <c r="AF427" s="411">
        <f t="shared" si="124"/>
        <v>0</v>
      </c>
      <c r="AG427" s="411">
        <f t="shared" si="124"/>
        <v>0</v>
      </c>
      <c r="AH427" s="411">
        <f t="shared" si="124"/>
        <v>0</v>
      </c>
      <c r="AI427" s="411">
        <f t="shared" si="124"/>
        <v>0</v>
      </c>
      <c r="AJ427" s="411">
        <f t="shared" si="124"/>
        <v>0</v>
      </c>
      <c r="AK427" s="411">
        <f t="shared" si="124"/>
        <v>0</v>
      </c>
      <c r="AL427" s="411">
        <f t="shared" si="124"/>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484</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25">AA429</f>
        <v>0</v>
      </c>
      <c r="AB430" s="411">
        <f t="shared" si="125"/>
        <v>0</v>
      </c>
      <c r="AC430" s="411">
        <f t="shared" si="125"/>
        <v>0</v>
      </c>
      <c r="AD430" s="411">
        <f t="shared" si="125"/>
        <v>0</v>
      </c>
      <c r="AE430" s="411">
        <f t="shared" si="125"/>
        <v>0</v>
      </c>
      <c r="AF430" s="411">
        <f t="shared" si="125"/>
        <v>0</v>
      </c>
      <c r="AG430" s="411">
        <f t="shared" si="125"/>
        <v>0</v>
      </c>
      <c r="AH430" s="411">
        <f t="shared" si="125"/>
        <v>0</v>
      </c>
      <c r="AI430" s="411">
        <f t="shared" si="125"/>
        <v>0</v>
      </c>
      <c r="AJ430" s="411">
        <f t="shared" si="125"/>
        <v>0</v>
      </c>
      <c r="AK430" s="411">
        <f t="shared" si="125"/>
        <v>0</v>
      </c>
      <c r="AL430" s="411">
        <f t="shared" si="125"/>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26">AA432</f>
        <v>0</v>
      </c>
      <c r="AB433" s="411">
        <f t="shared" si="126"/>
        <v>0</v>
      </c>
      <c r="AC433" s="411">
        <f t="shared" si="126"/>
        <v>0</v>
      </c>
      <c r="AD433" s="411">
        <f t="shared" si="126"/>
        <v>0</v>
      </c>
      <c r="AE433" s="411">
        <f t="shared" si="126"/>
        <v>0</v>
      </c>
      <c r="AF433" s="411">
        <f t="shared" si="126"/>
        <v>0</v>
      </c>
      <c r="AG433" s="411">
        <f t="shared" si="126"/>
        <v>0</v>
      </c>
      <c r="AH433" s="411">
        <f t="shared" si="126"/>
        <v>0</v>
      </c>
      <c r="AI433" s="411">
        <f t="shared" si="126"/>
        <v>0</v>
      </c>
      <c r="AJ433" s="411">
        <f t="shared" si="126"/>
        <v>0</v>
      </c>
      <c r="AK433" s="411">
        <f t="shared" si="126"/>
        <v>0</v>
      </c>
      <c r="AL433" s="411">
        <f t="shared" si="126"/>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295">
        <f>'7.  Persistence Report'!AT76</f>
        <v>314416.90100000001</v>
      </c>
      <c r="E436" s="295">
        <f>'7.  Persistence Report'!AU76</f>
        <v>314416.90100000001</v>
      </c>
      <c r="F436" s="295">
        <f>'7.  Persistence Report'!AV76</f>
        <v>314416.90100000001</v>
      </c>
      <c r="G436" s="295">
        <f>'7.  Persistence Report'!AW76</f>
        <v>314416.90100000001</v>
      </c>
      <c r="H436" s="295">
        <f>'7.  Persistence Report'!AX76</f>
        <v>314416.90100000001</v>
      </c>
      <c r="I436" s="295">
        <f>'7.  Persistence Report'!AY76</f>
        <v>314416.90100000001</v>
      </c>
      <c r="J436" s="295">
        <f>'7.  Persistence Report'!AZ76</f>
        <v>310353.42489999998</v>
      </c>
      <c r="K436" s="295">
        <f>'7.  Persistence Report'!BA76</f>
        <v>310353.42489999998</v>
      </c>
      <c r="L436" s="295">
        <f>'7.  Persistence Report'!BB76</f>
        <v>286207.26760000002</v>
      </c>
      <c r="M436" s="295">
        <f>'7.  Persistence Report'!BC76</f>
        <v>262348.28769999999</v>
      </c>
      <c r="N436" s="295">
        <v>12</v>
      </c>
      <c r="O436" s="295">
        <f>'7.  Persistence Report'!O76</f>
        <v>56.519007979999998</v>
      </c>
      <c r="P436" s="295">
        <f>'7.  Persistence Report'!P76</f>
        <v>56.519007979999998</v>
      </c>
      <c r="Q436" s="295">
        <f>'7.  Persistence Report'!Q76</f>
        <v>56.519007979999998</v>
      </c>
      <c r="R436" s="295">
        <f>'7.  Persistence Report'!R76</f>
        <v>56.519007979999998</v>
      </c>
      <c r="S436" s="295">
        <f>'7.  Persistence Report'!S76</f>
        <v>56.519007979999998</v>
      </c>
      <c r="T436" s="295">
        <f>'7.  Persistence Report'!T76</f>
        <v>56.519007979999998</v>
      </c>
      <c r="U436" s="295">
        <f>'7.  Persistence Report'!U76</f>
        <v>56.448666209999999</v>
      </c>
      <c r="V436" s="295">
        <f>'7.  Persistence Report'!V76</f>
        <v>56.448666209999999</v>
      </c>
      <c r="W436" s="295">
        <f>'7.  Persistence Report'!W76</f>
        <v>53.410619560000001</v>
      </c>
      <c r="X436" s="295">
        <f>'7.  Persistence Report'!X76</f>
        <v>53.11261768</v>
      </c>
      <c r="Y436" s="415"/>
      <c r="Z436" s="469">
        <f>'3-a.  Rate Class Allocations'!G36</f>
        <v>0.69076433232437573</v>
      </c>
      <c r="AA436" s="469">
        <f>'3-a.  Rate Class Allocations'!H36</f>
        <v>0.30923566767562427</v>
      </c>
      <c r="AB436" s="469"/>
      <c r="AC436" s="415"/>
      <c r="AD436" s="415"/>
      <c r="AE436" s="415"/>
      <c r="AF436" s="415"/>
      <c r="AG436" s="415"/>
      <c r="AH436" s="415"/>
      <c r="AI436" s="415"/>
      <c r="AJ436" s="415"/>
      <c r="AK436" s="415"/>
      <c r="AL436" s="415"/>
      <c r="AM436" s="296">
        <f>SUM(Y436:AL436)</f>
        <v>1</v>
      </c>
    </row>
    <row r="437" spans="1:39" ht="1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0.69076433232437573</v>
      </c>
      <c r="AA437" s="411">
        <f t="shared" ref="AA437:AL437" si="127">AA436</f>
        <v>0.30923566767562427</v>
      </c>
      <c r="AB437" s="411">
        <f t="shared" si="127"/>
        <v>0</v>
      </c>
      <c r="AC437" s="411">
        <f t="shared" si="127"/>
        <v>0</v>
      </c>
      <c r="AD437" s="411">
        <f t="shared" si="127"/>
        <v>0</v>
      </c>
      <c r="AE437" s="411">
        <f t="shared" si="127"/>
        <v>0</v>
      </c>
      <c r="AF437" s="411">
        <f t="shared" si="127"/>
        <v>0</v>
      </c>
      <c r="AG437" s="411">
        <f t="shared" si="127"/>
        <v>0</v>
      </c>
      <c r="AH437" s="411">
        <f t="shared" si="127"/>
        <v>0</v>
      </c>
      <c r="AI437" s="411">
        <f t="shared" si="127"/>
        <v>0</v>
      </c>
      <c r="AJ437" s="411">
        <f t="shared" si="127"/>
        <v>0</v>
      </c>
      <c r="AK437" s="411">
        <f t="shared" si="127"/>
        <v>0</v>
      </c>
      <c r="AL437" s="411">
        <f t="shared" si="127"/>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295">
        <f>'7.  Persistence Report'!AT71</f>
        <v>179966.2776</v>
      </c>
      <c r="E439" s="295">
        <f>'7.  Persistence Report'!AU71</f>
        <v>179966.2776</v>
      </c>
      <c r="F439" s="295">
        <f>'7.  Persistence Report'!AV71</f>
        <v>136092.2034</v>
      </c>
      <c r="G439" s="295">
        <f>'7.  Persistence Report'!AW71</f>
        <v>113728.2166</v>
      </c>
      <c r="H439" s="295">
        <f>'7.  Persistence Report'!AX71</f>
        <v>113728.2166</v>
      </c>
      <c r="I439" s="295">
        <f>'7.  Persistence Report'!AY71</f>
        <v>113728.2166</v>
      </c>
      <c r="J439" s="295">
        <f>'7.  Persistence Report'!AZ71</f>
        <v>113728.2166</v>
      </c>
      <c r="K439" s="295">
        <f>'7.  Persistence Report'!BA71</f>
        <v>113728.2166</v>
      </c>
      <c r="L439" s="295">
        <f>'7.  Persistence Report'!BB71</f>
        <v>113728.2166</v>
      </c>
      <c r="M439" s="295">
        <f>'7.  Persistence Report'!BC71</f>
        <v>113728.2166</v>
      </c>
      <c r="N439" s="295">
        <v>12</v>
      </c>
      <c r="O439" s="295">
        <f>'7.  Persistence Report'!O71</f>
        <v>44.110739789999997</v>
      </c>
      <c r="P439" s="295">
        <f>'7.  Persistence Report'!P71</f>
        <v>44.110739789999997</v>
      </c>
      <c r="Q439" s="295">
        <f>'7.  Persistence Report'!Q71</f>
        <v>33.737076100000003</v>
      </c>
      <c r="R439" s="295">
        <f>'7.  Persistence Report'!R71</f>
        <v>27.542377999999999</v>
      </c>
      <c r="S439" s="295">
        <f>'7.  Persistence Report'!S71</f>
        <v>27.542377999999999</v>
      </c>
      <c r="T439" s="295">
        <f>'7.  Persistence Report'!T71</f>
        <v>27.542377999999999</v>
      </c>
      <c r="U439" s="295">
        <f>'7.  Persistence Report'!U71</f>
        <v>27.542377999999999</v>
      </c>
      <c r="V439" s="295">
        <f>'7.  Persistence Report'!V71</f>
        <v>27.542377999999999</v>
      </c>
      <c r="W439" s="295">
        <f>'7.  Persistence Report'!W71</f>
        <v>27.542377999999999</v>
      </c>
      <c r="X439" s="295">
        <f>'7.  Persistence Report'!X71</f>
        <v>27.542377999999999</v>
      </c>
      <c r="Y439" s="415"/>
      <c r="Z439" s="469">
        <f>'3-a.  Rate Class Allocations'!G35</f>
        <v>1</v>
      </c>
      <c r="AA439" s="469">
        <f>'3-a.  Rate Class Allocations'!H35</f>
        <v>0</v>
      </c>
      <c r="AB439" s="415"/>
      <c r="AC439" s="415"/>
      <c r="AD439" s="415"/>
      <c r="AE439" s="415"/>
      <c r="AF439" s="415"/>
      <c r="AG439" s="415"/>
      <c r="AH439" s="415"/>
      <c r="AI439" s="415"/>
      <c r="AJ439" s="415"/>
      <c r="AK439" s="415"/>
      <c r="AL439" s="415"/>
      <c r="AM439" s="296">
        <f>SUM(Y439:AL439)</f>
        <v>1</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1</v>
      </c>
      <c r="AA440" s="411">
        <f t="shared" ref="AA440:AL440" si="128">AA439</f>
        <v>0</v>
      </c>
      <c r="AB440" s="411">
        <f t="shared" si="128"/>
        <v>0</v>
      </c>
      <c r="AC440" s="411">
        <f t="shared" si="128"/>
        <v>0</v>
      </c>
      <c r="AD440" s="411">
        <f t="shared" si="128"/>
        <v>0</v>
      </c>
      <c r="AE440" s="411">
        <f t="shared" si="128"/>
        <v>0</v>
      </c>
      <c r="AF440" s="411">
        <f t="shared" si="128"/>
        <v>0</v>
      </c>
      <c r="AG440" s="411">
        <f t="shared" si="128"/>
        <v>0</v>
      </c>
      <c r="AH440" s="411">
        <f t="shared" si="128"/>
        <v>0</v>
      </c>
      <c r="AI440" s="411">
        <f t="shared" si="128"/>
        <v>0</v>
      </c>
      <c r="AJ440" s="411">
        <f t="shared" si="128"/>
        <v>0</v>
      </c>
      <c r="AK440" s="411">
        <f t="shared" si="128"/>
        <v>0</v>
      </c>
      <c r="AL440" s="411">
        <f t="shared" si="128"/>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29">AB442</f>
        <v>0</v>
      </c>
      <c r="AC443" s="411">
        <f t="shared" si="129"/>
        <v>0</v>
      </c>
      <c r="AD443" s="411">
        <f t="shared" si="129"/>
        <v>0</v>
      </c>
      <c r="AE443" s="411">
        <f t="shared" si="129"/>
        <v>0</v>
      </c>
      <c r="AF443" s="411">
        <f t="shared" si="129"/>
        <v>0</v>
      </c>
      <c r="AG443" s="411">
        <f t="shared" si="129"/>
        <v>0</v>
      </c>
      <c r="AH443" s="411">
        <f t="shared" si="129"/>
        <v>0</v>
      </c>
      <c r="AI443" s="411">
        <f t="shared" si="129"/>
        <v>0</v>
      </c>
      <c r="AJ443" s="411">
        <f t="shared" si="129"/>
        <v>0</v>
      </c>
      <c r="AK443" s="411">
        <f t="shared" si="129"/>
        <v>0</v>
      </c>
      <c r="AL443" s="411">
        <f t="shared" si="129"/>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AL446" si="130">AB445</f>
        <v>0</v>
      </c>
      <c r="AC446" s="411">
        <f t="shared" si="130"/>
        <v>0</v>
      </c>
      <c r="AD446" s="411">
        <f t="shared" si="130"/>
        <v>0</v>
      </c>
      <c r="AE446" s="411">
        <f t="shared" si="130"/>
        <v>0</v>
      </c>
      <c r="AF446" s="411">
        <f t="shared" si="130"/>
        <v>0</v>
      </c>
      <c r="AG446" s="411">
        <f t="shared" si="130"/>
        <v>0</v>
      </c>
      <c r="AH446" s="411">
        <f t="shared" si="130"/>
        <v>0</v>
      </c>
      <c r="AI446" s="411">
        <f t="shared" si="130"/>
        <v>0</v>
      </c>
      <c r="AJ446" s="411">
        <f t="shared" si="130"/>
        <v>0</v>
      </c>
      <c r="AK446" s="411">
        <f t="shared" si="130"/>
        <v>0</v>
      </c>
      <c r="AL446" s="411">
        <f t="shared" si="130"/>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f>'7.  Persistence Report'!AT73</f>
        <v>65273.570059999998</v>
      </c>
      <c r="E448" s="295">
        <f>'7.  Persistence Report'!AU73</f>
        <v>65273.570059999998</v>
      </c>
      <c r="F448" s="295">
        <f>'7.  Persistence Report'!AV73</f>
        <v>65273.570059999998</v>
      </c>
      <c r="G448" s="295">
        <f>'7.  Persistence Report'!AW73</f>
        <v>65273.570059999998</v>
      </c>
      <c r="H448" s="295">
        <f>'7.  Persistence Report'!AX73</f>
        <v>0</v>
      </c>
      <c r="I448" s="295">
        <f>'7.  Persistence Report'!AY73</f>
        <v>0</v>
      </c>
      <c r="J448" s="295">
        <f>'7.  Persistence Report'!AZ73</f>
        <v>0</v>
      </c>
      <c r="K448" s="295">
        <f>'7.  Persistence Report'!BA73</f>
        <v>0</v>
      </c>
      <c r="L448" s="295">
        <f>'7.  Persistence Report'!BB73</f>
        <v>0</v>
      </c>
      <c r="M448" s="295">
        <f>'7.  Persistence Report'!BC73</f>
        <v>0</v>
      </c>
      <c r="N448" s="295">
        <v>12</v>
      </c>
      <c r="O448" s="295">
        <f>'7.  Persistence Report'!O73</f>
        <v>13.36693052</v>
      </c>
      <c r="P448" s="295">
        <f>'7.  Persistence Report'!P73</f>
        <v>13.36693052</v>
      </c>
      <c r="Q448" s="295">
        <f>'7.  Persistence Report'!Q73</f>
        <v>13.36693052</v>
      </c>
      <c r="R448" s="295">
        <f>'7.  Persistence Report'!R73</f>
        <v>13.36693052</v>
      </c>
      <c r="S448" s="295">
        <f>'7.  Persistence Report'!S73</f>
        <v>0</v>
      </c>
      <c r="T448" s="295">
        <f>'7.  Persistence Report'!T73</f>
        <v>0</v>
      </c>
      <c r="U448" s="295">
        <f>'7.  Persistence Report'!U73</f>
        <v>0</v>
      </c>
      <c r="V448" s="295">
        <f>'7.  Persistence Report'!V73</f>
        <v>0</v>
      </c>
      <c r="W448" s="295">
        <f>'7.  Persistence Report'!W73</f>
        <v>0</v>
      </c>
      <c r="X448" s="295">
        <f>'7.  Persistence Report'!X73</f>
        <v>0</v>
      </c>
      <c r="Y448" s="415"/>
      <c r="Z448" s="415">
        <f>'3-a.  Rate Class Allocations'!G37</f>
        <v>1</v>
      </c>
      <c r="AA448" s="415">
        <f>'3-a.  Rate Class Allocations'!H37</f>
        <v>0</v>
      </c>
      <c r="AB448" s="415"/>
      <c r="AC448" s="415"/>
      <c r="AD448" s="415"/>
      <c r="AE448" s="415"/>
      <c r="AF448" s="415"/>
      <c r="AG448" s="415"/>
      <c r="AH448" s="415"/>
      <c r="AI448" s="415"/>
      <c r="AJ448" s="415"/>
      <c r="AK448" s="415"/>
      <c r="AL448" s="415"/>
      <c r="AM448" s="296">
        <f>SUM(Y448:AL448)</f>
        <v>1</v>
      </c>
    </row>
    <row r="449" spans="1:39" ht="1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1</v>
      </c>
      <c r="AA449" s="411">
        <f t="shared" ref="AA449:AL449" si="131">AA448</f>
        <v>0</v>
      </c>
      <c r="AB449" s="411">
        <f t="shared" si="131"/>
        <v>0</v>
      </c>
      <c r="AC449" s="411">
        <f t="shared" si="131"/>
        <v>0</v>
      </c>
      <c r="AD449" s="411">
        <f t="shared" si="131"/>
        <v>0</v>
      </c>
      <c r="AE449" s="411">
        <f t="shared" si="131"/>
        <v>0</v>
      </c>
      <c r="AF449" s="411">
        <f t="shared" si="131"/>
        <v>0</v>
      </c>
      <c r="AG449" s="411">
        <f t="shared" si="131"/>
        <v>0</v>
      </c>
      <c r="AH449" s="411">
        <f t="shared" si="131"/>
        <v>0</v>
      </c>
      <c r="AI449" s="411">
        <f t="shared" si="131"/>
        <v>0</v>
      </c>
      <c r="AJ449" s="411">
        <f t="shared" si="131"/>
        <v>0</v>
      </c>
      <c r="AK449" s="411">
        <f t="shared" si="131"/>
        <v>0</v>
      </c>
      <c r="AL449" s="411">
        <f t="shared" si="131"/>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485</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9"/>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2">AA451</f>
        <v>0</v>
      </c>
      <c r="AB452" s="411">
        <f t="shared" si="132"/>
        <v>0</v>
      </c>
      <c r="AC452" s="411">
        <f t="shared" si="132"/>
        <v>0</v>
      </c>
      <c r="AD452" s="411">
        <f t="shared" si="132"/>
        <v>0</v>
      </c>
      <c r="AE452" s="411">
        <f t="shared" si="132"/>
        <v>0</v>
      </c>
      <c r="AF452" s="411">
        <f t="shared" si="132"/>
        <v>0</v>
      </c>
      <c r="AG452" s="411">
        <f t="shared" si="132"/>
        <v>0</v>
      </c>
      <c r="AH452" s="411">
        <f t="shared" si="132"/>
        <v>0</v>
      </c>
      <c r="AI452" s="411">
        <f t="shared" si="132"/>
        <v>0</v>
      </c>
      <c r="AJ452" s="411">
        <f t="shared" si="132"/>
        <v>0</v>
      </c>
      <c r="AK452" s="411">
        <f t="shared" si="132"/>
        <v>0</v>
      </c>
      <c r="AL452" s="411">
        <f t="shared" si="132"/>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486</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3">AA454</f>
        <v>0</v>
      </c>
      <c r="AB455" s="411">
        <f t="shared" si="133"/>
        <v>0</v>
      </c>
      <c r="AC455" s="411">
        <f t="shared" si="133"/>
        <v>0</v>
      </c>
      <c r="AD455" s="411">
        <f t="shared" si="133"/>
        <v>0</v>
      </c>
      <c r="AE455" s="411">
        <f t="shared" si="133"/>
        <v>0</v>
      </c>
      <c r="AF455" s="411">
        <f t="shared" si="133"/>
        <v>0</v>
      </c>
      <c r="AG455" s="411">
        <f t="shared" si="133"/>
        <v>0</v>
      </c>
      <c r="AH455" s="411">
        <f t="shared" si="133"/>
        <v>0</v>
      </c>
      <c r="AI455" s="411">
        <f t="shared" si="133"/>
        <v>0</v>
      </c>
      <c r="AJ455" s="411">
        <f t="shared" si="133"/>
        <v>0</v>
      </c>
      <c r="AK455" s="411">
        <f t="shared" si="133"/>
        <v>0</v>
      </c>
      <c r="AL455" s="411">
        <f t="shared" si="133"/>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34">AA457</f>
        <v>0</v>
      </c>
      <c r="AB458" s="411">
        <f t="shared" si="134"/>
        <v>0</v>
      </c>
      <c r="AC458" s="411">
        <f t="shared" si="134"/>
        <v>0</v>
      </c>
      <c r="AD458" s="411">
        <f t="shared" si="134"/>
        <v>0</v>
      </c>
      <c r="AE458" s="411">
        <f t="shared" si="134"/>
        <v>0</v>
      </c>
      <c r="AF458" s="411">
        <f t="shared" si="134"/>
        <v>0</v>
      </c>
      <c r="AG458" s="411">
        <f t="shared" si="134"/>
        <v>0</v>
      </c>
      <c r="AH458" s="411">
        <f t="shared" si="134"/>
        <v>0</v>
      </c>
      <c r="AI458" s="411">
        <f t="shared" si="134"/>
        <v>0</v>
      </c>
      <c r="AJ458" s="411">
        <f t="shared" si="134"/>
        <v>0</v>
      </c>
      <c r="AK458" s="411">
        <f t="shared" si="134"/>
        <v>0</v>
      </c>
      <c r="AL458" s="411">
        <f t="shared" si="134"/>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35">AA461</f>
        <v>0</v>
      </c>
      <c r="AB462" s="411">
        <f t="shared" si="135"/>
        <v>0</v>
      </c>
      <c r="AC462" s="411">
        <f t="shared" si="135"/>
        <v>0</v>
      </c>
      <c r="AD462" s="411">
        <f t="shared" si="135"/>
        <v>0</v>
      </c>
      <c r="AE462" s="411">
        <f t="shared" si="135"/>
        <v>0</v>
      </c>
      <c r="AF462" s="411">
        <f t="shared" si="135"/>
        <v>0</v>
      </c>
      <c r="AG462" s="411">
        <f t="shared" si="135"/>
        <v>0</v>
      </c>
      <c r="AH462" s="411">
        <f t="shared" si="135"/>
        <v>0</v>
      </c>
      <c r="AI462" s="411">
        <f t="shared" si="135"/>
        <v>0</v>
      </c>
      <c r="AJ462" s="411">
        <f t="shared" si="135"/>
        <v>0</v>
      </c>
      <c r="AK462" s="411">
        <f t="shared" si="135"/>
        <v>0</v>
      </c>
      <c r="AL462" s="411">
        <f t="shared" si="135"/>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36">AA464</f>
        <v>0</v>
      </c>
      <c r="AB465" s="411">
        <f t="shared" si="136"/>
        <v>0</v>
      </c>
      <c r="AC465" s="411">
        <f t="shared" si="136"/>
        <v>0</v>
      </c>
      <c r="AD465" s="411">
        <f t="shared" si="136"/>
        <v>0</v>
      </c>
      <c r="AE465" s="411">
        <f t="shared" si="136"/>
        <v>0</v>
      </c>
      <c r="AF465" s="411">
        <f t="shared" si="136"/>
        <v>0</v>
      </c>
      <c r="AG465" s="411">
        <f t="shared" si="136"/>
        <v>0</v>
      </c>
      <c r="AH465" s="411">
        <f t="shared" si="136"/>
        <v>0</v>
      </c>
      <c r="AI465" s="411">
        <f t="shared" si="136"/>
        <v>0</v>
      </c>
      <c r="AJ465" s="411">
        <f t="shared" si="136"/>
        <v>0</v>
      </c>
      <c r="AK465" s="411">
        <f t="shared" si="136"/>
        <v>0</v>
      </c>
      <c r="AL465" s="411">
        <f t="shared" si="136"/>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37">AA467</f>
        <v>0</v>
      </c>
      <c r="AB468" s="411">
        <f t="shared" si="137"/>
        <v>0</v>
      </c>
      <c r="AC468" s="411">
        <f t="shared" si="137"/>
        <v>0</v>
      </c>
      <c r="AD468" s="411">
        <f t="shared" si="137"/>
        <v>0</v>
      </c>
      <c r="AE468" s="411">
        <f t="shared" si="137"/>
        <v>0</v>
      </c>
      <c r="AF468" s="411">
        <f t="shared" si="137"/>
        <v>0</v>
      </c>
      <c r="AG468" s="411">
        <f t="shared" si="137"/>
        <v>0</v>
      </c>
      <c r="AH468" s="411">
        <f t="shared" si="137"/>
        <v>0</v>
      </c>
      <c r="AI468" s="411">
        <f t="shared" si="137"/>
        <v>0</v>
      </c>
      <c r="AJ468" s="411">
        <f t="shared" si="137"/>
        <v>0</v>
      </c>
      <c r="AK468" s="411">
        <f t="shared" si="137"/>
        <v>0</v>
      </c>
      <c r="AL468" s="411">
        <f t="shared" si="137"/>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38">AA470</f>
        <v>0</v>
      </c>
      <c r="AB471" s="411">
        <f t="shared" si="138"/>
        <v>0</v>
      </c>
      <c r="AC471" s="411">
        <f t="shared" si="138"/>
        <v>0</v>
      </c>
      <c r="AD471" s="411">
        <f t="shared" si="138"/>
        <v>0</v>
      </c>
      <c r="AE471" s="411">
        <f t="shared" si="138"/>
        <v>0</v>
      </c>
      <c r="AF471" s="411">
        <f t="shared" si="138"/>
        <v>0</v>
      </c>
      <c r="AG471" s="411">
        <f t="shared" si="138"/>
        <v>0</v>
      </c>
      <c r="AH471" s="411">
        <f t="shared" si="138"/>
        <v>0</v>
      </c>
      <c r="AI471" s="411">
        <f t="shared" si="138"/>
        <v>0</v>
      </c>
      <c r="AJ471" s="411">
        <f t="shared" si="138"/>
        <v>0</v>
      </c>
      <c r="AK471" s="411">
        <f t="shared" si="138"/>
        <v>0</v>
      </c>
      <c r="AL471" s="411">
        <f t="shared" si="138"/>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39">AA473</f>
        <v>0</v>
      </c>
      <c r="AB474" s="411">
        <f t="shared" si="139"/>
        <v>0</v>
      </c>
      <c r="AC474" s="411">
        <f t="shared" si="139"/>
        <v>0</v>
      </c>
      <c r="AD474" s="411">
        <f t="shared" si="139"/>
        <v>0</v>
      </c>
      <c r="AE474" s="411">
        <f t="shared" si="139"/>
        <v>0</v>
      </c>
      <c r="AF474" s="411">
        <f t="shared" si="139"/>
        <v>0</v>
      </c>
      <c r="AG474" s="411">
        <f t="shared" si="139"/>
        <v>0</v>
      </c>
      <c r="AH474" s="411">
        <f t="shared" si="139"/>
        <v>0</v>
      </c>
      <c r="AI474" s="411">
        <f t="shared" si="139"/>
        <v>0</v>
      </c>
      <c r="AJ474" s="411">
        <f t="shared" si="139"/>
        <v>0</v>
      </c>
      <c r="AK474" s="411">
        <f t="shared" si="139"/>
        <v>0</v>
      </c>
      <c r="AL474" s="411">
        <f t="shared" si="139"/>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70"/>
      <c r="Z477" s="410"/>
      <c r="AA477" s="410"/>
      <c r="AB477" s="410"/>
      <c r="AC477" s="410"/>
      <c r="AD477" s="410"/>
      <c r="AE477" s="410"/>
      <c r="AF477" s="410"/>
      <c r="AG477" s="410"/>
      <c r="AH477" s="410"/>
      <c r="AI477" s="410"/>
      <c r="AJ477" s="410"/>
      <c r="AK477" s="410"/>
      <c r="AL477" s="410"/>
      <c r="AM477" s="296">
        <f>SUM(Y477:AL477)</f>
        <v>0</v>
      </c>
    </row>
    <row r="478" spans="1:39" ht="15" outlineLevel="1">
      <c r="B478" s="294" t="s">
        <v>259</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0</v>
      </c>
      <c r="Z478" s="411">
        <f>Z477</f>
        <v>0</v>
      </c>
      <c r="AA478" s="411">
        <f t="shared" ref="AA478:AL478" si="140">AA477</f>
        <v>0</v>
      </c>
      <c r="AB478" s="411">
        <f t="shared" si="140"/>
        <v>0</v>
      </c>
      <c r="AC478" s="411">
        <f t="shared" si="140"/>
        <v>0</v>
      </c>
      <c r="AD478" s="411">
        <f t="shared" si="140"/>
        <v>0</v>
      </c>
      <c r="AE478" s="411">
        <f t="shared" si="140"/>
        <v>0</v>
      </c>
      <c r="AF478" s="411">
        <f t="shared" si="140"/>
        <v>0</v>
      </c>
      <c r="AG478" s="411">
        <f t="shared" si="140"/>
        <v>0</v>
      </c>
      <c r="AH478" s="411">
        <f t="shared" si="140"/>
        <v>0</v>
      </c>
      <c r="AI478" s="411">
        <f t="shared" si="140"/>
        <v>0</v>
      </c>
      <c r="AJ478" s="411">
        <f t="shared" si="140"/>
        <v>0</v>
      </c>
      <c r="AK478" s="411">
        <f t="shared" si="140"/>
        <v>0</v>
      </c>
      <c r="AL478" s="411">
        <f t="shared" si="140"/>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10"/>
      <c r="B480" s="288" t="s">
        <v>487</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1">AA481</f>
        <v>0</v>
      </c>
      <c r="AB482" s="411">
        <f t="shared" si="141"/>
        <v>0</v>
      </c>
      <c r="AC482" s="411">
        <f t="shared" si="141"/>
        <v>0</v>
      </c>
      <c r="AD482" s="411">
        <f t="shared" si="141"/>
        <v>0</v>
      </c>
      <c r="AE482" s="411">
        <f t="shared" si="141"/>
        <v>0</v>
      </c>
      <c r="AF482" s="411">
        <f t="shared" si="141"/>
        <v>0</v>
      </c>
      <c r="AG482" s="411">
        <f t="shared" si="141"/>
        <v>0</v>
      </c>
      <c r="AH482" s="411">
        <f t="shared" si="141"/>
        <v>0</v>
      </c>
      <c r="AI482" s="411">
        <f t="shared" si="141"/>
        <v>0</v>
      </c>
      <c r="AJ482" s="411">
        <f t="shared" si="141"/>
        <v>0</v>
      </c>
      <c r="AK482" s="411">
        <f t="shared" si="141"/>
        <v>0</v>
      </c>
      <c r="AL482" s="411">
        <f t="shared" si="141"/>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2">AA484</f>
        <v>0</v>
      </c>
      <c r="AB485" s="411">
        <f t="shared" si="142"/>
        <v>0</v>
      </c>
      <c r="AC485" s="411">
        <f t="shared" si="142"/>
        <v>0</v>
      </c>
      <c r="AD485" s="411">
        <f t="shared" si="142"/>
        <v>0</v>
      </c>
      <c r="AE485" s="411">
        <f t="shared" si="142"/>
        <v>0</v>
      </c>
      <c r="AF485" s="411">
        <f t="shared" si="142"/>
        <v>0</v>
      </c>
      <c r="AG485" s="411">
        <f t="shared" si="142"/>
        <v>0</v>
      </c>
      <c r="AH485" s="411">
        <f t="shared" si="142"/>
        <v>0</v>
      </c>
      <c r="AI485" s="411">
        <f t="shared" si="142"/>
        <v>0</v>
      </c>
      <c r="AJ485" s="411">
        <f t="shared" si="142"/>
        <v>0</v>
      </c>
      <c r="AK485" s="411">
        <f t="shared" si="142"/>
        <v>0</v>
      </c>
      <c r="AL485" s="411">
        <f t="shared" si="142"/>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3">AA488</f>
        <v>0</v>
      </c>
      <c r="AB489" s="411">
        <f t="shared" si="143"/>
        <v>0</v>
      </c>
      <c r="AC489" s="411">
        <f t="shared" si="143"/>
        <v>0</v>
      </c>
      <c r="AD489" s="411">
        <f t="shared" si="143"/>
        <v>0</v>
      </c>
      <c r="AE489" s="411">
        <f t="shared" si="143"/>
        <v>0</v>
      </c>
      <c r="AF489" s="411">
        <f t="shared" si="143"/>
        <v>0</v>
      </c>
      <c r="AG489" s="411">
        <f t="shared" si="143"/>
        <v>0</v>
      </c>
      <c r="AH489" s="411">
        <f t="shared" si="143"/>
        <v>0</v>
      </c>
      <c r="AI489" s="411">
        <f t="shared" si="143"/>
        <v>0</v>
      </c>
      <c r="AJ489" s="411">
        <f t="shared" si="143"/>
        <v>0</v>
      </c>
      <c r="AK489" s="411">
        <f t="shared" si="143"/>
        <v>0</v>
      </c>
      <c r="AL489" s="411">
        <f t="shared" si="143"/>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4">AA491</f>
        <v>0</v>
      </c>
      <c r="AB492" s="411">
        <f t="shared" si="144"/>
        <v>0</v>
      </c>
      <c r="AC492" s="411">
        <f t="shared" si="144"/>
        <v>0</v>
      </c>
      <c r="AD492" s="411">
        <f t="shared" si="144"/>
        <v>0</v>
      </c>
      <c r="AE492" s="411">
        <f t="shared" si="144"/>
        <v>0</v>
      </c>
      <c r="AF492" s="411">
        <f t="shared" si="144"/>
        <v>0</v>
      </c>
      <c r="AG492" s="411">
        <f t="shared" si="144"/>
        <v>0</v>
      </c>
      <c r="AH492" s="411">
        <f t="shared" si="144"/>
        <v>0</v>
      </c>
      <c r="AI492" s="411">
        <f t="shared" si="144"/>
        <v>0</v>
      </c>
      <c r="AJ492" s="411">
        <f t="shared" si="144"/>
        <v>0</v>
      </c>
      <c r="AK492" s="411">
        <f t="shared" si="144"/>
        <v>0</v>
      </c>
      <c r="AL492" s="411">
        <f t="shared" si="144"/>
        <v>0</v>
      </c>
      <c r="AM492" s="306"/>
    </row>
    <row r="493" spans="1:39" ht="15.75"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45">AA494</f>
        <v>0</v>
      </c>
      <c r="AB495" s="411">
        <f t="shared" si="145"/>
        <v>0</v>
      </c>
      <c r="AC495" s="411">
        <f t="shared" si="145"/>
        <v>0</v>
      </c>
      <c r="AD495" s="411">
        <f t="shared" si="145"/>
        <v>0</v>
      </c>
      <c r="AE495" s="411">
        <f t="shared" si="145"/>
        <v>0</v>
      </c>
      <c r="AF495" s="411">
        <f t="shared" si="145"/>
        <v>0</v>
      </c>
      <c r="AG495" s="411">
        <f t="shared" si="145"/>
        <v>0</v>
      </c>
      <c r="AH495" s="411">
        <f t="shared" si="145"/>
        <v>0</v>
      </c>
      <c r="AI495" s="411">
        <f t="shared" si="145"/>
        <v>0</v>
      </c>
      <c r="AJ495" s="411">
        <f t="shared" si="145"/>
        <v>0</v>
      </c>
      <c r="AK495" s="411">
        <f t="shared" si="145"/>
        <v>0</v>
      </c>
      <c r="AL495" s="411">
        <f t="shared" si="145"/>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46">Z497</f>
        <v>0</v>
      </c>
      <c r="AA498" s="411">
        <f t="shared" si="146"/>
        <v>0</v>
      </c>
      <c r="AB498" s="411">
        <f t="shared" si="146"/>
        <v>0</v>
      </c>
      <c r="AC498" s="411">
        <f t="shared" si="146"/>
        <v>0</v>
      </c>
      <c r="AD498" s="411">
        <f t="shared" si="146"/>
        <v>0</v>
      </c>
      <c r="AE498" s="411">
        <f t="shared" si="146"/>
        <v>0</v>
      </c>
      <c r="AF498" s="411">
        <f t="shared" si="146"/>
        <v>0</v>
      </c>
      <c r="AG498" s="411">
        <f t="shared" si="146"/>
        <v>0</v>
      </c>
      <c r="AH498" s="411">
        <f t="shared" si="146"/>
        <v>0</v>
      </c>
      <c r="AI498" s="411">
        <f t="shared" si="146"/>
        <v>0</v>
      </c>
      <c r="AJ498" s="411">
        <f t="shared" si="146"/>
        <v>0</v>
      </c>
      <c r="AK498" s="411">
        <f t="shared" si="146"/>
        <v>0</v>
      </c>
      <c r="AL498" s="411">
        <f t="shared" si="146"/>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488</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47">Z500</f>
        <v>0</v>
      </c>
      <c r="AA501" s="411">
        <f t="shared" si="147"/>
        <v>0</v>
      </c>
      <c r="AB501" s="411">
        <f t="shared" si="147"/>
        <v>0</v>
      </c>
      <c r="AC501" s="411">
        <f t="shared" si="147"/>
        <v>0</v>
      </c>
      <c r="AD501" s="411">
        <f t="shared" si="147"/>
        <v>0</v>
      </c>
      <c r="AE501" s="411">
        <f t="shared" si="147"/>
        <v>0</v>
      </c>
      <c r="AF501" s="411">
        <f t="shared" si="147"/>
        <v>0</v>
      </c>
      <c r="AG501" s="411">
        <f t="shared" si="147"/>
        <v>0</v>
      </c>
      <c r="AH501" s="411">
        <f t="shared" si="147"/>
        <v>0</v>
      </c>
      <c r="AI501" s="411">
        <f t="shared" si="147"/>
        <v>0</v>
      </c>
      <c r="AJ501" s="411">
        <f t="shared" si="147"/>
        <v>0</v>
      </c>
      <c r="AK501" s="411">
        <f t="shared" si="147"/>
        <v>0</v>
      </c>
      <c r="AL501" s="411">
        <f t="shared" si="147"/>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9"/>
      <c r="B503" s="288" t="s">
        <v>489</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490</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48">Z504</f>
        <v>0</v>
      </c>
      <c r="AA505" s="411">
        <f t="shared" si="148"/>
        <v>0</v>
      </c>
      <c r="AB505" s="411">
        <f t="shared" si="148"/>
        <v>0</v>
      </c>
      <c r="AC505" s="411">
        <f t="shared" si="148"/>
        <v>0</v>
      </c>
      <c r="AD505" s="411">
        <f t="shared" si="148"/>
        <v>0</v>
      </c>
      <c r="AE505" s="411">
        <f t="shared" si="148"/>
        <v>0</v>
      </c>
      <c r="AF505" s="411">
        <f t="shared" si="148"/>
        <v>0</v>
      </c>
      <c r="AG505" s="411">
        <f t="shared" si="148"/>
        <v>0</v>
      </c>
      <c r="AH505" s="411">
        <f t="shared" si="148"/>
        <v>0</v>
      </c>
      <c r="AI505" s="411">
        <f t="shared" si="148"/>
        <v>0</v>
      </c>
      <c r="AJ505" s="411">
        <f t="shared" si="148"/>
        <v>0</v>
      </c>
      <c r="AK505" s="411">
        <f t="shared" si="148"/>
        <v>0</v>
      </c>
      <c r="AL505" s="411">
        <f t="shared" si="148"/>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491</v>
      </c>
      <c r="C507" s="291" t="s">
        <v>25</v>
      </c>
      <c r="D507" s="295"/>
      <c r="E507" s="295"/>
      <c r="F507" s="295"/>
      <c r="G507" s="295"/>
      <c r="H507" s="295"/>
      <c r="I507" s="295"/>
      <c r="J507" s="295"/>
      <c r="K507" s="295"/>
      <c r="L507" s="295"/>
      <c r="M507" s="295"/>
      <c r="N507" s="295">
        <v>0</v>
      </c>
      <c r="O507" s="295"/>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 outlineLevel="1">
      <c r="A508" s="509"/>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49">Z507</f>
        <v>0</v>
      </c>
      <c r="AA508" s="411">
        <f t="shared" si="149"/>
        <v>0</v>
      </c>
      <c r="AB508" s="411">
        <f t="shared" si="149"/>
        <v>0</v>
      </c>
      <c r="AC508" s="411">
        <f t="shared" si="149"/>
        <v>0</v>
      </c>
      <c r="AD508" s="411">
        <f t="shared" si="149"/>
        <v>0</v>
      </c>
      <c r="AE508" s="411">
        <f t="shared" si="149"/>
        <v>0</v>
      </c>
      <c r="AF508" s="411">
        <f t="shared" si="149"/>
        <v>0</v>
      </c>
      <c r="AG508" s="411">
        <f t="shared" si="149"/>
        <v>0</v>
      </c>
      <c r="AH508" s="411">
        <f t="shared" si="149"/>
        <v>0</v>
      </c>
      <c r="AI508" s="411">
        <f t="shared" si="149"/>
        <v>0</v>
      </c>
      <c r="AJ508" s="411">
        <f t="shared" si="149"/>
        <v>0</v>
      </c>
      <c r="AK508" s="411">
        <f t="shared" si="149"/>
        <v>0</v>
      </c>
      <c r="AL508" s="411">
        <f t="shared" si="149"/>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492</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0">Z510</f>
        <v>0</v>
      </c>
      <c r="AA511" s="411">
        <f t="shared" si="150"/>
        <v>0</v>
      </c>
      <c r="AB511" s="411">
        <f t="shared" si="150"/>
        <v>0</v>
      </c>
      <c r="AC511" s="411">
        <f t="shared" si="150"/>
        <v>0</v>
      </c>
      <c r="AD511" s="411">
        <f t="shared" si="150"/>
        <v>0</v>
      </c>
      <c r="AE511" s="411">
        <f t="shared" si="150"/>
        <v>0</v>
      </c>
      <c r="AF511" s="411">
        <f t="shared" si="150"/>
        <v>0</v>
      </c>
      <c r="AG511" s="411">
        <f t="shared" si="150"/>
        <v>0</v>
      </c>
      <c r="AH511" s="411">
        <f t="shared" si="150"/>
        <v>0</v>
      </c>
      <c r="AI511" s="411">
        <f t="shared" si="150"/>
        <v>0</v>
      </c>
      <c r="AJ511" s="411">
        <f t="shared" si="150"/>
        <v>0</v>
      </c>
      <c r="AK511" s="411">
        <f t="shared" si="150"/>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260</v>
      </c>
      <c r="C513" s="329"/>
      <c r="D513" s="329">
        <f>SUM(D408:D511)</f>
        <v>1022692.1323932668</v>
      </c>
      <c r="E513" s="329"/>
      <c r="F513" s="329"/>
      <c r="G513" s="329"/>
      <c r="H513" s="329"/>
      <c r="I513" s="329"/>
      <c r="J513" s="329"/>
      <c r="K513" s="329"/>
      <c r="L513" s="329"/>
      <c r="M513" s="329"/>
      <c r="N513" s="329"/>
      <c r="O513" s="329">
        <f>SUM(O408:O511)</f>
        <v>196.73337292231915</v>
      </c>
      <c r="P513" s="329"/>
      <c r="Q513" s="329"/>
      <c r="R513" s="329"/>
      <c r="S513" s="329"/>
      <c r="T513" s="329"/>
      <c r="U513" s="329"/>
      <c r="V513" s="329"/>
      <c r="W513" s="329"/>
      <c r="X513" s="329"/>
      <c r="Y513" s="329">
        <f>IF(Y407="kWh",SUMPRODUCT(D408:D511,Y408:Y511))</f>
        <v>463035.38373326673</v>
      </c>
      <c r="Z513" s="329">
        <f>IF(Z407="kWh",SUMPRODUCT(D408:D511,Z408:Z511))</f>
        <v>462427.82835076435</v>
      </c>
      <c r="AA513" s="329">
        <f>IF(AA407="kW",SUMPRODUCT(N408:N511,O408:O511,AA408:AA511),SUMPRODUCT(D408:D511,AA408:AA511))</f>
        <v>209.73231802871084</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1.1900000000000001E-2</v>
      </c>
      <c r="Z516" s="341">
        <f>HLOOKUP(Z$20,'3.  Distribution Rates'!$C$122:$P$133,6,FALSE)</f>
        <v>1.29E-2</v>
      </c>
      <c r="AA516" s="341">
        <f>HLOOKUP(AA$20,'3.  Distribution Rates'!$C$122:$P$133,6,FALSE)</f>
        <v>1.7419</v>
      </c>
      <c r="AB516" s="341">
        <f>HLOOKUP(AB$20,'3.  Distribution Rates'!$C$122:$P$133,6,FALSE)</f>
        <v>5.2229999999999999</v>
      </c>
      <c r="AC516" s="341">
        <f>HLOOKUP(AC$20,'3.  Distribution Rates'!$C$122:$P$133,6,FALSE)</f>
        <v>1.14E-2</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3457.3897645647135</v>
      </c>
      <c r="Z517" s="378">
        <f t="shared" ref="Z517:AL517" si="151">Z137*Z516</f>
        <v>7815.2176809654284</v>
      </c>
      <c r="AA517" s="378">
        <f t="shared" si="151"/>
        <v>447.84248999999994</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9">
        <f>SUM(Y517:AL517)</f>
        <v>11720.449935530141</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2299.4260799223807</v>
      </c>
      <c r="Z518" s="378">
        <f t="shared" ref="Z518:AL518" si="152">Z266*Z516</f>
        <v>2809.2229806456435</v>
      </c>
      <c r="AA518" s="378">
        <f t="shared" si="152"/>
        <v>2529.1358622686903</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9">
        <f>SUM(Y518:AL518)</f>
        <v>7637.7849228367149</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1721.5240130364277</v>
      </c>
      <c r="Z519" s="378">
        <f t="shared" ref="Z519:AL519" si="153">Z395*Z516</f>
        <v>4176.681165840625</v>
      </c>
      <c r="AA519" s="378">
        <f t="shared" si="153"/>
        <v>2175.3700822623427</v>
      </c>
      <c r="AB519" s="378">
        <f t="shared" si="153"/>
        <v>0</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9">
        <f>SUM(Y519:AL519)</f>
        <v>8073.5752611393964</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5510.1210664258742</v>
      </c>
      <c r="Z520" s="378">
        <f t="shared" ref="Z520:AK520" si="154">Z513*Z516</f>
        <v>5965.3189857248599</v>
      </c>
      <c r="AA520" s="378">
        <f t="shared" si="154"/>
        <v>365.33272477421139</v>
      </c>
      <c r="AB520" s="378">
        <f t="shared" si="154"/>
        <v>0</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9">
        <f>SUM(Y520:AL520)</f>
        <v>11840.772776924945</v>
      </c>
    </row>
    <row r="521" spans="2:41" ht="15.7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12988.460923949397</v>
      </c>
      <c r="Z521" s="346">
        <f t="shared" ref="Z521:AK521" si="155">SUM(Z517:Z520)</f>
        <v>20766.440813176559</v>
      </c>
      <c r="AA521" s="346">
        <f t="shared" si="155"/>
        <v>5517.6811593052453</v>
      </c>
      <c r="AB521" s="346">
        <f t="shared" si="155"/>
        <v>0</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39272.582896431202</v>
      </c>
    </row>
    <row r="522" spans="2:41" ht="15.7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56">Z514*Z516</f>
        <v>0</v>
      </c>
      <c r="AA522" s="347">
        <f>AA514*AA516</f>
        <v>0</v>
      </c>
      <c r="AB522" s="347">
        <f t="shared" si="156"/>
        <v>0</v>
      </c>
      <c r="AC522" s="347">
        <f t="shared" si="156"/>
        <v>0</v>
      </c>
      <c r="AD522" s="347">
        <f>AD514*AD516</f>
        <v>0</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0</v>
      </c>
    </row>
    <row r="523" spans="2:41" ht="15.7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39272.582896431202</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421484.31708326674</v>
      </c>
      <c r="Z526" s="291">
        <f>SUMPRODUCT(E408:E511,Z408:Z511)</f>
        <v>462427.82835076435</v>
      </c>
      <c r="AA526" s="291">
        <f>IF(AA407="kW",SUMPRODUCT(N408:N511,P408:P511,AA408:AA511),SUMPRODUCT(E408:E511,AA408:AA511))</f>
        <v>209.73231802871084</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399999.82798326673</v>
      </c>
      <c r="Z527" s="291">
        <f>SUMPRODUCT(F408:F511,Z408:Z511)</f>
        <v>418553.75415076438</v>
      </c>
      <c r="AA527" s="291">
        <f>IF(AA407="kW",SUMPRODUCT(N408:N511,Q408:Q511,AA408:AA511),SUMPRODUCT(F408:F511,AA408:AA511))</f>
        <v>209.73231802871084</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399791.01189006673</v>
      </c>
      <c r="Z528" s="291">
        <f>SUMPRODUCT(G408:G511,Z408:Z511)</f>
        <v>396189.76735076436</v>
      </c>
      <c r="AA528" s="291">
        <f>IF(AA407="kW",SUMPRODUCT(N408:N511,R408:R511,AA408:AA511),SUMPRODUCT(G408:G511,AA408:AA511))</f>
        <v>209.73231802871084</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391742.71938459703</v>
      </c>
      <c r="Z529" s="291">
        <f>SUMPRODUCT(H408:H511,Z408:Z511)</f>
        <v>330916.19729076436</v>
      </c>
      <c r="AA529" s="291">
        <f>IF(AA407="kW",SUMPRODUCT(N408:N511,S408:S511,AA408:AA511),SUMPRODUCT(H408:H511,AA408:AA511))</f>
        <v>209.73231802871084</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383569.3100766</v>
      </c>
      <c r="Z530" s="291">
        <f>SUMPRODUCT(I408:I511,Z408:Z511)</f>
        <v>330916.19729076436</v>
      </c>
      <c r="AA530" s="291">
        <f>IF(AA407="kW",SUMPRODUCT(N408:N511,T408:T511,AA408:AA511),SUMPRODUCT(I408:I511,AA408:AA511))</f>
        <v>209.73231802871084</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383569.3100766</v>
      </c>
      <c r="Z531" s="326">
        <f>SUMPRODUCT(J408:J511,Z408:Z511)</f>
        <v>328109.29293563176</v>
      </c>
      <c r="AA531" s="326">
        <f>IF(AA407="kW",SUMPRODUCT(N408:N511,U408:U511,AA408:AA511),SUMPRODUCT(J408:J511,AA408:AA511))</f>
        <v>209.4712918181736</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581</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5" t="s">
        <v>525</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3:AP1130"/>
  <sheetViews>
    <sheetView topLeftCell="A951" zoomScale="90" zoomScaleNormal="90" workbookViewId="0">
      <pane xSplit="2" topLeftCell="I1" activePane="topRight" state="frozen"/>
      <selection pane="topRight" activeCell="Y1120" sqref="Y1120"/>
    </sheetView>
  </sheetViews>
  <sheetFormatPr defaultColWidth="9" defaultRowHeight="15" outlineLevelRow="1" outlineLevelCol="1"/>
  <cols>
    <col min="1" max="1" width="4.5703125" style="522" customWidth="1"/>
    <col min="2" max="2" width="44" style="427" customWidth="1"/>
    <col min="3" max="3" width="13.42578125" style="427" customWidth="1"/>
    <col min="4" max="4" width="15.5703125" style="427" bestFit="1" customWidth="1"/>
    <col min="5" max="13" width="10.140625" style="427" customWidth="1" outlineLevel="1"/>
    <col min="14" max="14" width="13.5703125" style="427" customWidth="1" outlineLevel="1"/>
    <col min="15" max="15" width="15.5703125" style="427" customWidth="1"/>
    <col min="16" max="24" width="9" style="427" customWidth="1" outlineLevel="1"/>
    <col min="25" max="25" width="16.5703125" style="427" customWidth="1"/>
    <col min="26" max="27" width="15" style="427" customWidth="1"/>
    <col min="28" max="28" width="17.5703125" style="427" customWidth="1"/>
    <col min="29" max="29" width="19.5703125" style="427" customWidth="1"/>
    <col min="30" max="30" width="18.5703125" style="427" customWidth="1"/>
    <col min="31" max="35" width="15" style="427" hidden="1" customWidth="1"/>
    <col min="36" max="38" width="17.28515625" style="427" hidden="1" customWidth="1"/>
    <col min="39" max="39" width="14.5703125" style="427" customWidth="1"/>
    <col min="40" max="40" width="11.5703125" style="427" customWidth="1"/>
    <col min="41" max="16384" width="9" style="427"/>
  </cols>
  <sheetData>
    <row r="13" spans="2:39" ht="15.75" thickBot="1"/>
    <row r="14" spans="2:39" ht="26.25" customHeight="1" thickBot="1">
      <c r="B14" s="854"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54"/>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54"/>
      <c r="C16" s="850" t="s">
        <v>550</v>
      </c>
      <c r="D16" s="851"/>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54" t="s">
        <v>504</v>
      </c>
      <c r="C18" s="855" t="s">
        <v>685</v>
      </c>
      <c r="D18" s="855"/>
      <c r="E18" s="855"/>
      <c r="F18" s="855"/>
      <c r="G18" s="855"/>
      <c r="H18" s="855"/>
      <c r="I18" s="855"/>
      <c r="J18" s="855"/>
      <c r="K18" s="855"/>
      <c r="L18" s="855"/>
      <c r="M18" s="855"/>
      <c r="N18" s="855"/>
      <c r="O18" s="855"/>
      <c r="P18" s="855"/>
      <c r="Q18" s="855"/>
      <c r="R18" s="855"/>
      <c r="S18" s="855"/>
      <c r="T18" s="855"/>
      <c r="U18" s="855"/>
      <c r="V18" s="855"/>
      <c r="W18" s="855"/>
      <c r="X18" s="855"/>
      <c r="Y18" s="606"/>
      <c r="Z18" s="606"/>
      <c r="AA18" s="606"/>
      <c r="AB18" s="606"/>
      <c r="AC18" s="606"/>
      <c r="AD18" s="606"/>
      <c r="AE18" s="270"/>
      <c r="AF18" s="265"/>
      <c r="AG18" s="265"/>
      <c r="AH18" s="265"/>
      <c r="AI18" s="265"/>
      <c r="AJ18" s="265"/>
      <c r="AK18" s="265"/>
      <c r="AL18" s="265"/>
      <c r="AM18" s="265"/>
    </row>
    <row r="19" spans="2:39" ht="45.75" customHeight="1">
      <c r="B19" s="854"/>
      <c r="C19" s="855" t="s">
        <v>564</v>
      </c>
      <c r="D19" s="855"/>
      <c r="E19" s="855"/>
      <c r="F19" s="855"/>
      <c r="G19" s="855"/>
      <c r="H19" s="855"/>
      <c r="I19" s="855"/>
      <c r="J19" s="855"/>
      <c r="K19" s="855"/>
      <c r="L19" s="855"/>
      <c r="M19" s="855"/>
      <c r="N19" s="855"/>
      <c r="O19" s="855"/>
      <c r="P19" s="855"/>
      <c r="Q19" s="855"/>
      <c r="R19" s="855"/>
      <c r="S19" s="855"/>
      <c r="T19" s="855"/>
      <c r="U19" s="855"/>
      <c r="V19" s="855"/>
      <c r="W19" s="855"/>
      <c r="X19" s="855"/>
      <c r="Y19" s="606"/>
      <c r="Z19" s="606"/>
      <c r="AA19" s="606"/>
      <c r="AB19" s="606"/>
      <c r="AC19" s="606"/>
      <c r="AD19" s="606"/>
      <c r="AE19" s="270"/>
      <c r="AF19" s="265"/>
      <c r="AG19" s="265"/>
      <c r="AH19" s="265"/>
      <c r="AI19" s="265"/>
      <c r="AJ19" s="265"/>
      <c r="AK19" s="265"/>
      <c r="AL19" s="265"/>
      <c r="AM19" s="265"/>
    </row>
    <row r="20" spans="2:39" ht="62.25" customHeight="1">
      <c r="B20" s="273"/>
      <c r="C20" s="855" t="s">
        <v>562</v>
      </c>
      <c r="D20" s="855"/>
      <c r="E20" s="855"/>
      <c r="F20" s="855"/>
      <c r="G20" s="855"/>
      <c r="H20" s="855"/>
      <c r="I20" s="855"/>
      <c r="J20" s="855"/>
      <c r="K20" s="855"/>
      <c r="L20" s="855"/>
      <c r="M20" s="855"/>
      <c r="N20" s="855"/>
      <c r="O20" s="855"/>
      <c r="P20" s="855"/>
      <c r="Q20" s="855"/>
      <c r="R20" s="855"/>
      <c r="S20" s="855"/>
      <c r="T20" s="855"/>
      <c r="U20" s="855"/>
      <c r="V20" s="855"/>
      <c r="W20" s="855"/>
      <c r="X20" s="855"/>
      <c r="Y20" s="606"/>
      <c r="Z20" s="606"/>
      <c r="AA20" s="606"/>
      <c r="AB20" s="606"/>
      <c r="AC20" s="606"/>
      <c r="AD20" s="606"/>
      <c r="AE20" s="428"/>
      <c r="AF20" s="265"/>
      <c r="AG20" s="265"/>
      <c r="AH20" s="265"/>
      <c r="AI20" s="265"/>
      <c r="AJ20" s="265"/>
      <c r="AK20" s="265"/>
      <c r="AL20" s="265"/>
      <c r="AM20" s="265"/>
    </row>
    <row r="21" spans="2:39" ht="37.5" customHeight="1">
      <c r="B21" s="273"/>
      <c r="C21" s="855" t="s">
        <v>628</v>
      </c>
      <c r="D21" s="855"/>
      <c r="E21" s="855"/>
      <c r="F21" s="855"/>
      <c r="G21" s="855"/>
      <c r="H21" s="855"/>
      <c r="I21" s="855"/>
      <c r="J21" s="855"/>
      <c r="K21" s="855"/>
      <c r="L21" s="855"/>
      <c r="M21" s="855"/>
      <c r="N21" s="855"/>
      <c r="O21" s="855"/>
      <c r="P21" s="855"/>
      <c r="Q21" s="855"/>
      <c r="R21" s="855"/>
      <c r="S21" s="855"/>
      <c r="T21" s="855"/>
      <c r="U21" s="855"/>
      <c r="V21" s="855"/>
      <c r="W21" s="855"/>
      <c r="X21" s="855"/>
      <c r="Y21" s="606"/>
      <c r="Z21" s="606"/>
      <c r="AA21" s="606"/>
      <c r="AB21" s="606"/>
      <c r="AC21" s="606"/>
      <c r="AD21" s="606"/>
      <c r="AE21" s="276"/>
      <c r="AF21" s="265"/>
      <c r="AG21" s="265"/>
      <c r="AH21" s="265"/>
      <c r="AI21" s="265"/>
      <c r="AJ21" s="265"/>
      <c r="AK21" s="265"/>
      <c r="AL21" s="265"/>
      <c r="AM21" s="265"/>
    </row>
    <row r="22" spans="2:39" ht="54.75" customHeight="1">
      <c r="B22" s="273"/>
      <c r="C22" s="855" t="s">
        <v>612</v>
      </c>
      <c r="D22" s="855"/>
      <c r="E22" s="855"/>
      <c r="F22" s="855"/>
      <c r="G22" s="855"/>
      <c r="H22" s="855"/>
      <c r="I22" s="855"/>
      <c r="J22" s="855"/>
      <c r="K22" s="855"/>
      <c r="L22" s="855"/>
      <c r="M22" s="855"/>
      <c r="N22" s="855"/>
      <c r="O22" s="855"/>
      <c r="P22" s="855"/>
      <c r="Q22" s="855"/>
      <c r="R22" s="855"/>
      <c r="S22" s="855"/>
      <c r="T22" s="855"/>
      <c r="U22" s="855"/>
      <c r="V22" s="855"/>
      <c r="W22" s="855"/>
      <c r="X22" s="855"/>
      <c r="Y22" s="606"/>
      <c r="Z22" s="606"/>
      <c r="AA22" s="606"/>
      <c r="AB22" s="606"/>
      <c r="AC22" s="606"/>
      <c r="AD22" s="606"/>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54" t="s">
        <v>526</v>
      </c>
      <c r="C24" s="596" t="s">
        <v>528</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54"/>
      <c r="C25" s="596" t="s">
        <v>529</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9"/>
      <c r="C26" s="596" t="s">
        <v>530</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9"/>
      <c r="C27" s="596" t="s">
        <v>531</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9"/>
      <c r="C28" s="596" t="s">
        <v>532</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9"/>
      <c r="C29" s="596" t="s">
        <v>533</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56" t="s">
        <v>211</v>
      </c>
      <c r="C34" s="858" t="s">
        <v>33</v>
      </c>
      <c r="D34" s="284" t="s">
        <v>421</v>
      </c>
      <c r="E34" s="860" t="s">
        <v>209</v>
      </c>
      <c r="F34" s="861"/>
      <c r="G34" s="861"/>
      <c r="H34" s="861"/>
      <c r="I34" s="861"/>
      <c r="J34" s="861"/>
      <c r="K34" s="861"/>
      <c r="L34" s="861"/>
      <c r="M34" s="862"/>
      <c r="N34" s="866" t="s">
        <v>213</v>
      </c>
      <c r="O34" s="284" t="s">
        <v>422</v>
      </c>
      <c r="P34" s="860" t="s">
        <v>212</v>
      </c>
      <c r="Q34" s="861"/>
      <c r="R34" s="861"/>
      <c r="S34" s="861"/>
      <c r="T34" s="861"/>
      <c r="U34" s="861"/>
      <c r="V34" s="861"/>
      <c r="W34" s="861"/>
      <c r="X34" s="862"/>
      <c r="Y34" s="863" t="s">
        <v>243</v>
      </c>
      <c r="Z34" s="864"/>
      <c r="AA34" s="864"/>
      <c r="AB34" s="864"/>
      <c r="AC34" s="864"/>
      <c r="AD34" s="864"/>
      <c r="AE34" s="864"/>
      <c r="AF34" s="864"/>
      <c r="AG34" s="864"/>
      <c r="AH34" s="864"/>
      <c r="AI34" s="864"/>
      <c r="AJ34" s="864"/>
      <c r="AK34" s="864"/>
      <c r="AL34" s="864"/>
      <c r="AM34" s="865"/>
    </row>
    <row r="35" spans="1:39" ht="65.25" customHeight="1">
      <c r="B35" s="857"/>
      <c r="C35" s="859"/>
      <c r="D35" s="285">
        <v>2015</v>
      </c>
      <c r="E35" s="285">
        <v>2016</v>
      </c>
      <c r="F35" s="285">
        <v>2017</v>
      </c>
      <c r="G35" s="285">
        <v>2018</v>
      </c>
      <c r="H35" s="285">
        <v>2019</v>
      </c>
      <c r="I35" s="285">
        <v>2020</v>
      </c>
      <c r="J35" s="285">
        <v>2021</v>
      </c>
      <c r="K35" s="285">
        <v>2022</v>
      </c>
      <c r="L35" s="285">
        <v>2023</v>
      </c>
      <c r="M35" s="429">
        <v>2024</v>
      </c>
      <c r="N35" s="867"/>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 50 - 4,999 kW</v>
      </c>
      <c r="AB35" s="285" t="str">
        <f>'1.  LRAMVA Summary'!G52</f>
        <v>Street Light</v>
      </c>
      <c r="AC35" s="285" t="str">
        <f>'1.  LRAMVA Summary'!H52</f>
        <v>USL</v>
      </c>
      <c r="AD35" s="285" t="str">
        <f>'1.  LRAMVA Summary'!I52</f>
        <v>Embedded Distributor</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503</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kWh</v>
      </c>
      <c r="AD36" s="291" t="str">
        <f>'1.  LRAMVA Summary'!I53</f>
        <v>kW</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496</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2">
        <v>1</v>
      </c>
      <c r="B38" s="520" t="s">
        <v>95</v>
      </c>
      <c r="C38" s="291" t="s">
        <v>25</v>
      </c>
      <c r="D38" s="295">
        <f>'7.  Persistence Report'!AU95</f>
        <v>114215</v>
      </c>
      <c r="E38" s="295">
        <f>'7.  Persistence Report'!AV95</f>
        <v>113176</v>
      </c>
      <c r="F38" s="295">
        <f>'7.  Persistence Report'!AW95</f>
        <v>113176</v>
      </c>
      <c r="G38" s="295">
        <f>'7.  Persistence Report'!AX95</f>
        <v>113176</v>
      </c>
      <c r="H38" s="295">
        <f>'7.  Persistence Report'!AY95</f>
        <v>113176</v>
      </c>
      <c r="I38" s="295">
        <f>'7.  Persistence Report'!AZ95</f>
        <v>113176</v>
      </c>
      <c r="J38" s="295">
        <f>'7.  Persistence Report'!BA95</f>
        <v>113176</v>
      </c>
      <c r="K38" s="295">
        <f>'7.  Persistence Report'!BB95</f>
        <v>113151</v>
      </c>
      <c r="L38" s="295">
        <f>'7.  Persistence Report'!BC95</f>
        <v>113151</v>
      </c>
      <c r="M38" s="295">
        <f>'7.  Persistence Report'!BD95</f>
        <v>113151</v>
      </c>
      <c r="N38" s="291"/>
      <c r="O38" s="295">
        <f>'7.  Persistence Report'!P95</f>
        <v>7</v>
      </c>
      <c r="P38" s="295">
        <f>'7.  Persistence Report'!Q95</f>
        <v>7</v>
      </c>
      <c r="Q38" s="295">
        <f>'7.  Persistence Report'!R95</f>
        <v>7</v>
      </c>
      <c r="R38" s="295">
        <f>'7.  Persistence Report'!S95</f>
        <v>7</v>
      </c>
      <c r="S38" s="295">
        <f>'7.  Persistence Report'!T95</f>
        <v>7</v>
      </c>
      <c r="T38" s="295">
        <f>'7.  Persistence Report'!U95</f>
        <v>7</v>
      </c>
      <c r="U38" s="295">
        <f>'7.  Persistence Report'!V95</f>
        <v>7</v>
      </c>
      <c r="V38" s="295">
        <f>'7.  Persistence Report'!W95</f>
        <v>7</v>
      </c>
      <c r="W38" s="295">
        <f>'7.  Persistence Report'!X95</f>
        <v>7</v>
      </c>
      <c r="X38" s="295">
        <f>'7.  Persistence Report'!Y95</f>
        <v>7</v>
      </c>
      <c r="Y38" s="470">
        <v>1</v>
      </c>
      <c r="Z38" s="410"/>
      <c r="AA38" s="410"/>
      <c r="AB38" s="410"/>
      <c r="AC38" s="410"/>
      <c r="AD38" s="410"/>
      <c r="AE38" s="410"/>
      <c r="AF38" s="410"/>
      <c r="AG38" s="410"/>
      <c r="AH38" s="410"/>
      <c r="AI38" s="410"/>
      <c r="AJ38" s="410"/>
      <c r="AK38" s="410"/>
      <c r="AL38" s="410"/>
      <c r="AM38" s="296">
        <f>SUM(Y38:AL38)</f>
        <v>1</v>
      </c>
    </row>
    <row r="39" spans="1:39" outlineLevel="1">
      <c r="B39" s="294" t="s">
        <v>267</v>
      </c>
      <c r="C39" s="291" t="s">
        <v>163</v>
      </c>
      <c r="D39" s="295">
        <f>'7.  Persistence Report'!AU107</f>
        <v>19013</v>
      </c>
      <c r="E39" s="295">
        <f>'7.  Persistence Report'!AV107</f>
        <v>18740</v>
      </c>
      <c r="F39" s="295">
        <f>'7.  Persistence Report'!AW107</f>
        <v>18740</v>
      </c>
      <c r="G39" s="295">
        <f>'7.  Persistence Report'!AX107</f>
        <v>18740</v>
      </c>
      <c r="H39" s="295">
        <f>'7.  Persistence Report'!AY107</f>
        <v>18740</v>
      </c>
      <c r="I39" s="295">
        <f>'7.  Persistence Report'!AZ107</f>
        <v>18740</v>
      </c>
      <c r="J39" s="295">
        <f>'7.  Persistence Report'!BA107</f>
        <v>18740</v>
      </c>
      <c r="K39" s="295">
        <f>'7.  Persistence Report'!BB107</f>
        <v>18732</v>
      </c>
      <c r="L39" s="295">
        <f>'7.  Persistence Report'!BC107</f>
        <v>18732</v>
      </c>
      <c r="M39" s="295">
        <f>'7.  Persistence Report'!BD107</f>
        <v>18732</v>
      </c>
      <c r="N39" s="468"/>
      <c r="O39" s="295">
        <f>'7.  Persistence Report'!P107</f>
        <v>1</v>
      </c>
      <c r="P39" s="295">
        <f>'7.  Persistence Report'!Q107</f>
        <v>1</v>
      </c>
      <c r="Q39" s="295">
        <f>'7.  Persistence Report'!R107</f>
        <v>1</v>
      </c>
      <c r="R39" s="295">
        <f>'7.  Persistence Report'!S107</f>
        <v>1</v>
      </c>
      <c r="S39" s="295">
        <f>'7.  Persistence Report'!T107</f>
        <v>1</v>
      </c>
      <c r="T39" s="295">
        <f>'7.  Persistence Report'!U107</f>
        <v>1</v>
      </c>
      <c r="U39" s="295">
        <f>'7.  Persistence Report'!V107</f>
        <v>1</v>
      </c>
      <c r="V39" s="295">
        <f>'7.  Persistence Report'!W107</f>
        <v>1</v>
      </c>
      <c r="W39" s="295">
        <f>'7.  Persistence Report'!X107</f>
        <v>1</v>
      </c>
      <c r="X39" s="295">
        <f>'7.  Persistence Report'!Y107</f>
        <v>1</v>
      </c>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2">
        <v>2</v>
      </c>
      <c r="B41" s="520" t="s">
        <v>96</v>
      </c>
      <c r="C41" s="291" t="s">
        <v>25</v>
      </c>
      <c r="D41" s="295">
        <f>'7.  Persistence Report'!AU96</f>
        <v>210320</v>
      </c>
      <c r="E41" s="295">
        <f>'7.  Persistence Report'!AV96</f>
        <v>206582</v>
      </c>
      <c r="F41" s="295">
        <f>'7.  Persistence Report'!AW96</f>
        <v>206582</v>
      </c>
      <c r="G41" s="295">
        <f>'7.  Persistence Report'!AX96</f>
        <v>206582</v>
      </c>
      <c r="H41" s="295">
        <f>'7.  Persistence Report'!AY96</f>
        <v>206582</v>
      </c>
      <c r="I41" s="295">
        <f>'7.  Persistence Report'!AZ96</f>
        <v>206582</v>
      </c>
      <c r="J41" s="295">
        <f>'7.  Persistence Report'!BA96</f>
        <v>206582</v>
      </c>
      <c r="K41" s="295">
        <f>'7.  Persistence Report'!BB96</f>
        <v>206474</v>
      </c>
      <c r="L41" s="295">
        <f>'7.  Persistence Report'!BC96</f>
        <v>206474</v>
      </c>
      <c r="M41" s="295">
        <f>'7.  Persistence Report'!BD96</f>
        <v>206474</v>
      </c>
      <c r="N41" s="291"/>
      <c r="O41" s="295">
        <f>'7.  Persistence Report'!P96</f>
        <v>14</v>
      </c>
      <c r="P41" s="295">
        <f>'7.  Persistence Report'!Q96</f>
        <v>14</v>
      </c>
      <c r="Q41" s="295">
        <f>'7.  Persistence Report'!R96</f>
        <v>14</v>
      </c>
      <c r="R41" s="295">
        <f>'7.  Persistence Report'!S96</f>
        <v>14</v>
      </c>
      <c r="S41" s="295">
        <f>'7.  Persistence Report'!T96</f>
        <v>14</v>
      </c>
      <c r="T41" s="295">
        <f>'7.  Persistence Report'!U96</f>
        <v>14</v>
      </c>
      <c r="U41" s="295">
        <f>'7.  Persistence Report'!V96</f>
        <v>14</v>
      </c>
      <c r="V41" s="295">
        <f>'7.  Persistence Report'!W96</f>
        <v>14</v>
      </c>
      <c r="W41" s="295">
        <f>'7.  Persistence Report'!X96</f>
        <v>14</v>
      </c>
      <c r="X41" s="295">
        <f>'7.  Persistence Report'!Y96</f>
        <v>14</v>
      </c>
      <c r="Y41" s="470">
        <v>1</v>
      </c>
      <c r="Z41" s="410"/>
      <c r="AA41" s="410"/>
      <c r="AB41" s="410"/>
      <c r="AC41" s="410"/>
      <c r="AD41" s="410"/>
      <c r="AE41" s="410"/>
      <c r="AF41" s="410"/>
      <c r="AG41" s="410"/>
      <c r="AH41" s="410"/>
      <c r="AI41" s="410"/>
      <c r="AJ41" s="410"/>
      <c r="AK41" s="410"/>
      <c r="AL41" s="410"/>
      <c r="AM41" s="296">
        <f>SUM(Y41:AL41)</f>
        <v>1</v>
      </c>
    </row>
    <row r="42" spans="1:39" outlineLevel="1">
      <c r="B42" s="294" t="s">
        <v>267</v>
      </c>
      <c r="C42" s="291" t="s">
        <v>163</v>
      </c>
      <c r="D42" s="295">
        <f>'7.  Persistence Report'!AU108</f>
        <v>2175</v>
      </c>
      <c r="E42" s="295">
        <f>'7.  Persistence Report'!AV108</f>
        <v>2150</v>
      </c>
      <c r="F42" s="295">
        <f>'7.  Persistence Report'!AW108</f>
        <v>2150</v>
      </c>
      <c r="G42" s="295">
        <f>'7.  Persistence Report'!AX108</f>
        <v>2150</v>
      </c>
      <c r="H42" s="295">
        <f>'7.  Persistence Report'!AY108</f>
        <v>2150</v>
      </c>
      <c r="I42" s="295">
        <f>'7.  Persistence Report'!AZ108</f>
        <v>2150</v>
      </c>
      <c r="J42" s="295">
        <f>'7.  Persistence Report'!BA108</f>
        <v>2150</v>
      </c>
      <c r="K42" s="295">
        <f>'7.  Persistence Report'!BB108</f>
        <v>2145</v>
      </c>
      <c r="L42" s="295">
        <f>'7.  Persistence Report'!BC108</f>
        <v>2145</v>
      </c>
      <c r="M42" s="295">
        <f>'7.  Persistence Report'!BD108</f>
        <v>2145</v>
      </c>
      <c r="N42" s="468"/>
      <c r="O42" s="295">
        <f>'7.  Persistence Report'!P108</f>
        <v>0</v>
      </c>
      <c r="P42" s="295">
        <f>'7.  Persistence Report'!Q108</f>
        <v>0</v>
      </c>
      <c r="Q42" s="295">
        <f>'7.  Persistence Report'!R108</f>
        <v>0</v>
      </c>
      <c r="R42" s="295">
        <f>'7.  Persistence Report'!S108</f>
        <v>0</v>
      </c>
      <c r="S42" s="295">
        <f>'7.  Persistence Report'!T108</f>
        <v>0</v>
      </c>
      <c r="T42" s="295">
        <f>'7.  Persistence Report'!U108</f>
        <v>0</v>
      </c>
      <c r="U42" s="295">
        <f>'7.  Persistence Report'!V108</f>
        <v>0</v>
      </c>
      <c r="V42" s="295">
        <f>'7.  Persistence Report'!W108</f>
        <v>0</v>
      </c>
      <c r="W42" s="295">
        <f>'7.  Persistence Report'!X108</f>
        <v>0</v>
      </c>
      <c r="X42" s="295">
        <f>'7.  Persistence Report'!Y108</f>
        <v>0</v>
      </c>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2">
        <v>3</v>
      </c>
      <c r="B44" s="520" t="s">
        <v>97</v>
      </c>
      <c r="C44" s="291" t="s">
        <v>25</v>
      </c>
      <c r="D44" s="295">
        <f>'7.  Persistence Report'!AU94</f>
        <v>2951</v>
      </c>
      <c r="E44" s="295">
        <f>'7.  Persistence Report'!AV94</f>
        <v>2951</v>
      </c>
      <c r="F44" s="295">
        <f>'7.  Persistence Report'!AW94</f>
        <v>2951</v>
      </c>
      <c r="G44" s="295">
        <f>'7.  Persistence Report'!AX94</f>
        <v>2951</v>
      </c>
      <c r="H44" s="295">
        <f>'7.  Persistence Report'!AY94</f>
        <v>2442</v>
      </c>
      <c r="I44" s="295">
        <f>'7.  Persistence Report'!AZ94</f>
        <v>0</v>
      </c>
      <c r="J44" s="295">
        <f>'7.  Persistence Report'!BA94</f>
        <v>0</v>
      </c>
      <c r="K44" s="295">
        <f>'7.  Persistence Report'!BB94</f>
        <v>0</v>
      </c>
      <c r="L44" s="295">
        <f>'7.  Persistence Report'!BC94</f>
        <v>0</v>
      </c>
      <c r="M44" s="295">
        <f>'7.  Persistence Report'!BD94</f>
        <v>0</v>
      </c>
      <c r="N44" s="291"/>
      <c r="O44" s="295">
        <f>'7.  Persistence Report'!P94</f>
        <v>0</v>
      </c>
      <c r="P44" s="295">
        <f>'7.  Persistence Report'!Q94</f>
        <v>0</v>
      </c>
      <c r="Q44" s="295">
        <f>'7.  Persistence Report'!R94</f>
        <v>0</v>
      </c>
      <c r="R44" s="295">
        <f>'7.  Persistence Report'!S94</f>
        <v>0</v>
      </c>
      <c r="S44" s="295">
        <f>'7.  Persistence Report'!T94</f>
        <v>0</v>
      </c>
      <c r="T44" s="295">
        <f>'7.  Persistence Report'!U94</f>
        <v>0</v>
      </c>
      <c r="U44" s="295">
        <f>'7.  Persistence Report'!V94</f>
        <v>0</v>
      </c>
      <c r="V44" s="295">
        <f>'7.  Persistence Report'!W94</f>
        <v>0</v>
      </c>
      <c r="W44" s="295">
        <f>'7.  Persistence Report'!X94</f>
        <v>0</v>
      </c>
      <c r="X44" s="295">
        <f>'7.  Persistence Report'!Y94</f>
        <v>0</v>
      </c>
      <c r="Y44" s="470">
        <v>1</v>
      </c>
      <c r="Z44" s="410"/>
      <c r="AA44" s="410"/>
      <c r="AB44" s="410"/>
      <c r="AC44" s="410"/>
      <c r="AD44" s="410"/>
      <c r="AE44" s="410"/>
      <c r="AF44" s="410"/>
      <c r="AG44" s="410"/>
      <c r="AH44" s="410"/>
      <c r="AI44" s="410"/>
      <c r="AJ44" s="410"/>
      <c r="AK44" s="410"/>
      <c r="AL44" s="410"/>
      <c r="AM44" s="296">
        <f>SUM(Y44:AL44)</f>
        <v>1</v>
      </c>
    </row>
    <row r="45" spans="1:39" outlineLevel="1">
      <c r="B45" s="294" t="s">
        <v>267</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1</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2">
        <v>4</v>
      </c>
      <c r="B47" s="520" t="s">
        <v>671</v>
      </c>
      <c r="C47" s="291" t="s">
        <v>25</v>
      </c>
      <c r="D47" s="295">
        <f>'7.  Persistence Report'!AU97</f>
        <v>110171</v>
      </c>
      <c r="E47" s="295">
        <f>'7.  Persistence Report'!AV97</f>
        <v>110171</v>
      </c>
      <c r="F47" s="295">
        <f>'7.  Persistence Report'!AW97</f>
        <v>110171</v>
      </c>
      <c r="G47" s="295">
        <f>'7.  Persistence Report'!AX97</f>
        <v>110171</v>
      </c>
      <c r="H47" s="295">
        <f>'7.  Persistence Report'!AY97</f>
        <v>110171</v>
      </c>
      <c r="I47" s="295">
        <f>'7.  Persistence Report'!AZ97</f>
        <v>110171</v>
      </c>
      <c r="J47" s="295">
        <f>'7.  Persistence Report'!BA97</f>
        <v>110171</v>
      </c>
      <c r="K47" s="295">
        <f>'7.  Persistence Report'!BB97</f>
        <v>110171</v>
      </c>
      <c r="L47" s="295">
        <f>'7.  Persistence Report'!BC97</f>
        <v>110171</v>
      </c>
      <c r="M47" s="295">
        <f>'7.  Persistence Report'!BD97</f>
        <v>110171</v>
      </c>
      <c r="N47" s="291"/>
      <c r="O47" s="295">
        <f>'7.  Persistence Report'!P97</f>
        <v>59</v>
      </c>
      <c r="P47" s="295">
        <f>'7.  Persistence Report'!Q97</f>
        <v>59</v>
      </c>
      <c r="Q47" s="295">
        <f>'7.  Persistence Report'!R97</f>
        <v>59</v>
      </c>
      <c r="R47" s="295">
        <f>'7.  Persistence Report'!S97</f>
        <v>59</v>
      </c>
      <c r="S47" s="295">
        <f>'7.  Persistence Report'!T97</f>
        <v>59</v>
      </c>
      <c r="T47" s="295">
        <f>'7.  Persistence Report'!U97</f>
        <v>59</v>
      </c>
      <c r="U47" s="295">
        <f>'7.  Persistence Report'!V97</f>
        <v>59</v>
      </c>
      <c r="V47" s="295">
        <f>'7.  Persistence Report'!W97</f>
        <v>59</v>
      </c>
      <c r="W47" s="295">
        <f>'7.  Persistence Report'!X97</f>
        <v>59</v>
      </c>
      <c r="X47" s="295">
        <f>'7.  Persistence Report'!Y97</f>
        <v>59</v>
      </c>
      <c r="Y47" s="470">
        <v>1</v>
      </c>
      <c r="Z47" s="410"/>
      <c r="AA47" s="410"/>
      <c r="AB47" s="410"/>
      <c r="AC47" s="410"/>
      <c r="AD47" s="410"/>
      <c r="AE47" s="410"/>
      <c r="AF47" s="410"/>
      <c r="AG47" s="410"/>
      <c r="AH47" s="410"/>
      <c r="AI47" s="410"/>
      <c r="AJ47" s="410"/>
      <c r="AK47" s="410"/>
      <c r="AL47" s="410"/>
      <c r="AM47" s="296">
        <f>SUM(Y47:AL47)</f>
        <v>1</v>
      </c>
    </row>
    <row r="48" spans="1:39" outlineLevel="1">
      <c r="B48" s="294" t="s">
        <v>267</v>
      </c>
      <c r="C48" s="291" t="s">
        <v>163</v>
      </c>
      <c r="D48" s="295">
        <f>'7.  Persistence Report'!AU109</f>
        <v>2019</v>
      </c>
      <c r="E48" s="295">
        <f>'7.  Persistence Report'!AV109</f>
        <v>2019</v>
      </c>
      <c r="F48" s="295">
        <f>'7.  Persistence Report'!AW109</f>
        <v>2019</v>
      </c>
      <c r="G48" s="295">
        <f>'7.  Persistence Report'!AX109</f>
        <v>2019</v>
      </c>
      <c r="H48" s="295">
        <f>'7.  Persistence Report'!AY109</f>
        <v>2019</v>
      </c>
      <c r="I48" s="295">
        <f>'7.  Persistence Report'!AZ109</f>
        <v>2019</v>
      </c>
      <c r="J48" s="295">
        <f>'7.  Persistence Report'!BA109</f>
        <v>2019</v>
      </c>
      <c r="K48" s="295">
        <f>'7.  Persistence Report'!BB109</f>
        <v>2019</v>
      </c>
      <c r="L48" s="295">
        <f>'7.  Persistence Report'!BC109</f>
        <v>2019</v>
      </c>
      <c r="M48" s="295">
        <f>'7.  Persistence Report'!BD109</f>
        <v>2019</v>
      </c>
      <c r="N48" s="468"/>
      <c r="O48" s="295">
        <f>'7.  Persistence Report'!P109</f>
        <v>1</v>
      </c>
      <c r="P48" s="295">
        <f>'7.  Persistence Report'!Q109</f>
        <v>1</v>
      </c>
      <c r="Q48" s="295">
        <f>'7.  Persistence Report'!R109</f>
        <v>1</v>
      </c>
      <c r="R48" s="295">
        <f>'7.  Persistence Report'!S109</f>
        <v>1</v>
      </c>
      <c r="S48" s="295">
        <f>'7.  Persistence Report'!T109</f>
        <v>1</v>
      </c>
      <c r="T48" s="295">
        <f>'7.  Persistence Report'!U109</f>
        <v>1</v>
      </c>
      <c r="U48" s="295">
        <f>'7.  Persistence Report'!V109</f>
        <v>1</v>
      </c>
      <c r="V48" s="295">
        <f>'7.  Persistence Report'!W109</f>
        <v>1</v>
      </c>
      <c r="W48" s="295">
        <f>'7.  Persistence Report'!X109</f>
        <v>1</v>
      </c>
      <c r="X48" s="295">
        <f>'7.  Persistence Report'!Y109</f>
        <v>1</v>
      </c>
      <c r="Y48" s="411">
        <f>Y47</f>
        <v>1</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outlineLevel="1">
      <c r="B51" s="294" t="s">
        <v>267</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497</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2">
        <v>6</v>
      </c>
      <c r="B54" s="520" t="s">
        <v>99</v>
      </c>
      <c r="C54" s="291" t="s">
        <v>25</v>
      </c>
      <c r="D54" s="295">
        <f>'7.  Persistence Report'!AU98</f>
        <v>71357</v>
      </c>
      <c r="E54" s="295">
        <f>'7.  Persistence Report'!AV98</f>
        <v>71357</v>
      </c>
      <c r="F54" s="295">
        <f>'7.  Persistence Report'!AW98</f>
        <v>71357</v>
      </c>
      <c r="G54" s="295">
        <f>'7.  Persistence Report'!AX98</f>
        <v>71357</v>
      </c>
      <c r="H54" s="295">
        <f>'7.  Persistence Report'!AY98</f>
        <v>0</v>
      </c>
      <c r="I54" s="295">
        <f>'7.  Persistence Report'!AZ98</f>
        <v>0</v>
      </c>
      <c r="J54" s="295">
        <f>'7.  Persistence Report'!BA98</f>
        <v>0</v>
      </c>
      <c r="K54" s="295">
        <f>'7.  Persistence Report'!BB98</f>
        <v>0</v>
      </c>
      <c r="L54" s="295">
        <f>'7.  Persistence Report'!BC98</f>
        <v>0</v>
      </c>
      <c r="M54" s="295">
        <f>'7.  Persistence Report'!BD98</f>
        <v>0</v>
      </c>
      <c r="N54" s="295">
        <v>12</v>
      </c>
      <c r="O54" s="295">
        <f>'7.  Persistence Report'!P98</f>
        <v>15</v>
      </c>
      <c r="P54" s="295">
        <f>'7.  Persistence Report'!Q98</f>
        <v>15</v>
      </c>
      <c r="Q54" s="295">
        <f>'7.  Persistence Report'!R98</f>
        <v>15</v>
      </c>
      <c r="R54" s="295">
        <f>'7.  Persistence Report'!S98</f>
        <v>15</v>
      </c>
      <c r="S54" s="295">
        <f>'7.  Persistence Report'!T98</f>
        <v>0</v>
      </c>
      <c r="T54" s="295">
        <f>'7.  Persistence Report'!U98</f>
        <v>0</v>
      </c>
      <c r="U54" s="295">
        <f>'7.  Persistence Report'!V98</f>
        <v>0</v>
      </c>
      <c r="V54" s="295">
        <f>'7.  Persistence Report'!W98</f>
        <v>0</v>
      </c>
      <c r="W54" s="295">
        <f>'7.  Persistence Report'!X98</f>
        <v>0</v>
      </c>
      <c r="X54" s="295">
        <f>'7.  Persistence Report'!Y98</f>
        <v>0</v>
      </c>
      <c r="Y54" s="415"/>
      <c r="Z54" s="410">
        <f>'3-a.  Rate Class Allocations'!G39</f>
        <v>0</v>
      </c>
      <c r="AA54" s="410">
        <f>'3-a.  Rate Class Allocations'!H39</f>
        <v>1</v>
      </c>
      <c r="AB54" s="410"/>
      <c r="AC54" s="410"/>
      <c r="AD54" s="410"/>
      <c r="AE54" s="410"/>
      <c r="AF54" s="415"/>
      <c r="AG54" s="415"/>
      <c r="AH54" s="415"/>
      <c r="AI54" s="415"/>
      <c r="AJ54" s="415"/>
      <c r="AK54" s="415"/>
      <c r="AL54" s="415"/>
      <c r="AM54" s="296">
        <f>SUM(Y54:AL54)</f>
        <v>1</v>
      </c>
    </row>
    <row r="55" spans="1:39" outlineLevel="1">
      <c r="B55" s="294" t="s">
        <v>267</v>
      </c>
      <c r="C55" s="291" t="s">
        <v>163</v>
      </c>
      <c r="D55" s="295">
        <f>'7.  Persistence Report'!AU110</f>
        <v>4802</v>
      </c>
      <c r="E55" s="295">
        <f>'7.  Persistence Report'!AV110</f>
        <v>4802</v>
      </c>
      <c r="F55" s="295">
        <f>'7.  Persistence Report'!AW110</f>
        <v>4802</v>
      </c>
      <c r="G55" s="295">
        <f>'7.  Persistence Report'!AX110</f>
        <v>4802</v>
      </c>
      <c r="H55" s="295">
        <f>'7.  Persistence Report'!AY110</f>
        <v>76159</v>
      </c>
      <c r="I55" s="295">
        <f>'7.  Persistence Report'!AZ110</f>
        <v>76159</v>
      </c>
      <c r="J55" s="295">
        <f>'7.  Persistence Report'!BA110</f>
        <v>76159</v>
      </c>
      <c r="K55" s="295">
        <f>'7.  Persistence Report'!BB110</f>
        <v>76159</v>
      </c>
      <c r="L55" s="295">
        <f>'7.  Persistence Report'!BC110</f>
        <v>76159</v>
      </c>
      <c r="M55" s="295">
        <f>'7.  Persistence Report'!BD110</f>
        <v>76159</v>
      </c>
      <c r="N55" s="295">
        <f>N54</f>
        <v>12</v>
      </c>
      <c r="O55" s="295">
        <f>'7.  Persistence Report'!P110</f>
        <v>1</v>
      </c>
      <c r="P55" s="295"/>
      <c r="Q55" s="295"/>
      <c r="R55" s="295"/>
      <c r="S55" s="295"/>
      <c r="T55" s="295"/>
      <c r="U55" s="295"/>
      <c r="V55" s="295"/>
      <c r="W55" s="295"/>
      <c r="X55" s="295"/>
      <c r="Y55" s="411">
        <f>Y54</f>
        <v>0</v>
      </c>
      <c r="Z55" s="411">
        <f t="shared" ref="Z55" si="53">Z54</f>
        <v>0</v>
      </c>
      <c r="AA55" s="411">
        <f t="shared" ref="AA55" si="54">AA54</f>
        <v>1</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f>'7.  Persistence Report'!AU99</f>
        <v>2323198</v>
      </c>
      <c r="E57" s="295">
        <f>'7.  Persistence Report'!AV99</f>
        <v>2323198</v>
      </c>
      <c r="F57" s="295">
        <f>'7.  Persistence Report'!AW99</f>
        <v>2304472</v>
      </c>
      <c r="G57" s="295">
        <f>'7.  Persistence Report'!AX99</f>
        <v>2304472</v>
      </c>
      <c r="H57" s="295">
        <f>'7.  Persistence Report'!AY99</f>
        <v>2304472</v>
      </c>
      <c r="I57" s="295">
        <f>'7.  Persistence Report'!AZ99</f>
        <v>2304472</v>
      </c>
      <c r="J57" s="295">
        <f>'7.  Persistence Report'!BA99</f>
        <v>2264894</v>
      </c>
      <c r="K57" s="295">
        <f>'7.  Persistence Report'!BB99</f>
        <v>2264894</v>
      </c>
      <c r="L57" s="295">
        <f>'7.  Persistence Report'!BC99</f>
        <v>2263293</v>
      </c>
      <c r="M57" s="295">
        <f>'7.  Persistence Report'!BD99</f>
        <v>2134287</v>
      </c>
      <c r="N57" s="295">
        <v>12</v>
      </c>
      <c r="O57" s="295">
        <f>'7.  Persistence Report'!P99</f>
        <v>153</v>
      </c>
      <c r="P57" s="295">
        <f>'7.  Persistence Report'!Q99</f>
        <v>153</v>
      </c>
      <c r="Q57" s="295">
        <f>'7.  Persistence Report'!R99</f>
        <v>147</v>
      </c>
      <c r="R57" s="295">
        <f>'7.  Persistence Report'!S99</f>
        <v>147</v>
      </c>
      <c r="S57" s="295">
        <f>'7.  Persistence Report'!T99</f>
        <v>147</v>
      </c>
      <c r="T57" s="295">
        <f>'7.  Persistence Report'!U99</f>
        <v>147</v>
      </c>
      <c r="U57" s="295">
        <f>'7.  Persistence Report'!V99</f>
        <v>144</v>
      </c>
      <c r="V57" s="295">
        <f>'7.  Persistence Report'!W99</f>
        <v>144</v>
      </c>
      <c r="W57" s="295">
        <f>'7.  Persistence Report'!X99</f>
        <v>143</v>
      </c>
      <c r="X57" s="295">
        <f>'7.  Persistence Report'!Y99</f>
        <v>133</v>
      </c>
      <c r="Y57" s="533"/>
      <c r="Z57" s="410">
        <f>'3-a.  Rate Class Allocations'!G40</f>
        <v>2.4118987915715571E-2</v>
      </c>
      <c r="AA57" s="410">
        <f>'3-a.  Rate Class Allocations'!H40</f>
        <v>0.97588101208428446</v>
      </c>
      <c r="AB57" s="410"/>
      <c r="AC57" s="533"/>
      <c r="AD57" s="410"/>
      <c r="AE57" s="410"/>
      <c r="AF57" s="415"/>
      <c r="AG57" s="415"/>
      <c r="AH57" s="415"/>
      <c r="AI57" s="415"/>
      <c r="AJ57" s="415"/>
      <c r="AK57" s="415"/>
      <c r="AL57" s="415"/>
      <c r="AM57" s="296">
        <f>SUM(Y57:AL57)</f>
        <v>1</v>
      </c>
    </row>
    <row r="58" spans="1:39" outlineLevel="1">
      <c r="B58" s="294" t="s">
        <v>267</v>
      </c>
      <c r="C58" s="291" t="s">
        <v>163</v>
      </c>
      <c r="D58" s="295">
        <f>'7.  Persistence Report'!AU111+'7.  Persistence Report'!AU121</f>
        <v>50534</v>
      </c>
      <c r="E58" s="295">
        <f>'7.  Persistence Report'!AV111+'7.  Persistence Report'!AV121</f>
        <v>50534</v>
      </c>
      <c r="F58" s="295">
        <f>'7.  Persistence Report'!AW111+'7.  Persistence Report'!AW121</f>
        <v>69260</v>
      </c>
      <c r="G58" s="295">
        <f>'7.  Persistence Report'!AX111+'7.  Persistence Report'!AX121</f>
        <v>69302</v>
      </c>
      <c r="H58" s="295">
        <f>'7.  Persistence Report'!AY111+'7.  Persistence Report'!AY121</f>
        <v>69302</v>
      </c>
      <c r="I58" s="295">
        <f>'7.  Persistence Report'!AZ111+'7.  Persistence Report'!AZ121</f>
        <v>69302</v>
      </c>
      <c r="J58" s="295">
        <f>'7.  Persistence Report'!BA111+'7.  Persistence Report'!BA121</f>
        <v>108880</v>
      </c>
      <c r="K58" s="295">
        <f>'7.  Persistence Report'!BB111+'7.  Persistence Report'!BB121</f>
        <v>108880</v>
      </c>
      <c r="L58" s="295">
        <f>'7.  Persistence Report'!BC111+'7.  Persistence Report'!BC121</f>
        <v>108880</v>
      </c>
      <c r="M58" s="295">
        <f>'7.  Persistence Report'!BD111+'7.  Persistence Report'!BD121</f>
        <v>97197</v>
      </c>
      <c r="N58" s="295">
        <f>N57</f>
        <v>12</v>
      </c>
      <c r="O58" s="295">
        <f>'7.  Persistence Report'!P111+'7.  Persistence Report'!P121</f>
        <v>6</v>
      </c>
      <c r="P58" s="295">
        <f>'7.  Persistence Report'!Q111+'7.  Persistence Report'!Q121</f>
        <v>6</v>
      </c>
      <c r="Q58" s="295">
        <f>'7.  Persistence Report'!R111+'7.  Persistence Report'!R121</f>
        <v>12</v>
      </c>
      <c r="R58" s="295">
        <f>'7.  Persistence Report'!S111+'7.  Persistence Report'!S121</f>
        <v>12</v>
      </c>
      <c r="S58" s="295">
        <f>'7.  Persistence Report'!T111+'7.  Persistence Report'!T121</f>
        <v>12</v>
      </c>
      <c r="T58" s="295">
        <f>'7.  Persistence Report'!U111+'7.  Persistence Report'!U121</f>
        <v>12</v>
      </c>
      <c r="U58" s="295">
        <f>'7.  Persistence Report'!V111+'7.  Persistence Report'!V121</f>
        <v>15</v>
      </c>
      <c r="V58" s="295">
        <f>'7.  Persistence Report'!W111+'7.  Persistence Report'!W121</f>
        <v>15</v>
      </c>
      <c r="W58" s="295">
        <f>'7.  Persistence Report'!X111+'7.  Persistence Report'!X121</f>
        <v>15</v>
      </c>
      <c r="X58" s="295">
        <f>'7.  Persistence Report'!Y111+'7.  Persistence Report'!Y121</f>
        <v>14</v>
      </c>
      <c r="Y58" s="411">
        <f>Y57</f>
        <v>0</v>
      </c>
      <c r="Z58" s="411">
        <f>Z57</f>
        <v>2.4118987915715571E-2</v>
      </c>
      <c r="AA58" s="411">
        <f t="shared" ref="AA58" si="66">AA57</f>
        <v>0.97588101208428446</v>
      </c>
      <c r="AB58" s="411">
        <f t="shared" ref="AB58" si="67">AB57</f>
        <v>0</v>
      </c>
      <c r="AC58" s="411">
        <f t="shared" ref="AC58" si="68">AC57</f>
        <v>0</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f>'7.  Persistence Report'!AU100</f>
        <v>95530</v>
      </c>
      <c r="E60" s="295">
        <f>'7.  Persistence Report'!AV100</f>
        <v>75532</v>
      </c>
      <c r="F60" s="295">
        <f>'7.  Persistence Report'!AW100</f>
        <v>69392</v>
      </c>
      <c r="G60" s="295">
        <f>'7.  Persistence Report'!AX100</f>
        <v>69392</v>
      </c>
      <c r="H60" s="295">
        <f>'7.  Persistence Report'!AY100</f>
        <v>69392</v>
      </c>
      <c r="I60" s="295">
        <f>'7.  Persistence Report'!AZ100</f>
        <v>69392</v>
      </c>
      <c r="J60" s="295">
        <f>'7.  Persistence Report'!BA100</f>
        <v>69392</v>
      </c>
      <c r="K60" s="295">
        <f>'7.  Persistence Report'!BB100</f>
        <v>69392</v>
      </c>
      <c r="L60" s="295">
        <f>'7.  Persistence Report'!BC100</f>
        <v>69392</v>
      </c>
      <c r="M60" s="295">
        <f>'7.  Persistence Report'!BD100</f>
        <v>69392</v>
      </c>
      <c r="N60" s="295">
        <v>12</v>
      </c>
      <c r="O60" s="295">
        <f>'7.  Persistence Report'!P100</f>
        <v>23</v>
      </c>
      <c r="P60" s="295">
        <f>'7.  Persistence Report'!Q100</f>
        <v>18</v>
      </c>
      <c r="Q60" s="295">
        <f>'7.  Persistence Report'!R100</f>
        <v>17</v>
      </c>
      <c r="R60" s="295">
        <f>'7.  Persistence Report'!S100</f>
        <v>17</v>
      </c>
      <c r="S60" s="295">
        <f>'7.  Persistence Report'!T100</f>
        <v>17</v>
      </c>
      <c r="T60" s="295">
        <f>'7.  Persistence Report'!U100</f>
        <v>17</v>
      </c>
      <c r="U60" s="295">
        <f>'7.  Persistence Report'!V100</f>
        <v>17</v>
      </c>
      <c r="V60" s="295">
        <f>'7.  Persistence Report'!W100</f>
        <v>17</v>
      </c>
      <c r="W60" s="295">
        <f>'7.  Persistence Report'!X100</f>
        <v>17</v>
      </c>
      <c r="X60" s="295">
        <f>'7.  Persistence Report'!Y100</f>
        <v>17</v>
      </c>
      <c r="Y60" s="415"/>
      <c r="Z60" s="410">
        <f>'3-a.  Rate Class Allocations'!G41</f>
        <v>1</v>
      </c>
      <c r="AA60" s="410">
        <f>'3-a.  Rate Class Allocations'!H41</f>
        <v>0</v>
      </c>
      <c r="AB60" s="410"/>
      <c r="AC60" s="410"/>
      <c r="AD60" s="410"/>
      <c r="AE60" s="410"/>
      <c r="AF60" s="415"/>
      <c r="AG60" s="415"/>
      <c r="AH60" s="415"/>
      <c r="AI60" s="415"/>
      <c r="AJ60" s="415"/>
      <c r="AK60" s="415"/>
      <c r="AL60" s="415"/>
      <c r="AM60" s="296">
        <f>SUM(Y60:AL60)</f>
        <v>1</v>
      </c>
    </row>
    <row r="61" spans="1:39" outlineLevel="1">
      <c r="B61" s="294" t="s">
        <v>267</v>
      </c>
      <c r="C61" s="291" t="s">
        <v>163</v>
      </c>
      <c r="D61" s="295">
        <f>'7.  Persistence Report'!AU122</f>
        <v>-24864</v>
      </c>
      <c r="E61" s="295">
        <f>'7.  Persistence Report'!AV122</f>
        <v>-4866</v>
      </c>
      <c r="F61" s="295">
        <f>'7.  Persistence Report'!AW122</f>
        <v>1274</v>
      </c>
      <c r="G61" s="295">
        <f>'7.  Persistence Report'!AX122</f>
        <v>5424</v>
      </c>
      <c r="H61" s="295">
        <f>'7.  Persistence Report'!AY122</f>
        <v>5424</v>
      </c>
      <c r="I61" s="295">
        <f>'7.  Persistence Report'!AZ122</f>
        <v>5424</v>
      </c>
      <c r="J61" s="295">
        <f>'7.  Persistence Report'!BA122</f>
        <v>5424</v>
      </c>
      <c r="K61" s="295">
        <f>'7.  Persistence Report'!BB122</f>
        <v>5424</v>
      </c>
      <c r="L61" s="295">
        <f>'7.  Persistence Report'!BC122</f>
        <v>5424</v>
      </c>
      <c r="M61" s="295">
        <f>'7.  Persistence Report'!BD122</f>
        <v>5424</v>
      </c>
      <c r="N61" s="295">
        <f>N60</f>
        <v>12</v>
      </c>
      <c r="O61" s="295">
        <f>'7.  Persistence Report'!P122</f>
        <v>-6</v>
      </c>
      <c r="P61" s="295">
        <f>'7.  Persistence Report'!Q122</f>
        <v>-1</v>
      </c>
      <c r="Q61" s="295">
        <f>'7.  Persistence Report'!R122</f>
        <v>0</v>
      </c>
      <c r="R61" s="295">
        <f>'7.  Persistence Report'!S122</f>
        <v>1</v>
      </c>
      <c r="S61" s="295">
        <f>'7.  Persistence Report'!T122</f>
        <v>1</v>
      </c>
      <c r="T61" s="295">
        <f>'7.  Persistence Report'!U122</f>
        <v>1</v>
      </c>
      <c r="U61" s="295">
        <f>'7.  Persistence Report'!V122</f>
        <v>1</v>
      </c>
      <c r="V61" s="295">
        <f>'7.  Persistence Report'!W122</f>
        <v>1</v>
      </c>
      <c r="W61" s="295">
        <f>'7.  Persistence Report'!X122</f>
        <v>1</v>
      </c>
      <c r="X61" s="295">
        <f>'7.  Persistence Report'!Y122</f>
        <v>1</v>
      </c>
      <c r="Y61" s="411">
        <f>Y60</f>
        <v>0</v>
      </c>
      <c r="Z61" s="411">
        <f t="shared" ref="Z61" si="78">Z60</f>
        <v>1</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outlineLevel="1">
      <c r="B64" s="294" t="s">
        <v>267</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 si="91">Z63</f>
        <v>0</v>
      </c>
      <c r="AA64" s="411">
        <f t="shared" ref="AA64" si="92">AA63</f>
        <v>0</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0</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45"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outlineLevel="1">
      <c r="B74" s="520"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c r="E76" s="295"/>
      <c r="F76" s="295"/>
      <c r="G76" s="295"/>
      <c r="H76" s="295"/>
      <c r="I76" s="295"/>
      <c r="J76" s="295"/>
      <c r="K76" s="295"/>
      <c r="L76" s="295"/>
      <c r="M76" s="295"/>
      <c r="N76" s="295">
        <v>12</v>
      </c>
      <c r="O76" s="295"/>
      <c r="P76" s="295"/>
      <c r="Q76" s="295"/>
      <c r="R76" s="295"/>
      <c r="S76" s="295"/>
      <c r="T76" s="295"/>
      <c r="U76" s="295"/>
      <c r="V76" s="295"/>
      <c r="W76" s="295"/>
      <c r="X76" s="295"/>
      <c r="Y76" s="410"/>
      <c r="Z76" s="410"/>
      <c r="AA76" s="410"/>
      <c r="AB76" s="410"/>
      <c r="AC76" s="410"/>
      <c r="AD76" s="410"/>
      <c r="AE76" s="410"/>
      <c r="AF76" s="415"/>
      <c r="AG76" s="415"/>
      <c r="AH76" s="415"/>
      <c r="AI76" s="415"/>
      <c r="AJ76" s="415"/>
      <c r="AK76" s="415"/>
      <c r="AL76" s="415"/>
      <c r="AM76" s="296">
        <f>SUM(Y76:AL76)</f>
        <v>0</v>
      </c>
    </row>
    <row r="77" spans="1:39" outlineLevel="1">
      <c r="B77" s="520"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0</v>
      </c>
      <c r="AA77" s="411">
        <f t="shared" si="143"/>
        <v>0</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90"/>
      <c r="Q79" s="290"/>
      <c r="R79" s="290"/>
      <c r="S79" s="290"/>
      <c r="T79" s="290"/>
      <c r="U79" s="290"/>
      <c r="V79" s="290"/>
      <c r="W79" s="290"/>
      <c r="X79" s="290"/>
      <c r="Y79" s="414"/>
      <c r="Z79" s="414"/>
      <c r="AA79" s="414"/>
      <c r="AB79" s="414"/>
      <c r="AC79" s="414"/>
      <c r="AD79" s="414"/>
      <c r="AE79" s="414"/>
      <c r="AF79" s="414"/>
      <c r="AG79" s="414"/>
      <c r="AH79" s="414"/>
      <c r="AI79" s="414"/>
      <c r="AJ79" s="414"/>
      <c r="AK79" s="414"/>
      <c r="AL79" s="414"/>
      <c r="AM79" s="292"/>
    </row>
    <row r="80" spans="1:39" outlineLevel="1">
      <c r="A80" s="522">
        <v>14</v>
      </c>
      <c r="B80" s="315" t="s">
        <v>108</v>
      </c>
      <c r="C80" s="291" t="s">
        <v>25</v>
      </c>
      <c r="D80" s="295">
        <f>'7.  Persistence Report'!AU101</f>
        <v>1135</v>
      </c>
      <c r="E80" s="295">
        <f>'7.  Persistence Report'!AV101</f>
        <v>991</v>
      </c>
      <c r="F80" s="295">
        <f>'7.  Persistence Report'!AW101</f>
        <v>961</v>
      </c>
      <c r="G80" s="295">
        <f>'7.  Persistence Report'!AX101</f>
        <v>931</v>
      </c>
      <c r="H80" s="295">
        <f>'7.  Persistence Report'!AY101</f>
        <v>931</v>
      </c>
      <c r="I80" s="295">
        <f>'7.  Persistence Report'!AZ101</f>
        <v>931</v>
      </c>
      <c r="J80" s="295">
        <f>'7.  Persistence Report'!BA101</f>
        <v>931</v>
      </c>
      <c r="K80" s="295">
        <f>'7.  Persistence Report'!BB101</f>
        <v>931</v>
      </c>
      <c r="L80" s="295">
        <f>'7.  Persistence Report'!BC101</f>
        <v>722</v>
      </c>
      <c r="M80" s="295">
        <f>'7.  Persistence Report'!BD101</f>
        <v>722</v>
      </c>
      <c r="N80" s="295">
        <v>12</v>
      </c>
      <c r="O80" s="295">
        <f>'7.  Persistence Report'!P101</f>
        <v>0</v>
      </c>
      <c r="P80" s="295">
        <f>'7.  Persistence Report'!Q101</f>
        <v>0</v>
      </c>
      <c r="Q80" s="295">
        <f>'7.  Persistence Report'!R101</f>
        <v>0</v>
      </c>
      <c r="R80" s="295">
        <f>'7.  Persistence Report'!S101</f>
        <v>0</v>
      </c>
      <c r="S80" s="295">
        <f>'7.  Persistence Report'!T101</f>
        <v>0</v>
      </c>
      <c r="T80" s="295">
        <f>'7.  Persistence Report'!U101</f>
        <v>0</v>
      </c>
      <c r="U80" s="295">
        <f>'7.  Persistence Report'!V101</f>
        <v>0</v>
      </c>
      <c r="V80" s="295">
        <f>'7.  Persistence Report'!W101</f>
        <v>0</v>
      </c>
      <c r="W80" s="295">
        <f>'7.  Persistence Report'!X101</f>
        <v>0</v>
      </c>
      <c r="X80" s="295">
        <f>'7.  Persistence Report'!Y101</f>
        <v>0</v>
      </c>
      <c r="Y80" s="533">
        <v>1</v>
      </c>
      <c r="Z80" s="410"/>
      <c r="AA80" s="410"/>
      <c r="AB80" s="410"/>
      <c r="AC80" s="410"/>
      <c r="AD80" s="410"/>
      <c r="AE80" s="410"/>
      <c r="AF80" s="410"/>
      <c r="AG80" s="410"/>
      <c r="AH80" s="410"/>
      <c r="AI80" s="410"/>
      <c r="AJ80" s="410"/>
      <c r="AK80" s="410"/>
      <c r="AL80" s="410"/>
      <c r="AM80" s="296">
        <f>SUM(Y80:AL80)</f>
        <v>1</v>
      </c>
    </row>
    <row r="81" spans="1:40"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1</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5" customFormat="1"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75" outlineLevel="1">
      <c r="A83" s="523"/>
      <c r="B83" s="288" t="s">
        <v>489</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outlineLevel="1">
      <c r="A84" s="522">
        <v>15</v>
      </c>
      <c r="B84" s="294" t="s">
        <v>494</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2">
        <v>16</v>
      </c>
      <c r="B87" s="324" t="s">
        <v>490</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22"/>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9" t="s">
        <v>495</v>
      </c>
      <c r="C90" s="320"/>
      <c r="D90" s="290"/>
      <c r="E90" s="290"/>
      <c r="F90" s="290"/>
      <c r="G90" s="290"/>
      <c r="H90" s="290"/>
      <c r="I90" s="290"/>
      <c r="J90" s="290"/>
      <c r="K90" s="290"/>
      <c r="L90" s="290"/>
      <c r="M90" s="290"/>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2">
        <v>18</v>
      </c>
      <c r="B94" s="520"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8" t="s">
        <v>502</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498</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499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f>'3-a.  Rate Class Allocations'!G42</f>
        <v>0</v>
      </c>
      <c r="AA118" s="410">
        <f>'3-a.  Rate Class Allocations'!H42</f>
        <v>1</v>
      </c>
      <c r="AB118" s="410"/>
      <c r="AC118" s="410"/>
      <c r="AD118" s="410"/>
      <c r="AE118" s="410"/>
      <c r="AF118" s="415"/>
      <c r="AG118" s="415"/>
      <c r="AH118" s="415"/>
      <c r="AI118" s="415"/>
      <c r="AJ118" s="415"/>
      <c r="AK118" s="415"/>
      <c r="AL118" s="415"/>
      <c r="AM118" s="296">
        <f>SUM(Y118:AL118)</f>
        <v>1</v>
      </c>
    </row>
    <row r="119" spans="1:39" outlineLevel="1">
      <c r="B119" s="294" t="s">
        <v>267</v>
      </c>
      <c r="C119" s="291" t="s">
        <v>163</v>
      </c>
      <c r="D119" s="295">
        <f>'7.  Persistence Report'!AU106+'7.  Persistence Report'!AU120</f>
        <v>186919</v>
      </c>
      <c r="E119" s="295">
        <f>'7.  Persistence Report'!AV106+'7.  Persistence Report'!AV120</f>
        <v>186919</v>
      </c>
      <c r="F119" s="295">
        <f>'7.  Persistence Report'!AW106+'7.  Persistence Report'!AW120</f>
        <v>186919</v>
      </c>
      <c r="G119" s="295">
        <f>'7.  Persistence Report'!AX106+'7.  Persistence Report'!AX120</f>
        <v>191709</v>
      </c>
      <c r="H119" s="295">
        <f>'7.  Persistence Report'!AY106+'7.  Persistence Report'!AY120</f>
        <v>191709</v>
      </c>
      <c r="I119" s="295">
        <f>'7.  Persistence Report'!AZ106+'7.  Persistence Report'!AZ120</f>
        <v>191709</v>
      </c>
      <c r="J119" s="295">
        <f>'7.  Persistence Report'!BA106+'7.  Persistence Report'!BA120</f>
        <v>191710</v>
      </c>
      <c r="K119" s="295">
        <f>'7.  Persistence Report'!BB106+'7.  Persistence Report'!BB120</f>
        <v>191710</v>
      </c>
      <c r="L119" s="295">
        <f>'7.  Persistence Report'!BC106+'7.  Persistence Report'!BC120</f>
        <v>191710</v>
      </c>
      <c r="M119" s="295">
        <f>'7.  Persistence Report'!BD106+'7.  Persistence Report'!BD120</f>
        <v>186261</v>
      </c>
      <c r="N119" s="295">
        <f>N118</f>
        <v>12</v>
      </c>
      <c r="O119" s="295">
        <f>'7.  Persistence Report'!P106+'7.  Persistence Report'!P120</f>
        <v>32</v>
      </c>
      <c r="P119" s="295">
        <f>'7.  Persistence Report'!Q106+'7.  Persistence Report'!Q120</f>
        <v>32</v>
      </c>
      <c r="Q119" s="295">
        <f>'7.  Persistence Report'!R106+'7.  Persistence Report'!R120</f>
        <v>32</v>
      </c>
      <c r="R119" s="295">
        <f>'7.  Persistence Report'!S106+'7.  Persistence Report'!S120</f>
        <v>33</v>
      </c>
      <c r="S119" s="295">
        <f>'7.  Persistence Report'!T106+'7.  Persistence Report'!T120</f>
        <v>33</v>
      </c>
      <c r="T119" s="295">
        <f>'7.  Persistence Report'!U106+'7.  Persistence Report'!U120</f>
        <v>33</v>
      </c>
      <c r="U119" s="295">
        <f>'7.  Persistence Report'!V106+'7.  Persistence Report'!V120</f>
        <v>33</v>
      </c>
      <c r="V119" s="295">
        <f>'7.  Persistence Report'!W106+'7.  Persistence Report'!W120</f>
        <v>33</v>
      </c>
      <c r="W119" s="295">
        <f>'7.  Persistence Report'!X106+'7.  Persistence Report'!X120</f>
        <v>33</v>
      </c>
      <c r="X119" s="295">
        <f>'7.  Persistence Report'!Y106+'7.  Persistence Report'!Y120</f>
        <v>31</v>
      </c>
      <c r="Y119" s="411">
        <f>Y118</f>
        <v>0</v>
      </c>
      <c r="Z119" s="411">
        <f t="shared" ref="Z119" si="228">Z118</f>
        <v>0</v>
      </c>
      <c r="AA119" s="411">
        <f t="shared" ref="AA119" si="229">AA118</f>
        <v>1</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3"/>
      <c r="AA121" s="533"/>
      <c r="AB121" s="410"/>
      <c r="AC121" s="533"/>
      <c r="AD121" s="410"/>
      <c r="AE121" s="410"/>
      <c r="AF121" s="415"/>
      <c r="AG121" s="415"/>
      <c r="AH121" s="415"/>
      <c r="AI121" s="415"/>
      <c r="AJ121" s="415"/>
      <c r="AK121" s="415"/>
      <c r="AL121" s="415"/>
      <c r="AM121" s="296">
        <f>SUM(Y121:AL121)</f>
        <v>0</v>
      </c>
    </row>
    <row r="122" spans="1:39" outlineLevel="1">
      <c r="B122" s="294" t="s">
        <v>267</v>
      </c>
      <c r="C122" s="291" t="s">
        <v>163</v>
      </c>
      <c r="D122" s="295"/>
      <c r="E122" s="295"/>
      <c r="F122" s="295"/>
      <c r="G122" s="295"/>
      <c r="H122" s="295"/>
      <c r="I122" s="295"/>
      <c r="J122" s="295"/>
      <c r="K122" s="295"/>
      <c r="L122" s="295"/>
      <c r="M122" s="295"/>
      <c r="N122" s="295">
        <f>N121</f>
        <v>12</v>
      </c>
      <c r="O122" s="295"/>
      <c r="P122" s="295"/>
      <c r="Q122" s="295"/>
      <c r="R122" s="295"/>
      <c r="S122" s="295"/>
      <c r="T122" s="295"/>
      <c r="U122" s="295"/>
      <c r="V122" s="295"/>
      <c r="W122" s="295"/>
      <c r="X122" s="295"/>
      <c r="Y122" s="411">
        <f>Y121</f>
        <v>0</v>
      </c>
      <c r="Z122" s="411">
        <f t="shared" ref="Z122" si="241">Z121</f>
        <v>0</v>
      </c>
      <c r="AA122" s="411">
        <f t="shared" ref="AA122" si="242">AA121</f>
        <v>0</v>
      </c>
      <c r="AB122" s="411">
        <f t="shared" ref="AB122" si="243">AB121</f>
        <v>0</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500</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501</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267</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271</v>
      </c>
      <c r="C195" s="329"/>
      <c r="D195" s="329">
        <f>SUM(D38:D193)</f>
        <v>3169475</v>
      </c>
      <c r="E195" s="329"/>
      <c r="F195" s="329"/>
      <c r="G195" s="329"/>
      <c r="H195" s="329"/>
      <c r="I195" s="329"/>
      <c r="J195" s="329"/>
      <c r="K195" s="329"/>
      <c r="L195" s="329"/>
      <c r="M195" s="329"/>
      <c r="N195" s="329"/>
      <c r="O195" s="329">
        <f>SUM(O38:O193)</f>
        <v>306</v>
      </c>
      <c r="P195" s="329"/>
      <c r="Q195" s="329"/>
      <c r="R195" s="329"/>
      <c r="S195" s="329"/>
      <c r="T195" s="329"/>
      <c r="U195" s="329"/>
      <c r="V195" s="329"/>
      <c r="W195" s="329"/>
      <c r="X195" s="329"/>
      <c r="Y195" s="329">
        <f>IF(Y36="kWh",SUMPRODUCT(D38:D193,Y38:Y193))</f>
        <v>461999</v>
      </c>
      <c r="Z195" s="329">
        <f>IF(Z36="kWh",SUMPRODUCT(D38:D193,Z38:Z193))</f>
        <v>127918.01342314735</v>
      </c>
      <c r="AA195" s="329">
        <f>IF(AA36="kw",SUMPRODUCT(N38:N193,O38:O193,AA38:AA193),SUMPRODUCT(D38:D193,AA38:AA193))</f>
        <v>2437.9809710568147</v>
      </c>
      <c r="AB195" s="329">
        <f>IF(AB36="kw",SUMPRODUCT(N38:N193,O38:O193,AB38:AB193),SUMPRODUCT(D38:D193,AB38:AB193))</f>
        <v>0</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872686</v>
      </c>
      <c r="Z196" s="392">
        <f>HLOOKUP(Z35,'2. LRAMVA Threshold'!$B$42:$Q$53,7,FALSE)</f>
        <v>172591</v>
      </c>
      <c r="AA196" s="392">
        <f>HLOOKUP(AA35,'2. LRAMVA Threshold'!$B$42:$Q$53,7,FALSE)</f>
        <v>1202</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1.21E-2</v>
      </c>
      <c r="Z198" s="341">
        <f>HLOOKUP(Z$35,'3.  Distribution Rates'!$C$122:$P$133,7,FALSE)</f>
        <v>1.3100000000000001E-2</v>
      </c>
      <c r="AA198" s="341">
        <f>HLOOKUP(AA$35,'3.  Distribution Rates'!$C$122:$P$133,7,FALSE)</f>
        <v>1.7672000000000001</v>
      </c>
      <c r="AB198" s="341">
        <f>HLOOKUP(AB$35,'3.  Distribution Rates'!$C$122:$P$133,7,FALSE)</f>
        <v>5.2987000000000002</v>
      </c>
      <c r="AC198" s="341">
        <f>HLOOKUP(AC$35,'3.  Distribution Rates'!$C$122:$P$133,7,FALSE)</f>
        <v>1.1599999999999999E-2</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3166.3815070882611</v>
      </c>
      <c r="Z199" s="378">
        <f>'4.  2011-2014 LRAM'!Z138*Z198</f>
        <v>7936.3838465617919</v>
      </c>
      <c r="AA199" s="378">
        <f>'4.  2011-2014 LRAM'!AA138*AA198</f>
        <v>454.34711999999996</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11557.112473650053</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2334.299260046706</v>
      </c>
      <c r="Z200" s="378">
        <f>'4.  2011-2014 LRAM'!Z267*Z198</f>
        <v>2449.3065366114765</v>
      </c>
      <c r="AA200" s="378">
        <f>'4.  2011-2014 LRAM'!AA267*AA198</f>
        <v>2565.8699671629997</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7349.4757638211831</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1713.682661621543</v>
      </c>
      <c r="Z201" s="378">
        <f>'4.  2011-2014 LRAM'!Z396*Z198</f>
        <v>3927.2764297235281</v>
      </c>
      <c r="AA201" s="378">
        <f>'4.  2011-2014 LRAM'!AA396*AA198</f>
        <v>2206.9659620954203</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7847.925053440491</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5099.9602367075277</v>
      </c>
      <c r="Z202" s="378">
        <f>'4.  2011-2014 LRAM'!Z526*Z198</f>
        <v>6057.8045513950128</v>
      </c>
      <c r="AA202" s="378">
        <f>'4.  2011-2014 LRAM'!AA526*AA198</f>
        <v>370.63895242033783</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11528.403740522879</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5590.1878999999999</v>
      </c>
      <c r="Z203" s="378">
        <f>Z195*Z198</f>
        <v>1675.7259758432303</v>
      </c>
      <c r="AA203" s="378">
        <f>AA195*AA198</f>
        <v>4308.3999720516031</v>
      </c>
      <c r="AB203" s="378">
        <f t="shared" ref="AB203:AL203" si="553">AB195*AB198</f>
        <v>0</v>
      </c>
      <c r="AC203" s="378">
        <f t="shared" si="553"/>
        <v>0</v>
      </c>
      <c r="AD203" s="378">
        <f t="shared" si="553"/>
        <v>0</v>
      </c>
      <c r="AE203" s="378">
        <f t="shared" si="553"/>
        <v>0</v>
      </c>
      <c r="AF203" s="378">
        <f t="shared" si="553"/>
        <v>0</v>
      </c>
      <c r="AG203" s="378">
        <f t="shared" si="553"/>
        <v>0</v>
      </c>
      <c r="AH203" s="378">
        <f t="shared" si="553"/>
        <v>0</v>
      </c>
      <c r="AI203" s="378">
        <f t="shared" si="553"/>
        <v>0</v>
      </c>
      <c r="AJ203" s="378">
        <f t="shared" si="553"/>
        <v>0</v>
      </c>
      <c r="AK203" s="378">
        <f t="shared" si="553"/>
        <v>0</v>
      </c>
      <c r="AL203" s="378">
        <f t="shared" si="553"/>
        <v>0</v>
      </c>
      <c r="AM203" s="629">
        <f>SUM(Y203:AL203)</f>
        <v>11574.313847894833</v>
      </c>
    </row>
    <row r="204" spans="2:39" ht="15.7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17904.511565464039</v>
      </c>
      <c r="Z204" s="346">
        <f>SUM(Z199:Z203)</f>
        <v>22046.49734013504</v>
      </c>
      <c r="AA204" s="346">
        <f t="shared" ref="AA204:AE204" si="554">SUM(AA199:AA203)</f>
        <v>9906.2219737303603</v>
      </c>
      <c r="AB204" s="346">
        <f t="shared" si="554"/>
        <v>0</v>
      </c>
      <c r="AC204" s="346">
        <f t="shared" si="554"/>
        <v>0</v>
      </c>
      <c r="AD204" s="346">
        <f t="shared" si="554"/>
        <v>0</v>
      </c>
      <c r="AE204" s="346">
        <f t="shared" si="554"/>
        <v>0</v>
      </c>
      <c r="AF204" s="346">
        <f>SUM(AF199:AF203)</f>
        <v>0</v>
      </c>
      <c r="AG204" s="346">
        <f>SUM(AG199:AG203)</f>
        <v>0</v>
      </c>
      <c r="AH204" s="346">
        <f t="shared" ref="AH204:AL204" si="555">SUM(AH199:AH203)</f>
        <v>0</v>
      </c>
      <c r="AI204" s="346">
        <f t="shared" si="555"/>
        <v>0</v>
      </c>
      <c r="AJ204" s="346">
        <f t="shared" si="555"/>
        <v>0</v>
      </c>
      <c r="AK204" s="346">
        <f t="shared" si="555"/>
        <v>0</v>
      </c>
      <c r="AL204" s="346">
        <f t="shared" si="555"/>
        <v>0</v>
      </c>
      <c r="AM204" s="407">
        <f>SUM(AM199:AM203)</f>
        <v>49857.230879329443</v>
      </c>
    </row>
    <row r="205" spans="2:39" ht="15.7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10559.500599999999</v>
      </c>
      <c r="Z205" s="347">
        <f t="shared" ref="Z205:AE205" si="556">Z196*Z198</f>
        <v>2260.9421000000002</v>
      </c>
      <c r="AA205" s="347">
        <f t="shared" si="556"/>
        <v>2124.1744000000003</v>
      </c>
      <c r="AB205" s="347">
        <f t="shared" si="556"/>
        <v>0</v>
      </c>
      <c r="AC205" s="347">
        <f t="shared" si="556"/>
        <v>0</v>
      </c>
      <c r="AD205" s="347">
        <f t="shared" si="556"/>
        <v>0</v>
      </c>
      <c r="AE205" s="347">
        <f t="shared" si="556"/>
        <v>0</v>
      </c>
      <c r="AF205" s="347">
        <f>AF196*AF198</f>
        <v>0</v>
      </c>
      <c r="AG205" s="347">
        <f t="shared" ref="AG205:AL205" si="557">AG196*AG198</f>
        <v>0</v>
      </c>
      <c r="AH205" s="347">
        <f t="shared" si="557"/>
        <v>0</v>
      </c>
      <c r="AI205" s="347">
        <f t="shared" si="557"/>
        <v>0</v>
      </c>
      <c r="AJ205" s="347">
        <f t="shared" si="557"/>
        <v>0</v>
      </c>
      <c r="AK205" s="347">
        <f t="shared" si="557"/>
        <v>0</v>
      </c>
      <c r="AL205" s="347">
        <f t="shared" si="557"/>
        <v>0</v>
      </c>
      <c r="AM205" s="407">
        <f>SUM(Y205:AL205)</f>
        <v>14944.617099999999</v>
      </c>
    </row>
    <row r="206" spans="2:39" ht="15.7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34912.613779329447</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456780</v>
      </c>
      <c r="Z208" s="291">
        <f>SUMPRODUCT(E38:E193,Z38:Z193)</f>
        <v>127918.01342314735</v>
      </c>
      <c r="AA208" s="291">
        <f>IF(AA36="kw",SUMPRODUCT(N38:N193,P38:P193,AA38:AA193),SUMPRODUCT(E38:E193,AA38:AA193))</f>
        <v>2425.9809710568147</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456750</v>
      </c>
      <c r="Z209" s="291">
        <f>SUMPRODUCT(F38:F193,Z38:Z193)</f>
        <v>127918.01342314735</v>
      </c>
      <c r="AA209" s="291">
        <f>IF(AA36="kw",SUMPRODUCT(N38:N193,Q38:Q193,AA38:AA193),SUMPRODUCT(F38:F193,AA38:AA193))</f>
        <v>2425.9809710568152</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456720</v>
      </c>
      <c r="Z210" s="291">
        <f>SUMPRODUCT(G38:G193,Z38:Z193)</f>
        <v>132069.02642063983</v>
      </c>
      <c r="AA210" s="291">
        <f>IF(AA36="kw",SUMPRODUCT(N38:N193,R38:R193,AA38:AA193),SUMPRODUCT(G38:G193,AA38:AA193))</f>
        <v>2437.9809710568152</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456211</v>
      </c>
      <c r="Z211" s="291">
        <f>SUMPRODUCT(H38:H193,Z38:Z193)</f>
        <v>132069.02642063983</v>
      </c>
      <c r="AA211" s="291">
        <f>IF(AA36="kw",SUMPRODUCT(N38:N193,S38:S193,AA38:AA193),SUMPRODUCT(H38:H193,AA38:AA193))</f>
        <v>2257.9809710568152</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453769</v>
      </c>
      <c r="Z212" s="326">
        <f>SUMPRODUCT(I38:I193,Z38:Z193)</f>
        <v>132069.02642063983</v>
      </c>
      <c r="AA212" s="326">
        <f>IF(AA36="kw",SUMPRODUCT(N38:N193,T38:T193,AA38:AA193),SUMPRODUCT(I38:I193,AA38:AA193))</f>
        <v>2257.9809710568152</v>
      </c>
      <c r="AB212" s="326">
        <f>IF(AB36="kw",SUMPRODUCT(N38:N193,T38:T193,AB38:AB193),SUMPRODUCT(I38:I193,AB38:AB193))</f>
        <v>0</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581</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273</v>
      </c>
      <c r="C216" s="281"/>
      <c r="D216" s="590" t="s">
        <v>525</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56" t="s">
        <v>211</v>
      </c>
      <c r="C217" s="858" t="s">
        <v>33</v>
      </c>
      <c r="D217" s="284" t="s">
        <v>421</v>
      </c>
      <c r="E217" s="860" t="s">
        <v>209</v>
      </c>
      <c r="F217" s="861"/>
      <c r="G217" s="861"/>
      <c r="H217" s="861"/>
      <c r="I217" s="861"/>
      <c r="J217" s="861"/>
      <c r="K217" s="861"/>
      <c r="L217" s="861"/>
      <c r="M217" s="862"/>
      <c r="N217" s="866" t="s">
        <v>213</v>
      </c>
      <c r="O217" s="284" t="s">
        <v>422</v>
      </c>
      <c r="P217" s="860" t="s">
        <v>212</v>
      </c>
      <c r="Q217" s="861"/>
      <c r="R217" s="861"/>
      <c r="S217" s="861"/>
      <c r="T217" s="861"/>
      <c r="U217" s="861"/>
      <c r="V217" s="861"/>
      <c r="W217" s="861"/>
      <c r="X217" s="862"/>
      <c r="Y217" s="863" t="s">
        <v>243</v>
      </c>
      <c r="Z217" s="864"/>
      <c r="AA217" s="864"/>
      <c r="AB217" s="864"/>
      <c r="AC217" s="864"/>
      <c r="AD217" s="864"/>
      <c r="AE217" s="864"/>
      <c r="AF217" s="864"/>
      <c r="AG217" s="864"/>
      <c r="AH217" s="864"/>
      <c r="AI217" s="864"/>
      <c r="AJ217" s="864"/>
      <c r="AK217" s="864"/>
      <c r="AL217" s="864"/>
      <c r="AM217" s="865"/>
    </row>
    <row r="218" spans="1:39" ht="60.75" customHeight="1">
      <c r="B218" s="857"/>
      <c r="C218" s="859"/>
      <c r="D218" s="285">
        <v>2016</v>
      </c>
      <c r="E218" s="285">
        <v>2017</v>
      </c>
      <c r="F218" s="285">
        <v>2018</v>
      </c>
      <c r="G218" s="285">
        <v>2019</v>
      </c>
      <c r="H218" s="285">
        <v>2020</v>
      </c>
      <c r="I218" s="285">
        <v>2021</v>
      </c>
      <c r="J218" s="285">
        <v>2022</v>
      </c>
      <c r="K218" s="285">
        <v>2023</v>
      </c>
      <c r="L218" s="285">
        <v>2024</v>
      </c>
      <c r="M218" s="285">
        <v>2025</v>
      </c>
      <c r="N218" s="867"/>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 50 - 4,999 kW</v>
      </c>
      <c r="AB218" s="285" t="str">
        <f>'1.  LRAMVA Summary'!G52</f>
        <v>Street Light</v>
      </c>
      <c r="AC218" s="285" t="str">
        <f>'1.  LRAMVA Summary'!H52</f>
        <v>USL</v>
      </c>
      <c r="AD218" s="285" t="str">
        <f>'1.  LRAMVA Summary'!I52</f>
        <v>Embedded Distributor</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503</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kWh</v>
      </c>
      <c r="AD219" s="291" t="str">
        <f>'1.  LRAMVA Summary'!I53</f>
        <v>kW</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496</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289</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558">Z221</f>
        <v>0</v>
      </c>
      <c r="AA222" s="411">
        <f t="shared" ref="AA222" si="559">AA221</f>
        <v>0</v>
      </c>
      <c r="AB222" s="411">
        <f t="shared" ref="AB222" si="560">AB221</f>
        <v>0</v>
      </c>
      <c r="AC222" s="411">
        <f t="shared" ref="AC222" si="561">AC221</f>
        <v>0</v>
      </c>
      <c r="AD222" s="411">
        <f t="shared" ref="AD222" si="562">AD221</f>
        <v>0</v>
      </c>
      <c r="AE222" s="411">
        <f t="shared" ref="AE222" si="563">AE221</f>
        <v>0</v>
      </c>
      <c r="AF222" s="411">
        <f t="shared" ref="AF222" si="564">AF221</f>
        <v>0</v>
      </c>
      <c r="AG222" s="411">
        <f t="shared" ref="AG222" si="565">AG221</f>
        <v>0</v>
      </c>
      <c r="AH222" s="411">
        <f t="shared" ref="AH222" si="566">AH221</f>
        <v>0</v>
      </c>
      <c r="AI222" s="411">
        <f t="shared" ref="AI222" si="567">AI221</f>
        <v>0</v>
      </c>
      <c r="AJ222" s="411">
        <f t="shared" ref="AJ222" si="568">AJ221</f>
        <v>0</v>
      </c>
      <c r="AK222" s="411">
        <f t="shared" ref="AK222" si="569">AK221</f>
        <v>0</v>
      </c>
      <c r="AL222" s="411">
        <f t="shared" ref="AL222" si="570">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289</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571">Z224</f>
        <v>0</v>
      </c>
      <c r="AA225" s="411">
        <f t="shared" ref="AA225" si="572">AA224</f>
        <v>0</v>
      </c>
      <c r="AB225" s="411">
        <f t="shared" ref="AB225" si="573">AB224</f>
        <v>0</v>
      </c>
      <c r="AC225" s="411">
        <f t="shared" ref="AC225" si="574">AC224</f>
        <v>0</v>
      </c>
      <c r="AD225" s="411">
        <f t="shared" ref="AD225" si="575">AD224</f>
        <v>0</v>
      </c>
      <c r="AE225" s="411">
        <f t="shared" ref="AE225" si="576">AE224</f>
        <v>0</v>
      </c>
      <c r="AF225" s="411">
        <f t="shared" ref="AF225" si="577">AF224</f>
        <v>0</v>
      </c>
      <c r="AG225" s="411">
        <f t="shared" ref="AG225" si="578">AG224</f>
        <v>0</v>
      </c>
      <c r="AH225" s="411">
        <f t="shared" ref="AH225" si="579">AH224</f>
        <v>0</v>
      </c>
      <c r="AI225" s="411">
        <f t="shared" ref="AI225" si="580">AI224</f>
        <v>0</v>
      </c>
      <c r="AJ225" s="411">
        <f t="shared" ref="AJ225" si="581">AJ224</f>
        <v>0</v>
      </c>
      <c r="AK225" s="411">
        <f t="shared" ref="AK225" si="582">AK224</f>
        <v>0</v>
      </c>
      <c r="AL225" s="411">
        <f t="shared" ref="AL225" si="583">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84">Z227</f>
        <v>0</v>
      </c>
      <c r="AA228" s="411">
        <f t="shared" ref="AA228" si="585">AA227</f>
        <v>0</v>
      </c>
      <c r="AB228" s="411">
        <f t="shared" ref="AB228" si="586">AB227</f>
        <v>0</v>
      </c>
      <c r="AC228" s="411">
        <f t="shared" ref="AC228" si="587">AC227</f>
        <v>0</v>
      </c>
      <c r="AD228" s="411">
        <f t="shared" ref="AD228" si="588">AD227</f>
        <v>0</v>
      </c>
      <c r="AE228" s="411">
        <f t="shared" ref="AE228" si="589">AE227</f>
        <v>0</v>
      </c>
      <c r="AF228" s="411">
        <f t="shared" ref="AF228" si="590">AF227</f>
        <v>0</v>
      </c>
      <c r="AG228" s="411">
        <f t="shared" ref="AG228" si="591">AG227</f>
        <v>0</v>
      </c>
      <c r="AH228" s="411">
        <f t="shared" ref="AH228" si="592">AH227</f>
        <v>0</v>
      </c>
      <c r="AI228" s="411">
        <f t="shared" ref="AI228" si="593">AI227</f>
        <v>0</v>
      </c>
      <c r="AJ228" s="411">
        <f t="shared" ref="AJ228" si="594">AJ227</f>
        <v>0</v>
      </c>
      <c r="AK228" s="411">
        <f t="shared" ref="AK228" si="595">AK227</f>
        <v>0</v>
      </c>
      <c r="AL228" s="411">
        <f t="shared" ref="AL228" si="596">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2">
        <v>4</v>
      </c>
      <c r="B230" s="520" t="s">
        <v>671</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97">Z230</f>
        <v>0</v>
      </c>
      <c r="AA231" s="411">
        <f t="shared" ref="AA231" si="598">AA230</f>
        <v>0</v>
      </c>
      <c r="AB231" s="411">
        <f t="shared" ref="AB231" si="599">AB230</f>
        <v>0</v>
      </c>
      <c r="AC231" s="411">
        <f t="shared" ref="AC231" si="600">AC230</f>
        <v>0</v>
      </c>
      <c r="AD231" s="411">
        <f t="shared" ref="AD231" si="601">AD230</f>
        <v>0</v>
      </c>
      <c r="AE231" s="411">
        <f t="shared" ref="AE231" si="602">AE230</f>
        <v>0</v>
      </c>
      <c r="AF231" s="411">
        <f t="shared" ref="AF231" si="603">AF230</f>
        <v>0</v>
      </c>
      <c r="AG231" s="411">
        <f t="shared" ref="AG231" si="604">AG230</f>
        <v>0</v>
      </c>
      <c r="AH231" s="411">
        <f t="shared" ref="AH231" si="605">AH230</f>
        <v>0</v>
      </c>
      <c r="AI231" s="411">
        <f t="shared" ref="AI231" si="606">AI230</f>
        <v>0</v>
      </c>
      <c r="AJ231" s="411">
        <f t="shared" ref="AJ231" si="607">AJ230</f>
        <v>0</v>
      </c>
      <c r="AK231" s="411">
        <f t="shared" ref="AK231" si="608">AK230</f>
        <v>0</v>
      </c>
      <c r="AL231" s="411">
        <f t="shared" ref="AL231" si="609">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610">Z233</f>
        <v>0</v>
      </c>
      <c r="AA234" s="411">
        <f t="shared" ref="AA234" si="611">AA233</f>
        <v>0</v>
      </c>
      <c r="AB234" s="411">
        <f t="shared" ref="AB234" si="612">AB233</f>
        <v>0</v>
      </c>
      <c r="AC234" s="411">
        <f t="shared" ref="AC234" si="613">AC233</f>
        <v>0</v>
      </c>
      <c r="AD234" s="411">
        <f t="shared" ref="AD234" si="614">AD233</f>
        <v>0</v>
      </c>
      <c r="AE234" s="411">
        <f t="shared" ref="AE234" si="615">AE233</f>
        <v>0</v>
      </c>
      <c r="AF234" s="411">
        <f t="shared" ref="AF234" si="616">AF233</f>
        <v>0</v>
      </c>
      <c r="AG234" s="411">
        <f t="shared" ref="AG234" si="617">AG233</f>
        <v>0</v>
      </c>
      <c r="AH234" s="411">
        <f t="shared" ref="AH234" si="618">AH233</f>
        <v>0</v>
      </c>
      <c r="AI234" s="411">
        <f t="shared" ref="AI234" si="619">AI233</f>
        <v>0</v>
      </c>
      <c r="AJ234" s="411">
        <f t="shared" ref="AJ234" si="620">AJ233</f>
        <v>0</v>
      </c>
      <c r="AK234" s="411">
        <f t="shared" ref="AK234" si="621">AK233</f>
        <v>0</v>
      </c>
      <c r="AL234" s="411">
        <f t="shared" ref="AL234" si="622">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497</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3">Z237</f>
        <v>0</v>
      </c>
      <c r="AA238" s="411">
        <f t="shared" ref="AA238" si="624">AA237</f>
        <v>0</v>
      </c>
      <c r="AB238" s="411">
        <f t="shared" ref="AB238" si="625">AB237</f>
        <v>0</v>
      </c>
      <c r="AC238" s="411">
        <f t="shared" ref="AC238" si="626">AC237</f>
        <v>0</v>
      </c>
      <c r="AD238" s="411">
        <f t="shared" ref="AD238" si="627">AD237</f>
        <v>0</v>
      </c>
      <c r="AE238" s="411">
        <f t="shared" ref="AE238" si="628">AE237</f>
        <v>0</v>
      </c>
      <c r="AF238" s="411">
        <f t="shared" ref="AF238" si="629">AF237</f>
        <v>0</v>
      </c>
      <c r="AG238" s="411">
        <f t="shared" ref="AG238" si="630">AG237</f>
        <v>0</v>
      </c>
      <c r="AH238" s="411">
        <f t="shared" ref="AH238" si="631">AH237</f>
        <v>0</v>
      </c>
      <c r="AI238" s="411">
        <f t="shared" ref="AI238" si="632">AI237</f>
        <v>0</v>
      </c>
      <c r="AJ238" s="411">
        <f t="shared" ref="AJ238" si="633">AJ237</f>
        <v>0</v>
      </c>
      <c r="AK238" s="411">
        <f t="shared" ref="AK238" si="634">AK237</f>
        <v>0</v>
      </c>
      <c r="AL238" s="411">
        <f t="shared" ref="AL238" si="635">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6">Z240</f>
        <v>0</v>
      </c>
      <c r="AA241" s="411">
        <f t="shared" ref="AA241" si="637">AA240</f>
        <v>0</v>
      </c>
      <c r="AB241" s="411">
        <f t="shared" ref="AB241" si="638">AB240</f>
        <v>0</v>
      </c>
      <c r="AC241" s="411">
        <f t="shared" ref="AC241" si="639">AC240</f>
        <v>0</v>
      </c>
      <c r="AD241" s="411">
        <f t="shared" ref="AD241" si="640">AD240</f>
        <v>0</v>
      </c>
      <c r="AE241" s="411">
        <f t="shared" ref="AE241" si="641">AE240</f>
        <v>0</v>
      </c>
      <c r="AF241" s="411">
        <f t="shared" ref="AF241" si="642">AF240</f>
        <v>0</v>
      </c>
      <c r="AG241" s="411">
        <f t="shared" ref="AG241" si="643">AG240</f>
        <v>0</v>
      </c>
      <c r="AH241" s="411">
        <f t="shared" ref="AH241" si="644">AH240</f>
        <v>0</v>
      </c>
      <c r="AI241" s="411">
        <f t="shared" ref="AI241" si="645">AI240</f>
        <v>0</v>
      </c>
      <c r="AJ241" s="411">
        <f t="shared" ref="AJ241" si="646">AJ240</f>
        <v>0</v>
      </c>
      <c r="AK241" s="411">
        <f t="shared" ref="AK241" si="647">AK240</f>
        <v>0</v>
      </c>
      <c r="AL241" s="411">
        <f t="shared" ref="AL241" si="648">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49">Z243</f>
        <v>0</v>
      </c>
      <c r="AA244" s="411">
        <f t="shared" ref="AA244" si="650">AA243</f>
        <v>0</v>
      </c>
      <c r="AB244" s="411">
        <f t="shared" ref="AB244" si="651">AB243</f>
        <v>0</v>
      </c>
      <c r="AC244" s="411">
        <f t="shared" ref="AC244" si="652">AC243</f>
        <v>0</v>
      </c>
      <c r="AD244" s="411">
        <f t="shared" ref="AD244" si="653">AD243</f>
        <v>0</v>
      </c>
      <c r="AE244" s="411">
        <f t="shared" ref="AE244" si="654">AE243</f>
        <v>0</v>
      </c>
      <c r="AF244" s="411">
        <f t="shared" ref="AF244" si="655">AF243</f>
        <v>0</v>
      </c>
      <c r="AG244" s="411">
        <f t="shared" ref="AG244" si="656">AG243</f>
        <v>0</v>
      </c>
      <c r="AH244" s="411">
        <f t="shared" ref="AH244" si="657">AH243</f>
        <v>0</v>
      </c>
      <c r="AI244" s="411">
        <f t="shared" ref="AI244" si="658">AI243</f>
        <v>0</v>
      </c>
      <c r="AJ244" s="411">
        <f t="shared" ref="AJ244" si="659">AJ243</f>
        <v>0</v>
      </c>
      <c r="AK244" s="411">
        <f t="shared" ref="AK244" si="660">AK243</f>
        <v>0</v>
      </c>
      <c r="AL244" s="411">
        <f t="shared" ref="AL244" si="661">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2">Z246</f>
        <v>0</v>
      </c>
      <c r="AA247" s="411">
        <f t="shared" ref="AA247" si="663">AA246</f>
        <v>0</v>
      </c>
      <c r="AB247" s="411">
        <f t="shared" ref="AB247" si="664">AB246</f>
        <v>0</v>
      </c>
      <c r="AC247" s="411">
        <f t="shared" ref="AC247" si="665">AC246</f>
        <v>0</v>
      </c>
      <c r="AD247" s="411">
        <f t="shared" ref="AD247" si="666">AD246</f>
        <v>0</v>
      </c>
      <c r="AE247" s="411">
        <f t="shared" ref="AE247" si="667">AE246</f>
        <v>0</v>
      </c>
      <c r="AF247" s="411">
        <f t="shared" ref="AF247" si="668">AF246</f>
        <v>0</v>
      </c>
      <c r="AG247" s="411">
        <f t="shared" ref="AG247" si="669">AG246</f>
        <v>0</v>
      </c>
      <c r="AH247" s="411">
        <f t="shared" ref="AH247" si="670">AH246</f>
        <v>0</v>
      </c>
      <c r="AI247" s="411">
        <f t="shared" ref="AI247" si="671">AI246</f>
        <v>0</v>
      </c>
      <c r="AJ247" s="411">
        <f t="shared" ref="AJ247" si="672">AJ246</f>
        <v>0</v>
      </c>
      <c r="AK247" s="411">
        <f t="shared" ref="AK247" si="673">AK246</f>
        <v>0</v>
      </c>
      <c r="AL247" s="411">
        <f t="shared" ref="AL247" si="674">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5">Z249</f>
        <v>0</v>
      </c>
      <c r="AA250" s="411">
        <f t="shared" ref="AA250" si="676">AA249</f>
        <v>0</v>
      </c>
      <c r="AB250" s="411">
        <f t="shared" ref="AB250" si="677">AB249</f>
        <v>0</v>
      </c>
      <c r="AC250" s="411">
        <f t="shared" ref="AC250" si="678">AC249</f>
        <v>0</v>
      </c>
      <c r="AD250" s="411">
        <f t="shared" ref="AD250" si="679">AD249</f>
        <v>0</v>
      </c>
      <c r="AE250" s="411">
        <f t="shared" ref="AE250" si="680">AE249</f>
        <v>0</v>
      </c>
      <c r="AF250" s="411">
        <f t="shared" ref="AF250" si="681">AF249</f>
        <v>0</v>
      </c>
      <c r="AG250" s="411">
        <f t="shared" ref="AG250" si="682">AG249</f>
        <v>0</v>
      </c>
      <c r="AH250" s="411">
        <f t="shared" ref="AH250" si="683">AH249</f>
        <v>0</v>
      </c>
      <c r="AI250" s="411">
        <f t="shared" ref="AI250" si="684">AI249</f>
        <v>0</v>
      </c>
      <c r="AJ250" s="411">
        <f t="shared" ref="AJ250" si="685">AJ249</f>
        <v>0</v>
      </c>
      <c r="AK250" s="411">
        <f t="shared" ref="AK250" si="686">AK249</f>
        <v>0</v>
      </c>
      <c r="AL250" s="411">
        <f t="shared" ref="AL250" si="687">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88">Z253</f>
        <v>0</v>
      </c>
      <c r="AA254" s="411">
        <f t="shared" ref="AA254" si="689">AA253</f>
        <v>0</v>
      </c>
      <c r="AB254" s="411">
        <f t="shared" ref="AB254" si="690">AB253</f>
        <v>0</v>
      </c>
      <c r="AC254" s="411">
        <f t="shared" ref="AC254" si="691">AC253</f>
        <v>0</v>
      </c>
      <c r="AD254" s="411">
        <f t="shared" ref="AD254" si="692">AD253</f>
        <v>0</v>
      </c>
      <c r="AE254" s="411">
        <f t="shared" ref="AE254" si="693">AE253</f>
        <v>0</v>
      </c>
      <c r="AF254" s="411">
        <f t="shared" ref="AF254" si="694">AF253</f>
        <v>0</v>
      </c>
      <c r="AG254" s="411">
        <f t="shared" ref="AG254" si="695">AG253</f>
        <v>0</v>
      </c>
      <c r="AH254" s="411">
        <f t="shared" ref="AH254" si="696">AH253</f>
        <v>0</v>
      </c>
      <c r="AI254" s="411">
        <f t="shared" ref="AI254" si="697">AI253</f>
        <v>0</v>
      </c>
      <c r="AJ254" s="411">
        <f t="shared" ref="AJ254" si="698">AJ253</f>
        <v>0</v>
      </c>
      <c r="AK254" s="411">
        <f t="shared" ref="AK254" si="699">AK253</f>
        <v>0</v>
      </c>
      <c r="AL254" s="411">
        <f t="shared" ref="AL254" si="700">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1">Z256</f>
        <v>0</v>
      </c>
      <c r="AA257" s="411">
        <f t="shared" ref="AA257" si="702">AA256</f>
        <v>0</v>
      </c>
      <c r="AB257" s="411">
        <f t="shared" ref="AB257" si="703">AB256</f>
        <v>0</v>
      </c>
      <c r="AC257" s="411">
        <f t="shared" ref="AC257" si="704">AC256</f>
        <v>0</v>
      </c>
      <c r="AD257" s="411">
        <f t="shared" ref="AD257" si="705">AD256</f>
        <v>0</v>
      </c>
      <c r="AE257" s="411">
        <f t="shared" ref="AE257" si="706">AE256</f>
        <v>0</v>
      </c>
      <c r="AF257" s="411">
        <f t="shared" ref="AF257" si="707">AF256</f>
        <v>0</v>
      </c>
      <c r="AG257" s="411">
        <f t="shared" ref="AG257" si="708">AG256</f>
        <v>0</v>
      </c>
      <c r="AH257" s="411">
        <f t="shared" ref="AH257" si="709">AH256</f>
        <v>0</v>
      </c>
      <c r="AI257" s="411">
        <f t="shared" ref="AI257" si="710">AI256</f>
        <v>0</v>
      </c>
      <c r="AJ257" s="411">
        <f t="shared" ref="AJ257" si="711">AJ256</f>
        <v>0</v>
      </c>
      <c r="AK257" s="411">
        <f t="shared" ref="AK257" si="712">AK256</f>
        <v>0</v>
      </c>
      <c r="AL257" s="411">
        <f t="shared" ref="AL257" si="713">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4">Z259</f>
        <v>0</v>
      </c>
      <c r="AA260" s="411">
        <f t="shared" ref="AA260" si="715">AA259</f>
        <v>0</v>
      </c>
      <c r="AB260" s="411">
        <f t="shared" ref="AB260" si="716">AB259</f>
        <v>0</v>
      </c>
      <c r="AC260" s="411">
        <f t="shared" ref="AC260" si="717">AC259</f>
        <v>0</v>
      </c>
      <c r="AD260" s="411">
        <f t="shared" ref="AD260" si="718">AD259</f>
        <v>0</v>
      </c>
      <c r="AE260" s="411">
        <f t="shared" ref="AE260" si="719">AE259</f>
        <v>0</v>
      </c>
      <c r="AF260" s="411">
        <f t="shared" ref="AF260" si="720">AF259</f>
        <v>0</v>
      </c>
      <c r="AG260" s="411">
        <f t="shared" ref="AG260" si="721">AG259</f>
        <v>0</v>
      </c>
      <c r="AH260" s="411">
        <f t="shared" ref="AH260" si="722">AH259</f>
        <v>0</v>
      </c>
      <c r="AI260" s="411">
        <f t="shared" ref="AI260" si="723">AI259</f>
        <v>0</v>
      </c>
      <c r="AJ260" s="411">
        <f t="shared" ref="AJ260" si="724">AJ259</f>
        <v>0</v>
      </c>
      <c r="AK260" s="411">
        <f t="shared" ref="AK260" si="725">AK259</f>
        <v>0</v>
      </c>
      <c r="AL260" s="411">
        <f t="shared" ref="AL260" si="726">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7">Z263</f>
        <v>0</v>
      </c>
      <c r="AA264" s="411">
        <f t="shared" ref="AA264" si="728">AA263</f>
        <v>0</v>
      </c>
      <c r="AB264" s="411">
        <f t="shared" ref="AB264" si="729">AB263</f>
        <v>0</v>
      </c>
      <c r="AC264" s="411">
        <f t="shared" ref="AC264" si="730">AC263</f>
        <v>0</v>
      </c>
      <c r="AD264" s="411">
        <f t="shared" ref="AD264" si="731">AD263</f>
        <v>0</v>
      </c>
      <c r="AE264" s="411">
        <f t="shared" ref="AE264" si="732">AE263</f>
        <v>0</v>
      </c>
      <c r="AF264" s="411">
        <f t="shared" ref="AF264" si="733">AF263</f>
        <v>0</v>
      </c>
      <c r="AG264" s="411">
        <f t="shared" ref="AG264" si="734">AG263</f>
        <v>0</v>
      </c>
      <c r="AH264" s="411">
        <f t="shared" ref="AH264" si="735">AH263</f>
        <v>0</v>
      </c>
      <c r="AI264" s="411">
        <f t="shared" ref="AI264" si="736">AI263</f>
        <v>0</v>
      </c>
      <c r="AJ264" s="411">
        <f t="shared" ref="AJ264" si="737">AJ263</f>
        <v>0</v>
      </c>
      <c r="AK264" s="411">
        <f t="shared" ref="AK264" si="738">AK263</f>
        <v>0</v>
      </c>
      <c r="AL264" s="411">
        <f t="shared" ref="AL264" si="739">AL263</f>
        <v>0</v>
      </c>
      <c r="AM264" s="297"/>
    </row>
    <row r="265" spans="1:40"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75" outlineLevel="1">
      <c r="A266" s="523"/>
      <c r="B266" s="288" t="s">
        <v>489</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outlineLevel="1">
      <c r="A267" s="522">
        <v>15</v>
      </c>
      <c r="B267" s="294" t="s">
        <v>494</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0">Z267</f>
        <v>0</v>
      </c>
      <c r="AA268" s="411">
        <f t="shared" si="740"/>
        <v>0</v>
      </c>
      <c r="AB268" s="411">
        <f t="shared" si="740"/>
        <v>0</v>
      </c>
      <c r="AC268" s="411">
        <f t="shared" si="740"/>
        <v>0</v>
      </c>
      <c r="AD268" s="411">
        <f t="shared" si="740"/>
        <v>0</v>
      </c>
      <c r="AE268" s="411">
        <f t="shared" si="740"/>
        <v>0</v>
      </c>
      <c r="AF268" s="411">
        <f t="shared" si="740"/>
        <v>0</v>
      </c>
      <c r="AG268" s="411">
        <f t="shared" si="740"/>
        <v>0</v>
      </c>
      <c r="AH268" s="411">
        <f t="shared" si="740"/>
        <v>0</v>
      </c>
      <c r="AI268" s="411">
        <f t="shared" si="740"/>
        <v>0</v>
      </c>
      <c r="AJ268" s="411">
        <f t="shared" si="740"/>
        <v>0</v>
      </c>
      <c r="AK268" s="411">
        <f t="shared" si="740"/>
        <v>0</v>
      </c>
      <c r="AL268" s="411">
        <f t="shared" si="740"/>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2">
        <v>16</v>
      </c>
      <c r="B270" s="324" t="s">
        <v>490</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2"/>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1">Z270</f>
        <v>0</v>
      </c>
      <c r="AA271" s="411">
        <f t="shared" si="741"/>
        <v>0</v>
      </c>
      <c r="AB271" s="411">
        <f t="shared" si="741"/>
        <v>0</v>
      </c>
      <c r="AC271" s="411">
        <f t="shared" si="741"/>
        <v>0</v>
      </c>
      <c r="AD271" s="411">
        <f t="shared" si="741"/>
        <v>0</v>
      </c>
      <c r="AE271" s="411">
        <f t="shared" si="741"/>
        <v>0</v>
      </c>
      <c r="AF271" s="411">
        <f t="shared" si="741"/>
        <v>0</v>
      </c>
      <c r="AG271" s="411">
        <f t="shared" si="741"/>
        <v>0</v>
      </c>
      <c r="AH271" s="411">
        <f t="shared" si="741"/>
        <v>0</v>
      </c>
      <c r="AI271" s="411">
        <f t="shared" si="741"/>
        <v>0</v>
      </c>
      <c r="AJ271" s="411">
        <f t="shared" si="741"/>
        <v>0</v>
      </c>
      <c r="AK271" s="411">
        <f t="shared" si="741"/>
        <v>0</v>
      </c>
      <c r="AL271" s="411">
        <f t="shared" si="741"/>
        <v>0</v>
      </c>
      <c r="AM271" s="297"/>
    </row>
    <row r="272" spans="1:40" s="283" customFormat="1"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9" t="s">
        <v>495</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2">Z274</f>
        <v>0</v>
      </c>
      <c r="AA275" s="411">
        <f t="shared" si="742"/>
        <v>0</v>
      </c>
      <c r="AB275" s="411">
        <f t="shared" si="742"/>
        <v>0</v>
      </c>
      <c r="AC275" s="411">
        <f t="shared" si="742"/>
        <v>0</v>
      </c>
      <c r="AD275" s="411">
        <f t="shared" si="742"/>
        <v>0</v>
      </c>
      <c r="AE275" s="411">
        <f t="shared" si="742"/>
        <v>0</v>
      </c>
      <c r="AF275" s="411">
        <f t="shared" si="742"/>
        <v>0</v>
      </c>
      <c r="AG275" s="411">
        <f t="shared" si="742"/>
        <v>0</v>
      </c>
      <c r="AH275" s="411">
        <f t="shared" si="742"/>
        <v>0</v>
      </c>
      <c r="AI275" s="411">
        <f t="shared" si="742"/>
        <v>0</v>
      </c>
      <c r="AJ275" s="411">
        <f t="shared" si="742"/>
        <v>0</v>
      </c>
      <c r="AK275" s="411">
        <f t="shared" si="742"/>
        <v>0</v>
      </c>
      <c r="AL275" s="411">
        <f t="shared" si="742"/>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3">Z277</f>
        <v>0</v>
      </c>
      <c r="AA278" s="411">
        <f t="shared" si="743"/>
        <v>0</v>
      </c>
      <c r="AB278" s="411">
        <f t="shared" si="743"/>
        <v>0</v>
      </c>
      <c r="AC278" s="411">
        <f t="shared" si="743"/>
        <v>0</v>
      </c>
      <c r="AD278" s="411">
        <f t="shared" si="743"/>
        <v>0</v>
      </c>
      <c r="AE278" s="411">
        <f t="shared" si="743"/>
        <v>0</v>
      </c>
      <c r="AF278" s="411">
        <f t="shared" si="743"/>
        <v>0</v>
      </c>
      <c r="AG278" s="411">
        <f t="shared" si="743"/>
        <v>0</v>
      </c>
      <c r="AH278" s="411">
        <f t="shared" si="743"/>
        <v>0</v>
      </c>
      <c r="AI278" s="411">
        <f t="shared" si="743"/>
        <v>0</v>
      </c>
      <c r="AJ278" s="411">
        <f t="shared" si="743"/>
        <v>0</v>
      </c>
      <c r="AK278" s="411">
        <f t="shared" si="743"/>
        <v>0</v>
      </c>
      <c r="AL278" s="411">
        <f t="shared" si="743"/>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4">Z280</f>
        <v>0</v>
      </c>
      <c r="AA281" s="411">
        <f t="shared" si="744"/>
        <v>0</v>
      </c>
      <c r="AB281" s="411">
        <f t="shared" si="744"/>
        <v>0</v>
      </c>
      <c r="AC281" s="411">
        <f t="shared" si="744"/>
        <v>0</v>
      </c>
      <c r="AD281" s="411">
        <f t="shared" si="744"/>
        <v>0</v>
      </c>
      <c r="AE281" s="411">
        <f t="shared" si="744"/>
        <v>0</v>
      </c>
      <c r="AF281" s="411">
        <f t="shared" si="744"/>
        <v>0</v>
      </c>
      <c r="AG281" s="411">
        <f t="shared" si="744"/>
        <v>0</v>
      </c>
      <c r="AH281" s="411">
        <f t="shared" si="744"/>
        <v>0</v>
      </c>
      <c r="AI281" s="411">
        <f t="shared" si="744"/>
        <v>0</v>
      </c>
      <c r="AJ281" s="411">
        <f t="shared" si="744"/>
        <v>0</v>
      </c>
      <c r="AK281" s="411">
        <f t="shared" si="744"/>
        <v>0</v>
      </c>
      <c r="AL281" s="411">
        <f t="shared" si="744"/>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5">Y283</f>
        <v>0</v>
      </c>
      <c r="Z284" s="411">
        <f t="shared" si="745"/>
        <v>0</v>
      </c>
      <c r="AA284" s="411">
        <f t="shared" si="745"/>
        <v>0</v>
      </c>
      <c r="AB284" s="411">
        <f t="shared" si="745"/>
        <v>0</v>
      </c>
      <c r="AC284" s="411">
        <f t="shared" si="745"/>
        <v>0</v>
      </c>
      <c r="AD284" s="411">
        <f t="shared" si="745"/>
        <v>0</v>
      </c>
      <c r="AE284" s="411">
        <f t="shared" si="745"/>
        <v>0</v>
      </c>
      <c r="AF284" s="411">
        <f t="shared" si="745"/>
        <v>0</v>
      </c>
      <c r="AG284" s="411">
        <f t="shared" si="745"/>
        <v>0</v>
      </c>
      <c r="AH284" s="411">
        <f t="shared" si="745"/>
        <v>0</v>
      </c>
      <c r="AI284" s="411">
        <f t="shared" si="745"/>
        <v>0</v>
      </c>
      <c r="AJ284" s="411">
        <f t="shared" si="745"/>
        <v>0</v>
      </c>
      <c r="AK284" s="411">
        <f t="shared" si="745"/>
        <v>0</v>
      </c>
      <c r="AL284" s="411">
        <f t="shared" si="745"/>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8" t="s">
        <v>502</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498</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22">
        <v>21</v>
      </c>
      <c r="B288" s="520" t="s">
        <v>113</v>
      </c>
      <c r="C288" s="291" t="s">
        <v>25</v>
      </c>
      <c r="D288" s="295">
        <f>'7.  Persistence Report'!AV102</f>
        <v>906318</v>
      </c>
      <c r="E288" s="295">
        <f>'7.  Persistence Report'!AW102</f>
        <v>906318</v>
      </c>
      <c r="F288" s="295">
        <f>'7.  Persistence Report'!AX102</f>
        <v>906318</v>
      </c>
      <c r="G288" s="295">
        <f>'7.  Persistence Report'!AY102</f>
        <v>906318</v>
      </c>
      <c r="H288" s="295">
        <f>'7.  Persistence Report'!AZ102</f>
        <v>906318</v>
      </c>
      <c r="I288" s="295">
        <f>'7.  Persistence Report'!BA102</f>
        <v>906318</v>
      </c>
      <c r="J288" s="295">
        <f>'7.  Persistence Report'!BB102</f>
        <v>906318</v>
      </c>
      <c r="K288" s="295">
        <f>'7.  Persistence Report'!BC102</f>
        <v>906206</v>
      </c>
      <c r="L288" s="295">
        <f>'7.  Persistence Report'!BD102</f>
        <v>906206</v>
      </c>
      <c r="M288" s="295">
        <f>'7.  Persistence Report'!BE102</f>
        <v>902619</v>
      </c>
      <c r="N288" s="291"/>
      <c r="O288" s="295">
        <f>'7.  Persistence Report'!Q102</f>
        <v>59</v>
      </c>
      <c r="P288" s="295">
        <f>'7.  Persistence Report'!R102</f>
        <v>59</v>
      </c>
      <c r="Q288" s="295">
        <f>'7.  Persistence Report'!S102</f>
        <v>59</v>
      </c>
      <c r="R288" s="295">
        <f>'7.  Persistence Report'!T102</f>
        <v>59</v>
      </c>
      <c r="S288" s="295">
        <f>'7.  Persistence Report'!U102</f>
        <v>59</v>
      </c>
      <c r="T288" s="295">
        <f>'7.  Persistence Report'!V102</f>
        <v>59</v>
      </c>
      <c r="U288" s="295">
        <f>'7.  Persistence Report'!W102</f>
        <v>59</v>
      </c>
      <c r="V288" s="295">
        <f>'7.  Persistence Report'!X102</f>
        <v>59</v>
      </c>
      <c r="W288" s="295">
        <f>'7.  Persistence Report'!Y102</f>
        <v>59</v>
      </c>
      <c r="X288" s="295">
        <f>'7.  Persistence Report'!Z102</f>
        <v>59</v>
      </c>
      <c r="Y288" s="410">
        <v>1</v>
      </c>
      <c r="Z288" s="410"/>
      <c r="AA288" s="410"/>
      <c r="AB288" s="410"/>
      <c r="AC288" s="410"/>
      <c r="AD288" s="410"/>
      <c r="AE288" s="410"/>
      <c r="AF288" s="410"/>
      <c r="AG288" s="410"/>
      <c r="AH288" s="410"/>
      <c r="AI288" s="410"/>
      <c r="AJ288" s="410"/>
      <c r="AK288" s="410"/>
      <c r="AL288" s="410"/>
      <c r="AM288" s="296">
        <f>SUM(Y288:AL288)</f>
        <v>1</v>
      </c>
    </row>
    <row r="289" spans="1:39" outlineLevel="1">
      <c r="B289" s="294" t="s">
        <v>289</v>
      </c>
      <c r="C289" s="291" t="s">
        <v>163</v>
      </c>
      <c r="D289" s="295">
        <f>'7.  Persistence Report'!AV123</f>
        <v>86033</v>
      </c>
      <c r="E289" s="295">
        <f>'7.  Persistence Report'!AW123</f>
        <v>86033</v>
      </c>
      <c r="F289" s="295">
        <f>'7.  Persistence Report'!AX123</f>
        <v>86033</v>
      </c>
      <c r="G289" s="295">
        <f>'7.  Persistence Report'!AY123</f>
        <v>86033</v>
      </c>
      <c r="H289" s="295">
        <f>'7.  Persistence Report'!AZ123</f>
        <v>86033</v>
      </c>
      <c r="I289" s="295">
        <f>'7.  Persistence Report'!BA123</f>
        <v>86033</v>
      </c>
      <c r="J289" s="295">
        <f>'7.  Persistence Report'!BB123</f>
        <v>86033</v>
      </c>
      <c r="K289" s="295">
        <f>'7.  Persistence Report'!BC123</f>
        <v>86026</v>
      </c>
      <c r="L289" s="295">
        <f>'7.  Persistence Report'!BD123</f>
        <v>86026</v>
      </c>
      <c r="M289" s="295">
        <f>'7.  Persistence Report'!BE123</f>
        <v>86125</v>
      </c>
      <c r="N289" s="291"/>
      <c r="O289" s="295">
        <f>'7.  Persistence Report'!Q123</f>
        <v>5</v>
      </c>
      <c r="P289" s="295">
        <f>'7.  Persistence Report'!R123</f>
        <v>5</v>
      </c>
      <c r="Q289" s="295">
        <f>'7.  Persistence Report'!S123</f>
        <v>5</v>
      </c>
      <c r="R289" s="295">
        <f>'7.  Persistence Report'!T123</f>
        <v>5</v>
      </c>
      <c r="S289" s="295">
        <f>'7.  Persistence Report'!U123</f>
        <v>5</v>
      </c>
      <c r="T289" s="295">
        <f>'7.  Persistence Report'!V123</f>
        <v>5</v>
      </c>
      <c r="U289" s="295">
        <f>'7.  Persistence Report'!W123</f>
        <v>5</v>
      </c>
      <c r="V289" s="295">
        <f>'7.  Persistence Report'!X123</f>
        <v>5</v>
      </c>
      <c r="W289" s="295">
        <f>'7.  Persistence Report'!Y123</f>
        <v>5</v>
      </c>
      <c r="X289" s="295">
        <f>'7.  Persistence Report'!Z123</f>
        <v>5</v>
      </c>
      <c r="Y289" s="411">
        <f>Y288</f>
        <v>1</v>
      </c>
      <c r="Z289" s="411">
        <f t="shared" ref="Z289" si="746">Z288</f>
        <v>0</v>
      </c>
      <c r="AA289" s="411">
        <f t="shared" ref="AA289" si="747">AA288</f>
        <v>0</v>
      </c>
      <c r="AB289" s="411">
        <f t="shared" ref="AB289" si="748">AB288</f>
        <v>0</v>
      </c>
      <c r="AC289" s="411">
        <f t="shared" ref="AC289" si="749">AC288</f>
        <v>0</v>
      </c>
      <c r="AD289" s="411">
        <f t="shared" ref="AD289" si="750">AD288</f>
        <v>0</v>
      </c>
      <c r="AE289" s="411">
        <f t="shared" ref="AE289" si="751">AE288</f>
        <v>0</v>
      </c>
      <c r="AF289" s="411">
        <f t="shared" ref="AF289" si="752">AF288</f>
        <v>0</v>
      </c>
      <c r="AG289" s="411">
        <f t="shared" ref="AG289" si="753">AG288</f>
        <v>0</v>
      </c>
      <c r="AH289" s="411">
        <f t="shared" ref="AH289" si="754">AH288</f>
        <v>0</v>
      </c>
      <c r="AI289" s="411">
        <f t="shared" ref="AI289" si="755">AI288</f>
        <v>0</v>
      </c>
      <c r="AJ289" s="411">
        <f t="shared" ref="AJ289" si="756">AJ288</f>
        <v>0</v>
      </c>
      <c r="AK289" s="411">
        <f t="shared" ref="AK289" si="757">AK288</f>
        <v>0</v>
      </c>
      <c r="AL289" s="411">
        <f t="shared" ref="AL289" si="758">AL288</f>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295">
        <f>'7.  Persistence Report'!AV103</f>
        <v>166406</v>
      </c>
      <c r="E291" s="295">
        <f>'7.  Persistence Report'!AW103</f>
        <v>166406</v>
      </c>
      <c r="F291" s="295">
        <f>'7.  Persistence Report'!AX103</f>
        <v>166406</v>
      </c>
      <c r="G291" s="295">
        <f>'7.  Persistence Report'!AY103</f>
        <v>166406</v>
      </c>
      <c r="H291" s="295">
        <f>'7.  Persistence Report'!AZ103</f>
        <v>166406</v>
      </c>
      <c r="I291" s="295">
        <f>'7.  Persistence Report'!BA103</f>
        <v>166406</v>
      </c>
      <c r="J291" s="295">
        <f>'7.  Persistence Report'!BB103</f>
        <v>166406</v>
      </c>
      <c r="K291" s="295">
        <f>'7.  Persistence Report'!BC103</f>
        <v>166406</v>
      </c>
      <c r="L291" s="295">
        <f>'7.  Persistence Report'!BD103</f>
        <v>166406</v>
      </c>
      <c r="M291" s="295">
        <f>'7.  Persistence Report'!BE103</f>
        <v>166406</v>
      </c>
      <c r="N291" s="291"/>
      <c r="O291" s="295">
        <f>'7.  Persistence Report'!Q103</f>
        <v>50</v>
      </c>
      <c r="P291" s="295">
        <f>'7.  Persistence Report'!R103</f>
        <v>50</v>
      </c>
      <c r="Q291" s="295">
        <f>'7.  Persistence Report'!S103</f>
        <v>50</v>
      </c>
      <c r="R291" s="295">
        <f>'7.  Persistence Report'!T103</f>
        <v>50</v>
      </c>
      <c r="S291" s="295">
        <f>'7.  Persistence Report'!U103</f>
        <v>50</v>
      </c>
      <c r="T291" s="295">
        <f>'7.  Persistence Report'!V103</f>
        <v>50</v>
      </c>
      <c r="U291" s="295">
        <f>'7.  Persistence Report'!W103</f>
        <v>50</v>
      </c>
      <c r="V291" s="295">
        <f>'7.  Persistence Report'!X103</f>
        <v>50</v>
      </c>
      <c r="W291" s="295">
        <f>'7.  Persistence Report'!Y103</f>
        <v>50</v>
      </c>
      <c r="X291" s="295">
        <f>'7.  Persistence Report'!Z103</f>
        <v>50</v>
      </c>
      <c r="Y291" s="410">
        <v>1</v>
      </c>
      <c r="Z291" s="410"/>
      <c r="AA291" s="410"/>
      <c r="AB291" s="410"/>
      <c r="AC291" s="410"/>
      <c r="AD291" s="410"/>
      <c r="AE291" s="410"/>
      <c r="AF291" s="410"/>
      <c r="AG291" s="410"/>
      <c r="AH291" s="410"/>
      <c r="AI291" s="410"/>
      <c r="AJ291" s="410"/>
      <c r="AK291" s="410"/>
      <c r="AL291" s="410"/>
      <c r="AM291" s="296">
        <f>SUM(Y291:AL291)</f>
        <v>1</v>
      </c>
    </row>
    <row r="292" spans="1:39" outlineLevel="1">
      <c r="B292" s="294" t="s">
        <v>289</v>
      </c>
      <c r="C292" s="291" t="s">
        <v>163</v>
      </c>
      <c r="D292" s="295">
        <f>'7.  Persistence Report'!AV124</f>
        <v>957</v>
      </c>
      <c r="E292" s="295">
        <f>'7.  Persistence Report'!AW124</f>
        <v>957</v>
      </c>
      <c r="F292" s="295">
        <f>'7.  Persistence Report'!AX124</f>
        <v>957</v>
      </c>
      <c r="G292" s="295">
        <f>'7.  Persistence Report'!AY124</f>
        <v>957</v>
      </c>
      <c r="H292" s="295">
        <f>'7.  Persistence Report'!AZ124</f>
        <v>957</v>
      </c>
      <c r="I292" s="295">
        <f>'7.  Persistence Report'!BA124</f>
        <v>957</v>
      </c>
      <c r="J292" s="295">
        <f>'7.  Persistence Report'!BB124</f>
        <v>957</v>
      </c>
      <c r="K292" s="295">
        <f>'7.  Persistence Report'!BC124</f>
        <v>957</v>
      </c>
      <c r="L292" s="295">
        <f>'7.  Persistence Report'!BD124</f>
        <v>957</v>
      </c>
      <c r="M292" s="295">
        <f>'7.  Persistence Report'!BE124</f>
        <v>957</v>
      </c>
      <c r="N292" s="291"/>
      <c r="O292" s="295">
        <f>'7.  Persistence Report'!Q124</f>
        <v>0</v>
      </c>
      <c r="P292" s="295">
        <f>'7.  Persistence Report'!R124</f>
        <v>0</v>
      </c>
      <c r="Q292" s="295">
        <f>'7.  Persistence Report'!S124</f>
        <v>0</v>
      </c>
      <c r="R292" s="295">
        <f>'7.  Persistence Report'!T124</f>
        <v>0</v>
      </c>
      <c r="S292" s="295">
        <f>'7.  Persistence Report'!U124</f>
        <v>0</v>
      </c>
      <c r="T292" s="295">
        <f>'7.  Persistence Report'!V124</f>
        <v>0</v>
      </c>
      <c r="U292" s="295">
        <f>'7.  Persistence Report'!W124</f>
        <v>0</v>
      </c>
      <c r="V292" s="295">
        <f>'7.  Persistence Report'!X124</f>
        <v>0</v>
      </c>
      <c r="W292" s="295">
        <f>'7.  Persistence Report'!Y124</f>
        <v>0</v>
      </c>
      <c r="X292" s="295">
        <f>'7.  Persistence Report'!Z124</f>
        <v>0</v>
      </c>
      <c r="Y292" s="411">
        <f>Y291</f>
        <v>1</v>
      </c>
      <c r="Z292" s="411">
        <f t="shared" ref="Z292" si="759">Z291</f>
        <v>0</v>
      </c>
      <c r="AA292" s="411">
        <f t="shared" ref="AA292" si="760">AA291</f>
        <v>0</v>
      </c>
      <c r="AB292" s="411">
        <f t="shared" ref="AB292" si="761">AB291</f>
        <v>0</v>
      </c>
      <c r="AC292" s="411">
        <f t="shared" ref="AC292" si="762">AC291</f>
        <v>0</v>
      </c>
      <c r="AD292" s="411">
        <f t="shared" ref="AD292" si="763">AD291</f>
        <v>0</v>
      </c>
      <c r="AE292" s="411">
        <f t="shared" ref="AE292" si="764">AE291</f>
        <v>0</v>
      </c>
      <c r="AF292" s="411">
        <f t="shared" ref="AF292" si="765">AF291</f>
        <v>0</v>
      </c>
      <c r="AG292" s="411">
        <f t="shared" ref="AG292" si="766">AG291</f>
        <v>0</v>
      </c>
      <c r="AH292" s="411">
        <f t="shared" ref="AH292" si="767">AH291</f>
        <v>0</v>
      </c>
      <c r="AI292" s="411">
        <f t="shared" ref="AI292" si="768">AI291</f>
        <v>0</v>
      </c>
      <c r="AJ292" s="411">
        <f t="shared" ref="AJ292" si="769">AJ291</f>
        <v>0</v>
      </c>
      <c r="AK292" s="411">
        <f t="shared" ref="AK292" si="770">AK291</f>
        <v>0</v>
      </c>
      <c r="AL292" s="411">
        <f t="shared" ref="AL292" si="771">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outlineLevel="1">
      <c r="B295" s="294" t="s">
        <v>289</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0</v>
      </c>
      <c r="Z295" s="411">
        <f t="shared" ref="Z295" si="772">Z294</f>
        <v>0</v>
      </c>
      <c r="AA295" s="411">
        <f t="shared" ref="AA295" si="773">AA294</f>
        <v>0</v>
      </c>
      <c r="AB295" s="411">
        <f t="shared" ref="AB295" si="774">AB294</f>
        <v>0</v>
      </c>
      <c r="AC295" s="411">
        <f t="shared" ref="AC295" si="775">AC294</f>
        <v>0</v>
      </c>
      <c r="AD295" s="411">
        <f t="shared" ref="AD295" si="776">AD294</f>
        <v>0</v>
      </c>
      <c r="AE295" s="411">
        <f t="shared" ref="AE295" si="777">AE294</f>
        <v>0</v>
      </c>
      <c r="AF295" s="411">
        <f t="shared" ref="AF295" si="778">AF294</f>
        <v>0</v>
      </c>
      <c r="AG295" s="411">
        <f t="shared" ref="AG295" si="779">AG294</f>
        <v>0</v>
      </c>
      <c r="AH295" s="411">
        <f t="shared" ref="AH295" si="780">AH294</f>
        <v>0</v>
      </c>
      <c r="AI295" s="411">
        <f t="shared" ref="AI295" si="781">AI294</f>
        <v>0</v>
      </c>
      <c r="AJ295" s="411">
        <f t="shared" ref="AJ295" si="782">AJ294</f>
        <v>0</v>
      </c>
      <c r="AK295" s="411">
        <f t="shared" ref="AK295" si="783">AK294</f>
        <v>0</v>
      </c>
      <c r="AL295" s="411">
        <f t="shared" ref="AL295" si="784">AL294</f>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2">
        <v>24</v>
      </c>
      <c r="B297" s="520"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 t="shared" ref="Z298" si="785">Z297</f>
        <v>0</v>
      </c>
      <c r="AA298" s="411">
        <f t="shared" ref="AA298" si="786">AA297</f>
        <v>0</v>
      </c>
      <c r="AB298" s="411">
        <f t="shared" ref="AB298" si="787">AB297</f>
        <v>0</v>
      </c>
      <c r="AC298" s="411">
        <f t="shared" ref="AC298" si="788">AC297</f>
        <v>0</v>
      </c>
      <c r="AD298" s="411">
        <f t="shared" ref="AD298" si="789">AD297</f>
        <v>0</v>
      </c>
      <c r="AE298" s="411">
        <f t="shared" ref="AE298" si="790">AE297</f>
        <v>0</v>
      </c>
      <c r="AF298" s="411">
        <f t="shared" ref="AF298" si="791">AF297</f>
        <v>0</v>
      </c>
      <c r="AG298" s="411">
        <f t="shared" ref="AG298" si="792">AG297</f>
        <v>0</v>
      </c>
      <c r="AH298" s="411">
        <f t="shared" ref="AH298" si="793">AH297</f>
        <v>0</v>
      </c>
      <c r="AI298" s="411">
        <f t="shared" ref="AI298" si="794">AI297</f>
        <v>0</v>
      </c>
      <c r="AJ298" s="411">
        <f t="shared" ref="AJ298" si="795">AJ297</f>
        <v>0</v>
      </c>
      <c r="AK298" s="411">
        <f t="shared" ref="AK298" si="796">AK297</f>
        <v>0</v>
      </c>
      <c r="AL298" s="411">
        <f t="shared" ref="AL298" si="797">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75" outlineLevel="1">
      <c r="B300" s="288" t="s">
        <v>499</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outlineLevel="1">
      <c r="A301" s="522">
        <v>25</v>
      </c>
      <c r="B301" s="520"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outlineLevel="1">
      <c r="B302" s="294" t="s">
        <v>289</v>
      </c>
      <c r="C302" s="291" t="s">
        <v>163</v>
      </c>
      <c r="D302" s="295"/>
      <c r="E302" s="295"/>
      <c r="F302" s="295"/>
      <c r="G302" s="295"/>
      <c r="H302" s="295"/>
      <c r="I302" s="295"/>
      <c r="J302" s="295"/>
      <c r="K302" s="295"/>
      <c r="L302" s="295"/>
      <c r="M302" s="295"/>
      <c r="N302" s="295">
        <f>N301</f>
        <v>12</v>
      </c>
      <c r="O302" s="295"/>
      <c r="P302" s="295"/>
      <c r="Q302" s="295"/>
      <c r="R302" s="295"/>
      <c r="S302" s="295"/>
      <c r="T302" s="295"/>
      <c r="U302" s="295"/>
      <c r="V302" s="295"/>
      <c r="W302" s="295"/>
      <c r="X302" s="295"/>
      <c r="Y302" s="411">
        <f>Y301</f>
        <v>0</v>
      </c>
      <c r="Z302" s="411">
        <f t="shared" ref="Z302" si="798">Z301</f>
        <v>0</v>
      </c>
      <c r="AA302" s="411">
        <f t="shared" ref="AA302" si="799">AA301</f>
        <v>0</v>
      </c>
      <c r="AB302" s="411">
        <f t="shared" ref="AB302" si="800">AB301</f>
        <v>0</v>
      </c>
      <c r="AC302" s="411">
        <f t="shared" ref="AC302" si="801">AC301</f>
        <v>0</v>
      </c>
      <c r="AD302" s="411">
        <f t="shared" ref="AD302" si="802">AD301</f>
        <v>0</v>
      </c>
      <c r="AE302" s="411">
        <f t="shared" ref="AE302" si="803">AE301</f>
        <v>0</v>
      </c>
      <c r="AF302" s="411">
        <f t="shared" ref="AF302" si="804">AF301</f>
        <v>0</v>
      </c>
      <c r="AG302" s="411">
        <f t="shared" ref="AG302" si="805">AG301</f>
        <v>0</v>
      </c>
      <c r="AH302" s="411">
        <f t="shared" ref="AH302" si="806">AH301</f>
        <v>0</v>
      </c>
      <c r="AI302" s="411">
        <f t="shared" ref="AI302" si="807">AI301</f>
        <v>0</v>
      </c>
      <c r="AJ302" s="411">
        <f t="shared" ref="AJ302" si="808">AJ301</f>
        <v>0</v>
      </c>
      <c r="AK302" s="411">
        <f t="shared" ref="AK302" si="809">AK301</f>
        <v>0</v>
      </c>
      <c r="AL302" s="411">
        <f t="shared" ref="AL302" si="810">AL301</f>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22">
        <v>26</v>
      </c>
      <c r="B304" s="520" t="s">
        <v>118</v>
      </c>
      <c r="C304" s="291" t="s">
        <v>25</v>
      </c>
      <c r="D304" s="295">
        <f>'7.  Persistence Report'!AV104</f>
        <v>921843</v>
      </c>
      <c r="E304" s="295">
        <f>'7.  Persistence Report'!AW104</f>
        <v>914993</v>
      </c>
      <c r="F304" s="295">
        <f>'7.  Persistence Report'!AX104</f>
        <v>914993</v>
      </c>
      <c r="G304" s="295">
        <f>'7.  Persistence Report'!AY104</f>
        <v>914993</v>
      </c>
      <c r="H304" s="295">
        <f>'7.  Persistence Report'!AZ104</f>
        <v>914993</v>
      </c>
      <c r="I304" s="295">
        <f>'7.  Persistence Report'!BA104</f>
        <v>914993</v>
      </c>
      <c r="J304" s="295">
        <f>'7.  Persistence Report'!BB104</f>
        <v>914993</v>
      </c>
      <c r="K304" s="295">
        <f>'7.  Persistence Report'!BC104</f>
        <v>914993</v>
      </c>
      <c r="L304" s="295">
        <f>'7.  Persistence Report'!BD104</f>
        <v>662198</v>
      </c>
      <c r="M304" s="295">
        <f>'7.  Persistence Report'!BE104</f>
        <v>662198</v>
      </c>
      <c r="N304" s="295">
        <v>12</v>
      </c>
      <c r="O304" s="295">
        <f>'7.  Persistence Report'!Q104</f>
        <v>114</v>
      </c>
      <c r="P304" s="295">
        <f>'7.  Persistence Report'!R104</f>
        <v>113</v>
      </c>
      <c r="Q304" s="295">
        <f>'7.  Persistence Report'!S104</f>
        <v>113</v>
      </c>
      <c r="R304" s="295">
        <f>'7.  Persistence Report'!T104</f>
        <v>113</v>
      </c>
      <c r="S304" s="295">
        <f>'7.  Persistence Report'!U104</f>
        <v>113</v>
      </c>
      <c r="T304" s="295">
        <f>'7.  Persistence Report'!V104</f>
        <v>113</v>
      </c>
      <c r="U304" s="295">
        <f>'7.  Persistence Report'!W104</f>
        <v>113</v>
      </c>
      <c r="V304" s="295">
        <f>'7.  Persistence Report'!X104</f>
        <v>113</v>
      </c>
      <c r="W304" s="295">
        <f>'7.  Persistence Report'!Y104</f>
        <v>52</v>
      </c>
      <c r="X304" s="295">
        <f>'7.  Persistence Report'!Z104</f>
        <v>52</v>
      </c>
      <c r="Y304" s="426"/>
      <c r="Z304" s="410">
        <f>'3-a.  Rate Class Allocations'!G44</f>
        <v>2.0967417492661383E-2</v>
      </c>
      <c r="AA304" s="410">
        <f>'3-a.  Rate Class Allocations'!H44</f>
        <v>0.97903258250733871</v>
      </c>
      <c r="AB304" s="410"/>
      <c r="AC304" s="410"/>
      <c r="AD304" s="410"/>
      <c r="AE304" s="410"/>
      <c r="AF304" s="410"/>
      <c r="AG304" s="415"/>
      <c r="AH304" s="415"/>
      <c r="AI304" s="415"/>
      <c r="AJ304" s="415"/>
      <c r="AK304" s="415"/>
      <c r="AL304" s="415"/>
      <c r="AM304" s="296">
        <f>SUM(Y304:AL304)</f>
        <v>1</v>
      </c>
    </row>
    <row r="305" spans="1:39" outlineLevel="1">
      <c r="B305" s="294" t="s">
        <v>289</v>
      </c>
      <c r="C305" s="291" t="s">
        <v>163</v>
      </c>
      <c r="D305" s="295">
        <f>'7.  Persistence Report'!AV125</f>
        <v>464081</v>
      </c>
      <c r="E305" s="295">
        <f>'7.  Persistence Report'!AW125</f>
        <v>470931</v>
      </c>
      <c r="F305" s="295">
        <f>'7.  Persistence Report'!AX125</f>
        <v>471293</v>
      </c>
      <c r="G305" s="295">
        <f>'7.  Persistence Report'!AY125</f>
        <v>471293</v>
      </c>
      <c r="H305" s="295">
        <f>'7.  Persistence Report'!AZ125</f>
        <v>471293</v>
      </c>
      <c r="I305" s="295">
        <f>'7.  Persistence Report'!BA125</f>
        <v>471293</v>
      </c>
      <c r="J305" s="295">
        <f>'7.  Persistence Report'!BB125</f>
        <v>471293</v>
      </c>
      <c r="K305" s="295">
        <f>'7.  Persistence Report'!BC125</f>
        <v>471293</v>
      </c>
      <c r="L305" s="295">
        <f>'7.  Persistence Report'!BD125</f>
        <v>471293</v>
      </c>
      <c r="M305" s="295">
        <f>'7.  Persistence Report'!BE125</f>
        <v>471293</v>
      </c>
      <c r="N305" s="295">
        <f>N304</f>
        <v>12</v>
      </c>
      <c r="O305" s="295">
        <f>'7.  Persistence Report'!Q125</f>
        <v>13</v>
      </c>
      <c r="P305" s="295">
        <f>'7.  Persistence Report'!R125</f>
        <v>15</v>
      </c>
      <c r="Q305" s="295">
        <f>'7.  Persistence Report'!S125</f>
        <v>15</v>
      </c>
      <c r="R305" s="295">
        <f>'7.  Persistence Report'!T125</f>
        <v>15</v>
      </c>
      <c r="S305" s="295">
        <f>'7.  Persistence Report'!U125</f>
        <v>15</v>
      </c>
      <c r="T305" s="295">
        <f>'7.  Persistence Report'!V125</f>
        <v>15</v>
      </c>
      <c r="U305" s="295">
        <f>'7.  Persistence Report'!W125</f>
        <v>15</v>
      </c>
      <c r="V305" s="295">
        <f>'7.  Persistence Report'!X125</f>
        <v>15</v>
      </c>
      <c r="W305" s="295">
        <f>'7.  Persistence Report'!Y125</f>
        <v>15</v>
      </c>
      <c r="X305" s="295">
        <f>'7.  Persistence Report'!Z125</f>
        <v>15</v>
      </c>
      <c r="Y305" s="411">
        <f>Y304</f>
        <v>0</v>
      </c>
      <c r="Z305" s="411">
        <f t="shared" ref="Z305" si="811">Z304</f>
        <v>2.0967417492661383E-2</v>
      </c>
      <c r="AA305" s="411">
        <f t="shared" ref="AA305" si="812">AA304</f>
        <v>0.97903258250733871</v>
      </c>
      <c r="AB305" s="411">
        <f t="shared" ref="AB305" si="813">AB304</f>
        <v>0</v>
      </c>
      <c r="AC305" s="411">
        <f t="shared" ref="AC305" si="814">AC304</f>
        <v>0</v>
      </c>
      <c r="AD305" s="411">
        <f t="shared" ref="AD305" si="815">AD304</f>
        <v>0</v>
      </c>
      <c r="AE305" s="411">
        <f t="shared" ref="AE305" si="816">AE304</f>
        <v>0</v>
      </c>
      <c r="AF305" s="411">
        <f t="shared" ref="AF305" si="817">AF304</f>
        <v>0</v>
      </c>
      <c r="AG305" s="411">
        <f t="shared" ref="AG305" si="818">AG304</f>
        <v>0</v>
      </c>
      <c r="AH305" s="411">
        <f t="shared" ref="AH305" si="819">AH304</f>
        <v>0</v>
      </c>
      <c r="AI305" s="411">
        <f t="shared" ref="AI305" si="820">AI304</f>
        <v>0</v>
      </c>
      <c r="AJ305" s="411">
        <f t="shared" ref="AJ305" si="821">AJ304</f>
        <v>0</v>
      </c>
      <c r="AK305" s="411">
        <f t="shared" ref="AK305" si="822">AK304</f>
        <v>0</v>
      </c>
      <c r="AL305" s="411">
        <f t="shared" ref="AL305" si="823">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295">
        <f>'7.  Persistence Report'!AV105</f>
        <v>189166</v>
      </c>
      <c r="E307" s="295">
        <f>'7.  Persistence Report'!AW105</f>
        <v>189166</v>
      </c>
      <c r="F307" s="295">
        <f>'7.  Persistence Report'!AX105</f>
        <v>189166</v>
      </c>
      <c r="G307" s="295">
        <f>'7.  Persistence Report'!AY105</f>
        <v>187428</v>
      </c>
      <c r="H307" s="295">
        <f>'7.  Persistence Report'!AZ105</f>
        <v>171337</v>
      </c>
      <c r="I307" s="295">
        <f>'7.  Persistence Report'!BA105</f>
        <v>145926</v>
      </c>
      <c r="J307" s="295">
        <f>'7.  Persistence Report'!BB105</f>
        <v>109061</v>
      </c>
      <c r="K307" s="295">
        <f>'7.  Persistence Report'!BC105</f>
        <v>70208</v>
      </c>
      <c r="L307" s="295">
        <f>'7.  Persistence Report'!BD105</f>
        <v>49594</v>
      </c>
      <c r="M307" s="295">
        <f>'7.  Persistence Report'!BE105</f>
        <v>29442</v>
      </c>
      <c r="N307" s="295">
        <v>12</v>
      </c>
      <c r="O307" s="295">
        <f>'7.  Persistence Report'!Q105</f>
        <v>35</v>
      </c>
      <c r="P307" s="295">
        <f>'7.  Persistence Report'!R105</f>
        <v>35</v>
      </c>
      <c r="Q307" s="295">
        <f>'7.  Persistence Report'!S105</f>
        <v>35</v>
      </c>
      <c r="R307" s="295">
        <f>'7.  Persistence Report'!T105</f>
        <v>35</v>
      </c>
      <c r="S307" s="295">
        <f>'7.  Persistence Report'!U105</f>
        <v>34</v>
      </c>
      <c r="T307" s="295">
        <f>'7.  Persistence Report'!V105</f>
        <v>30</v>
      </c>
      <c r="U307" s="295">
        <f>'7.  Persistence Report'!W105</f>
        <v>25</v>
      </c>
      <c r="V307" s="295">
        <f>'7.  Persistence Report'!X105</f>
        <v>18</v>
      </c>
      <c r="W307" s="295">
        <f>'7.  Persistence Report'!Y105</f>
        <v>13</v>
      </c>
      <c r="X307" s="295">
        <f>'7.  Persistence Report'!Z105</f>
        <v>9</v>
      </c>
      <c r="Y307" s="426"/>
      <c r="Z307" s="410">
        <f>'3-a.  Rate Class Allocations'!G45</f>
        <v>1</v>
      </c>
      <c r="AA307" s="410">
        <f>'3-a.  Rate Class Allocations'!H45</f>
        <v>0</v>
      </c>
      <c r="AB307" s="410"/>
      <c r="AC307" s="410"/>
      <c r="AD307" s="410"/>
      <c r="AE307" s="410"/>
      <c r="AF307" s="410"/>
      <c r="AG307" s="415"/>
      <c r="AH307" s="415"/>
      <c r="AI307" s="415"/>
      <c r="AJ307" s="415"/>
      <c r="AK307" s="415"/>
      <c r="AL307" s="415"/>
      <c r="AM307" s="296">
        <f>SUM(Y307:AL307)</f>
        <v>1</v>
      </c>
    </row>
    <row r="308" spans="1:39" outlineLevel="1">
      <c r="B308" s="294" t="s">
        <v>289</v>
      </c>
      <c r="C308" s="291" t="s">
        <v>163</v>
      </c>
      <c r="D308" s="295">
        <f>'7.  Persistence Report'!AV126</f>
        <v>50569</v>
      </c>
      <c r="E308" s="295">
        <f>'7.  Persistence Report'!AW126</f>
        <v>50569</v>
      </c>
      <c r="F308" s="295">
        <f>'7.  Persistence Report'!AX126</f>
        <v>50569</v>
      </c>
      <c r="G308" s="295">
        <f>'7.  Persistence Report'!AY126</f>
        <v>50056</v>
      </c>
      <c r="H308" s="295">
        <f>'7.  Persistence Report'!AZ126</f>
        <v>46845</v>
      </c>
      <c r="I308" s="295">
        <f>'7.  Persistence Report'!BA126</f>
        <v>38039</v>
      </c>
      <c r="J308" s="295">
        <f>'7.  Persistence Report'!BB126</f>
        <v>29089</v>
      </c>
      <c r="K308" s="295">
        <f>'7.  Persistence Report'!BC126</f>
        <v>17204</v>
      </c>
      <c r="L308" s="295">
        <f>'7.  Persistence Report'!BD126</f>
        <v>13224</v>
      </c>
      <c r="M308" s="295">
        <f>'7.  Persistence Report'!BE126</f>
        <v>9722</v>
      </c>
      <c r="N308" s="295">
        <f>N307</f>
        <v>12</v>
      </c>
      <c r="O308" s="295">
        <f>'7.  Persistence Report'!Q126</f>
        <v>10</v>
      </c>
      <c r="P308" s="295">
        <f>'7.  Persistence Report'!R126</f>
        <v>10</v>
      </c>
      <c r="Q308" s="295">
        <f>'7.  Persistence Report'!S126</f>
        <v>10</v>
      </c>
      <c r="R308" s="295">
        <f>'7.  Persistence Report'!T126</f>
        <v>10</v>
      </c>
      <c r="S308" s="295">
        <f>'7.  Persistence Report'!U126</f>
        <v>9</v>
      </c>
      <c r="T308" s="295">
        <f>'7.  Persistence Report'!V126</f>
        <v>8</v>
      </c>
      <c r="U308" s="295">
        <f>'7.  Persistence Report'!W126</f>
        <v>7</v>
      </c>
      <c r="V308" s="295">
        <f>'7.  Persistence Report'!X126</f>
        <v>4</v>
      </c>
      <c r="W308" s="295">
        <f>'7.  Persistence Report'!Y126</f>
        <v>4</v>
      </c>
      <c r="X308" s="295">
        <f>'7.  Persistence Report'!Z126</f>
        <v>3</v>
      </c>
      <c r="Y308" s="411">
        <f>Y307</f>
        <v>0</v>
      </c>
      <c r="Z308" s="411">
        <f t="shared" ref="Z308" si="824">Z307</f>
        <v>1</v>
      </c>
      <c r="AA308" s="411">
        <f t="shared" ref="AA308" si="825">AA307</f>
        <v>0</v>
      </c>
      <c r="AB308" s="411">
        <f t="shared" ref="AB308" si="826">AB307</f>
        <v>0</v>
      </c>
      <c r="AC308" s="411">
        <f t="shared" ref="AC308" si="827">AC307</f>
        <v>0</v>
      </c>
      <c r="AD308" s="411">
        <f t="shared" ref="AD308" si="828">AD307</f>
        <v>0</v>
      </c>
      <c r="AE308" s="411">
        <f t="shared" ref="AE308" si="829">AE307</f>
        <v>0</v>
      </c>
      <c r="AF308" s="411">
        <f t="shared" ref="AF308" si="830">AF307</f>
        <v>0</v>
      </c>
      <c r="AG308" s="411">
        <f t="shared" ref="AG308" si="831">AG307</f>
        <v>0</v>
      </c>
      <c r="AH308" s="411">
        <f t="shared" ref="AH308" si="832">AH307</f>
        <v>0</v>
      </c>
      <c r="AI308" s="411">
        <f t="shared" ref="AI308" si="833">AI307</f>
        <v>0</v>
      </c>
      <c r="AJ308" s="411">
        <f t="shared" ref="AJ308" si="834">AJ307</f>
        <v>0</v>
      </c>
      <c r="AK308" s="411">
        <f t="shared" ref="AK308" si="835">AK307</f>
        <v>0</v>
      </c>
      <c r="AL308" s="411">
        <f t="shared" ref="AL308" si="836">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37">Z310</f>
        <v>0</v>
      </c>
      <c r="AA311" s="411">
        <f t="shared" ref="AA311" si="838">AA310</f>
        <v>0</v>
      </c>
      <c r="AB311" s="411">
        <f t="shared" ref="AB311" si="839">AB310</f>
        <v>0</v>
      </c>
      <c r="AC311" s="411">
        <f t="shared" ref="AC311" si="840">AC310</f>
        <v>0</v>
      </c>
      <c r="AD311" s="411">
        <f t="shared" ref="AD311" si="841">AD310</f>
        <v>0</v>
      </c>
      <c r="AE311" s="411">
        <f t="shared" ref="AE311" si="842">AE310</f>
        <v>0</v>
      </c>
      <c r="AF311" s="411">
        <f t="shared" ref="AF311" si="843">AF310</f>
        <v>0</v>
      </c>
      <c r="AG311" s="411">
        <f t="shared" ref="AG311" si="844">AG310</f>
        <v>0</v>
      </c>
      <c r="AH311" s="411">
        <f t="shared" ref="AH311" si="845">AH310</f>
        <v>0</v>
      </c>
      <c r="AI311" s="411">
        <f t="shared" ref="AI311" si="846">AI310</f>
        <v>0</v>
      </c>
      <c r="AJ311" s="411">
        <f t="shared" ref="AJ311" si="847">AJ310</f>
        <v>0</v>
      </c>
      <c r="AK311" s="411">
        <f t="shared" ref="AK311" si="848">AK310</f>
        <v>0</v>
      </c>
      <c r="AL311" s="411">
        <f t="shared" ref="AL311" si="849">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289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50">Z313</f>
        <v>0</v>
      </c>
      <c r="AA314" s="411">
        <f t="shared" ref="AA314" si="851">AA313</f>
        <v>0</v>
      </c>
      <c r="AB314" s="411">
        <f t="shared" ref="AB314" si="852">AB313</f>
        <v>0</v>
      </c>
      <c r="AC314" s="411">
        <f t="shared" ref="AC314" si="853">AC313</f>
        <v>0</v>
      </c>
      <c r="AD314" s="411">
        <f t="shared" ref="AD314" si="854">AD313</f>
        <v>0</v>
      </c>
      <c r="AE314" s="411">
        <f t="shared" ref="AE314" si="855">AE313</f>
        <v>0</v>
      </c>
      <c r="AF314" s="411">
        <f t="shared" ref="AF314" si="856">AF313</f>
        <v>0</v>
      </c>
      <c r="AG314" s="411">
        <f t="shared" ref="AG314" si="857">AG313</f>
        <v>0</v>
      </c>
      <c r="AH314" s="411">
        <f t="shared" ref="AH314" si="858">AH313</f>
        <v>0</v>
      </c>
      <c r="AI314" s="411">
        <f t="shared" ref="AI314" si="859">AI313</f>
        <v>0</v>
      </c>
      <c r="AJ314" s="411">
        <f t="shared" ref="AJ314" si="860">AJ313</f>
        <v>0</v>
      </c>
      <c r="AK314" s="411">
        <f t="shared" ref="AK314" si="861">AK313</f>
        <v>0</v>
      </c>
      <c r="AL314" s="411">
        <f t="shared" ref="AL314" si="862">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289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3">Z316</f>
        <v>0</v>
      </c>
      <c r="AA317" s="411">
        <f t="shared" ref="AA317" si="864">AA316</f>
        <v>0</v>
      </c>
      <c r="AB317" s="411">
        <f t="shared" ref="AB317" si="865">AB316</f>
        <v>0</v>
      </c>
      <c r="AC317" s="411">
        <f t="shared" ref="AC317" si="866">AC316</f>
        <v>0</v>
      </c>
      <c r="AD317" s="411">
        <f t="shared" ref="AD317" si="867">AD316</f>
        <v>0</v>
      </c>
      <c r="AE317" s="411">
        <f t="shared" ref="AE317" si="868">AE316</f>
        <v>0</v>
      </c>
      <c r="AF317" s="411">
        <f t="shared" ref="AF317" si="869">AF316</f>
        <v>0</v>
      </c>
      <c r="AG317" s="411">
        <f t="shared" ref="AG317" si="870">AG316</f>
        <v>0</v>
      </c>
      <c r="AH317" s="411">
        <f t="shared" ref="AH317" si="871">AH316</f>
        <v>0</v>
      </c>
      <c r="AI317" s="411">
        <f t="shared" ref="AI317" si="872">AI316</f>
        <v>0</v>
      </c>
      <c r="AJ317" s="411">
        <f t="shared" ref="AJ317" si="873">AJ316</f>
        <v>0</v>
      </c>
      <c r="AK317" s="411">
        <f t="shared" ref="AK317" si="874">AK316</f>
        <v>0</v>
      </c>
      <c r="AL317" s="411">
        <f t="shared" ref="AL317" si="875">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6">Z319</f>
        <v>0</v>
      </c>
      <c r="AA320" s="411">
        <f t="shared" ref="AA320" si="877">AA319</f>
        <v>0</v>
      </c>
      <c r="AB320" s="411">
        <f t="shared" ref="AB320" si="878">AB319</f>
        <v>0</v>
      </c>
      <c r="AC320" s="411">
        <f t="shared" ref="AC320" si="879">AC319</f>
        <v>0</v>
      </c>
      <c r="AD320" s="411">
        <f t="shared" ref="AD320" si="880">AD319</f>
        <v>0</v>
      </c>
      <c r="AE320" s="411">
        <f t="shared" ref="AE320" si="881">AE319</f>
        <v>0</v>
      </c>
      <c r="AF320" s="411">
        <f t="shared" ref="AF320" si="882">AF319</f>
        <v>0</v>
      </c>
      <c r="AG320" s="411">
        <f t="shared" ref="AG320" si="883">AG319</f>
        <v>0</v>
      </c>
      <c r="AH320" s="411">
        <f t="shared" ref="AH320" si="884">AH319</f>
        <v>0</v>
      </c>
      <c r="AI320" s="411">
        <f t="shared" ref="AI320" si="885">AI319</f>
        <v>0</v>
      </c>
      <c r="AJ320" s="411">
        <f t="shared" ref="AJ320" si="886">AJ319</f>
        <v>0</v>
      </c>
      <c r="AK320" s="411">
        <f t="shared" ref="AK320" si="887">AK319</f>
        <v>0</v>
      </c>
      <c r="AL320" s="411">
        <f t="shared" ref="AL320" si="888">AL319</f>
        <v>0</v>
      </c>
      <c r="AM320" s="306"/>
    </row>
    <row r="321" spans="1:39"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outlineLevel="1">
      <c r="B323" s="294" t="s">
        <v>289</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89">Z322</f>
        <v>0</v>
      </c>
      <c r="AA323" s="411">
        <f t="shared" ref="AA323" si="890">AA322</f>
        <v>0</v>
      </c>
      <c r="AB323" s="411">
        <f t="shared" ref="AB323" si="891">AB322</f>
        <v>0</v>
      </c>
      <c r="AC323" s="411">
        <f t="shared" ref="AC323" si="892">AC322</f>
        <v>0</v>
      </c>
      <c r="AD323" s="411">
        <f t="shared" ref="AD323" si="893">AD322</f>
        <v>0</v>
      </c>
      <c r="AE323" s="411">
        <f t="shared" ref="AE323" si="894">AE322</f>
        <v>0</v>
      </c>
      <c r="AF323" s="411">
        <f t="shared" ref="AF323" si="895">AF322</f>
        <v>0</v>
      </c>
      <c r="AG323" s="411">
        <f t="shared" ref="AG323" si="896">AG322</f>
        <v>0</v>
      </c>
      <c r="AH323" s="411">
        <f t="shared" ref="AH323" si="897">AH322</f>
        <v>0</v>
      </c>
      <c r="AI323" s="411">
        <f t="shared" ref="AI323" si="898">AI322</f>
        <v>0</v>
      </c>
      <c r="AJ323" s="411">
        <f t="shared" ref="AJ323" si="899">AJ322</f>
        <v>0</v>
      </c>
      <c r="AK323" s="411">
        <f t="shared" ref="AK323" si="900">AK322</f>
        <v>0</v>
      </c>
      <c r="AL323" s="411">
        <f t="shared" ref="AL323" si="901">AL322</f>
        <v>0</v>
      </c>
      <c r="AM323" s="306"/>
    </row>
    <row r="324" spans="1:39"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outlineLevel="1">
      <c r="B325" s="288" t="s">
        <v>500</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902">Z326</f>
        <v>0</v>
      </c>
      <c r="AA327" s="411">
        <f t="shared" ref="AA327" si="903">AA326</f>
        <v>0</v>
      </c>
      <c r="AB327" s="411">
        <f t="shared" ref="AB327" si="904">AB326</f>
        <v>0</v>
      </c>
      <c r="AC327" s="411">
        <f t="shared" ref="AC327" si="905">AC326</f>
        <v>0</v>
      </c>
      <c r="AD327" s="411">
        <f t="shared" ref="AD327" si="906">AD326</f>
        <v>0</v>
      </c>
      <c r="AE327" s="411">
        <f t="shared" ref="AE327" si="907">AE326</f>
        <v>0</v>
      </c>
      <c r="AF327" s="411">
        <f t="shared" ref="AF327" si="908">AF326</f>
        <v>0</v>
      </c>
      <c r="AG327" s="411">
        <f t="shared" ref="AG327" si="909">AG326</f>
        <v>0</v>
      </c>
      <c r="AH327" s="411">
        <f t="shared" ref="AH327" si="910">AH326</f>
        <v>0</v>
      </c>
      <c r="AI327" s="411">
        <f t="shared" ref="AI327" si="911">AI326</f>
        <v>0</v>
      </c>
      <c r="AJ327" s="411">
        <f t="shared" ref="AJ327" si="912">AJ326</f>
        <v>0</v>
      </c>
      <c r="AK327" s="411">
        <f t="shared" ref="AK327" si="913">AK326</f>
        <v>0</v>
      </c>
      <c r="AL327" s="411">
        <f t="shared" ref="AL327" si="914">AL326</f>
        <v>0</v>
      </c>
      <c r="AM327" s="306"/>
    </row>
    <row r="328" spans="1:39"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5">Z329</f>
        <v>0</v>
      </c>
      <c r="AA330" s="411">
        <f t="shared" ref="AA330" si="916">AA329</f>
        <v>0</v>
      </c>
      <c r="AB330" s="411">
        <f t="shared" ref="AB330" si="917">AB329</f>
        <v>0</v>
      </c>
      <c r="AC330" s="411">
        <f t="shared" ref="AC330" si="918">AC329</f>
        <v>0</v>
      </c>
      <c r="AD330" s="411">
        <f t="shared" ref="AD330" si="919">AD329</f>
        <v>0</v>
      </c>
      <c r="AE330" s="411">
        <f t="shared" ref="AE330" si="920">AE329</f>
        <v>0</v>
      </c>
      <c r="AF330" s="411">
        <f t="shared" ref="AF330" si="921">AF329</f>
        <v>0</v>
      </c>
      <c r="AG330" s="411">
        <f t="shared" ref="AG330" si="922">AG329</f>
        <v>0</v>
      </c>
      <c r="AH330" s="411">
        <f t="shared" ref="AH330" si="923">AH329</f>
        <v>0</v>
      </c>
      <c r="AI330" s="411">
        <f t="shared" ref="AI330" si="924">AI329</f>
        <v>0</v>
      </c>
      <c r="AJ330" s="411">
        <f t="shared" ref="AJ330" si="925">AJ329</f>
        <v>0</v>
      </c>
      <c r="AK330" s="411">
        <f t="shared" ref="AK330" si="926">AK329</f>
        <v>0</v>
      </c>
      <c r="AL330" s="411">
        <f t="shared" ref="AL330" si="927">AL329</f>
        <v>0</v>
      </c>
      <c r="AM330" s="306"/>
    </row>
    <row r="331" spans="1:39"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28">Z332</f>
        <v>0</v>
      </c>
      <c r="AA333" s="411">
        <f t="shared" ref="AA333" si="929">AA332</f>
        <v>0</v>
      </c>
      <c r="AB333" s="411">
        <f t="shared" ref="AB333" si="930">AB332</f>
        <v>0</v>
      </c>
      <c r="AC333" s="411">
        <f t="shared" ref="AC333" si="931">AC332</f>
        <v>0</v>
      </c>
      <c r="AD333" s="411">
        <f t="shared" ref="AD333" si="932">AD332</f>
        <v>0</v>
      </c>
      <c r="AE333" s="411">
        <f t="shared" ref="AE333" si="933">AE332</f>
        <v>0</v>
      </c>
      <c r="AF333" s="411">
        <f t="shared" ref="AF333" si="934">AF332</f>
        <v>0</v>
      </c>
      <c r="AG333" s="411">
        <f t="shared" ref="AG333" si="935">AG332</f>
        <v>0</v>
      </c>
      <c r="AH333" s="411">
        <f t="shared" ref="AH333" si="936">AH332</f>
        <v>0</v>
      </c>
      <c r="AI333" s="411">
        <f t="shared" ref="AI333" si="937">AI332</f>
        <v>0</v>
      </c>
      <c r="AJ333" s="411">
        <f t="shared" ref="AJ333" si="938">AJ332</f>
        <v>0</v>
      </c>
      <c r="AK333" s="411">
        <f t="shared" ref="AK333" si="939">AK332</f>
        <v>0</v>
      </c>
      <c r="AL333" s="411">
        <f t="shared" ref="AL333" si="940">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outlineLevel="1">
      <c r="B335" s="288" t="s">
        <v>501</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outlineLevel="1">
      <c r="B337" s="294" t="s">
        <v>289</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1">Z336</f>
        <v>0</v>
      </c>
      <c r="AA337" s="411">
        <f t="shared" ref="AA337" si="942">AA336</f>
        <v>0</v>
      </c>
      <c r="AB337" s="411">
        <f t="shared" ref="AB337" si="943">AB336</f>
        <v>0</v>
      </c>
      <c r="AC337" s="411">
        <f t="shared" ref="AC337" si="944">AC336</f>
        <v>0</v>
      </c>
      <c r="AD337" s="411">
        <f t="shared" ref="AD337" si="945">AD336</f>
        <v>0</v>
      </c>
      <c r="AE337" s="411">
        <f t="shared" ref="AE337" si="946">AE336</f>
        <v>0</v>
      </c>
      <c r="AF337" s="411">
        <f t="shared" ref="AF337" si="947">AF336</f>
        <v>0</v>
      </c>
      <c r="AG337" s="411">
        <f t="shared" ref="AG337" si="948">AG336</f>
        <v>0</v>
      </c>
      <c r="AH337" s="411">
        <f t="shared" ref="AH337" si="949">AH336</f>
        <v>0</v>
      </c>
      <c r="AI337" s="411">
        <f t="shared" ref="AI337" si="950">AI336</f>
        <v>0</v>
      </c>
      <c r="AJ337" s="411">
        <f t="shared" ref="AJ337" si="951">AJ336</f>
        <v>0</v>
      </c>
      <c r="AK337" s="411">
        <f t="shared" ref="AK337" si="952">AK336</f>
        <v>0</v>
      </c>
      <c r="AL337" s="411">
        <f t="shared" ref="AL337" si="953">AL336</f>
        <v>0</v>
      </c>
      <c r="AM337" s="306"/>
    </row>
    <row r="338" spans="1:39"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4">Z339</f>
        <v>0</v>
      </c>
      <c r="AA340" s="411">
        <f t="shared" ref="AA340" si="955">AA339</f>
        <v>0</v>
      </c>
      <c r="AB340" s="411">
        <f t="shared" ref="AB340" si="956">AB339</f>
        <v>0</v>
      </c>
      <c r="AC340" s="411">
        <f t="shared" ref="AC340" si="957">AC339</f>
        <v>0</v>
      </c>
      <c r="AD340" s="411">
        <f t="shared" ref="AD340" si="958">AD339</f>
        <v>0</v>
      </c>
      <c r="AE340" s="411">
        <f t="shared" ref="AE340" si="959">AE339</f>
        <v>0</v>
      </c>
      <c r="AF340" s="411">
        <f t="shared" ref="AF340" si="960">AF339</f>
        <v>0</v>
      </c>
      <c r="AG340" s="411">
        <f t="shared" ref="AG340" si="961">AG339</f>
        <v>0</v>
      </c>
      <c r="AH340" s="411">
        <f t="shared" ref="AH340" si="962">AH339</f>
        <v>0</v>
      </c>
      <c r="AI340" s="411">
        <f t="shared" ref="AI340" si="963">AI339</f>
        <v>0</v>
      </c>
      <c r="AJ340" s="411">
        <f t="shared" ref="AJ340" si="964">AJ339</f>
        <v>0</v>
      </c>
      <c r="AK340" s="411">
        <f t="shared" ref="AK340" si="965">AK339</f>
        <v>0</v>
      </c>
      <c r="AL340" s="411">
        <f t="shared" ref="AL340" si="966">AL339</f>
        <v>0</v>
      </c>
      <c r="AM340" s="306"/>
    </row>
    <row r="341" spans="1:39"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7">Z342</f>
        <v>0</v>
      </c>
      <c r="AA343" s="411">
        <f t="shared" ref="AA343" si="968">AA342</f>
        <v>0</v>
      </c>
      <c r="AB343" s="411">
        <f t="shared" ref="AB343" si="969">AB342</f>
        <v>0</v>
      </c>
      <c r="AC343" s="411">
        <f t="shared" ref="AC343" si="970">AC342</f>
        <v>0</v>
      </c>
      <c r="AD343" s="411">
        <f t="shared" ref="AD343" si="971">AD342</f>
        <v>0</v>
      </c>
      <c r="AE343" s="411">
        <f t="shared" ref="AE343" si="972">AE342</f>
        <v>0</v>
      </c>
      <c r="AF343" s="411">
        <f t="shared" ref="AF343" si="973">AF342</f>
        <v>0</v>
      </c>
      <c r="AG343" s="411">
        <f t="shared" ref="AG343" si="974">AG342</f>
        <v>0</v>
      </c>
      <c r="AH343" s="411">
        <f t="shared" ref="AH343" si="975">AH342</f>
        <v>0</v>
      </c>
      <c r="AI343" s="411">
        <f t="shared" ref="AI343" si="976">AI342</f>
        <v>0</v>
      </c>
      <c r="AJ343" s="411">
        <f t="shared" ref="AJ343" si="977">AJ342</f>
        <v>0</v>
      </c>
      <c r="AK343" s="411">
        <f t="shared" ref="AK343" si="978">AK342</f>
        <v>0</v>
      </c>
      <c r="AL343" s="411">
        <f t="shared" ref="AL343" si="979">AL342</f>
        <v>0</v>
      </c>
      <c r="AM343" s="306"/>
    </row>
    <row r="344" spans="1:39"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0">Z345</f>
        <v>0</v>
      </c>
      <c r="AA346" s="411">
        <f t="shared" ref="AA346" si="981">AA345</f>
        <v>0</v>
      </c>
      <c r="AB346" s="411">
        <f t="shared" ref="AB346" si="982">AB345</f>
        <v>0</v>
      </c>
      <c r="AC346" s="411">
        <f t="shared" ref="AC346" si="983">AC345</f>
        <v>0</v>
      </c>
      <c r="AD346" s="411">
        <f t="shared" ref="AD346" si="984">AD345</f>
        <v>0</v>
      </c>
      <c r="AE346" s="411">
        <f t="shared" ref="AE346" si="985">AE345</f>
        <v>0</v>
      </c>
      <c r="AF346" s="411">
        <f t="shared" ref="AF346" si="986">AF345</f>
        <v>0</v>
      </c>
      <c r="AG346" s="411">
        <f t="shared" ref="AG346" si="987">AG345</f>
        <v>0</v>
      </c>
      <c r="AH346" s="411">
        <f t="shared" ref="AH346" si="988">AH345</f>
        <v>0</v>
      </c>
      <c r="AI346" s="411">
        <f t="shared" ref="AI346" si="989">AI345</f>
        <v>0</v>
      </c>
      <c r="AJ346" s="411">
        <f t="shared" ref="AJ346" si="990">AJ345</f>
        <v>0</v>
      </c>
      <c r="AK346" s="411">
        <f t="shared" ref="AK346" si="991">AK345</f>
        <v>0</v>
      </c>
      <c r="AL346" s="411">
        <f t="shared" ref="AL346" si="992">AL345</f>
        <v>0</v>
      </c>
      <c r="AM346" s="306"/>
    </row>
    <row r="347" spans="1:39"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3">Z348</f>
        <v>0</v>
      </c>
      <c r="AA349" s="411">
        <f t="shared" ref="AA349" si="994">AA348</f>
        <v>0</v>
      </c>
      <c r="AB349" s="411">
        <f t="shared" ref="AB349" si="995">AB348</f>
        <v>0</v>
      </c>
      <c r="AC349" s="411">
        <f t="shared" ref="AC349" si="996">AC348</f>
        <v>0</v>
      </c>
      <c r="AD349" s="411">
        <f t="shared" ref="AD349" si="997">AD348</f>
        <v>0</v>
      </c>
      <c r="AE349" s="411">
        <f t="shared" ref="AE349" si="998">AE348</f>
        <v>0</v>
      </c>
      <c r="AF349" s="411">
        <f t="shared" ref="AF349" si="999">AF348</f>
        <v>0</v>
      </c>
      <c r="AG349" s="411">
        <f t="shared" ref="AG349" si="1000">AG348</f>
        <v>0</v>
      </c>
      <c r="AH349" s="411">
        <f t="shared" ref="AH349" si="1001">AH348</f>
        <v>0</v>
      </c>
      <c r="AI349" s="411">
        <f t="shared" ref="AI349" si="1002">AI348</f>
        <v>0</v>
      </c>
      <c r="AJ349" s="411">
        <f t="shared" ref="AJ349" si="1003">AJ348</f>
        <v>0</v>
      </c>
      <c r="AK349" s="411">
        <f t="shared" ref="AK349" si="1004">AK348</f>
        <v>0</v>
      </c>
      <c r="AL349" s="411">
        <f t="shared" ref="AL349" si="1005">AL348</f>
        <v>0</v>
      </c>
      <c r="AM349" s="306"/>
    </row>
    <row r="350" spans="1:39"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6">Z351</f>
        <v>0</v>
      </c>
      <c r="AA352" s="411">
        <f t="shared" ref="AA352" si="1007">AA351</f>
        <v>0</v>
      </c>
      <c r="AB352" s="411">
        <f t="shared" ref="AB352" si="1008">AB351</f>
        <v>0</v>
      </c>
      <c r="AC352" s="411">
        <f t="shared" ref="AC352" si="1009">AC351</f>
        <v>0</v>
      </c>
      <c r="AD352" s="411">
        <f t="shared" ref="AD352" si="1010">AD351</f>
        <v>0</v>
      </c>
      <c r="AE352" s="411">
        <f t="shared" ref="AE352" si="1011">AE351</f>
        <v>0</v>
      </c>
      <c r="AF352" s="411">
        <f t="shared" ref="AF352" si="1012">AF351</f>
        <v>0</v>
      </c>
      <c r="AG352" s="411">
        <f t="shared" ref="AG352" si="1013">AG351</f>
        <v>0</v>
      </c>
      <c r="AH352" s="411">
        <f t="shared" ref="AH352" si="1014">AH351</f>
        <v>0</v>
      </c>
      <c r="AI352" s="411">
        <f t="shared" ref="AI352" si="1015">AI351</f>
        <v>0</v>
      </c>
      <c r="AJ352" s="411">
        <f t="shared" ref="AJ352" si="1016">AJ351</f>
        <v>0</v>
      </c>
      <c r="AK352" s="411">
        <f t="shared" ref="AK352" si="1017">AK351</f>
        <v>0</v>
      </c>
      <c r="AL352" s="411">
        <f t="shared" ref="AL352" si="1018">AL351</f>
        <v>0</v>
      </c>
      <c r="AM352" s="306"/>
    </row>
    <row r="353" spans="1:39"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289</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1019">Z354</f>
        <v>0</v>
      </c>
      <c r="AA355" s="411">
        <f t="shared" ref="AA355" si="1020">AA354</f>
        <v>0</v>
      </c>
      <c r="AB355" s="411">
        <f t="shared" ref="AB355" si="1021">AB354</f>
        <v>0</v>
      </c>
      <c r="AC355" s="411">
        <f t="shared" ref="AC355" si="1022">AC354</f>
        <v>0</v>
      </c>
      <c r="AD355" s="411">
        <f t="shared" ref="AD355" si="1023">AD354</f>
        <v>0</v>
      </c>
      <c r="AE355" s="411">
        <f t="shared" ref="AE355" si="1024">AE354</f>
        <v>0</v>
      </c>
      <c r="AF355" s="411">
        <f t="shared" ref="AF355" si="1025">AF354</f>
        <v>0</v>
      </c>
      <c r="AG355" s="411">
        <f t="shared" ref="AG355" si="1026">AG354</f>
        <v>0</v>
      </c>
      <c r="AH355" s="411">
        <f t="shared" ref="AH355" si="1027">AH354</f>
        <v>0</v>
      </c>
      <c r="AI355" s="411">
        <f t="shared" ref="AI355" si="1028">AI354</f>
        <v>0</v>
      </c>
      <c r="AJ355" s="411">
        <f t="shared" ref="AJ355" si="1029">AJ354</f>
        <v>0</v>
      </c>
      <c r="AK355" s="411">
        <f t="shared" ref="AK355" si="1030">AK354</f>
        <v>0</v>
      </c>
      <c r="AL355" s="411">
        <f t="shared" ref="AL355" si="1031">AL354</f>
        <v>0</v>
      </c>
      <c r="AM355" s="306"/>
    </row>
    <row r="356" spans="1:39"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289</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2">Z357</f>
        <v>0</v>
      </c>
      <c r="AA358" s="411">
        <f t="shared" ref="AA358" si="1033">AA357</f>
        <v>0</v>
      </c>
      <c r="AB358" s="411">
        <f t="shared" ref="AB358" si="1034">AB357</f>
        <v>0</v>
      </c>
      <c r="AC358" s="411">
        <f t="shared" ref="AC358" si="1035">AC357</f>
        <v>0</v>
      </c>
      <c r="AD358" s="411">
        <f t="shared" ref="AD358" si="1036">AD357</f>
        <v>0</v>
      </c>
      <c r="AE358" s="411">
        <f t="shared" ref="AE358" si="1037">AE357</f>
        <v>0</v>
      </c>
      <c r="AF358" s="411">
        <f t="shared" ref="AF358" si="1038">AF357</f>
        <v>0</v>
      </c>
      <c r="AG358" s="411">
        <f t="shared" ref="AG358" si="1039">AG357</f>
        <v>0</v>
      </c>
      <c r="AH358" s="411">
        <f t="shared" ref="AH358" si="1040">AH357</f>
        <v>0</v>
      </c>
      <c r="AI358" s="411">
        <f t="shared" ref="AI358" si="1041">AI357</f>
        <v>0</v>
      </c>
      <c r="AJ358" s="411">
        <f t="shared" ref="AJ358" si="1042">AJ357</f>
        <v>0</v>
      </c>
      <c r="AK358" s="411">
        <f t="shared" ref="AK358" si="1043">AK357</f>
        <v>0</v>
      </c>
      <c r="AL358" s="411">
        <f t="shared" ref="AL358" si="1044">AL357</f>
        <v>0</v>
      </c>
      <c r="AM358" s="306"/>
    </row>
    <row r="359" spans="1:39"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5">Z360</f>
        <v>0</v>
      </c>
      <c r="AA361" s="411">
        <f t="shared" ref="AA361" si="1046">AA360</f>
        <v>0</v>
      </c>
      <c r="AB361" s="411">
        <f t="shared" ref="AB361" si="1047">AB360</f>
        <v>0</v>
      </c>
      <c r="AC361" s="411">
        <f t="shared" ref="AC361" si="1048">AC360</f>
        <v>0</v>
      </c>
      <c r="AD361" s="411">
        <f t="shared" ref="AD361" si="1049">AD360</f>
        <v>0</v>
      </c>
      <c r="AE361" s="411">
        <f t="shared" ref="AE361" si="1050">AE360</f>
        <v>0</v>
      </c>
      <c r="AF361" s="411">
        <f t="shared" ref="AF361" si="1051">AF360</f>
        <v>0</v>
      </c>
      <c r="AG361" s="411">
        <f t="shared" ref="AG361" si="1052">AG360</f>
        <v>0</v>
      </c>
      <c r="AH361" s="411">
        <f t="shared" ref="AH361" si="1053">AH360</f>
        <v>0</v>
      </c>
      <c r="AI361" s="411">
        <f t="shared" ref="AI361" si="1054">AI360</f>
        <v>0</v>
      </c>
      <c r="AJ361" s="411">
        <f t="shared" ref="AJ361" si="1055">AJ360</f>
        <v>0</v>
      </c>
      <c r="AK361" s="411">
        <f t="shared" ref="AK361" si="1056">AK360</f>
        <v>0</v>
      </c>
      <c r="AL361" s="411">
        <f t="shared" ref="AL361" si="1057">AL360</f>
        <v>0</v>
      </c>
      <c r="AM361" s="306"/>
    </row>
    <row r="362" spans="1:39"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58">Z363</f>
        <v>0</v>
      </c>
      <c r="AA364" s="411">
        <f t="shared" ref="AA364" si="1059">AA363</f>
        <v>0</v>
      </c>
      <c r="AB364" s="411">
        <f t="shared" ref="AB364" si="1060">AB363</f>
        <v>0</v>
      </c>
      <c r="AC364" s="411">
        <f t="shared" ref="AC364" si="1061">AC363</f>
        <v>0</v>
      </c>
      <c r="AD364" s="411">
        <f t="shared" ref="AD364" si="1062">AD363</f>
        <v>0</v>
      </c>
      <c r="AE364" s="411">
        <f t="shared" ref="AE364" si="1063">AE363</f>
        <v>0</v>
      </c>
      <c r="AF364" s="411">
        <f t="shared" ref="AF364" si="1064">AF363</f>
        <v>0</v>
      </c>
      <c r="AG364" s="411">
        <f t="shared" ref="AG364" si="1065">AG363</f>
        <v>0</v>
      </c>
      <c r="AH364" s="411">
        <f t="shared" ref="AH364" si="1066">AH363</f>
        <v>0</v>
      </c>
      <c r="AI364" s="411">
        <f t="shared" ref="AI364" si="1067">AI363</f>
        <v>0</v>
      </c>
      <c r="AJ364" s="411">
        <f t="shared" ref="AJ364" si="1068">AJ363</f>
        <v>0</v>
      </c>
      <c r="AK364" s="411">
        <f t="shared" ref="AK364" si="1069">AK363</f>
        <v>0</v>
      </c>
      <c r="AL364" s="411">
        <f t="shared" ref="AL364" si="1070">AL363</f>
        <v>0</v>
      </c>
      <c r="AM364" s="306"/>
    </row>
    <row r="365" spans="1:39"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71">Z366</f>
        <v>0</v>
      </c>
      <c r="AA367" s="411">
        <f t="shared" ref="AA367" si="1072">AA366</f>
        <v>0</v>
      </c>
      <c r="AB367" s="411">
        <f t="shared" ref="AB367" si="1073">AB366</f>
        <v>0</v>
      </c>
      <c r="AC367" s="411">
        <f t="shared" ref="AC367" si="1074">AC366</f>
        <v>0</v>
      </c>
      <c r="AD367" s="411">
        <f t="shared" ref="AD367" si="1075">AD366</f>
        <v>0</v>
      </c>
      <c r="AE367" s="411">
        <f t="shared" ref="AE367" si="1076">AE366</f>
        <v>0</v>
      </c>
      <c r="AF367" s="411">
        <f t="shared" ref="AF367" si="1077">AF366</f>
        <v>0</v>
      </c>
      <c r="AG367" s="411">
        <f t="shared" ref="AG367" si="1078">AG366</f>
        <v>0</v>
      </c>
      <c r="AH367" s="411">
        <f t="shared" ref="AH367" si="1079">AH366</f>
        <v>0</v>
      </c>
      <c r="AI367" s="411">
        <f t="shared" ref="AI367" si="1080">AI366</f>
        <v>0</v>
      </c>
      <c r="AJ367" s="411">
        <f t="shared" ref="AJ367" si="1081">AJ366</f>
        <v>0</v>
      </c>
      <c r="AK367" s="411">
        <f t="shared" ref="AK367" si="1082">AK366</f>
        <v>0</v>
      </c>
      <c r="AL367" s="411">
        <f t="shared" ref="AL367" si="1083">AL366</f>
        <v>0</v>
      </c>
      <c r="AM367" s="306"/>
    </row>
    <row r="368" spans="1:39"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4">Z369</f>
        <v>0</v>
      </c>
      <c r="AA370" s="411">
        <f t="shared" ref="AA370" si="1085">AA369</f>
        <v>0</v>
      </c>
      <c r="AB370" s="411">
        <f t="shared" ref="AB370" si="1086">AB369</f>
        <v>0</v>
      </c>
      <c r="AC370" s="411">
        <f t="shared" ref="AC370" si="1087">AC369</f>
        <v>0</v>
      </c>
      <c r="AD370" s="411">
        <f t="shared" ref="AD370" si="1088">AD369</f>
        <v>0</v>
      </c>
      <c r="AE370" s="411">
        <f t="shared" ref="AE370" si="1089">AE369</f>
        <v>0</v>
      </c>
      <c r="AF370" s="411">
        <f t="shared" ref="AF370" si="1090">AF369</f>
        <v>0</v>
      </c>
      <c r="AG370" s="411">
        <f t="shared" ref="AG370" si="1091">AG369</f>
        <v>0</v>
      </c>
      <c r="AH370" s="411">
        <f t="shared" ref="AH370" si="1092">AH369</f>
        <v>0</v>
      </c>
      <c r="AI370" s="411">
        <f t="shared" ref="AI370" si="1093">AI369</f>
        <v>0</v>
      </c>
      <c r="AJ370" s="411">
        <f t="shared" ref="AJ370" si="1094">AJ369</f>
        <v>0</v>
      </c>
      <c r="AK370" s="411">
        <f t="shared" ref="AK370" si="1095">AK369</f>
        <v>0</v>
      </c>
      <c r="AL370" s="411">
        <f t="shared" ref="AL370" si="1096">AL369</f>
        <v>0</v>
      </c>
      <c r="AM370" s="306"/>
    </row>
    <row r="371" spans="1:42"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45"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7">Z372</f>
        <v>0</v>
      </c>
      <c r="AA373" s="411">
        <f t="shared" ref="AA373" si="1098">AA372</f>
        <v>0</v>
      </c>
      <c r="AB373" s="411">
        <f t="shared" ref="AB373" si="1099">AB372</f>
        <v>0</v>
      </c>
      <c r="AC373" s="411">
        <f t="shared" ref="AC373" si="1100">AC372</f>
        <v>0</v>
      </c>
      <c r="AD373" s="411">
        <f t="shared" ref="AD373" si="1101">AD372</f>
        <v>0</v>
      </c>
      <c r="AE373" s="411">
        <f t="shared" ref="AE373" si="1102">AE372</f>
        <v>0</v>
      </c>
      <c r="AF373" s="411">
        <f t="shared" ref="AF373" si="1103">AF372</f>
        <v>0</v>
      </c>
      <c r="AG373" s="411">
        <f t="shared" ref="AG373" si="1104">AG372</f>
        <v>0</v>
      </c>
      <c r="AH373" s="411">
        <f t="shared" ref="AH373" si="1105">AH372</f>
        <v>0</v>
      </c>
      <c r="AI373" s="411">
        <f t="shared" ref="AI373" si="1106">AI372</f>
        <v>0</v>
      </c>
      <c r="AJ373" s="411">
        <f t="shared" ref="AJ373" si="1107">AJ372</f>
        <v>0</v>
      </c>
      <c r="AK373" s="411">
        <f t="shared" ref="AK373" si="1108">AK372</f>
        <v>0</v>
      </c>
      <c r="AL373" s="411">
        <f t="shared" ref="AL373" si="1109">AL372</f>
        <v>0</v>
      </c>
      <c r="AM373" s="306"/>
    </row>
    <row r="374" spans="1:42"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110">Z375</f>
        <v>0</v>
      </c>
      <c r="AA376" s="411">
        <f t="shared" ref="AA376" si="1111">AA375</f>
        <v>0</v>
      </c>
      <c r="AB376" s="411">
        <f t="shared" ref="AB376" si="1112">AB375</f>
        <v>0</v>
      </c>
      <c r="AC376" s="411">
        <f t="shared" ref="AC376" si="1113">AC375</f>
        <v>0</v>
      </c>
      <c r="AD376" s="411">
        <f t="shared" ref="AD376" si="1114">AD375</f>
        <v>0</v>
      </c>
      <c r="AE376" s="411">
        <f t="shared" ref="AE376" si="1115">AE375</f>
        <v>0</v>
      </c>
      <c r="AF376" s="411">
        <f t="shared" ref="AF376" si="1116">AF375</f>
        <v>0</v>
      </c>
      <c r="AG376" s="411">
        <f t="shared" ref="AG376" si="1117">AG375</f>
        <v>0</v>
      </c>
      <c r="AH376" s="411">
        <f t="shared" ref="AH376" si="1118">AH375</f>
        <v>0</v>
      </c>
      <c r="AI376" s="411">
        <f t="shared" ref="AI376" si="1119">AI375</f>
        <v>0</v>
      </c>
      <c r="AJ376" s="411">
        <f t="shared" ref="AJ376" si="1120">AJ375</f>
        <v>0</v>
      </c>
      <c r="AK376" s="411">
        <f t="shared" ref="AK376" si="1121">AK375</f>
        <v>0</v>
      </c>
      <c r="AL376" s="411">
        <f t="shared" ref="AL376" si="1122">AL375</f>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274</v>
      </c>
      <c r="C378" s="329"/>
      <c r="D378" s="329">
        <f>SUM(D221:D376)</f>
        <v>2785373</v>
      </c>
      <c r="E378" s="329"/>
      <c r="F378" s="329"/>
      <c r="G378" s="329"/>
      <c r="H378" s="329"/>
      <c r="I378" s="329"/>
      <c r="J378" s="329"/>
      <c r="K378" s="329"/>
      <c r="L378" s="329"/>
      <c r="M378" s="329"/>
      <c r="N378" s="329"/>
      <c r="O378" s="329">
        <f>SUM(O221:O376)</f>
        <v>286</v>
      </c>
      <c r="P378" s="329"/>
      <c r="Q378" s="329"/>
      <c r="R378" s="329"/>
      <c r="S378" s="329"/>
      <c r="T378" s="329"/>
      <c r="U378" s="329"/>
      <c r="V378" s="329"/>
      <c r="W378" s="329"/>
      <c r="X378" s="329"/>
      <c r="Y378" s="329">
        <f>IF(Y219="kWh",SUMPRODUCT(D221:D376,Y221:Y376))</f>
        <v>1159714</v>
      </c>
      <c r="Z378" s="329">
        <f>IF(Z219="kWh",SUMPRODUCT(D221:D376,Z221:Z376))</f>
        <v>268794.24712109927</v>
      </c>
      <c r="AA378" s="329">
        <f>IF(AA219="kw",SUMPRODUCT(N221:N376,O221:O376,AA221:AA376),SUMPRODUCT(D221:D376,AA221:AA376))</f>
        <v>1492.0456557411842</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1122360</v>
      </c>
      <c r="Z379" s="392">
        <f>HLOOKUP(Z218,'2. LRAMVA Threshold'!$B$42:$Q$53,8,FALSE)</f>
        <v>374120</v>
      </c>
      <c r="AA379" s="392">
        <f>HLOOKUP(AA218,'2. LRAMVA Threshold'!$B$42:$Q$53,8,FALSE)</f>
        <v>1002</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1.14E-2</v>
      </c>
      <c r="Z381" s="341">
        <f>HLOOKUP(Z$35,'3.  Distribution Rates'!$C$122:$P$133,8,FALSE)</f>
        <v>1.4999999999999999E-2</v>
      </c>
      <c r="AA381" s="341">
        <f>HLOOKUP(AA$35,'3.  Distribution Rates'!$C$122:$P$133,8,FALSE)</f>
        <v>2.1749000000000001</v>
      </c>
      <c r="AB381" s="341">
        <f>HLOOKUP(AB$35,'3.  Distribution Rates'!$C$122:$P$133,8,FALSE)</f>
        <v>5.4076000000000004</v>
      </c>
      <c r="AC381" s="341">
        <f>HLOOKUP(AC$35,'3.  Distribution Rates'!$C$122:$P$133,8,FALSE)</f>
        <v>1.3299999999999999E-2</v>
      </c>
      <c r="AD381" s="341">
        <f>HLOOKUP(AD$35,'3.  Distribution Rates'!$C$122:$P$133,8,FALSE)</f>
        <v>0.45889999999999997</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c r="Z382" s="378"/>
      <c r="AA382" s="378"/>
      <c r="AB382" s="378"/>
      <c r="AC382" s="378"/>
      <c r="AD382" s="378"/>
      <c r="AE382" s="378"/>
      <c r="AF382" s="378"/>
      <c r="AG382" s="378"/>
      <c r="AH382" s="378"/>
      <c r="AI382" s="378"/>
      <c r="AJ382" s="378"/>
      <c r="AK382" s="378"/>
      <c r="AL382" s="378"/>
      <c r="AM382" s="629"/>
    </row>
    <row r="383" spans="1:42">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c r="Z383" s="378"/>
      <c r="AA383" s="378"/>
      <c r="AB383" s="378"/>
      <c r="AC383" s="378"/>
      <c r="AD383" s="378"/>
      <c r="AE383" s="378"/>
      <c r="AF383" s="378"/>
      <c r="AG383" s="378"/>
      <c r="AH383" s="378"/>
      <c r="AI383" s="378"/>
      <c r="AJ383" s="378"/>
      <c r="AK383" s="378"/>
      <c r="AL383" s="378"/>
      <c r="AM383" s="629"/>
    </row>
    <row r="384" spans="1:42">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c r="Z384" s="378"/>
      <c r="AA384" s="378"/>
      <c r="AB384" s="378"/>
      <c r="AC384" s="378"/>
      <c r="AD384" s="378"/>
      <c r="AE384" s="378"/>
      <c r="AF384" s="378"/>
      <c r="AG384" s="378"/>
      <c r="AH384" s="378"/>
      <c r="AI384" s="378"/>
      <c r="AJ384" s="378"/>
      <c r="AK384" s="378"/>
      <c r="AL384" s="378"/>
      <c r="AM384" s="629"/>
    </row>
    <row r="385" spans="2:39">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c r="Z385" s="378"/>
      <c r="AA385" s="378"/>
      <c r="AB385" s="378"/>
      <c r="AC385" s="378"/>
      <c r="AD385" s="378"/>
      <c r="AE385" s="378"/>
      <c r="AF385" s="378"/>
      <c r="AG385" s="378"/>
      <c r="AH385" s="378"/>
      <c r="AI385" s="378"/>
      <c r="AJ385" s="378"/>
      <c r="AK385" s="378"/>
      <c r="AL385" s="378"/>
      <c r="AM385" s="629"/>
    </row>
    <row r="386" spans="2:39">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c r="Z386" s="378"/>
      <c r="AA386" s="378"/>
      <c r="AB386" s="378"/>
      <c r="AC386" s="378"/>
      <c r="AD386" s="378"/>
      <c r="AE386" s="378"/>
      <c r="AF386" s="378"/>
      <c r="AG386" s="378"/>
      <c r="AH386" s="378"/>
      <c r="AI386" s="378"/>
      <c r="AJ386" s="378"/>
      <c r="AK386" s="378"/>
      <c r="AL386" s="378"/>
      <c r="AM386" s="629"/>
    </row>
    <row r="387" spans="2:39">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13220.739600000001</v>
      </c>
      <c r="Z387" s="378">
        <f t="shared" ref="Z387:AL387" si="1123">Z378*Z381</f>
        <v>4031.9137068164887</v>
      </c>
      <c r="AA387" s="378">
        <f t="shared" si="1123"/>
        <v>3245.0500966715017</v>
      </c>
      <c r="AB387" s="378">
        <f t="shared" si="1123"/>
        <v>0</v>
      </c>
      <c r="AC387" s="378">
        <f t="shared" si="1123"/>
        <v>0</v>
      </c>
      <c r="AD387" s="378">
        <f t="shared" si="1123"/>
        <v>0</v>
      </c>
      <c r="AE387" s="378">
        <f t="shared" si="1123"/>
        <v>0</v>
      </c>
      <c r="AF387" s="378">
        <f t="shared" si="1123"/>
        <v>0</v>
      </c>
      <c r="AG387" s="378">
        <f t="shared" si="1123"/>
        <v>0</v>
      </c>
      <c r="AH387" s="378">
        <f t="shared" si="1123"/>
        <v>0</v>
      </c>
      <c r="AI387" s="378">
        <f t="shared" si="1123"/>
        <v>0</v>
      </c>
      <c r="AJ387" s="378">
        <f t="shared" si="1123"/>
        <v>0</v>
      </c>
      <c r="AK387" s="378">
        <f t="shared" si="1123"/>
        <v>0</v>
      </c>
      <c r="AL387" s="378">
        <f t="shared" si="1123"/>
        <v>0</v>
      </c>
      <c r="AM387" s="629">
        <f t="shared" ref="AM387" si="1124">SUM(Y387:AL387)</f>
        <v>20497.703403487991</v>
      </c>
    </row>
    <row r="388" spans="2:39" ht="15.75">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13220.739600000001</v>
      </c>
      <c r="Z388" s="346">
        <f t="shared" ref="Z388:AE388" si="1125">SUM(Z382:Z387)</f>
        <v>4031.9137068164887</v>
      </c>
      <c r="AA388" s="346">
        <f t="shared" si="1125"/>
        <v>3245.0500966715017</v>
      </c>
      <c r="AB388" s="346">
        <f t="shared" si="1125"/>
        <v>0</v>
      </c>
      <c r="AC388" s="346">
        <f t="shared" si="1125"/>
        <v>0</v>
      </c>
      <c r="AD388" s="346">
        <f t="shared" si="1125"/>
        <v>0</v>
      </c>
      <c r="AE388" s="346">
        <f t="shared" si="1125"/>
        <v>0</v>
      </c>
      <c r="AF388" s="346">
        <f>SUM(AF382:AF387)</f>
        <v>0</v>
      </c>
      <c r="AG388" s="346">
        <f t="shared" ref="AG388:AL388" si="1126">SUM(AG382:AG387)</f>
        <v>0</v>
      </c>
      <c r="AH388" s="346">
        <f t="shared" si="1126"/>
        <v>0</v>
      </c>
      <c r="AI388" s="346">
        <f t="shared" si="1126"/>
        <v>0</v>
      </c>
      <c r="AJ388" s="346">
        <f t="shared" si="1126"/>
        <v>0</v>
      </c>
      <c r="AK388" s="346">
        <f t="shared" si="1126"/>
        <v>0</v>
      </c>
      <c r="AL388" s="346">
        <f t="shared" si="1126"/>
        <v>0</v>
      </c>
      <c r="AM388" s="407">
        <f>SUM(AM382:AM387)</f>
        <v>20497.703403487991</v>
      </c>
    </row>
    <row r="389" spans="2:39" ht="15.75">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12794.904</v>
      </c>
      <c r="Z389" s="347">
        <f t="shared" ref="Z389:AE389" si="1127">Z379*Z381</f>
        <v>5611.8</v>
      </c>
      <c r="AA389" s="347">
        <f t="shared" si="1127"/>
        <v>2179.2498000000001</v>
      </c>
      <c r="AB389" s="347">
        <f t="shared" si="1127"/>
        <v>0</v>
      </c>
      <c r="AC389" s="347">
        <f t="shared" si="1127"/>
        <v>0</v>
      </c>
      <c r="AD389" s="347">
        <f t="shared" si="1127"/>
        <v>0</v>
      </c>
      <c r="AE389" s="347">
        <f t="shared" si="1127"/>
        <v>0</v>
      </c>
      <c r="AF389" s="347">
        <f>AF379*AF381</f>
        <v>0</v>
      </c>
      <c r="AG389" s="347">
        <f t="shared" ref="AG389:AL389" si="1128">AG379*AG381</f>
        <v>0</v>
      </c>
      <c r="AH389" s="347">
        <f t="shared" si="1128"/>
        <v>0</v>
      </c>
      <c r="AI389" s="347">
        <f t="shared" si="1128"/>
        <v>0</v>
      </c>
      <c r="AJ389" s="347">
        <f t="shared" si="1128"/>
        <v>0</v>
      </c>
      <c r="AK389" s="347">
        <f t="shared" si="1128"/>
        <v>0</v>
      </c>
      <c r="AL389" s="347">
        <f t="shared" si="1128"/>
        <v>0</v>
      </c>
      <c r="AM389" s="407">
        <f>SUM(Y389:AL389)</f>
        <v>20585.953800000003</v>
      </c>
    </row>
    <row r="390" spans="2:39" ht="15.75">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-88.25039651201223</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1159714</v>
      </c>
      <c r="Z392" s="291">
        <f>SUMPRODUCT(E221:E376,Z221:Z376)</f>
        <v>268794.24712109927</v>
      </c>
      <c r="AA392" s="291">
        <f t="shared" ref="AA392:AL392" si="1129">IF(AA219="kw",SUMPRODUCT($N$221:$N$376,$P$221:$P$376,AA221:AA376),SUMPRODUCT($E$221:$E$376,AA221:AA376))</f>
        <v>1503.7940467312721</v>
      </c>
      <c r="AB392" s="291">
        <f t="shared" si="1129"/>
        <v>0</v>
      </c>
      <c r="AC392" s="291">
        <f t="shared" si="1129"/>
        <v>0</v>
      </c>
      <c r="AD392" s="291">
        <f t="shared" si="1129"/>
        <v>0</v>
      </c>
      <c r="AE392" s="291">
        <f t="shared" si="1129"/>
        <v>0</v>
      </c>
      <c r="AF392" s="291">
        <f t="shared" si="1129"/>
        <v>0</v>
      </c>
      <c r="AG392" s="291">
        <f t="shared" si="1129"/>
        <v>0</v>
      </c>
      <c r="AH392" s="291">
        <f t="shared" si="1129"/>
        <v>0</v>
      </c>
      <c r="AI392" s="291">
        <f t="shared" si="1129"/>
        <v>0</v>
      </c>
      <c r="AJ392" s="291">
        <f t="shared" si="1129"/>
        <v>0</v>
      </c>
      <c r="AK392" s="291">
        <f t="shared" si="1129"/>
        <v>0</v>
      </c>
      <c r="AL392" s="291">
        <f t="shared" si="1129"/>
        <v>0</v>
      </c>
      <c r="AM392" s="348"/>
    </row>
    <row r="393" spans="2:39">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1159714</v>
      </c>
      <c r="Z393" s="291">
        <f>SUMPRODUCT(F221:F376,Z221:Z376)</f>
        <v>268801.83732623159</v>
      </c>
      <c r="AA393" s="291">
        <f t="shared" ref="AA393:AL393" si="1130">IF(AA219="kw",SUMPRODUCT($N$221:$N$376,$Q$221:$Q$376,AA221:AA376),SUMPRODUCT($F$221:$F$376,AA221:AA376))</f>
        <v>1503.7940467312721</v>
      </c>
      <c r="AB393" s="291">
        <f t="shared" si="1130"/>
        <v>0</v>
      </c>
      <c r="AC393" s="291">
        <f t="shared" si="1130"/>
        <v>0</v>
      </c>
      <c r="AD393" s="291">
        <f t="shared" si="1130"/>
        <v>0</v>
      </c>
      <c r="AE393" s="291">
        <f t="shared" si="1130"/>
        <v>0</v>
      </c>
      <c r="AF393" s="291">
        <f t="shared" si="1130"/>
        <v>0</v>
      </c>
      <c r="AG393" s="291">
        <f t="shared" si="1130"/>
        <v>0</v>
      </c>
      <c r="AH393" s="291">
        <f t="shared" si="1130"/>
        <v>0</v>
      </c>
      <c r="AI393" s="291">
        <f t="shared" si="1130"/>
        <v>0</v>
      </c>
      <c r="AJ393" s="291">
        <f t="shared" si="1130"/>
        <v>0</v>
      </c>
      <c r="AK393" s="291">
        <f t="shared" si="1130"/>
        <v>0</v>
      </c>
      <c r="AL393" s="291">
        <f t="shared" si="1130"/>
        <v>0</v>
      </c>
      <c r="AM393" s="337"/>
    </row>
    <row r="394" spans="2:39">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1159714</v>
      </c>
      <c r="Z394" s="291">
        <f>SUMPRODUCT(G221:G376,Z221:Z376)</f>
        <v>266550.83732623159</v>
      </c>
      <c r="AA394" s="291">
        <f t="shared" ref="AA394:AL394" si="1131">IF(AA219="kw",SUMPRODUCT($N$221:$N$376,$R$221:$R$376,AA221:AA376),SUMPRODUCT($G$221:$G$376,AA221:AA376))</f>
        <v>1503.7940467312721</v>
      </c>
      <c r="AB394" s="291">
        <f t="shared" si="1131"/>
        <v>0</v>
      </c>
      <c r="AC394" s="291">
        <f t="shared" si="1131"/>
        <v>0</v>
      </c>
      <c r="AD394" s="291">
        <f t="shared" si="1131"/>
        <v>0</v>
      </c>
      <c r="AE394" s="291">
        <f t="shared" si="1131"/>
        <v>0</v>
      </c>
      <c r="AF394" s="291">
        <f t="shared" si="1131"/>
        <v>0</v>
      </c>
      <c r="AG394" s="291">
        <f t="shared" si="1131"/>
        <v>0</v>
      </c>
      <c r="AH394" s="291">
        <f t="shared" si="1131"/>
        <v>0</v>
      </c>
      <c r="AI394" s="291">
        <f t="shared" si="1131"/>
        <v>0</v>
      </c>
      <c r="AJ394" s="291">
        <f t="shared" si="1131"/>
        <v>0</v>
      </c>
      <c r="AK394" s="291">
        <f t="shared" si="1131"/>
        <v>0</v>
      </c>
      <c r="AL394" s="291">
        <f t="shared" si="1131"/>
        <v>0</v>
      </c>
      <c r="AM394" s="337"/>
    </row>
    <row r="395" spans="2:39">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1159714</v>
      </c>
      <c r="Z395" s="326">
        <f>SUMPRODUCT(H221:H376,Z221:Z376)</f>
        <v>247248.83732623159</v>
      </c>
      <c r="AA395" s="326">
        <f t="shared" ref="AA395:AL395" si="1132">IF(AA219="kw",SUMPRODUCT($N$221:$N$376,$S$221:$S$376,AA221:AA376),SUMPRODUCT($H$221:$H$376,AA221:AA376))</f>
        <v>1503.7940467312721</v>
      </c>
      <c r="AB395" s="326">
        <f t="shared" si="1132"/>
        <v>0</v>
      </c>
      <c r="AC395" s="326">
        <f t="shared" si="1132"/>
        <v>0</v>
      </c>
      <c r="AD395" s="326">
        <f t="shared" si="1132"/>
        <v>0</v>
      </c>
      <c r="AE395" s="326">
        <f t="shared" si="1132"/>
        <v>0</v>
      </c>
      <c r="AF395" s="326">
        <f t="shared" si="1132"/>
        <v>0</v>
      </c>
      <c r="AG395" s="326">
        <f t="shared" si="1132"/>
        <v>0</v>
      </c>
      <c r="AH395" s="326">
        <f t="shared" si="1132"/>
        <v>0</v>
      </c>
      <c r="AI395" s="326">
        <f t="shared" si="1132"/>
        <v>0</v>
      </c>
      <c r="AJ395" s="326">
        <f t="shared" si="1132"/>
        <v>0</v>
      </c>
      <c r="AK395" s="326">
        <f t="shared" si="1132"/>
        <v>0</v>
      </c>
      <c r="AL395" s="326">
        <f t="shared" si="1132"/>
        <v>0</v>
      </c>
      <c r="AM395" s="386"/>
    </row>
    <row r="396" spans="2:39" ht="21" customHeight="1">
      <c r="B396" s="368" t="s">
        <v>581</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291</v>
      </c>
      <c r="C399" s="281"/>
      <c r="D399" s="590" t="s">
        <v>525</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56" t="s">
        <v>211</v>
      </c>
      <c r="C400" s="858" t="s">
        <v>33</v>
      </c>
      <c r="D400" s="284" t="s">
        <v>421</v>
      </c>
      <c r="E400" s="860" t="s">
        <v>209</v>
      </c>
      <c r="F400" s="861"/>
      <c r="G400" s="861"/>
      <c r="H400" s="861"/>
      <c r="I400" s="861"/>
      <c r="J400" s="861"/>
      <c r="K400" s="861"/>
      <c r="L400" s="861"/>
      <c r="M400" s="862"/>
      <c r="N400" s="866" t="s">
        <v>213</v>
      </c>
      <c r="O400" s="284" t="s">
        <v>422</v>
      </c>
      <c r="P400" s="860" t="s">
        <v>212</v>
      </c>
      <c r="Q400" s="861"/>
      <c r="R400" s="861"/>
      <c r="S400" s="861"/>
      <c r="T400" s="861"/>
      <c r="U400" s="861"/>
      <c r="V400" s="861"/>
      <c r="W400" s="861"/>
      <c r="X400" s="862"/>
      <c r="Y400" s="863" t="s">
        <v>243</v>
      </c>
      <c r="Z400" s="864"/>
      <c r="AA400" s="864"/>
      <c r="AB400" s="864"/>
      <c r="AC400" s="864"/>
      <c r="AD400" s="864"/>
      <c r="AE400" s="864"/>
      <c r="AF400" s="864"/>
      <c r="AG400" s="864"/>
      <c r="AH400" s="864"/>
      <c r="AI400" s="864"/>
      <c r="AJ400" s="864"/>
      <c r="AK400" s="864"/>
      <c r="AL400" s="864"/>
      <c r="AM400" s="865"/>
    </row>
    <row r="401" spans="1:39" ht="61.5" customHeight="1">
      <c r="B401" s="857"/>
      <c r="C401" s="859"/>
      <c r="D401" s="285">
        <v>2017</v>
      </c>
      <c r="E401" s="285">
        <v>2018</v>
      </c>
      <c r="F401" s="285">
        <v>2019</v>
      </c>
      <c r="G401" s="285">
        <v>2020</v>
      </c>
      <c r="H401" s="285">
        <v>2021</v>
      </c>
      <c r="I401" s="285">
        <v>2022</v>
      </c>
      <c r="J401" s="285">
        <v>2023</v>
      </c>
      <c r="K401" s="285">
        <v>2024</v>
      </c>
      <c r="L401" s="285">
        <v>2025</v>
      </c>
      <c r="M401" s="285">
        <v>2026</v>
      </c>
      <c r="N401" s="867"/>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 50 - 4,999 kW</v>
      </c>
      <c r="AB401" s="285" t="str">
        <f>'1.  LRAMVA Summary'!G52</f>
        <v>Street Light</v>
      </c>
      <c r="AC401" s="285" t="str">
        <f>'1.  LRAMVA Summary'!H52</f>
        <v>USL</v>
      </c>
      <c r="AD401" s="285" t="str">
        <f>'1.  LRAMVA Summary'!I52</f>
        <v>Embedded Distributor</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503</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t="str">
        <f>'1.  LRAMVA Summary'!H53</f>
        <v>kWh</v>
      </c>
      <c r="AD402" s="291" t="str">
        <f>'1.  LRAMVA Summary'!I53</f>
        <v>kW</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2"/>
      <c r="B403" s="504" t="s">
        <v>496</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2"/>
      <c r="B405" s="431" t="s">
        <v>308</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133">Z404</f>
        <v>0</v>
      </c>
      <c r="AA405" s="411">
        <f t="shared" ref="AA405" si="1134">AA404</f>
        <v>0</v>
      </c>
      <c r="AB405" s="411">
        <f t="shared" ref="AB405" si="1135">AB404</f>
        <v>0</v>
      </c>
      <c r="AC405" s="411">
        <f t="shared" ref="AC405" si="1136">AC404</f>
        <v>0</v>
      </c>
      <c r="AD405" s="411">
        <f t="shared" ref="AD405" si="1137">AD404</f>
        <v>0</v>
      </c>
      <c r="AE405" s="411">
        <f t="shared" ref="AE405" si="1138">AE404</f>
        <v>0</v>
      </c>
      <c r="AF405" s="411">
        <f t="shared" ref="AF405" si="1139">AF404</f>
        <v>0</v>
      </c>
      <c r="AG405" s="411">
        <f t="shared" ref="AG405" si="1140">AG404</f>
        <v>0</v>
      </c>
      <c r="AH405" s="411">
        <f t="shared" ref="AH405" si="1141">AH404</f>
        <v>0</v>
      </c>
      <c r="AI405" s="411">
        <f t="shared" ref="AI405" si="1142">AI404</f>
        <v>0</v>
      </c>
      <c r="AJ405" s="411">
        <f t="shared" ref="AJ405" si="1143">AJ404</f>
        <v>0</v>
      </c>
      <c r="AK405" s="411">
        <f t="shared" ref="AK405" si="1144">AK404</f>
        <v>0</v>
      </c>
      <c r="AL405" s="411">
        <f t="shared" ref="AL405" si="1145">AL404</f>
        <v>0</v>
      </c>
      <c r="AM405" s="297"/>
    </row>
    <row r="406" spans="1:39" ht="15.75"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2"/>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46">Z407</f>
        <v>0</v>
      </c>
      <c r="AA408" s="411">
        <f t="shared" ref="AA408" si="1147">AA407</f>
        <v>0</v>
      </c>
      <c r="AB408" s="411">
        <f t="shared" ref="AB408" si="1148">AB407</f>
        <v>0</v>
      </c>
      <c r="AC408" s="411">
        <f t="shared" ref="AC408" si="1149">AC407</f>
        <v>0</v>
      </c>
      <c r="AD408" s="411">
        <f t="shared" ref="AD408" si="1150">AD407</f>
        <v>0</v>
      </c>
      <c r="AE408" s="411">
        <f t="shared" ref="AE408" si="1151">AE407</f>
        <v>0</v>
      </c>
      <c r="AF408" s="411">
        <f t="shared" ref="AF408" si="1152">AF407</f>
        <v>0</v>
      </c>
      <c r="AG408" s="411">
        <f t="shared" ref="AG408" si="1153">AG407</f>
        <v>0</v>
      </c>
      <c r="AH408" s="411">
        <f t="shared" ref="AH408" si="1154">AH407</f>
        <v>0</v>
      </c>
      <c r="AI408" s="411">
        <f t="shared" ref="AI408" si="1155">AI407</f>
        <v>0</v>
      </c>
      <c r="AJ408" s="411">
        <f t="shared" ref="AJ408" si="1156">AJ407</f>
        <v>0</v>
      </c>
      <c r="AK408" s="411">
        <f t="shared" ref="AK408" si="1157">AK407</f>
        <v>0</v>
      </c>
      <c r="AL408" s="411">
        <f t="shared" ref="AL408" si="1158">AL407</f>
        <v>0</v>
      </c>
      <c r="AM408" s="297"/>
    </row>
    <row r="409" spans="1:39" ht="15.75"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2"/>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59">Z410</f>
        <v>0</v>
      </c>
      <c r="AA411" s="411">
        <f t="shared" ref="AA411" si="1160">AA410</f>
        <v>0</v>
      </c>
      <c r="AB411" s="411">
        <f t="shared" ref="AB411" si="1161">AB410</f>
        <v>0</v>
      </c>
      <c r="AC411" s="411">
        <f t="shared" ref="AC411" si="1162">AC410</f>
        <v>0</v>
      </c>
      <c r="AD411" s="411">
        <f t="shared" ref="AD411" si="1163">AD410</f>
        <v>0</v>
      </c>
      <c r="AE411" s="411">
        <f t="shared" ref="AE411" si="1164">AE410</f>
        <v>0</v>
      </c>
      <c r="AF411" s="411">
        <f t="shared" ref="AF411" si="1165">AF410</f>
        <v>0</v>
      </c>
      <c r="AG411" s="411">
        <f t="shared" ref="AG411" si="1166">AG410</f>
        <v>0</v>
      </c>
      <c r="AH411" s="411">
        <f t="shared" ref="AH411" si="1167">AH410</f>
        <v>0</v>
      </c>
      <c r="AI411" s="411">
        <f t="shared" ref="AI411" si="1168">AI410</f>
        <v>0</v>
      </c>
      <c r="AJ411" s="411">
        <f t="shared" ref="AJ411" si="1169">AJ410</f>
        <v>0</v>
      </c>
      <c r="AK411" s="411">
        <f t="shared" ref="AK411" si="1170">AK410</f>
        <v>0</v>
      </c>
      <c r="AL411" s="411">
        <f t="shared" ref="AL411" si="1171">AL410</f>
        <v>0</v>
      </c>
      <c r="AM411" s="297"/>
    </row>
    <row r="412" spans="1:39"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2">
        <v>4</v>
      </c>
      <c r="B413" s="520" t="s">
        <v>671</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2"/>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2">Z413</f>
        <v>0</v>
      </c>
      <c r="AA414" s="411">
        <f t="shared" ref="AA414" si="1173">AA413</f>
        <v>0</v>
      </c>
      <c r="AB414" s="411">
        <f t="shared" ref="AB414" si="1174">AB413</f>
        <v>0</v>
      </c>
      <c r="AC414" s="411">
        <f t="shared" ref="AC414" si="1175">AC413</f>
        <v>0</v>
      </c>
      <c r="AD414" s="411">
        <f t="shared" ref="AD414" si="1176">AD413</f>
        <v>0</v>
      </c>
      <c r="AE414" s="411">
        <f t="shared" ref="AE414" si="1177">AE413</f>
        <v>0</v>
      </c>
      <c r="AF414" s="411">
        <f t="shared" ref="AF414" si="1178">AF413</f>
        <v>0</v>
      </c>
      <c r="AG414" s="411">
        <f t="shared" ref="AG414" si="1179">AG413</f>
        <v>0</v>
      </c>
      <c r="AH414" s="411">
        <f t="shared" ref="AH414" si="1180">AH413</f>
        <v>0</v>
      </c>
      <c r="AI414" s="411">
        <f t="shared" ref="AI414" si="1181">AI413</f>
        <v>0</v>
      </c>
      <c r="AJ414" s="411">
        <f t="shared" ref="AJ414" si="1182">AJ413</f>
        <v>0</v>
      </c>
      <c r="AK414" s="411">
        <f t="shared" ref="AK414" si="1183">AK413</f>
        <v>0</v>
      </c>
      <c r="AL414" s="411">
        <f t="shared" ref="AL414" si="1184">AL413</f>
        <v>0</v>
      </c>
      <c r="AM414" s="297"/>
    </row>
    <row r="415" spans="1:39"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2"/>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85">Z416</f>
        <v>0</v>
      </c>
      <c r="AA417" s="411">
        <f t="shared" ref="AA417" si="1186">AA416</f>
        <v>0</v>
      </c>
      <c r="AB417" s="411">
        <f t="shared" ref="AB417" si="1187">AB416</f>
        <v>0</v>
      </c>
      <c r="AC417" s="411">
        <f t="shared" ref="AC417" si="1188">AC416</f>
        <v>0</v>
      </c>
      <c r="AD417" s="411">
        <f t="shared" ref="AD417" si="1189">AD416</f>
        <v>0</v>
      </c>
      <c r="AE417" s="411">
        <f t="shared" ref="AE417" si="1190">AE416</f>
        <v>0</v>
      </c>
      <c r="AF417" s="411">
        <f t="shared" ref="AF417" si="1191">AF416</f>
        <v>0</v>
      </c>
      <c r="AG417" s="411">
        <f t="shared" ref="AG417" si="1192">AG416</f>
        <v>0</v>
      </c>
      <c r="AH417" s="411">
        <f t="shared" ref="AH417" si="1193">AH416</f>
        <v>0</v>
      </c>
      <c r="AI417" s="411">
        <f t="shared" ref="AI417" si="1194">AI416</f>
        <v>0</v>
      </c>
      <c r="AJ417" s="411">
        <f t="shared" ref="AJ417" si="1195">AJ416</f>
        <v>0</v>
      </c>
      <c r="AK417" s="411">
        <f t="shared" ref="AK417" si="1196">AK416</f>
        <v>0</v>
      </c>
      <c r="AL417" s="411">
        <f t="shared" ref="AL417" si="1197">AL416</f>
        <v>0</v>
      </c>
      <c r="AM417" s="297"/>
    </row>
    <row r="418" spans="1:39"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32"/>
      <c r="B419" s="514" t="s">
        <v>497</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32"/>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198">Z420</f>
        <v>0</v>
      </c>
      <c r="AA421" s="411">
        <f t="shared" ref="AA421" si="1199">AA420</f>
        <v>0</v>
      </c>
      <c r="AB421" s="411">
        <f t="shared" ref="AB421" si="1200">AB420</f>
        <v>0</v>
      </c>
      <c r="AC421" s="411">
        <f t="shared" ref="AC421" si="1201">AC420</f>
        <v>0</v>
      </c>
      <c r="AD421" s="411">
        <f t="shared" ref="AD421" si="1202">AD420</f>
        <v>0</v>
      </c>
      <c r="AE421" s="411">
        <f t="shared" ref="AE421" si="1203">AE420</f>
        <v>0</v>
      </c>
      <c r="AF421" s="411">
        <f t="shared" ref="AF421" si="1204">AF420</f>
        <v>0</v>
      </c>
      <c r="AG421" s="411">
        <f t="shared" ref="AG421" si="1205">AG420</f>
        <v>0</v>
      </c>
      <c r="AH421" s="411">
        <f t="shared" ref="AH421" si="1206">AH420</f>
        <v>0</v>
      </c>
      <c r="AI421" s="411">
        <f t="shared" ref="AI421" si="1207">AI420</f>
        <v>0</v>
      </c>
      <c r="AJ421" s="411">
        <f t="shared" ref="AJ421" si="1208">AJ420</f>
        <v>0</v>
      </c>
      <c r="AK421" s="411">
        <f t="shared" ref="AK421" si="1209">AK420</f>
        <v>0</v>
      </c>
      <c r="AL421" s="411">
        <f t="shared" ref="AL421" si="1210">AL420</f>
        <v>0</v>
      </c>
      <c r="AM421" s="311"/>
    </row>
    <row r="422" spans="1:39"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2"/>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1">Z423</f>
        <v>0</v>
      </c>
      <c r="AA424" s="411">
        <f t="shared" ref="AA424" si="1212">AA423</f>
        <v>0</v>
      </c>
      <c r="AB424" s="411">
        <f t="shared" ref="AB424" si="1213">AB423</f>
        <v>0</v>
      </c>
      <c r="AC424" s="411">
        <f t="shared" ref="AC424" si="1214">AC423</f>
        <v>0</v>
      </c>
      <c r="AD424" s="411">
        <f t="shared" ref="AD424" si="1215">AD423</f>
        <v>0</v>
      </c>
      <c r="AE424" s="411">
        <f t="shared" ref="AE424" si="1216">AE423</f>
        <v>0</v>
      </c>
      <c r="AF424" s="411">
        <f t="shared" ref="AF424" si="1217">AF423</f>
        <v>0</v>
      </c>
      <c r="AG424" s="411">
        <f t="shared" ref="AG424" si="1218">AG423</f>
        <v>0</v>
      </c>
      <c r="AH424" s="411">
        <f t="shared" ref="AH424" si="1219">AH423</f>
        <v>0</v>
      </c>
      <c r="AI424" s="411">
        <f t="shared" ref="AI424" si="1220">AI423</f>
        <v>0</v>
      </c>
      <c r="AJ424" s="411">
        <f t="shared" ref="AJ424" si="1221">AJ423</f>
        <v>0</v>
      </c>
      <c r="AK424" s="411">
        <f t="shared" ref="AK424" si="1222">AK423</f>
        <v>0</v>
      </c>
      <c r="AL424" s="411">
        <f t="shared" ref="AL424" si="1223">AL423</f>
        <v>0</v>
      </c>
      <c r="AM424" s="311"/>
    </row>
    <row r="425" spans="1:39"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2"/>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4">Z426</f>
        <v>0</v>
      </c>
      <c r="AA427" s="411">
        <f t="shared" ref="AA427" si="1225">AA426</f>
        <v>0</v>
      </c>
      <c r="AB427" s="411">
        <f t="shared" ref="AB427" si="1226">AB426</f>
        <v>0</v>
      </c>
      <c r="AC427" s="411">
        <f t="shared" ref="AC427" si="1227">AC426</f>
        <v>0</v>
      </c>
      <c r="AD427" s="411">
        <f t="shared" ref="AD427" si="1228">AD426</f>
        <v>0</v>
      </c>
      <c r="AE427" s="411">
        <f t="shared" ref="AE427" si="1229">AE426</f>
        <v>0</v>
      </c>
      <c r="AF427" s="411">
        <f t="shared" ref="AF427" si="1230">AF426</f>
        <v>0</v>
      </c>
      <c r="AG427" s="411">
        <f t="shared" ref="AG427" si="1231">AG426</f>
        <v>0</v>
      </c>
      <c r="AH427" s="411">
        <f t="shared" ref="AH427" si="1232">AH426</f>
        <v>0</v>
      </c>
      <c r="AI427" s="411">
        <f t="shared" ref="AI427" si="1233">AI426</f>
        <v>0</v>
      </c>
      <c r="AJ427" s="411">
        <f t="shared" ref="AJ427" si="1234">AJ426</f>
        <v>0</v>
      </c>
      <c r="AK427" s="411">
        <f t="shared" ref="AK427" si="1235">AK426</f>
        <v>0</v>
      </c>
      <c r="AL427" s="411">
        <f t="shared" ref="AL427" si="1236">AL426</f>
        <v>0</v>
      </c>
      <c r="AM427" s="311"/>
    </row>
    <row r="428" spans="1:39"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2"/>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37">Z429</f>
        <v>0</v>
      </c>
      <c r="AA430" s="411">
        <f t="shared" ref="AA430" si="1238">AA429</f>
        <v>0</v>
      </c>
      <c r="AB430" s="411">
        <f t="shared" ref="AB430" si="1239">AB429</f>
        <v>0</v>
      </c>
      <c r="AC430" s="411">
        <f t="shared" ref="AC430" si="1240">AC429</f>
        <v>0</v>
      </c>
      <c r="AD430" s="411">
        <f t="shared" ref="AD430" si="1241">AD429</f>
        <v>0</v>
      </c>
      <c r="AE430" s="411">
        <f t="shared" ref="AE430" si="1242">AE429</f>
        <v>0</v>
      </c>
      <c r="AF430" s="411">
        <f t="shared" ref="AF430" si="1243">AF429</f>
        <v>0</v>
      </c>
      <c r="AG430" s="411">
        <f t="shared" ref="AG430" si="1244">AG429</f>
        <v>0</v>
      </c>
      <c r="AH430" s="411">
        <f t="shared" ref="AH430" si="1245">AH429</f>
        <v>0</v>
      </c>
      <c r="AI430" s="411">
        <f t="shared" ref="AI430" si="1246">AI429</f>
        <v>0</v>
      </c>
      <c r="AJ430" s="411">
        <f t="shared" ref="AJ430" si="1247">AJ429</f>
        <v>0</v>
      </c>
      <c r="AK430" s="411">
        <f t="shared" ref="AK430" si="1248">AK429</f>
        <v>0</v>
      </c>
      <c r="AL430" s="411">
        <f t="shared" ref="AL430" si="1249">AL429</f>
        <v>0</v>
      </c>
      <c r="AM430" s="311"/>
    </row>
    <row r="431" spans="1:39"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32"/>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0">Z432</f>
        <v>0</v>
      </c>
      <c r="AA433" s="411">
        <f t="shared" ref="AA433" si="1251">AA432</f>
        <v>0</v>
      </c>
      <c r="AB433" s="411">
        <f t="shared" ref="AB433" si="1252">AB432</f>
        <v>0</v>
      </c>
      <c r="AC433" s="411">
        <f t="shared" ref="AC433" si="1253">AC432</f>
        <v>0</v>
      </c>
      <c r="AD433" s="411">
        <f t="shared" ref="AD433" si="1254">AD432</f>
        <v>0</v>
      </c>
      <c r="AE433" s="411">
        <f t="shared" ref="AE433" si="1255">AE432</f>
        <v>0</v>
      </c>
      <c r="AF433" s="411">
        <f t="shared" ref="AF433" si="1256">AF432</f>
        <v>0</v>
      </c>
      <c r="AG433" s="411">
        <f t="shared" ref="AG433" si="1257">AG432</f>
        <v>0</v>
      </c>
      <c r="AH433" s="411">
        <f t="shared" ref="AH433" si="1258">AH432</f>
        <v>0</v>
      </c>
      <c r="AI433" s="411">
        <f t="shared" ref="AI433" si="1259">AI432</f>
        <v>0</v>
      </c>
      <c r="AJ433" s="411">
        <f t="shared" ref="AJ433" si="1260">AJ432</f>
        <v>0</v>
      </c>
      <c r="AK433" s="411">
        <f t="shared" ref="AK433" si="1261">AK432</f>
        <v>0</v>
      </c>
      <c r="AL433" s="411">
        <f t="shared" ref="AL433" si="1262">AL432</f>
        <v>0</v>
      </c>
      <c r="AM433" s="311"/>
    </row>
    <row r="434" spans="1:40"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32"/>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3">Z436</f>
        <v>0</v>
      </c>
      <c r="AA437" s="411">
        <f t="shared" ref="AA437" si="1264">AA436</f>
        <v>0</v>
      </c>
      <c r="AB437" s="411">
        <f t="shared" ref="AB437" si="1265">AB436</f>
        <v>0</v>
      </c>
      <c r="AC437" s="411">
        <f t="shared" ref="AC437" si="1266">AC436</f>
        <v>0</v>
      </c>
      <c r="AD437" s="411">
        <f t="shared" ref="AD437" si="1267">AD436</f>
        <v>0</v>
      </c>
      <c r="AE437" s="411">
        <f t="shared" ref="AE437" si="1268">AE436</f>
        <v>0</v>
      </c>
      <c r="AF437" s="411">
        <f t="shared" ref="AF437" si="1269">AF436</f>
        <v>0</v>
      </c>
      <c r="AG437" s="411">
        <f t="shared" ref="AG437" si="1270">AG436</f>
        <v>0</v>
      </c>
      <c r="AH437" s="411">
        <f t="shared" ref="AH437" si="1271">AH436</f>
        <v>0</v>
      </c>
      <c r="AI437" s="411">
        <f t="shared" ref="AI437" si="1272">AI436</f>
        <v>0</v>
      </c>
      <c r="AJ437" s="411">
        <f t="shared" ref="AJ437" si="1273">AJ436</f>
        <v>0</v>
      </c>
      <c r="AK437" s="411">
        <f t="shared" ref="AK437" si="1274">AK436</f>
        <v>0</v>
      </c>
      <c r="AL437" s="411">
        <f t="shared" ref="AL437" si="1275">AL436</f>
        <v>0</v>
      </c>
      <c r="AM437" s="297"/>
    </row>
    <row r="438" spans="1:40"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45"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32"/>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76">Z439</f>
        <v>0</v>
      </c>
      <c r="AA440" s="411">
        <f t="shared" ref="AA440" si="1277">AA439</f>
        <v>0</v>
      </c>
      <c r="AB440" s="411">
        <f t="shared" ref="AB440" si="1278">AB439</f>
        <v>0</v>
      </c>
      <c r="AC440" s="411">
        <f t="shared" ref="AC440" si="1279">AC439</f>
        <v>0</v>
      </c>
      <c r="AD440" s="411">
        <f t="shared" ref="AD440" si="1280">AD439</f>
        <v>0</v>
      </c>
      <c r="AE440" s="411">
        <f t="shared" ref="AE440" si="1281">AE439</f>
        <v>0</v>
      </c>
      <c r="AF440" s="411">
        <f t="shared" ref="AF440" si="1282">AF439</f>
        <v>0</v>
      </c>
      <c r="AG440" s="411">
        <f t="shared" ref="AG440" si="1283">AG439</f>
        <v>0</v>
      </c>
      <c r="AH440" s="411">
        <f t="shared" ref="AH440" si="1284">AH439</f>
        <v>0</v>
      </c>
      <c r="AI440" s="411">
        <f t="shared" ref="AI440" si="1285">AI439</f>
        <v>0</v>
      </c>
      <c r="AJ440" s="411">
        <f t="shared" ref="AJ440" si="1286">AJ439</f>
        <v>0</v>
      </c>
      <c r="AK440" s="411">
        <f t="shared" ref="AK440" si="1287">AK439</f>
        <v>0</v>
      </c>
      <c r="AL440" s="411">
        <f t="shared" ref="AL440" si="1288">AL439</f>
        <v>0</v>
      </c>
      <c r="AM440" s="297"/>
    </row>
    <row r="441" spans="1:40"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32"/>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89">Z442</f>
        <v>0</v>
      </c>
      <c r="AA443" s="411">
        <f t="shared" ref="AA443" si="1290">AA442</f>
        <v>0</v>
      </c>
      <c r="AB443" s="411">
        <f t="shared" ref="AB443" si="1291">AB442</f>
        <v>0</v>
      </c>
      <c r="AC443" s="411">
        <f t="shared" ref="AC443" si="1292">AC442</f>
        <v>0</v>
      </c>
      <c r="AD443" s="411">
        <f t="shared" ref="AD443" si="1293">AD442</f>
        <v>0</v>
      </c>
      <c r="AE443" s="411">
        <f t="shared" ref="AE443" si="1294">AE442</f>
        <v>0</v>
      </c>
      <c r="AF443" s="411">
        <f t="shared" ref="AF443" si="1295">AF442</f>
        <v>0</v>
      </c>
      <c r="AG443" s="411">
        <f t="shared" ref="AG443" si="1296">AG442</f>
        <v>0</v>
      </c>
      <c r="AH443" s="411">
        <f t="shared" ref="AH443" si="1297">AH442</f>
        <v>0</v>
      </c>
      <c r="AI443" s="411">
        <f t="shared" ref="AI443" si="1298">AI442</f>
        <v>0</v>
      </c>
      <c r="AJ443" s="411">
        <f t="shared" ref="AJ443" si="1299">AJ442</f>
        <v>0</v>
      </c>
      <c r="AK443" s="411">
        <f t="shared" ref="AK443" si="1300">AK442</f>
        <v>0</v>
      </c>
      <c r="AL443" s="411">
        <f t="shared" ref="AL443" si="1301">AL442</f>
        <v>0</v>
      </c>
      <c r="AM443" s="306"/>
    </row>
    <row r="444" spans="1:40"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2"/>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2">Z446</f>
        <v>0</v>
      </c>
      <c r="AA447" s="411">
        <f t="shared" ref="AA447" si="1303">AA446</f>
        <v>0</v>
      </c>
      <c r="AB447" s="411">
        <f t="shared" ref="AB447" si="1304">AB446</f>
        <v>0</v>
      </c>
      <c r="AC447" s="411">
        <f t="shared" ref="AC447" si="1305">AC446</f>
        <v>0</v>
      </c>
      <c r="AD447" s="411">
        <f t="shared" ref="AD447" si="1306">AD446</f>
        <v>0</v>
      </c>
      <c r="AE447" s="411">
        <f t="shared" ref="AE447" si="1307">AE446</f>
        <v>0</v>
      </c>
      <c r="AF447" s="411">
        <f t="shared" ref="AF447" si="1308">AF446</f>
        <v>0</v>
      </c>
      <c r="AG447" s="411">
        <f t="shared" ref="AG447" si="1309">AG446</f>
        <v>0</v>
      </c>
      <c r="AH447" s="411">
        <f t="shared" ref="AH447" si="1310">AH446</f>
        <v>0</v>
      </c>
      <c r="AI447" s="411">
        <f t="shared" ref="AI447" si="1311">AI446</f>
        <v>0</v>
      </c>
      <c r="AJ447" s="411">
        <f t="shared" ref="AJ447" si="1312">AJ446</f>
        <v>0</v>
      </c>
      <c r="AK447" s="411">
        <f t="shared" ref="AK447" si="1313">AK446</f>
        <v>0</v>
      </c>
      <c r="AL447" s="411">
        <f t="shared" ref="AL447" si="1314">AL446</f>
        <v>0</v>
      </c>
      <c r="AM447" s="297"/>
    </row>
    <row r="448" spans="1:40"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75" outlineLevel="1">
      <c r="A449" s="532"/>
      <c r="B449" s="504" t="s">
        <v>489</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outlineLevel="1">
      <c r="A450" s="532">
        <v>15</v>
      </c>
      <c r="B450" s="431" t="s">
        <v>494</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2"/>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15">Z450</f>
        <v>0</v>
      </c>
      <c r="AA451" s="411">
        <f t="shared" si="1315"/>
        <v>0</v>
      </c>
      <c r="AB451" s="411">
        <f t="shared" si="1315"/>
        <v>0</v>
      </c>
      <c r="AC451" s="411">
        <f t="shared" si="1315"/>
        <v>0</v>
      </c>
      <c r="AD451" s="411">
        <f t="shared" si="1315"/>
        <v>0</v>
      </c>
      <c r="AE451" s="411">
        <f t="shared" si="1315"/>
        <v>0</v>
      </c>
      <c r="AF451" s="411">
        <f t="shared" si="1315"/>
        <v>0</v>
      </c>
      <c r="AG451" s="411">
        <f t="shared" si="1315"/>
        <v>0</v>
      </c>
      <c r="AH451" s="411">
        <f t="shared" si="1315"/>
        <v>0</v>
      </c>
      <c r="AI451" s="411">
        <f t="shared" si="1315"/>
        <v>0</v>
      </c>
      <c r="AJ451" s="411">
        <f t="shared" si="1315"/>
        <v>0</v>
      </c>
      <c r="AK451" s="411">
        <f t="shared" si="1315"/>
        <v>0</v>
      </c>
      <c r="AL451" s="411">
        <f t="shared" si="1315"/>
        <v>0</v>
      </c>
      <c r="AM451" s="297"/>
    </row>
    <row r="452" spans="1:40"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2">
        <v>16</v>
      </c>
      <c r="B453" s="529" t="s">
        <v>490</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2"/>
      <c r="B454" s="529"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16">Z453</f>
        <v>0</v>
      </c>
      <c r="AA454" s="411">
        <f t="shared" si="1316"/>
        <v>0</v>
      </c>
      <c r="AB454" s="411">
        <f t="shared" si="1316"/>
        <v>0</v>
      </c>
      <c r="AC454" s="411">
        <f t="shared" si="1316"/>
        <v>0</v>
      </c>
      <c r="AD454" s="411">
        <f t="shared" si="1316"/>
        <v>0</v>
      </c>
      <c r="AE454" s="411">
        <f t="shared" si="1316"/>
        <v>0</v>
      </c>
      <c r="AF454" s="411">
        <f t="shared" si="1316"/>
        <v>0</v>
      </c>
      <c r="AG454" s="411">
        <f t="shared" si="1316"/>
        <v>0</v>
      </c>
      <c r="AH454" s="411">
        <f t="shared" si="1316"/>
        <v>0</v>
      </c>
      <c r="AI454" s="411">
        <f t="shared" si="1316"/>
        <v>0</v>
      </c>
      <c r="AJ454" s="411">
        <f t="shared" si="1316"/>
        <v>0</v>
      </c>
      <c r="AK454" s="411">
        <f t="shared" si="1316"/>
        <v>0</v>
      </c>
      <c r="AL454" s="411">
        <f t="shared" si="1316"/>
        <v>0</v>
      </c>
      <c r="AM454" s="297"/>
    </row>
    <row r="455" spans="1:40" s="283" customFormat="1"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32"/>
      <c r="B456" s="530" t="s">
        <v>495</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32"/>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17">Z457</f>
        <v>0</v>
      </c>
      <c r="AA458" s="411">
        <f t="shared" si="1317"/>
        <v>0</v>
      </c>
      <c r="AB458" s="411">
        <f t="shared" si="1317"/>
        <v>0</v>
      </c>
      <c r="AC458" s="411">
        <f t="shared" si="1317"/>
        <v>0</v>
      </c>
      <c r="AD458" s="411">
        <f t="shared" si="1317"/>
        <v>0</v>
      </c>
      <c r="AE458" s="411">
        <f t="shared" si="1317"/>
        <v>0</v>
      </c>
      <c r="AF458" s="411">
        <f t="shared" si="1317"/>
        <v>0</v>
      </c>
      <c r="AG458" s="411">
        <f t="shared" si="1317"/>
        <v>0</v>
      </c>
      <c r="AH458" s="411">
        <f t="shared" si="1317"/>
        <v>0</v>
      </c>
      <c r="AI458" s="411">
        <f t="shared" si="1317"/>
        <v>0</v>
      </c>
      <c r="AJ458" s="411">
        <f t="shared" si="1317"/>
        <v>0</v>
      </c>
      <c r="AK458" s="411">
        <f t="shared" si="1317"/>
        <v>0</v>
      </c>
      <c r="AL458" s="411">
        <f t="shared" si="1317"/>
        <v>0</v>
      </c>
      <c r="AM458" s="306"/>
    </row>
    <row r="459" spans="1:40"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2"/>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18">Z460</f>
        <v>0</v>
      </c>
      <c r="AA461" s="411">
        <f t="shared" si="1318"/>
        <v>0</v>
      </c>
      <c r="AB461" s="411">
        <f t="shared" si="1318"/>
        <v>0</v>
      </c>
      <c r="AC461" s="411">
        <f t="shared" si="1318"/>
        <v>0</v>
      </c>
      <c r="AD461" s="411">
        <f t="shared" si="1318"/>
        <v>0</v>
      </c>
      <c r="AE461" s="411">
        <f t="shared" si="1318"/>
        <v>0</v>
      </c>
      <c r="AF461" s="411">
        <f t="shared" si="1318"/>
        <v>0</v>
      </c>
      <c r="AG461" s="411">
        <f t="shared" si="1318"/>
        <v>0</v>
      </c>
      <c r="AH461" s="411">
        <f t="shared" si="1318"/>
        <v>0</v>
      </c>
      <c r="AI461" s="411">
        <f t="shared" si="1318"/>
        <v>0</v>
      </c>
      <c r="AJ461" s="411">
        <f t="shared" si="1318"/>
        <v>0</v>
      </c>
      <c r="AK461" s="411">
        <f t="shared" si="1318"/>
        <v>0</v>
      </c>
      <c r="AL461" s="411">
        <f t="shared" si="1318"/>
        <v>0</v>
      </c>
      <c r="AM461" s="306"/>
    </row>
    <row r="462" spans="1:40"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2"/>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19">Z463</f>
        <v>0</v>
      </c>
      <c r="AA464" s="411">
        <f t="shared" si="1319"/>
        <v>0</v>
      </c>
      <c r="AB464" s="411">
        <f t="shared" si="1319"/>
        <v>0</v>
      </c>
      <c r="AC464" s="411">
        <f t="shared" si="1319"/>
        <v>0</v>
      </c>
      <c r="AD464" s="411">
        <f t="shared" si="1319"/>
        <v>0</v>
      </c>
      <c r="AE464" s="411">
        <f t="shared" si="1319"/>
        <v>0</v>
      </c>
      <c r="AF464" s="411">
        <f t="shared" si="1319"/>
        <v>0</v>
      </c>
      <c r="AG464" s="411">
        <f t="shared" si="1319"/>
        <v>0</v>
      </c>
      <c r="AH464" s="411">
        <f t="shared" si="1319"/>
        <v>0</v>
      </c>
      <c r="AI464" s="411">
        <f t="shared" si="1319"/>
        <v>0</v>
      </c>
      <c r="AJ464" s="411">
        <f t="shared" si="1319"/>
        <v>0</v>
      </c>
      <c r="AK464" s="411">
        <f t="shared" si="1319"/>
        <v>0</v>
      </c>
      <c r="AL464" s="411">
        <f t="shared" si="1319"/>
        <v>0</v>
      </c>
      <c r="AM464" s="297"/>
    </row>
    <row r="465" spans="1:39"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2"/>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0">Y466</f>
        <v>0</v>
      </c>
      <c r="Z467" s="411">
        <f t="shared" si="1320"/>
        <v>0</v>
      </c>
      <c r="AA467" s="411">
        <f t="shared" si="1320"/>
        <v>0</v>
      </c>
      <c r="AB467" s="411">
        <f t="shared" si="1320"/>
        <v>0</v>
      </c>
      <c r="AC467" s="411">
        <f t="shared" si="1320"/>
        <v>0</v>
      </c>
      <c r="AD467" s="411">
        <f t="shared" si="1320"/>
        <v>0</v>
      </c>
      <c r="AE467" s="411">
        <f t="shared" si="1320"/>
        <v>0</v>
      </c>
      <c r="AF467" s="411">
        <f t="shared" si="1320"/>
        <v>0</v>
      </c>
      <c r="AG467" s="411">
        <f t="shared" si="1320"/>
        <v>0</v>
      </c>
      <c r="AH467" s="411">
        <f t="shared" si="1320"/>
        <v>0</v>
      </c>
      <c r="AI467" s="411">
        <f t="shared" si="1320"/>
        <v>0</v>
      </c>
      <c r="AJ467" s="411">
        <f t="shared" si="1320"/>
        <v>0</v>
      </c>
      <c r="AK467" s="411">
        <f t="shared" si="1320"/>
        <v>0</v>
      </c>
      <c r="AL467" s="411">
        <f t="shared" si="1320"/>
        <v>0</v>
      </c>
      <c r="AM467" s="306"/>
    </row>
    <row r="468" spans="1:39" ht="15.75"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2"/>
      <c r="B469" s="524" t="s">
        <v>502</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32"/>
      <c r="B470" s="504" t="s">
        <v>498</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32">
        <v>21</v>
      </c>
      <c r="B471" s="428" t="s">
        <v>113</v>
      </c>
      <c r="C471" s="291" t="s">
        <v>25</v>
      </c>
      <c r="D471" s="295">
        <f>'7.  Persistence Report'!AW112</f>
        <v>884204</v>
      </c>
      <c r="E471" s="295">
        <f>'7.  Persistence Report'!AX112</f>
        <v>711281</v>
      </c>
      <c r="F471" s="295">
        <f>'7.  Persistence Report'!AY112</f>
        <v>711281</v>
      </c>
      <c r="G471" s="295">
        <f>'7.  Persistence Report'!AZ112</f>
        <v>711281</v>
      </c>
      <c r="H471" s="295">
        <f>'7.  Persistence Report'!BA112</f>
        <v>711281</v>
      </c>
      <c r="I471" s="295">
        <f>'7.  Persistence Report'!BB112</f>
        <v>711281</v>
      </c>
      <c r="J471" s="295">
        <f>'7.  Persistence Report'!BC112</f>
        <v>711281</v>
      </c>
      <c r="K471" s="295">
        <f>'7.  Persistence Report'!BD112</f>
        <v>711275</v>
      </c>
      <c r="L471" s="295">
        <f>'7.  Persistence Report'!BE112</f>
        <v>711275</v>
      </c>
      <c r="M471" s="295">
        <f>'7.  Persistence Report'!BF112</f>
        <v>709575</v>
      </c>
      <c r="N471" s="291"/>
      <c r="O471" s="295">
        <f>'7.  Persistence Report'!R112</f>
        <v>61</v>
      </c>
      <c r="P471" s="295">
        <f>'7.  Persistence Report'!S112</f>
        <v>50</v>
      </c>
      <c r="Q471" s="295">
        <f>'7.  Persistence Report'!T112</f>
        <v>50</v>
      </c>
      <c r="R471" s="295">
        <f>'7.  Persistence Report'!U112</f>
        <v>50</v>
      </c>
      <c r="S471" s="295">
        <f>'7.  Persistence Report'!V112</f>
        <v>50</v>
      </c>
      <c r="T471" s="295">
        <f>'7.  Persistence Report'!W112</f>
        <v>50</v>
      </c>
      <c r="U471" s="295">
        <f>'7.  Persistence Report'!X112</f>
        <v>50</v>
      </c>
      <c r="V471" s="295">
        <f>'7.  Persistence Report'!Y112</f>
        <v>50</v>
      </c>
      <c r="W471" s="295">
        <f>'7.  Persistence Report'!Z112</f>
        <v>50</v>
      </c>
      <c r="X471" s="295">
        <f>'7.  Persistence Report'!AA112</f>
        <v>50</v>
      </c>
      <c r="Y471" s="410">
        <v>1</v>
      </c>
      <c r="Z471" s="410"/>
      <c r="AA471" s="410"/>
      <c r="AB471" s="410"/>
      <c r="AC471" s="410"/>
      <c r="AD471" s="410"/>
      <c r="AE471" s="410"/>
      <c r="AF471" s="410"/>
      <c r="AG471" s="410"/>
      <c r="AH471" s="410"/>
      <c r="AI471" s="410"/>
      <c r="AJ471" s="410"/>
      <c r="AK471" s="410"/>
      <c r="AL471" s="410"/>
      <c r="AM471" s="296">
        <f>SUM(Y471:AL471)</f>
        <v>1</v>
      </c>
    </row>
    <row r="472" spans="1:39" outlineLevel="1">
      <c r="A472" s="532"/>
      <c r="B472" s="431" t="s">
        <v>308</v>
      </c>
      <c r="C472" s="291" t="s">
        <v>163</v>
      </c>
      <c r="D472" s="295">
        <f>'7.  Persistence Report'!AW136</f>
        <v>1196</v>
      </c>
      <c r="E472" s="295">
        <f>'7.  Persistence Report'!AX136</f>
        <v>1186.432</v>
      </c>
      <c r="F472" s="295">
        <f>'7.  Persistence Report'!AY136</f>
        <v>1186.432</v>
      </c>
      <c r="G472" s="295">
        <f>'7.  Persistence Report'!AZ136</f>
        <v>1186</v>
      </c>
      <c r="H472" s="295">
        <f>'7.  Persistence Report'!BA136</f>
        <v>1186.432</v>
      </c>
      <c r="I472" s="295">
        <f>'7.  Persistence Report'!BB136</f>
        <v>1186.432</v>
      </c>
      <c r="J472" s="295">
        <f>'7.  Persistence Report'!BC136</f>
        <v>0</v>
      </c>
      <c r="K472" s="295">
        <f>'7.  Persistence Report'!BD136</f>
        <v>0</v>
      </c>
      <c r="L472" s="295">
        <f>'7.  Persistence Report'!BE136</f>
        <v>0</v>
      </c>
      <c r="M472" s="295">
        <f>'7.  Persistence Report'!BF136</f>
        <v>0</v>
      </c>
      <c r="N472" s="291"/>
      <c r="O472" s="295">
        <f>'7.  Persistence Report'!R136</f>
        <v>0</v>
      </c>
      <c r="P472" s="295">
        <f>'7.  Persistence Report'!S136</f>
        <v>0</v>
      </c>
      <c r="Q472" s="295">
        <f>'7.  Persistence Report'!T136</f>
        <v>0</v>
      </c>
      <c r="R472" s="295">
        <f>'7.  Persistence Report'!U136</f>
        <v>0</v>
      </c>
      <c r="S472" s="295">
        <f>'7.  Persistence Report'!V136</f>
        <v>0</v>
      </c>
      <c r="T472" s="295">
        <f>'7.  Persistence Report'!W136</f>
        <v>0</v>
      </c>
      <c r="U472" s="295">
        <f>'7.  Persistence Report'!X136</f>
        <v>0</v>
      </c>
      <c r="V472" s="295">
        <f>'7.  Persistence Report'!Y136</f>
        <v>0</v>
      </c>
      <c r="W472" s="295">
        <f>'7.  Persistence Report'!Z136</f>
        <v>0</v>
      </c>
      <c r="X472" s="295">
        <f>'7.  Persistence Report'!AA136</f>
        <v>0</v>
      </c>
      <c r="Y472" s="411">
        <f>Y471</f>
        <v>1</v>
      </c>
      <c r="Z472" s="411">
        <f t="shared" ref="Z472" si="1321">Z471</f>
        <v>0</v>
      </c>
      <c r="AA472" s="411">
        <f t="shared" ref="AA472" si="1322">AA471</f>
        <v>0</v>
      </c>
      <c r="AB472" s="411">
        <f t="shared" ref="AB472" si="1323">AB471</f>
        <v>0</v>
      </c>
      <c r="AC472" s="411">
        <f t="shared" ref="AC472" si="1324">AC471</f>
        <v>0</v>
      </c>
      <c r="AD472" s="411">
        <f t="shared" ref="AD472" si="1325">AD471</f>
        <v>0</v>
      </c>
      <c r="AE472" s="411">
        <f t="shared" ref="AE472" si="1326">AE471</f>
        <v>0</v>
      </c>
      <c r="AF472" s="411">
        <f t="shared" ref="AF472" si="1327">AF471</f>
        <v>0</v>
      </c>
      <c r="AG472" s="411">
        <f t="shared" ref="AG472" si="1328">AG471</f>
        <v>0</v>
      </c>
      <c r="AH472" s="411">
        <f t="shared" ref="AH472" si="1329">AH471</f>
        <v>0</v>
      </c>
      <c r="AI472" s="411">
        <f t="shared" ref="AI472" si="1330">AI471</f>
        <v>0</v>
      </c>
      <c r="AJ472" s="411">
        <f t="shared" ref="AJ472" si="1331">AJ471</f>
        <v>0</v>
      </c>
      <c r="AK472" s="411">
        <f t="shared" ref="AK472" si="1332">AK471</f>
        <v>0</v>
      </c>
      <c r="AL472" s="411">
        <f t="shared" ref="AL472" si="1333">AL471</f>
        <v>0</v>
      </c>
      <c r="AM472" s="306"/>
    </row>
    <row r="473" spans="1:39"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2">
        <v>22</v>
      </c>
      <c r="B474" s="428" t="s">
        <v>114</v>
      </c>
      <c r="C474" s="291" t="s">
        <v>25</v>
      </c>
      <c r="D474" s="295">
        <f>'7.  Persistence Report'!AW114</f>
        <v>221547</v>
      </c>
      <c r="E474" s="295">
        <f>'7.  Persistence Report'!AX114</f>
        <v>221547</v>
      </c>
      <c r="F474" s="295">
        <f>'7.  Persistence Report'!AY114</f>
        <v>221547</v>
      </c>
      <c r="G474" s="295">
        <f>'7.  Persistence Report'!AZ114</f>
        <v>221547</v>
      </c>
      <c r="H474" s="295">
        <f>'7.  Persistence Report'!BA114</f>
        <v>221547</v>
      </c>
      <c r="I474" s="295">
        <f>'7.  Persistence Report'!BB114</f>
        <v>221547</v>
      </c>
      <c r="J474" s="295">
        <f>'7.  Persistence Report'!BC114</f>
        <v>221547</v>
      </c>
      <c r="K474" s="295">
        <f>'7.  Persistence Report'!BD114</f>
        <v>221547</v>
      </c>
      <c r="L474" s="295">
        <f>'7.  Persistence Report'!BE114</f>
        <v>221547</v>
      </c>
      <c r="M474" s="295">
        <f>'7.  Persistence Report'!BF114</f>
        <v>221547</v>
      </c>
      <c r="N474" s="291"/>
      <c r="O474" s="295">
        <f>'7.  Persistence Report'!R114</f>
        <v>65</v>
      </c>
      <c r="P474" s="295">
        <f>'7.  Persistence Report'!S114</f>
        <v>65</v>
      </c>
      <c r="Q474" s="295">
        <f>'7.  Persistence Report'!T114</f>
        <v>65</v>
      </c>
      <c r="R474" s="295">
        <f>'7.  Persistence Report'!U114</f>
        <v>65</v>
      </c>
      <c r="S474" s="295">
        <f>'7.  Persistence Report'!V114</f>
        <v>65</v>
      </c>
      <c r="T474" s="295">
        <f>'7.  Persistence Report'!W114</f>
        <v>65</v>
      </c>
      <c r="U474" s="295">
        <f>'7.  Persistence Report'!X114</f>
        <v>65</v>
      </c>
      <c r="V474" s="295">
        <f>'7.  Persistence Report'!Y114</f>
        <v>65</v>
      </c>
      <c r="W474" s="295">
        <f>'7.  Persistence Report'!Z114</f>
        <v>65</v>
      </c>
      <c r="X474" s="295">
        <f>'7.  Persistence Report'!AA114</f>
        <v>65</v>
      </c>
      <c r="Y474" s="410">
        <v>1</v>
      </c>
      <c r="Z474" s="410"/>
      <c r="AA474" s="410"/>
      <c r="AB474" s="410"/>
      <c r="AC474" s="410"/>
      <c r="AD474" s="410"/>
      <c r="AE474" s="410"/>
      <c r="AF474" s="410"/>
      <c r="AG474" s="410"/>
      <c r="AH474" s="410"/>
      <c r="AI474" s="410"/>
      <c r="AJ474" s="410"/>
      <c r="AK474" s="410"/>
      <c r="AL474" s="410"/>
      <c r="AM474" s="296">
        <f>SUM(Y474:AL474)</f>
        <v>1</v>
      </c>
    </row>
    <row r="475" spans="1:39" outlineLevel="1">
      <c r="A475" s="532"/>
      <c r="B475" s="431" t="s">
        <v>308</v>
      </c>
      <c r="C475" s="291" t="s">
        <v>163</v>
      </c>
      <c r="D475" s="295">
        <f>'7.  Persistence Report'!AW137</f>
        <v>22900</v>
      </c>
      <c r="E475" s="295">
        <f>'7.  Persistence Report'!AX137</f>
        <v>22900</v>
      </c>
      <c r="F475" s="295">
        <f>'7.  Persistence Report'!AY137</f>
        <v>22900</v>
      </c>
      <c r="G475" s="295">
        <f>'7.  Persistence Report'!AZ137</f>
        <v>22900</v>
      </c>
      <c r="H475" s="295">
        <f>'7.  Persistence Report'!BA137</f>
        <v>22900</v>
      </c>
      <c r="I475" s="295">
        <f>'7.  Persistence Report'!BB137</f>
        <v>22900</v>
      </c>
      <c r="J475" s="295">
        <f>'7.  Persistence Report'!BC137</f>
        <v>0</v>
      </c>
      <c r="K475" s="295">
        <f>'7.  Persistence Report'!BD137</f>
        <v>0</v>
      </c>
      <c r="L475" s="295">
        <f>'7.  Persistence Report'!BE137</f>
        <v>0</v>
      </c>
      <c r="M475" s="295">
        <f>'7.  Persistence Report'!BF137</f>
        <v>0</v>
      </c>
      <c r="N475" s="291"/>
      <c r="O475" s="295">
        <f>'7.  Persistence Report'!R137</f>
        <v>0</v>
      </c>
      <c r="P475" s="295">
        <f>'7.  Persistence Report'!S137</f>
        <v>0</v>
      </c>
      <c r="Q475" s="295">
        <f>'7.  Persistence Report'!T137</f>
        <v>0</v>
      </c>
      <c r="R475" s="295">
        <f>'7.  Persistence Report'!U137</f>
        <v>0</v>
      </c>
      <c r="S475" s="295">
        <f>'7.  Persistence Report'!V137</f>
        <v>0</v>
      </c>
      <c r="T475" s="295">
        <f>'7.  Persistence Report'!W137</f>
        <v>0</v>
      </c>
      <c r="U475" s="295">
        <f>'7.  Persistence Report'!X137</f>
        <v>0</v>
      </c>
      <c r="V475" s="295">
        <f>'7.  Persistence Report'!Y137</f>
        <v>0</v>
      </c>
      <c r="W475" s="295">
        <f>'7.  Persistence Report'!Z137</f>
        <v>0</v>
      </c>
      <c r="X475" s="295">
        <f>'7.  Persistence Report'!AA137</f>
        <v>0</v>
      </c>
      <c r="Y475" s="411">
        <f>Y474</f>
        <v>1</v>
      </c>
      <c r="Z475" s="411">
        <f t="shared" ref="Z475" si="1334">Z474</f>
        <v>0</v>
      </c>
      <c r="AA475" s="411">
        <f t="shared" ref="AA475" si="1335">AA474</f>
        <v>0</v>
      </c>
      <c r="AB475" s="411">
        <f t="shared" ref="AB475" si="1336">AB474</f>
        <v>0</v>
      </c>
      <c r="AC475" s="411">
        <f t="shared" ref="AC475" si="1337">AC474</f>
        <v>0</v>
      </c>
      <c r="AD475" s="411">
        <f t="shared" ref="AD475" si="1338">AD474</f>
        <v>0</v>
      </c>
      <c r="AE475" s="411">
        <f t="shared" ref="AE475" si="1339">AE474</f>
        <v>0</v>
      </c>
      <c r="AF475" s="411">
        <f t="shared" ref="AF475" si="1340">AF474</f>
        <v>0</v>
      </c>
      <c r="AG475" s="411">
        <f t="shared" ref="AG475" si="1341">AG474</f>
        <v>0</v>
      </c>
      <c r="AH475" s="411">
        <f t="shared" ref="AH475" si="1342">AH474</f>
        <v>0</v>
      </c>
      <c r="AI475" s="411">
        <f t="shared" ref="AI475" si="1343">AI474</f>
        <v>0</v>
      </c>
      <c r="AJ475" s="411">
        <f t="shared" ref="AJ475" si="1344">AJ474</f>
        <v>0</v>
      </c>
      <c r="AK475" s="411">
        <f t="shared" ref="AK475" si="1345">AK474</f>
        <v>0</v>
      </c>
      <c r="AL475" s="411">
        <f t="shared" ref="AL475" si="1346">AL474</f>
        <v>0</v>
      </c>
      <c r="AM475" s="306"/>
    </row>
    <row r="476" spans="1:39"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outlineLevel="1">
      <c r="A477" s="532">
        <v>23</v>
      </c>
      <c r="B477" s="428" t="s">
        <v>115</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f>SUM(Y477:AL477)</f>
        <v>0</v>
      </c>
    </row>
    <row r="478" spans="1:39" outlineLevel="1">
      <c r="A478" s="532"/>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0</v>
      </c>
      <c r="Z478" s="411">
        <f t="shared" ref="Z478" si="1347">Z477</f>
        <v>0</v>
      </c>
      <c r="AA478" s="411">
        <f t="shared" ref="AA478" si="1348">AA477</f>
        <v>0</v>
      </c>
      <c r="AB478" s="411">
        <f t="shared" ref="AB478" si="1349">AB477</f>
        <v>0</v>
      </c>
      <c r="AC478" s="411">
        <f t="shared" ref="AC478" si="1350">AC477</f>
        <v>0</v>
      </c>
      <c r="AD478" s="411">
        <f t="shared" ref="AD478" si="1351">AD477</f>
        <v>0</v>
      </c>
      <c r="AE478" s="411">
        <f t="shared" ref="AE478" si="1352">AE477</f>
        <v>0</v>
      </c>
      <c r="AF478" s="411">
        <f t="shared" ref="AF478" si="1353">AF477</f>
        <v>0</v>
      </c>
      <c r="AG478" s="411">
        <f t="shared" ref="AG478" si="1354">AG477</f>
        <v>0</v>
      </c>
      <c r="AH478" s="411">
        <f t="shared" ref="AH478" si="1355">AH477</f>
        <v>0</v>
      </c>
      <c r="AI478" s="411">
        <f t="shared" ref="AI478" si="1356">AI477</f>
        <v>0</v>
      </c>
      <c r="AJ478" s="411">
        <f t="shared" ref="AJ478" si="1357">AJ477</f>
        <v>0</v>
      </c>
      <c r="AK478" s="411">
        <f t="shared" ref="AK478" si="1358">AK477</f>
        <v>0</v>
      </c>
      <c r="AL478" s="411">
        <f t="shared" ref="AL478" si="1359">AL477</f>
        <v>0</v>
      </c>
      <c r="AM478" s="306"/>
    </row>
    <row r="479" spans="1:39"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16.5" customHeight="1" outlineLevel="1">
      <c r="A480" s="532">
        <v>24</v>
      </c>
      <c r="B480" s="428" t="s">
        <v>116</v>
      </c>
      <c r="C480" s="291" t="s">
        <v>25</v>
      </c>
      <c r="D480" s="295"/>
      <c r="E480" s="295"/>
      <c r="F480" s="295"/>
      <c r="G480" s="295"/>
      <c r="H480" s="295"/>
      <c r="I480" s="295"/>
      <c r="J480" s="295"/>
      <c r="K480" s="295"/>
      <c r="L480" s="295"/>
      <c r="M480" s="295"/>
      <c r="N480" s="291"/>
      <c r="O480" s="295"/>
      <c r="P480" s="295"/>
      <c r="Q480" s="295"/>
      <c r="R480" s="295"/>
      <c r="S480" s="295"/>
      <c r="T480" s="295"/>
      <c r="U480" s="295"/>
      <c r="V480" s="295"/>
      <c r="W480" s="295"/>
      <c r="X480" s="295"/>
      <c r="Y480" s="410"/>
      <c r="Z480" s="410"/>
      <c r="AA480" s="410"/>
      <c r="AB480" s="410"/>
      <c r="AC480" s="410"/>
      <c r="AD480" s="410"/>
      <c r="AE480" s="410"/>
      <c r="AF480" s="410"/>
      <c r="AG480" s="410"/>
      <c r="AH480" s="410"/>
      <c r="AI480" s="410"/>
      <c r="AJ480" s="410"/>
      <c r="AK480" s="410"/>
      <c r="AL480" s="410"/>
      <c r="AM480" s="296">
        <f>SUM(Y480:AL480)</f>
        <v>0</v>
      </c>
    </row>
    <row r="481" spans="1:39" outlineLevel="1">
      <c r="A481" s="532"/>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0</v>
      </c>
      <c r="Z481" s="411">
        <f t="shared" ref="Z481" si="1360">Z480</f>
        <v>0</v>
      </c>
      <c r="AA481" s="411">
        <f t="shared" ref="AA481" si="1361">AA480</f>
        <v>0</v>
      </c>
      <c r="AB481" s="411">
        <f t="shared" ref="AB481" si="1362">AB480</f>
        <v>0</v>
      </c>
      <c r="AC481" s="411">
        <f t="shared" ref="AC481" si="1363">AC480</f>
        <v>0</v>
      </c>
      <c r="AD481" s="411">
        <f t="shared" ref="AD481" si="1364">AD480</f>
        <v>0</v>
      </c>
      <c r="AE481" s="411">
        <f t="shared" ref="AE481" si="1365">AE480</f>
        <v>0</v>
      </c>
      <c r="AF481" s="411">
        <f t="shared" ref="AF481" si="1366">AF480</f>
        <v>0</v>
      </c>
      <c r="AG481" s="411">
        <f t="shared" ref="AG481" si="1367">AG480</f>
        <v>0</v>
      </c>
      <c r="AH481" s="411">
        <f t="shared" ref="AH481" si="1368">AH480</f>
        <v>0</v>
      </c>
      <c r="AI481" s="411">
        <f t="shared" ref="AI481" si="1369">AI480</f>
        <v>0</v>
      </c>
      <c r="AJ481" s="411">
        <f t="shared" ref="AJ481" si="1370">AJ480</f>
        <v>0</v>
      </c>
      <c r="AK481" s="411">
        <f t="shared" ref="AK481" si="1371">AK480</f>
        <v>0</v>
      </c>
      <c r="AL481" s="411">
        <f t="shared" ref="AL481" si="1372">AL480</f>
        <v>0</v>
      </c>
      <c r="AM481" s="306"/>
    </row>
    <row r="482" spans="1:39"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75" outlineLevel="1">
      <c r="A483" s="532"/>
      <c r="B483" s="504" t="s">
        <v>499</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outlineLevel="1">
      <c r="A484" s="532">
        <v>25</v>
      </c>
      <c r="B484" s="428" t="s">
        <v>117</v>
      </c>
      <c r="C484" s="291" t="s">
        <v>25</v>
      </c>
      <c r="D484" s="295">
        <f>'7.  Persistence Report'!AW115</f>
        <v>65334</v>
      </c>
      <c r="E484" s="295">
        <f>'7.  Persistence Report'!AX115</f>
        <v>65334</v>
      </c>
      <c r="F484" s="295">
        <f>'7.  Persistence Report'!AY115</f>
        <v>65334</v>
      </c>
      <c r="G484" s="295">
        <f>'7.  Persistence Report'!AZ115</f>
        <v>65334</v>
      </c>
      <c r="H484" s="295">
        <f>'7.  Persistence Report'!BA115</f>
        <v>65334</v>
      </c>
      <c r="I484" s="295">
        <f>'7.  Persistence Report'!BB115</f>
        <v>65334</v>
      </c>
      <c r="J484" s="295">
        <f>'7.  Persistence Report'!BC115</f>
        <v>65334</v>
      </c>
      <c r="K484" s="295">
        <f>'7.  Persistence Report'!BD115</f>
        <v>65334</v>
      </c>
      <c r="L484" s="295">
        <f>'7.  Persistence Report'!BE115</f>
        <v>65334</v>
      </c>
      <c r="M484" s="295">
        <f>'7.  Persistence Report'!BF115</f>
        <v>56427</v>
      </c>
      <c r="N484" s="295">
        <v>12</v>
      </c>
      <c r="O484" s="295">
        <f>'7.  Persistence Report'!R115</f>
        <v>3</v>
      </c>
      <c r="P484" s="295">
        <f>'7.  Persistence Report'!S115</f>
        <v>3</v>
      </c>
      <c r="Q484" s="295">
        <f>'7.  Persistence Report'!T115</f>
        <v>3</v>
      </c>
      <c r="R484" s="295">
        <f>'7.  Persistence Report'!U115</f>
        <v>3</v>
      </c>
      <c r="S484" s="295">
        <f>'7.  Persistence Report'!V115</f>
        <v>3</v>
      </c>
      <c r="T484" s="295">
        <f>'7.  Persistence Report'!W115</f>
        <v>3</v>
      </c>
      <c r="U484" s="295">
        <f>'7.  Persistence Report'!X115</f>
        <v>3</v>
      </c>
      <c r="V484" s="295">
        <f>'7.  Persistence Report'!Y115</f>
        <v>3</v>
      </c>
      <c r="W484" s="295">
        <f>'7.  Persistence Report'!Z115</f>
        <v>3</v>
      </c>
      <c r="X484" s="295">
        <f>'7.  Persistence Report'!AA115</f>
        <v>3</v>
      </c>
      <c r="Y484" s="426"/>
      <c r="Z484" s="410">
        <f>'3-a.  Rate Class Allocations'!G47</f>
        <v>0</v>
      </c>
      <c r="AA484" s="410">
        <f>'3-a.  Rate Class Allocations'!H47</f>
        <v>1</v>
      </c>
      <c r="AB484" s="410"/>
      <c r="AC484" s="410"/>
      <c r="AD484" s="410"/>
      <c r="AE484" s="410"/>
      <c r="AF484" s="415"/>
      <c r="AG484" s="415"/>
      <c r="AH484" s="415"/>
      <c r="AI484" s="415"/>
      <c r="AJ484" s="415"/>
      <c r="AK484" s="415"/>
      <c r="AL484" s="415"/>
      <c r="AM484" s="296">
        <f>SUM(Y484:AL484)</f>
        <v>1</v>
      </c>
    </row>
    <row r="485" spans="1:39" outlineLevel="1">
      <c r="A485" s="532"/>
      <c r="B485" s="431" t="s">
        <v>308</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73">Z484</f>
        <v>0</v>
      </c>
      <c r="AA485" s="411">
        <f t="shared" ref="AA485" si="1374">AA484</f>
        <v>1</v>
      </c>
      <c r="AB485" s="411">
        <f t="shared" ref="AB485" si="1375">AB484</f>
        <v>0</v>
      </c>
      <c r="AC485" s="411">
        <f t="shared" ref="AC485" si="1376">AC484</f>
        <v>0</v>
      </c>
      <c r="AD485" s="411">
        <f t="shared" ref="AD485" si="1377">AD484</f>
        <v>0</v>
      </c>
      <c r="AE485" s="411">
        <f t="shared" ref="AE485" si="1378">AE484</f>
        <v>0</v>
      </c>
      <c r="AF485" s="411">
        <f t="shared" ref="AF485" si="1379">AF484</f>
        <v>0</v>
      </c>
      <c r="AG485" s="411">
        <f t="shared" ref="AG485" si="1380">AG484</f>
        <v>0</v>
      </c>
      <c r="AH485" s="411">
        <f t="shared" ref="AH485" si="1381">AH484</f>
        <v>0</v>
      </c>
      <c r="AI485" s="411">
        <f t="shared" ref="AI485" si="1382">AI484</f>
        <v>0</v>
      </c>
      <c r="AJ485" s="411">
        <f t="shared" ref="AJ485" si="1383">AJ484</f>
        <v>0</v>
      </c>
      <c r="AK485" s="411">
        <f t="shared" ref="AK485" si="1384">AK484</f>
        <v>0</v>
      </c>
      <c r="AL485" s="411">
        <f t="shared" ref="AL485" si="1385">AL484</f>
        <v>0</v>
      </c>
      <c r="AM485" s="306"/>
    </row>
    <row r="486" spans="1:39"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32">
        <v>26</v>
      </c>
      <c r="B487" s="428" t="s">
        <v>118</v>
      </c>
      <c r="C487" s="291" t="s">
        <v>25</v>
      </c>
      <c r="D487" s="295">
        <f>'7.  Persistence Report'!AW116</f>
        <v>351527</v>
      </c>
      <c r="E487" s="295">
        <f>'7.  Persistence Report'!AX116</f>
        <v>356983</v>
      </c>
      <c r="F487" s="295">
        <f>'7.  Persistence Report'!AY116</f>
        <v>356983</v>
      </c>
      <c r="G487" s="295">
        <f>'7.  Persistence Report'!AZ116</f>
        <v>356983</v>
      </c>
      <c r="H487" s="295">
        <f>'7.  Persistence Report'!BA116</f>
        <v>356983</v>
      </c>
      <c r="I487" s="295">
        <f>'7.  Persistence Report'!BB116</f>
        <v>256517</v>
      </c>
      <c r="J487" s="295">
        <f>'7.  Persistence Report'!BC116</f>
        <v>256517</v>
      </c>
      <c r="K487" s="295">
        <f>'7.  Persistence Report'!BD116</f>
        <v>256517</v>
      </c>
      <c r="L487" s="295">
        <f>'7.  Persistence Report'!BE116</f>
        <v>256517</v>
      </c>
      <c r="M487" s="295">
        <f>'7.  Persistence Report'!BF116</f>
        <v>256517</v>
      </c>
      <c r="N487" s="295">
        <v>12</v>
      </c>
      <c r="O487" s="295">
        <f>'7.  Persistence Report'!R116</f>
        <v>47</v>
      </c>
      <c r="P487" s="295">
        <f>'7.  Persistence Report'!S116</f>
        <v>48</v>
      </c>
      <c r="Q487" s="295">
        <f>'7.  Persistence Report'!T116</f>
        <v>48</v>
      </c>
      <c r="R487" s="295">
        <f>'7.  Persistence Report'!U116</f>
        <v>48</v>
      </c>
      <c r="S487" s="295">
        <f>'7.  Persistence Report'!V116</f>
        <v>48</v>
      </c>
      <c r="T487" s="295">
        <f>'7.  Persistence Report'!W116</f>
        <v>28</v>
      </c>
      <c r="U487" s="295">
        <f>'7.  Persistence Report'!X116</f>
        <v>28</v>
      </c>
      <c r="V487" s="295">
        <f>'7.  Persistence Report'!Y116</f>
        <v>28</v>
      </c>
      <c r="W487" s="295">
        <f>'7.  Persistence Report'!Z116</f>
        <v>28</v>
      </c>
      <c r="X487" s="295">
        <f>'7.  Persistence Report'!AA116</f>
        <v>28</v>
      </c>
      <c r="Y487" s="426"/>
      <c r="Z487" s="410">
        <f>'3-a.  Rate Class Allocations'!G48</f>
        <v>0.20768934911639089</v>
      </c>
      <c r="AA487" s="410">
        <f>'3-a.  Rate Class Allocations'!H48</f>
        <v>0.79231065088360919</v>
      </c>
      <c r="AB487" s="410"/>
      <c r="AC487" s="410"/>
      <c r="AD487" s="410"/>
      <c r="AE487" s="410"/>
      <c r="AF487" s="415"/>
      <c r="AG487" s="415"/>
      <c r="AH487" s="415"/>
      <c r="AI487" s="415"/>
      <c r="AJ487" s="415"/>
      <c r="AK487" s="415"/>
      <c r="AL487" s="415"/>
      <c r="AM487" s="296">
        <f>SUM(Y487:AL487)</f>
        <v>1</v>
      </c>
    </row>
    <row r="488" spans="1:39" outlineLevel="1">
      <c r="A488" s="532"/>
      <c r="B488" s="431" t="s">
        <v>308</v>
      </c>
      <c r="C488" s="291" t="s">
        <v>163</v>
      </c>
      <c r="D488" s="295">
        <f>'7.  Persistence Report'!AW138</f>
        <v>49447</v>
      </c>
      <c r="E488" s="295">
        <f>'7.  Persistence Report'!AX138</f>
        <v>49447</v>
      </c>
      <c r="F488" s="295">
        <f>'7.  Persistence Report'!AY138</f>
        <v>49202</v>
      </c>
      <c r="G488" s="295">
        <f>'7.  Persistence Report'!AZ138</f>
        <v>49202</v>
      </c>
      <c r="H488" s="295">
        <f>'7.  Persistence Report'!BA138</f>
        <v>49199.764999999999</v>
      </c>
      <c r="I488" s="295">
        <f>'7.  Persistence Report'!BB138</f>
        <v>49199.764999999999</v>
      </c>
      <c r="J488" s="295">
        <f>'7.  Persistence Report'!BC138</f>
        <v>0</v>
      </c>
      <c r="K488" s="295">
        <f>'7.  Persistence Report'!BD138</f>
        <v>0</v>
      </c>
      <c r="L488" s="295">
        <f>'7.  Persistence Report'!BE138</f>
        <v>0</v>
      </c>
      <c r="M488" s="295">
        <f>'7.  Persistence Report'!BF138</f>
        <v>0</v>
      </c>
      <c r="N488" s="295">
        <f>N487</f>
        <v>12</v>
      </c>
      <c r="O488" s="295">
        <f>'7.  Persistence Report'!R138</f>
        <v>5.3634256478565625</v>
      </c>
      <c r="P488" s="295">
        <f>'7.  Persistence Report'!S138</f>
        <v>5.398621602974143</v>
      </c>
      <c r="Q488" s="295">
        <f>'7.  Persistence Report'!T138</f>
        <v>5.3363053657984958</v>
      </c>
      <c r="R488" s="295">
        <f>'7.  Persistence Report'!U138</f>
        <v>5.3363053657984958</v>
      </c>
      <c r="S488" s="295">
        <f>'7.  Persistence Report'!V138</f>
        <v>5.336062964219443</v>
      </c>
      <c r="T488" s="295">
        <f>'7.  Persistence Report'!W138</f>
        <v>5.0932979630396469</v>
      </c>
      <c r="U488" s="295">
        <f>'7.  Persistence Report'!X138</f>
        <v>0</v>
      </c>
      <c r="V488" s="295">
        <f>'7.  Persistence Report'!Y138</f>
        <v>0</v>
      </c>
      <c r="W488" s="295">
        <f>'7.  Persistence Report'!Z138</f>
        <v>0</v>
      </c>
      <c r="X488" s="295">
        <f>'7.  Persistence Report'!AA138</f>
        <v>0</v>
      </c>
      <c r="Y488" s="411">
        <f>Y487</f>
        <v>0</v>
      </c>
      <c r="Z488" s="411">
        <f t="shared" ref="Z488" si="1386">Z487</f>
        <v>0.20768934911639089</v>
      </c>
      <c r="AA488" s="411">
        <f t="shared" ref="AA488" si="1387">AA487</f>
        <v>0.79231065088360919</v>
      </c>
      <c r="AB488" s="411">
        <f t="shared" ref="AB488" si="1388">AB487</f>
        <v>0</v>
      </c>
      <c r="AC488" s="411">
        <f t="shared" ref="AC488" si="1389">AC487</f>
        <v>0</v>
      </c>
      <c r="AD488" s="411">
        <f t="shared" ref="AD488" si="1390">AD487</f>
        <v>0</v>
      </c>
      <c r="AE488" s="411">
        <f t="shared" ref="AE488" si="1391">AE487</f>
        <v>0</v>
      </c>
      <c r="AF488" s="411">
        <f t="shared" ref="AF488" si="1392">AF487</f>
        <v>0</v>
      </c>
      <c r="AG488" s="411">
        <f t="shared" ref="AG488" si="1393">AG487</f>
        <v>0</v>
      </c>
      <c r="AH488" s="411">
        <f t="shared" ref="AH488" si="1394">AH487</f>
        <v>0</v>
      </c>
      <c r="AI488" s="411">
        <f t="shared" ref="AI488" si="1395">AI487</f>
        <v>0</v>
      </c>
      <c r="AJ488" s="411">
        <f t="shared" ref="AJ488" si="1396">AJ487</f>
        <v>0</v>
      </c>
      <c r="AK488" s="411">
        <f t="shared" ref="AK488" si="1397">AK487</f>
        <v>0</v>
      </c>
      <c r="AL488" s="411">
        <f t="shared" ref="AL488" si="1398">AL487</f>
        <v>0</v>
      </c>
      <c r="AM488" s="306"/>
    </row>
    <row r="489" spans="1:39"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2">
        <v>27</v>
      </c>
      <c r="B490" s="428" t="s">
        <v>119</v>
      </c>
      <c r="C490" s="291" t="s">
        <v>25</v>
      </c>
      <c r="D490" s="295">
        <f>'7.  Persistence Report'!AW117</f>
        <v>174987</v>
      </c>
      <c r="E490" s="295">
        <f>'7.  Persistence Report'!AX117</f>
        <v>174987</v>
      </c>
      <c r="F490" s="295">
        <f>'7.  Persistence Report'!AY117</f>
        <v>174309</v>
      </c>
      <c r="G490" s="295">
        <f>'7.  Persistence Report'!AZ117</f>
        <v>170349</v>
      </c>
      <c r="H490" s="295">
        <f>'7.  Persistence Report'!BA117</f>
        <v>170349</v>
      </c>
      <c r="I490" s="295">
        <f>'7.  Persistence Report'!BB117</f>
        <v>144074</v>
      </c>
      <c r="J490" s="295">
        <f>'7.  Persistence Report'!BC117</f>
        <v>68200</v>
      </c>
      <c r="K490" s="295">
        <f>'7.  Persistence Report'!BD117</f>
        <v>55384</v>
      </c>
      <c r="L490" s="295">
        <f>'7.  Persistence Report'!BE117</f>
        <v>21373</v>
      </c>
      <c r="M490" s="295">
        <f>'7.  Persistence Report'!BF117</f>
        <v>11083</v>
      </c>
      <c r="N490" s="295">
        <v>12</v>
      </c>
      <c r="O490" s="295">
        <f>'7.  Persistence Report'!R117</f>
        <v>33</v>
      </c>
      <c r="P490" s="295">
        <f>'7.  Persistence Report'!S117</f>
        <v>33</v>
      </c>
      <c r="Q490" s="295">
        <f>'7.  Persistence Report'!T117</f>
        <v>33</v>
      </c>
      <c r="R490" s="295">
        <f>'7.  Persistence Report'!U117</f>
        <v>33</v>
      </c>
      <c r="S490" s="295">
        <f>'7.  Persistence Report'!V117</f>
        <v>33</v>
      </c>
      <c r="T490" s="295">
        <f>'7.  Persistence Report'!W117</f>
        <v>29</v>
      </c>
      <c r="U490" s="295">
        <f>'7.  Persistence Report'!X117</f>
        <v>18</v>
      </c>
      <c r="V490" s="295">
        <f>'7.  Persistence Report'!Y117</f>
        <v>15</v>
      </c>
      <c r="W490" s="295">
        <f>'7.  Persistence Report'!Z117</f>
        <v>6</v>
      </c>
      <c r="X490" s="295">
        <f>'7.  Persistence Report'!AA117</f>
        <v>3</v>
      </c>
      <c r="Y490" s="426"/>
      <c r="Z490" s="410">
        <f>'3-a.  Rate Class Allocations'!G49</f>
        <v>1</v>
      </c>
      <c r="AA490" s="410">
        <f>'3-a.  Rate Class Allocations'!H49</f>
        <v>0</v>
      </c>
      <c r="AB490" s="410"/>
      <c r="AC490" s="410"/>
      <c r="AD490" s="410"/>
      <c r="AE490" s="410"/>
      <c r="AF490" s="415"/>
      <c r="AG490" s="415"/>
      <c r="AH490" s="415"/>
      <c r="AI490" s="415"/>
      <c r="AJ490" s="415"/>
      <c r="AK490" s="415"/>
      <c r="AL490" s="415"/>
      <c r="AM490" s="296">
        <f>SUM(Y490:AL490)</f>
        <v>1</v>
      </c>
    </row>
    <row r="491" spans="1:39" outlineLevel="1">
      <c r="A491" s="532"/>
      <c r="B491" s="431" t="s">
        <v>308</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399">Z490</f>
        <v>1</v>
      </c>
      <c r="AA491" s="411">
        <f t="shared" ref="AA491" si="1400">AA490</f>
        <v>0</v>
      </c>
      <c r="AB491" s="411">
        <f t="shared" ref="AB491" si="1401">AB490</f>
        <v>0</v>
      </c>
      <c r="AC491" s="411">
        <f t="shared" ref="AC491" si="1402">AC490</f>
        <v>0</v>
      </c>
      <c r="AD491" s="411">
        <f t="shared" ref="AD491" si="1403">AD490</f>
        <v>0</v>
      </c>
      <c r="AE491" s="411">
        <f t="shared" ref="AE491" si="1404">AE490</f>
        <v>0</v>
      </c>
      <c r="AF491" s="411">
        <f t="shared" ref="AF491" si="1405">AF490</f>
        <v>0</v>
      </c>
      <c r="AG491" s="411">
        <f t="shared" ref="AG491" si="1406">AG490</f>
        <v>0</v>
      </c>
      <c r="AH491" s="411">
        <f t="shared" ref="AH491" si="1407">AH490</f>
        <v>0</v>
      </c>
      <c r="AI491" s="411">
        <f t="shared" ref="AI491" si="1408">AI490</f>
        <v>0</v>
      </c>
      <c r="AJ491" s="411">
        <f t="shared" ref="AJ491" si="1409">AJ490</f>
        <v>0</v>
      </c>
      <c r="AK491" s="411">
        <f t="shared" ref="AK491" si="1410">AK490</f>
        <v>0</v>
      </c>
      <c r="AL491" s="411">
        <f t="shared" ref="AL491" si="1411">AL490</f>
        <v>0</v>
      </c>
      <c r="AM491" s="306"/>
    </row>
    <row r="492" spans="1:39"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outlineLevel="1">
      <c r="A494" s="532"/>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2">Z493</f>
        <v>0</v>
      </c>
      <c r="AA494" s="411">
        <f t="shared" ref="AA494" si="1413">AA493</f>
        <v>0</v>
      </c>
      <c r="AB494" s="411">
        <f t="shared" ref="AB494" si="1414">AB493</f>
        <v>0</v>
      </c>
      <c r="AC494" s="411">
        <f t="shared" ref="AC494" si="1415">AC493</f>
        <v>0</v>
      </c>
      <c r="AD494" s="411">
        <f t="shared" ref="AD494" si="1416">AD493</f>
        <v>0</v>
      </c>
      <c r="AE494" s="411">
        <f t="shared" ref="AE494" si="1417">AE493</f>
        <v>0</v>
      </c>
      <c r="AF494" s="411">
        <f t="shared" ref="AF494" si="1418">AF493</f>
        <v>0</v>
      </c>
      <c r="AG494" s="411">
        <f t="shared" ref="AG494" si="1419">AG493</f>
        <v>0</v>
      </c>
      <c r="AH494" s="411">
        <f t="shared" ref="AH494" si="1420">AH493</f>
        <v>0</v>
      </c>
      <c r="AI494" s="411">
        <f t="shared" ref="AI494" si="1421">AI493</f>
        <v>0</v>
      </c>
      <c r="AJ494" s="411">
        <f t="shared" ref="AJ494" si="1422">AJ493</f>
        <v>0</v>
      </c>
      <c r="AK494" s="411">
        <f t="shared" ref="AK494" si="1423">AK493</f>
        <v>0</v>
      </c>
      <c r="AL494" s="411">
        <f t="shared" ref="AL494" si="1424">AL493</f>
        <v>0</v>
      </c>
      <c r="AM494" s="306"/>
    </row>
    <row r="495" spans="1:39"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32"/>
      <c r="B497" s="431" t="s">
        <v>308</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25">Z496</f>
        <v>0</v>
      </c>
      <c r="AA497" s="411">
        <f t="shared" ref="AA497" si="1426">AA496</f>
        <v>0</v>
      </c>
      <c r="AB497" s="411">
        <f t="shared" ref="AB497" si="1427">AB496</f>
        <v>0</v>
      </c>
      <c r="AC497" s="411">
        <f t="shared" ref="AC497" si="1428">AC496</f>
        <v>0</v>
      </c>
      <c r="AD497" s="411">
        <f t="shared" ref="AD497" si="1429">AD496</f>
        <v>0</v>
      </c>
      <c r="AE497" s="411">
        <f t="shared" ref="AE497" si="1430">AE496</f>
        <v>0</v>
      </c>
      <c r="AF497" s="411">
        <f t="shared" ref="AF497" si="1431">AF496</f>
        <v>0</v>
      </c>
      <c r="AG497" s="411">
        <f t="shared" ref="AG497" si="1432">AG496</f>
        <v>0</v>
      </c>
      <c r="AH497" s="411">
        <f t="shared" ref="AH497" si="1433">AH496</f>
        <v>0</v>
      </c>
      <c r="AI497" s="411">
        <f t="shared" ref="AI497" si="1434">AI496</f>
        <v>0</v>
      </c>
      <c r="AJ497" s="411">
        <f t="shared" ref="AJ497" si="1435">AJ496</f>
        <v>0</v>
      </c>
      <c r="AK497" s="411">
        <f t="shared" ref="AK497" si="1436">AK496</f>
        <v>0</v>
      </c>
      <c r="AL497" s="411">
        <f t="shared" ref="AL497" si="1437">AL496</f>
        <v>0</v>
      </c>
      <c r="AM497" s="306"/>
    </row>
    <row r="498" spans="1:39"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32"/>
      <c r="B500" s="431" t="s">
        <v>308</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38">Z499</f>
        <v>0</v>
      </c>
      <c r="AA500" s="411">
        <f t="shared" ref="AA500" si="1439">AA499</f>
        <v>0</v>
      </c>
      <c r="AB500" s="411">
        <f t="shared" ref="AB500" si="1440">AB499</f>
        <v>0</v>
      </c>
      <c r="AC500" s="411">
        <f t="shared" ref="AC500" si="1441">AC499</f>
        <v>0</v>
      </c>
      <c r="AD500" s="411">
        <f t="shared" ref="AD500" si="1442">AD499</f>
        <v>0</v>
      </c>
      <c r="AE500" s="411">
        <f t="shared" ref="AE500" si="1443">AE499</f>
        <v>0</v>
      </c>
      <c r="AF500" s="411">
        <f t="shared" ref="AF500" si="1444">AF499</f>
        <v>0</v>
      </c>
      <c r="AG500" s="411">
        <f t="shared" ref="AG500" si="1445">AG499</f>
        <v>0</v>
      </c>
      <c r="AH500" s="411">
        <f t="shared" ref="AH500" si="1446">AH499</f>
        <v>0</v>
      </c>
      <c r="AI500" s="411">
        <f t="shared" ref="AI500" si="1447">AI499</f>
        <v>0</v>
      </c>
      <c r="AJ500" s="411">
        <f t="shared" ref="AJ500" si="1448">AJ499</f>
        <v>0</v>
      </c>
      <c r="AK500" s="411">
        <f t="shared" ref="AK500" si="1449">AK499</f>
        <v>0</v>
      </c>
      <c r="AL500" s="411">
        <f t="shared" ref="AL500" si="1450">AL499</f>
        <v>0</v>
      </c>
      <c r="AM500" s="306"/>
    </row>
    <row r="501" spans="1:39"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32"/>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1">Z502</f>
        <v>0</v>
      </c>
      <c r="AA503" s="411">
        <f t="shared" ref="AA503" si="1452">AA502</f>
        <v>0</v>
      </c>
      <c r="AB503" s="411">
        <f t="shared" ref="AB503" si="1453">AB502</f>
        <v>0</v>
      </c>
      <c r="AC503" s="411">
        <f t="shared" ref="AC503" si="1454">AC502</f>
        <v>0</v>
      </c>
      <c r="AD503" s="411">
        <f t="shared" ref="AD503" si="1455">AD502</f>
        <v>0</v>
      </c>
      <c r="AE503" s="411">
        <f t="shared" ref="AE503" si="1456">AE502</f>
        <v>0</v>
      </c>
      <c r="AF503" s="411">
        <f t="shared" ref="AF503" si="1457">AF502</f>
        <v>0</v>
      </c>
      <c r="AG503" s="411">
        <f t="shared" ref="AG503" si="1458">AG502</f>
        <v>0</v>
      </c>
      <c r="AH503" s="411">
        <f t="shared" ref="AH503" si="1459">AH502</f>
        <v>0</v>
      </c>
      <c r="AI503" s="411">
        <f t="shared" ref="AI503" si="1460">AI502</f>
        <v>0</v>
      </c>
      <c r="AJ503" s="411">
        <f t="shared" ref="AJ503" si="1461">AJ502</f>
        <v>0</v>
      </c>
      <c r="AK503" s="411">
        <f t="shared" ref="AK503" si="1462">AK502</f>
        <v>0</v>
      </c>
      <c r="AL503" s="411">
        <f t="shared" ref="AL503" si="1463">AL502</f>
        <v>0</v>
      </c>
      <c r="AM503" s="306"/>
    </row>
    <row r="504" spans="1:39"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2">
        <v>32</v>
      </c>
      <c r="B505" s="428" t="s">
        <v>124</v>
      </c>
      <c r="C505" s="291" t="s">
        <v>25</v>
      </c>
      <c r="D505" s="295">
        <f>'7.  Persistence Report'!AW118</f>
        <v>4484</v>
      </c>
      <c r="E505" s="295">
        <f>'7.  Persistence Report'!AX118</f>
        <v>4484</v>
      </c>
      <c r="F505" s="295">
        <f>'7.  Persistence Report'!AY118</f>
        <v>4484</v>
      </c>
      <c r="G505" s="295">
        <f>'7.  Persistence Report'!AZ118</f>
        <v>4484</v>
      </c>
      <c r="H505" s="295">
        <f>'7.  Persistence Report'!BA118</f>
        <v>4484</v>
      </c>
      <c r="I505" s="295">
        <f>'7.  Persistence Report'!BB118</f>
        <v>4484</v>
      </c>
      <c r="J505" s="295">
        <f>'7.  Persistence Report'!BC118</f>
        <v>4484</v>
      </c>
      <c r="K505" s="295">
        <f>'7.  Persistence Report'!BD118</f>
        <v>4484</v>
      </c>
      <c r="L505" s="295">
        <f>'7.  Persistence Report'!BE118</f>
        <v>4484</v>
      </c>
      <c r="M505" s="295">
        <f>'7.  Persistence Report'!BF118</f>
        <v>4484</v>
      </c>
      <c r="N505" s="295">
        <v>12</v>
      </c>
      <c r="O505" s="295">
        <f>'7.  Persistence Report'!R118</f>
        <v>0</v>
      </c>
      <c r="P505" s="295">
        <f>'7.  Persistence Report'!S118</f>
        <v>0</v>
      </c>
      <c r="Q505" s="295">
        <f>'7.  Persistence Report'!T118</f>
        <v>0</v>
      </c>
      <c r="R505" s="295">
        <f>'7.  Persistence Report'!U118</f>
        <v>0</v>
      </c>
      <c r="S505" s="295">
        <f>'7.  Persistence Report'!V118</f>
        <v>0</v>
      </c>
      <c r="T505" s="295">
        <f>'7.  Persistence Report'!W118</f>
        <v>0</v>
      </c>
      <c r="U505" s="295">
        <f>'7.  Persistence Report'!X118</f>
        <v>0</v>
      </c>
      <c r="V505" s="295">
        <f>'7.  Persistence Report'!Y118</f>
        <v>0</v>
      </c>
      <c r="W505" s="295">
        <f>'7.  Persistence Report'!Z118</f>
        <v>0</v>
      </c>
      <c r="X505" s="295">
        <f>'7.  Persistence Report'!AA118</f>
        <v>0</v>
      </c>
      <c r="Y505" s="426"/>
      <c r="Z505" s="410">
        <f>'3-a.  Rate Class Allocations'!G50</f>
        <v>0</v>
      </c>
      <c r="AA505" s="410">
        <f>'3-a.  Rate Class Allocations'!H50</f>
        <v>1</v>
      </c>
      <c r="AB505" s="410"/>
      <c r="AC505" s="410"/>
      <c r="AD505" s="410"/>
      <c r="AE505" s="410"/>
      <c r="AF505" s="415"/>
      <c r="AG505" s="415"/>
      <c r="AH505" s="415"/>
      <c r="AI505" s="415"/>
      <c r="AJ505" s="415"/>
      <c r="AK505" s="415"/>
      <c r="AL505" s="415"/>
      <c r="AM505" s="296">
        <f>SUM(Y505:AL505)</f>
        <v>1</v>
      </c>
    </row>
    <row r="506" spans="1:39" outlineLevel="1">
      <c r="A506" s="532"/>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4">Z505</f>
        <v>0</v>
      </c>
      <c r="AA506" s="411">
        <f t="shared" ref="AA506" si="1465">AA505</f>
        <v>1</v>
      </c>
      <c r="AB506" s="411">
        <f t="shared" ref="AB506" si="1466">AB505</f>
        <v>0</v>
      </c>
      <c r="AC506" s="411">
        <f t="shared" ref="AC506" si="1467">AC505</f>
        <v>0</v>
      </c>
      <c r="AD506" s="411">
        <f t="shared" ref="AD506" si="1468">AD505</f>
        <v>0</v>
      </c>
      <c r="AE506" s="411">
        <f t="shared" ref="AE506" si="1469">AE505</f>
        <v>0</v>
      </c>
      <c r="AF506" s="411">
        <f t="shared" ref="AF506" si="1470">AF505</f>
        <v>0</v>
      </c>
      <c r="AG506" s="411">
        <f t="shared" ref="AG506" si="1471">AG505</f>
        <v>0</v>
      </c>
      <c r="AH506" s="411">
        <f t="shared" ref="AH506" si="1472">AH505</f>
        <v>0</v>
      </c>
      <c r="AI506" s="411">
        <f t="shared" ref="AI506" si="1473">AI505</f>
        <v>0</v>
      </c>
      <c r="AJ506" s="411">
        <f t="shared" ref="AJ506" si="1474">AJ505</f>
        <v>0</v>
      </c>
      <c r="AK506" s="411">
        <f t="shared" ref="AK506" si="1475">AK505</f>
        <v>0</v>
      </c>
      <c r="AL506" s="411">
        <f t="shared" ref="AL506" si="1476">AL505</f>
        <v>0</v>
      </c>
      <c r="AM506" s="306"/>
    </row>
    <row r="507" spans="1:39"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75" outlineLevel="1">
      <c r="A508" s="532"/>
      <c r="B508" s="504" t="s">
        <v>500</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outlineLevel="1">
      <c r="A509" s="532">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outlineLevel="1">
      <c r="A510" s="532"/>
      <c r="B510" s="431" t="s">
        <v>308</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77">Z509</f>
        <v>0</v>
      </c>
      <c r="AA510" s="411">
        <f t="shared" ref="AA510" si="1478">AA509</f>
        <v>0</v>
      </c>
      <c r="AB510" s="411">
        <f t="shared" ref="AB510" si="1479">AB509</f>
        <v>0</v>
      </c>
      <c r="AC510" s="411">
        <f t="shared" ref="AC510" si="1480">AC509</f>
        <v>0</v>
      </c>
      <c r="AD510" s="411">
        <f t="shared" ref="AD510" si="1481">AD509</f>
        <v>0</v>
      </c>
      <c r="AE510" s="411">
        <f t="shared" ref="AE510" si="1482">AE509</f>
        <v>0</v>
      </c>
      <c r="AF510" s="411">
        <f t="shared" ref="AF510" si="1483">AF509</f>
        <v>0</v>
      </c>
      <c r="AG510" s="411">
        <f t="shared" ref="AG510" si="1484">AG509</f>
        <v>0</v>
      </c>
      <c r="AH510" s="411">
        <f t="shared" ref="AH510" si="1485">AH509</f>
        <v>0</v>
      </c>
      <c r="AI510" s="411">
        <f t="shared" ref="AI510" si="1486">AI509</f>
        <v>0</v>
      </c>
      <c r="AJ510" s="411">
        <f t="shared" ref="AJ510" si="1487">AJ509</f>
        <v>0</v>
      </c>
      <c r="AK510" s="411">
        <f t="shared" ref="AK510" si="1488">AK509</f>
        <v>0</v>
      </c>
      <c r="AL510" s="411">
        <f t="shared" ref="AL510" si="1489">AL509</f>
        <v>0</v>
      </c>
      <c r="AM510" s="306"/>
    </row>
    <row r="511" spans="1:39"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32">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32"/>
      <c r="B513" s="431" t="s">
        <v>308</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90">Z512</f>
        <v>0</v>
      </c>
      <c r="AA513" s="411">
        <f t="shared" ref="AA513" si="1491">AA512</f>
        <v>0</v>
      </c>
      <c r="AB513" s="411">
        <f t="shared" ref="AB513" si="1492">AB512</f>
        <v>0</v>
      </c>
      <c r="AC513" s="411">
        <f t="shared" ref="AC513" si="1493">AC512</f>
        <v>0</v>
      </c>
      <c r="AD513" s="411">
        <f t="shared" ref="AD513" si="1494">AD512</f>
        <v>0</v>
      </c>
      <c r="AE513" s="411">
        <f t="shared" ref="AE513" si="1495">AE512</f>
        <v>0</v>
      </c>
      <c r="AF513" s="411">
        <f t="shared" ref="AF513" si="1496">AF512</f>
        <v>0</v>
      </c>
      <c r="AG513" s="411">
        <f t="shared" ref="AG513" si="1497">AG512</f>
        <v>0</v>
      </c>
      <c r="AH513" s="411">
        <f t="shared" ref="AH513" si="1498">AH512</f>
        <v>0</v>
      </c>
      <c r="AI513" s="411">
        <f t="shared" ref="AI513" si="1499">AI512</f>
        <v>0</v>
      </c>
      <c r="AJ513" s="411">
        <f t="shared" ref="AJ513" si="1500">AJ512</f>
        <v>0</v>
      </c>
      <c r="AK513" s="411">
        <f t="shared" ref="AK513" si="1501">AK512</f>
        <v>0</v>
      </c>
      <c r="AL513" s="411">
        <f t="shared" ref="AL513" si="1502">AL512</f>
        <v>0</v>
      </c>
      <c r="AM513" s="306"/>
    </row>
    <row r="514" spans="1:39"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2">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outlineLevel="1">
      <c r="A516" s="532"/>
      <c r="B516" s="431"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503">Z515</f>
        <v>0</v>
      </c>
      <c r="AA516" s="411">
        <f t="shared" ref="AA516" si="1504">AA515</f>
        <v>0</v>
      </c>
      <c r="AB516" s="411">
        <f t="shared" ref="AB516" si="1505">AB515</f>
        <v>0</v>
      </c>
      <c r="AC516" s="411">
        <f t="shared" ref="AC516" si="1506">AC515</f>
        <v>0</v>
      </c>
      <c r="AD516" s="411">
        <f t="shared" ref="AD516" si="1507">AD515</f>
        <v>0</v>
      </c>
      <c r="AE516" s="411">
        <f t="shared" ref="AE516" si="1508">AE515</f>
        <v>0</v>
      </c>
      <c r="AF516" s="411">
        <f t="shared" ref="AF516" si="1509">AF515</f>
        <v>0</v>
      </c>
      <c r="AG516" s="411">
        <f t="shared" ref="AG516" si="1510">AG515</f>
        <v>0</v>
      </c>
      <c r="AH516" s="411">
        <f t="shared" ref="AH516" si="1511">AH515</f>
        <v>0</v>
      </c>
      <c r="AI516" s="411">
        <f t="shared" ref="AI516" si="1512">AI515</f>
        <v>0</v>
      </c>
      <c r="AJ516" s="411">
        <f t="shared" ref="AJ516" si="1513">AJ515</f>
        <v>0</v>
      </c>
      <c r="AK516" s="411">
        <f t="shared" ref="AK516" si="1514">AK515</f>
        <v>0</v>
      </c>
      <c r="AL516" s="411">
        <f t="shared" ref="AL516" si="1515">AL515</f>
        <v>0</v>
      </c>
      <c r="AM516" s="306"/>
    </row>
    <row r="517" spans="1:39"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75" outlineLevel="1">
      <c r="A518" s="532"/>
      <c r="B518" s="504" t="s">
        <v>501</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outlineLevel="1">
      <c r="A519" s="532">
        <v>36</v>
      </c>
      <c r="B519" s="766" t="s">
        <v>804</v>
      </c>
      <c r="C519" s="291" t="s">
        <v>25</v>
      </c>
      <c r="D519" s="295">
        <f>'7.  Persistence Report'!AW113</f>
        <v>802984</v>
      </c>
      <c r="E519" s="295">
        <f>'7.  Persistence Report'!AX113</f>
        <v>581512</v>
      </c>
      <c r="F519" s="295">
        <f>'7.  Persistence Report'!AY113</f>
        <v>581512</v>
      </c>
      <c r="G519" s="295">
        <f>'7.  Persistence Report'!AZ113</f>
        <v>581512</v>
      </c>
      <c r="H519" s="295">
        <f>'7.  Persistence Report'!BA113</f>
        <v>581512</v>
      </c>
      <c r="I519" s="295">
        <f>'7.  Persistence Report'!BB113</f>
        <v>581512</v>
      </c>
      <c r="J519" s="295">
        <f>'7.  Persistence Report'!BC113</f>
        <v>581512</v>
      </c>
      <c r="K519" s="295">
        <f>'7.  Persistence Report'!BD113</f>
        <v>581501</v>
      </c>
      <c r="L519" s="295">
        <f>'7.  Persistence Report'!BE113</f>
        <v>581501</v>
      </c>
      <c r="M519" s="295">
        <f>'7.  Persistence Report'!BF113</f>
        <v>581501</v>
      </c>
      <c r="N519" s="295">
        <v>12</v>
      </c>
      <c r="O519" s="295">
        <f>'7.  Persistence Report'!R113</f>
        <v>55</v>
      </c>
      <c r="P519" s="295">
        <f>'7.  Persistence Report'!S113</f>
        <v>40</v>
      </c>
      <c r="Q519" s="295">
        <f>'7.  Persistence Report'!T113</f>
        <v>40</v>
      </c>
      <c r="R519" s="295">
        <f>'7.  Persistence Report'!U113</f>
        <v>40</v>
      </c>
      <c r="S519" s="295">
        <f>'7.  Persistence Report'!V113</f>
        <v>40</v>
      </c>
      <c r="T519" s="295">
        <f>'7.  Persistence Report'!W113</f>
        <v>40</v>
      </c>
      <c r="U519" s="295">
        <f>'7.  Persistence Report'!X113</f>
        <v>40</v>
      </c>
      <c r="V519" s="295">
        <f>'7.  Persistence Report'!Y113</f>
        <v>40</v>
      </c>
      <c r="W519" s="295">
        <f>'7.  Persistence Report'!Z113</f>
        <v>40</v>
      </c>
      <c r="X519" s="295">
        <f>'7.  Persistence Report'!AA113</f>
        <v>40</v>
      </c>
      <c r="Y519" s="426">
        <v>1</v>
      </c>
      <c r="Z519" s="410"/>
      <c r="AA519" s="410"/>
      <c r="AB519" s="410"/>
      <c r="AC519" s="410"/>
      <c r="AD519" s="410"/>
      <c r="AE519" s="410"/>
      <c r="AF519" s="415"/>
      <c r="AG519" s="415"/>
      <c r="AH519" s="415"/>
      <c r="AI519" s="415"/>
      <c r="AJ519" s="415"/>
      <c r="AK519" s="415"/>
      <c r="AL519" s="415"/>
      <c r="AM519" s="296">
        <f>SUM(Y519:AL519)</f>
        <v>1</v>
      </c>
    </row>
    <row r="520" spans="1:39" outlineLevel="1">
      <c r="A520" s="532"/>
      <c r="B520" s="431"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1</v>
      </c>
      <c r="Z520" s="411">
        <f t="shared" ref="Z520" si="1516">Z519</f>
        <v>0</v>
      </c>
      <c r="AA520" s="411">
        <f t="shared" ref="AA520" si="1517">AA519</f>
        <v>0</v>
      </c>
      <c r="AB520" s="411">
        <f t="shared" ref="AB520" si="1518">AB519</f>
        <v>0</v>
      </c>
      <c r="AC520" s="411">
        <f t="shared" ref="AC520" si="1519">AC519</f>
        <v>0</v>
      </c>
      <c r="AD520" s="411">
        <f t="shared" ref="AD520" si="1520">AD519</f>
        <v>0</v>
      </c>
      <c r="AE520" s="411">
        <f t="shared" ref="AE520" si="1521">AE519</f>
        <v>0</v>
      </c>
      <c r="AF520" s="411">
        <f t="shared" ref="AF520" si="1522">AF519</f>
        <v>0</v>
      </c>
      <c r="AG520" s="411">
        <f t="shared" ref="AG520" si="1523">AG519</f>
        <v>0</v>
      </c>
      <c r="AH520" s="411">
        <f t="shared" ref="AH520" si="1524">AH519</f>
        <v>0</v>
      </c>
      <c r="AI520" s="411">
        <f t="shared" ref="AI520" si="1525">AI519</f>
        <v>0</v>
      </c>
      <c r="AJ520" s="411">
        <f t="shared" ref="AJ520" si="1526">AJ519</f>
        <v>0</v>
      </c>
      <c r="AK520" s="411">
        <f t="shared" ref="AK520" si="1527">AK519</f>
        <v>0</v>
      </c>
      <c r="AL520" s="411">
        <f t="shared" ref="AL520" si="1528">AL519</f>
        <v>0</v>
      </c>
      <c r="AM520" s="306"/>
    </row>
    <row r="521" spans="1:39"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outlineLevel="1">
      <c r="A522" s="532">
        <v>37</v>
      </c>
      <c r="B522" s="766" t="s">
        <v>805</v>
      </c>
      <c r="C522" s="291" t="s">
        <v>25</v>
      </c>
      <c r="D522" s="295">
        <f>'7.  Persistence Report'!AW119</f>
        <v>11081</v>
      </c>
      <c r="E522" s="295">
        <f>'7.  Persistence Report'!AX119</f>
        <v>11081</v>
      </c>
      <c r="F522" s="295">
        <f>'7.  Persistence Report'!AY119</f>
        <v>11081</v>
      </c>
      <c r="G522" s="295">
        <f>'7.  Persistence Report'!AZ119</f>
        <v>11081</v>
      </c>
      <c r="H522" s="295">
        <f>'7.  Persistence Report'!BA119</f>
        <v>11081</v>
      </c>
      <c r="I522" s="295">
        <f>'7.  Persistence Report'!BB119</f>
        <v>11081</v>
      </c>
      <c r="J522" s="295">
        <f>'7.  Persistence Report'!BC119</f>
        <v>11081</v>
      </c>
      <c r="K522" s="295">
        <f>'7.  Persistence Report'!BD119</f>
        <v>11081</v>
      </c>
      <c r="L522" s="295">
        <f>'7.  Persistence Report'!BE119</f>
        <v>11081</v>
      </c>
      <c r="M522" s="295">
        <f>'7.  Persistence Report'!BF119</f>
        <v>11081</v>
      </c>
      <c r="N522" s="295">
        <v>12</v>
      </c>
      <c r="O522" s="295">
        <f>'7.  Persistence Report'!R119</f>
        <v>1</v>
      </c>
      <c r="P522" s="295">
        <f>'7.  Persistence Report'!S119</f>
        <v>1</v>
      </c>
      <c r="Q522" s="295">
        <f>'7.  Persistence Report'!T119</f>
        <v>1</v>
      </c>
      <c r="R522" s="295">
        <f>'7.  Persistence Report'!U119</f>
        <v>1</v>
      </c>
      <c r="S522" s="295">
        <f>'7.  Persistence Report'!V119</f>
        <v>1</v>
      </c>
      <c r="T522" s="295">
        <f>'7.  Persistence Report'!W119</f>
        <v>1</v>
      </c>
      <c r="U522" s="295">
        <f>'7.  Persistence Report'!X119</f>
        <v>1</v>
      </c>
      <c r="V522" s="295">
        <f>'7.  Persistence Report'!Y119</f>
        <v>1</v>
      </c>
      <c r="W522" s="295">
        <f>'7.  Persistence Report'!Z119</f>
        <v>1</v>
      </c>
      <c r="X522" s="295">
        <f>'7.  Persistence Report'!AA119</f>
        <v>1</v>
      </c>
      <c r="Y522" s="426">
        <v>1</v>
      </c>
      <c r="Z522" s="410"/>
      <c r="AA522" s="410"/>
      <c r="AB522" s="410"/>
      <c r="AC522" s="410"/>
      <c r="AD522" s="410"/>
      <c r="AE522" s="410"/>
      <c r="AF522" s="415"/>
      <c r="AG522" s="415"/>
      <c r="AH522" s="415"/>
      <c r="AI522" s="415"/>
      <c r="AJ522" s="415"/>
      <c r="AK522" s="415"/>
      <c r="AL522" s="415"/>
      <c r="AM522" s="296">
        <f>SUM(Y522:AL522)</f>
        <v>1</v>
      </c>
    </row>
    <row r="523" spans="1:39" outlineLevel="1">
      <c r="A523" s="532"/>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1</v>
      </c>
      <c r="Z523" s="411">
        <f t="shared" ref="Z523" si="1529">Z522</f>
        <v>0</v>
      </c>
      <c r="AA523" s="411">
        <f t="shared" ref="AA523" si="1530">AA522</f>
        <v>0</v>
      </c>
      <c r="AB523" s="411">
        <f t="shared" ref="AB523" si="1531">AB522</f>
        <v>0</v>
      </c>
      <c r="AC523" s="411">
        <f t="shared" ref="AC523" si="1532">AC522</f>
        <v>0</v>
      </c>
      <c r="AD523" s="411">
        <f t="shared" ref="AD523" si="1533">AD522</f>
        <v>0</v>
      </c>
      <c r="AE523" s="411">
        <f t="shared" ref="AE523" si="1534">AE522</f>
        <v>0</v>
      </c>
      <c r="AF523" s="411">
        <f t="shared" ref="AF523" si="1535">AF522</f>
        <v>0</v>
      </c>
      <c r="AG523" s="411">
        <f t="shared" ref="AG523" si="1536">AG522</f>
        <v>0</v>
      </c>
      <c r="AH523" s="411">
        <f t="shared" ref="AH523" si="1537">AH522</f>
        <v>0</v>
      </c>
      <c r="AI523" s="411">
        <f t="shared" ref="AI523" si="1538">AI522</f>
        <v>0</v>
      </c>
      <c r="AJ523" s="411">
        <f t="shared" ref="AJ523" si="1539">AJ522</f>
        <v>0</v>
      </c>
      <c r="AK523" s="411">
        <f t="shared" ref="AK523" si="1540">AK522</f>
        <v>0</v>
      </c>
      <c r="AL523" s="411">
        <f t="shared" ref="AL523" si="1541">AL522</f>
        <v>0</v>
      </c>
      <c r="AM523" s="306"/>
    </row>
    <row r="524" spans="1:39"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32"/>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2">Z525</f>
        <v>0</v>
      </c>
      <c r="AA526" s="411">
        <f t="shared" ref="AA526" si="1543">AA525</f>
        <v>0</v>
      </c>
      <c r="AB526" s="411">
        <f t="shared" ref="AB526" si="1544">AB525</f>
        <v>0</v>
      </c>
      <c r="AC526" s="411">
        <f t="shared" ref="AC526" si="1545">AC525</f>
        <v>0</v>
      </c>
      <c r="AD526" s="411">
        <f t="shared" ref="AD526" si="1546">AD525</f>
        <v>0</v>
      </c>
      <c r="AE526" s="411">
        <f t="shared" ref="AE526" si="1547">AE525</f>
        <v>0</v>
      </c>
      <c r="AF526" s="411">
        <f t="shared" ref="AF526" si="1548">AF525</f>
        <v>0</v>
      </c>
      <c r="AG526" s="411">
        <f t="shared" ref="AG526" si="1549">AG525</f>
        <v>0</v>
      </c>
      <c r="AH526" s="411">
        <f t="shared" ref="AH526" si="1550">AH525</f>
        <v>0</v>
      </c>
      <c r="AI526" s="411">
        <f t="shared" ref="AI526" si="1551">AI525</f>
        <v>0</v>
      </c>
      <c r="AJ526" s="411">
        <f t="shared" ref="AJ526" si="1552">AJ525</f>
        <v>0</v>
      </c>
      <c r="AK526" s="411">
        <f t="shared" ref="AK526" si="1553">AK525</f>
        <v>0</v>
      </c>
      <c r="AL526" s="411">
        <f t="shared" ref="AL526" si="1554">AL525</f>
        <v>0</v>
      </c>
      <c r="AM526" s="306"/>
    </row>
    <row r="527" spans="1:39"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2"/>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55">Z528</f>
        <v>0</v>
      </c>
      <c r="AA529" s="411">
        <f t="shared" ref="AA529" si="1556">AA528</f>
        <v>0</v>
      </c>
      <c r="AB529" s="411">
        <f t="shared" ref="AB529" si="1557">AB528</f>
        <v>0</v>
      </c>
      <c r="AC529" s="411">
        <f t="shared" ref="AC529" si="1558">AC528</f>
        <v>0</v>
      </c>
      <c r="AD529" s="411">
        <f t="shared" ref="AD529" si="1559">AD528</f>
        <v>0</v>
      </c>
      <c r="AE529" s="411">
        <f t="shared" ref="AE529" si="1560">AE528</f>
        <v>0</v>
      </c>
      <c r="AF529" s="411">
        <f t="shared" ref="AF529" si="1561">AF528</f>
        <v>0</v>
      </c>
      <c r="AG529" s="411">
        <f t="shared" ref="AG529" si="1562">AG528</f>
        <v>0</v>
      </c>
      <c r="AH529" s="411">
        <f t="shared" ref="AH529" si="1563">AH528</f>
        <v>0</v>
      </c>
      <c r="AI529" s="411">
        <f t="shared" ref="AI529" si="1564">AI528</f>
        <v>0</v>
      </c>
      <c r="AJ529" s="411">
        <f t="shared" ref="AJ529" si="1565">AJ528</f>
        <v>0</v>
      </c>
      <c r="AK529" s="411">
        <f t="shared" ref="AK529" si="1566">AK528</f>
        <v>0</v>
      </c>
      <c r="AL529" s="411">
        <f t="shared" ref="AL529" si="1567">AL528</f>
        <v>0</v>
      </c>
      <c r="AM529" s="306"/>
    </row>
    <row r="530" spans="1:39"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2"/>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68">Z531</f>
        <v>0</v>
      </c>
      <c r="AA532" s="411">
        <f t="shared" ref="AA532" si="1569">AA531</f>
        <v>0</v>
      </c>
      <c r="AB532" s="411">
        <f t="shared" ref="AB532" si="1570">AB531</f>
        <v>0</v>
      </c>
      <c r="AC532" s="411">
        <f t="shared" ref="AC532" si="1571">AC531</f>
        <v>0</v>
      </c>
      <c r="AD532" s="411">
        <f t="shared" ref="AD532" si="1572">AD531</f>
        <v>0</v>
      </c>
      <c r="AE532" s="411">
        <f t="shared" ref="AE532" si="1573">AE531</f>
        <v>0</v>
      </c>
      <c r="AF532" s="411">
        <f t="shared" ref="AF532" si="1574">AF531</f>
        <v>0</v>
      </c>
      <c r="AG532" s="411">
        <f t="shared" ref="AG532" si="1575">AG531</f>
        <v>0</v>
      </c>
      <c r="AH532" s="411">
        <f t="shared" ref="AH532" si="1576">AH531</f>
        <v>0</v>
      </c>
      <c r="AI532" s="411">
        <f t="shared" ref="AI532" si="1577">AI531</f>
        <v>0</v>
      </c>
      <c r="AJ532" s="411">
        <f t="shared" ref="AJ532" si="1578">AJ531</f>
        <v>0</v>
      </c>
      <c r="AK532" s="411">
        <f t="shared" ref="AK532" si="1579">AK531</f>
        <v>0</v>
      </c>
      <c r="AL532" s="411">
        <f t="shared" ref="AL532" si="1580">AL531</f>
        <v>0</v>
      </c>
      <c r="AM532" s="306"/>
    </row>
    <row r="533" spans="1:39"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2"/>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1">Z534</f>
        <v>0</v>
      </c>
      <c r="AA535" s="411">
        <f t="shared" ref="AA535" si="1582">AA534</f>
        <v>0</v>
      </c>
      <c r="AB535" s="411">
        <f t="shared" ref="AB535" si="1583">AB534</f>
        <v>0</v>
      </c>
      <c r="AC535" s="411">
        <f t="shared" ref="AC535" si="1584">AC534</f>
        <v>0</v>
      </c>
      <c r="AD535" s="411">
        <f t="shared" ref="AD535" si="1585">AD534</f>
        <v>0</v>
      </c>
      <c r="AE535" s="411">
        <f t="shared" ref="AE535" si="1586">AE534</f>
        <v>0</v>
      </c>
      <c r="AF535" s="411">
        <f t="shared" ref="AF535" si="1587">AF534</f>
        <v>0</v>
      </c>
      <c r="AG535" s="411">
        <f t="shared" ref="AG535" si="1588">AG534</f>
        <v>0</v>
      </c>
      <c r="AH535" s="411">
        <f t="shared" ref="AH535" si="1589">AH534</f>
        <v>0</v>
      </c>
      <c r="AI535" s="411">
        <f t="shared" ref="AI535" si="1590">AI534</f>
        <v>0</v>
      </c>
      <c r="AJ535" s="411">
        <f t="shared" ref="AJ535" si="1591">AJ534</f>
        <v>0</v>
      </c>
      <c r="AK535" s="411">
        <f t="shared" ref="AK535" si="1592">AK534</f>
        <v>0</v>
      </c>
      <c r="AL535" s="411">
        <f t="shared" ref="AL535" si="1593">AL534</f>
        <v>0</v>
      </c>
      <c r="AM535" s="306"/>
    </row>
    <row r="536" spans="1:39"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2"/>
      <c r="B538" s="431" t="s">
        <v>308</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94">Z537</f>
        <v>0</v>
      </c>
      <c r="AA538" s="411">
        <f t="shared" ref="AA538" si="1595">AA537</f>
        <v>0</v>
      </c>
      <c r="AB538" s="411">
        <f t="shared" ref="AB538" si="1596">AB537</f>
        <v>0</v>
      </c>
      <c r="AC538" s="411">
        <f t="shared" ref="AC538" si="1597">AC537</f>
        <v>0</v>
      </c>
      <c r="AD538" s="411">
        <f t="shared" ref="AD538" si="1598">AD537</f>
        <v>0</v>
      </c>
      <c r="AE538" s="411">
        <f t="shared" ref="AE538" si="1599">AE537</f>
        <v>0</v>
      </c>
      <c r="AF538" s="411">
        <f t="shared" ref="AF538" si="1600">AF537</f>
        <v>0</v>
      </c>
      <c r="AG538" s="411">
        <f t="shared" ref="AG538" si="1601">AG537</f>
        <v>0</v>
      </c>
      <c r="AH538" s="411">
        <f t="shared" ref="AH538" si="1602">AH537</f>
        <v>0</v>
      </c>
      <c r="AI538" s="411">
        <f t="shared" ref="AI538" si="1603">AI537</f>
        <v>0</v>
      </c>
      <c r="AJ538" s="411">
        <f t="shared" ref="AJ538" si="1604">AJ537</f>
        <v>0</v>
      </c>
      <c r="AK538" s="411">
        <f t="shared" ref="AK538" si="1605">AK537</f>
        <v>0</v>
      </c>
      <c r="AL538" s="411">
        <f t="shared" ref="AL538" si="1606">AL537</f>
        <v>0</v>
      </c>
      <c r="AM538" s="306"/>
    </row>
    <row r="539" spans="1:39"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2"/>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07">Z540</f>
        <v>0</v>
      </c>
      <c r="AA541" s="411">
        <f t="shared" ref="AA541" si="1608">AA540</f>
        <v>0</v>
      </c>
      <c r="AB541" s="411">
        <f t="shared" ref="AB541" si="1609">AB540</f>
        <v>0</v>
      </c>
      <c r="AC541" s="411">
        <f t="shared" ref="AC541" si="1610">AC540</f>
        <v>0</v>
      </c>
      <c r="AD541" s="411">
        <f t="shared" ref="AD541" si="1611">AD540</f>
        <v>0</v>
      </c>
      <c r="AE541" s="411">
        <f t="shared" ref="AE541" si="1612">AE540</f>
        <v>0</v>
      </c>
      <c r="AF541" s="411">
        <f t="shared" ref="AF541" si="1613">AF540</f>
        <v>0</v>
      </c>
      <c r="AG541" s="411">
        <f t="shared" ref="AG541" si="1614">AG540</f>
        <v>0</v>
      </c>
      <c r="AH541" s="411">
        <f t="shared" ref="AH541" si="1615">AH540</f>
        <v>0</v>
      </c>
      <c r="AI541" s="411">
        <f t="shared" ref="AI541" si="1616">AI540</f>
        <v>0</v>
      </c>
      <c r="AJ541" s="411">
        <f t="shared" ref="AJ541" si="1617">AJ540</f>
        <v>0</v>
      </c>
      <c r="AK541" s="411">
        <f t="shared" ref="AK541" si="1618">AK540</f>
        <v>0</v>
      </c>
      <c r="AL541" s="411">
        <f t="shared" ref="AL541" si="1619">AL540</f>
        <v>0</v>
      </c>
      <c r="AM541" s="306"/>
    </row>
    <row r="542" spans="1:39"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2"/>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0">Z543</f>
        <v>0</v>
      </c>
      <c r="AA544" s="411">
        <f t="shared" ref="AA544" si="1621">AA543</f>
        <v>0</v>
      </c>
      <c r="AB544" s="411">
        <f t="shared" ref="AB544" si="1622">AB543</f>
        <v>0</v>
      </c>
      <c r="AC544" s="411">
        <f t="shared" ref="AC544" si="1623">AC543</f>
        <v>0</v>
      </c>
      <c r="AD544" s="411">
        <f t="shared" ref="AD544" si="1624">AD543</f>
        <v>0</v>
      </c>
      <c r="AE544" s="411">
        <f t="shared" ref="AE544" si="1625">AE543</f>
        <v>0</v>
      </c>
      <c r="AF544" s="411">
        <f t="shared" ref="AF544" si="1626">AF543</f>
        <v>0</v>
      </c>
      <c r="AG544" s="411">
        <f t="shared" ref="AG544" si="1627">AG543</f>
        <v>0</v>
      </c>
      <c r="AH544" s="411">
        <f t="shared" ref="AH544" si="1628">AH543</f>
        <v>0</v>
      </c>
      <c r="AI544" s="411">
        <f t="shared" ref="AI544" si="1629">AI543</f>
        <v>0</v>
      </c>
      <c r="AJ544" s="411">
        <f t="shared" ref="AJ544" si="1630">AJ543</f>
        <v>0</v>
      </c>
      <c r="AK544" s="411">
        <f t="shared" ref="AK544" si="1631">AK543</f>
        <v>0</v>
      </c>
      <c r="AL544" s="411">
        <f t="shared" ref="AL544" si="1632">AL543</f>
        <v>0</v>
      </c>
      <c r="AM544" s="306"/>
    </row>
    <row r="545" spans="1:39"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2"/>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3">Z546</f>
        <v>0</v>
      </c>
      <c r="AA547" s="411">
        <f t="shared" ref="AA547" si="1634">AA546</f>
        <v>0</v>
      </c>
      <c r="AB547" s="411">
        <f t="shared" ref="AB547" si="1635">AB546</f>
        <v>0</v>
      </c>
      <c r="AC547" s="411">
        <f t="shared" ref="AC547" si="1636">AC546</f>
        <v>0</v>
      </c>
      <c r="AD547" s="411">
        <f t="shared" ref="AD547" si="1637">AD546</f>
        <v>0</v>
      </c>
      <c r="AE547" s="411">
        <f t="shared" ref="AE547" si="1638">AE546</f>
        <v>0</v>
      </c>
      <c r="AF547" s="411">
        <f t="shared" ref="AF547" si="1639">AF546</f>
        <v>0</v>
      </c>
      <c r="AG547" s="411">
        <f t="shared" ref="AG547" si="1640">AG546</f>
        <v>0</v>
      </c>
      <c r="AH547" s="411">
        <f t="shared" ref="AH547" si="1641">AH546</f>
        <v>0</v>
      </c>
      <c r="AI547" s="411">
        <f t="shared" ref="AI547" si="1642">AI546</f>
        <v>0</v>
      </c>
      <c r="AJ547" s="411">
        <f t="shared" ref="AJ547" si="1643">AJ546</f>
        <v>0</v>
      </c>
      <c r="AK547" s="411">
        <f t="shared" ref="AK547" si="1644">AK546</f>
        <v>0</v>
      </c>
      <c r="AL547" s="411">
        <f t="shared" ref="AL547" si="1645">AL546</f>
        <v>0</v>
      </c>
      <c r="AM547" s="306"/>
    </row>
    <row r="548" spans="1:39"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2"/>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46">Z549</f>
        <v>0</v>
      </c>
      <c r="AA550" s="411">
        <f t="shared" ref="AA550" si="1647">AA549</f>
        <v>0</v>
      </c>
      <c r="AB550" s="411">
        <f t="shared" ref="AB550" si="1648">AB549</f>
        <v>0</v>
      </c>
      <c r="AC550" s="411">
        <f t="shared" ref="AC550" si="1649">AC549</f>
        <v>0</v>
      </c>
      <c r="AD550" s="411">
        <f t="shared" ref="AD550" si="1650">AD549</f>
        <v>0</v>
      </c>
      <c r="AE550" s="411">
        <f t="shared" ref="AE550" si="1651">AE549</f>
        <v>0</v>
      </c>
      <c r="AF550" s="411">
        <f t="shared" ref="AF550" si="1652">AF549</f>
        <v>0</v>
      </c>
      <c r="AG550" s="411">
        <f t="shared" ref="AG550" si="1653">AG549</f>
        <v>0</v>
      </c>
      <c r="AH550" s="411">
        <f t="shared" ref="AH550" si="1654">AH549</f>
        <v>0</v>
      </c>
      <c r="AI550" s="411">
        <f t="shared" ref="AI550" si="1655">AI549</f>
        <v>0</v>
      </c>
      <c r="AJ550" s="411">
        <f t="shared" ref="AJ550" si="1656">AJ549</f>
        <v>0</v>
      </c>
      <c r="AK550" s="411">
        <f t="shared" ref="AK550" si="1657">AK549</f>
        <v>0</v>
      </c>
      <c r="AL550" s="411">
        <f t="shared" ref="AL550" si="1658">AL549</f>
        <v>0</v>
      </c>
      <c r="AM550" s="306"/>
    </row>
    <row r="551" spans="1:39"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2"/>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59">Z552</f>
        <v>0</v>
      </c>
      <c r="AA553" s="411">
        <f t="shared" ref="AA553" si="1660">AA552</f>
        <v>0</v>
      </c>
      <c r="AB553" s="411">
        <f t="shared" ref="AB553" si="1661">AB552</f>
        <v>0</v>
      </c>
      <c r="AC553" s="411">
        <f t="shared" ref="AC553" si="1662">AC552</f>
        <v>0</v>
      </c>
      <c r="AD553" s="411">
        <f t="shared" ref="AD553" si="1663">AD552</f>
        <v>0</v>
      </c>
      <c r="AE553" s="411">
        <f t="shared" ref="AE553" si="1664">AE552</f>
        <v>0</v>
      </c>
      <c r="AF553" s="411">
        <f t="shared" ref="AF553" si="1665">AF552</f>
        <v>0</v>
      </c>
      <c r="AG553" s="411">
        <f t="shared" ref="AG553" si="1666">AG552</f>
        <v>0</v>
      </c>
      <c r="AH553" s="411">
        <f t="shared" ref="AH553" si="1667">AH552</f>
        <v>0</v>
      </c>
      <c r="AI553" s="411">
        <f t="shared" ref="AI553" si="1668">AI552</f>
        <v>0</v>
      </c>
      <c r="AJ553" s="411">
        <f t="shared" ref="AJ553" si="1669">AJ552</f>
        <v>0</v>
      </c>
      <c r="AK553" s="411">
        <f t="shared" ref="AK553" si="1670">AK552</f>
        <v>0</v>
      </c>
      <c r="AL553" s="411">
        <f t="shared" ref="AL553" si="1671">AL552</f>
        <v>0</v>
      </c>
      <c r="AM553" s="306"/>
    </row>
    <row r="554" spans="1:39"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45"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2"/>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2">Z555</f>
        <v>0</v>
      </c>
      <c r="AA556" s="411">
        <f t="shared" ref="AA556" si="1673">AA555</f>
        <v>0</v>
      </c>
      <c r="AB556" s="411">
        <f t="shared" ref="AB556" si="1674">AB555</f>
        <v>0</v>
      </c>
      <c r="AC556" s="411">
        <f t="shared" ref="AC556" si="1675">AC555</f>
        <v>0</v>
      </c>
      <c r="AD556" s="411">
        <f t="shared" ref="AD556" si="1676">AD555</f>
        <v>0</v>
      </c>
      <c r="AE556" s="411">
        <f t="shared" ref="AE556" si="1677">AE555</f>
        <v>0</v>
      </c>
      <c r="AF556" s="411">
        <f t="shared" ref="AF556" si="1678">AF555</f>
        <v>0</v>
      </c>
      <c r="AG556" s="411">
        <f t="shared" ref="AG556" si="1679">AG555</f>
        <v>0</v>
      </c>
      <c r="AH556" s="411">
        <f t="shared" ref="AH556" si="1680">AH555</f>
        <v>0</v>
      </c>
      <c r="AI556" s="411">
        <f t="shared" ref="AI556" si="1681">AI555</f>
        <v>0</v>
      </c>
      <c r="AJ556" s="411">
        <f t="shared" ref="AJ556" si="1682">AJ555</f>
        <v>0</v>
      </c>
      <c r="AK556" s="411">
        <f t="shared" ref="AK556" si="1683">AK555</f>
        <v>0</v>
      </c>
      <c r="AL556" s="411">
        <f t="shared" ref="AL556" si="1684">AL555</f>
        <v>0</v>
      </c>
      <c r="AM556" s="306"/>
    </row>
    <row r="557" spans="1:39"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2">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2"/>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85">Z558</f>
        <v>0</v>
      </c>
      <c r="AA559" s="411">
        <f t="shared" ref="AA559" si="1686">AA558</f>
        <v>0</v>
      </c>
      <c r="AB559" s="411">
        <f t="shared" ref="AB559" si="1687">AB558</f>
        <v>0</v>
      </c>
      <c r="AC559" s="411">
        <f t="shared" ref="AC559" si="1688">AC558</f>
        <v>0</v>
      </c>
      <c r="AD559" s="411">
        <f t="shared" ref="AD559" si="1689">AD558</f>
        <v>0</v>
      </c>
      <c r="AE559" s="411">
        <f t="shared" ref="AE559" si="1690">AE558</f>
        <v>0</v>
      </c>
      <c r="AF559" s="411">
        <f t="shared" ref="AF559" si="1691">AF558</f>
        <v>0</v>
      </c>
      <c r="AG559" s="411">
        <f t="shared" ref="AG559" si="1692">AG558</f>
        <v>0</v>
      </c>
      <c r="AH559" s="411">
        <f t="shared" ref="AH559" si="1693">AH558</f>
        <v>0</v>
      </c>
      <c r="AI559" s="411">
        <f t="shared" ref="AI559" si="1694">AI558</f>
        <v>0</v>
      </c>
      <c r="AJ559" s="411">
        <f t="shared" ref="AJ559" si="1695">AJ558</f>
        <v>0</v>
      </c>
      <c r="AK559" s="411">
        <f t="shared" ref="AK559" si="1696">AK558</f>
        <v>0</v>
      </c>
      <c r="AL559" s="411">
        <f t="shared" ref="AL559" si="1697">AL558</f>
        <v>0</v>
      </c>
      <c r="AM559" s="306"/>
    </row>
    <row r="560" spans="1:39"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292</v>
      </c>
      <c r="C561" s="329"/>
      <c r="D561" s="329">
        <f>SUM(D404:D559)</f>
        <v>2589691</v>
      </c>
      <c r="E561" s="329"/>
      <c r="F561" s="329"/>
      <c r="G561" s="329"/>
      <c r="H561" s="329"/>
      <c r="I561" s="329"/>
      <c r="J561" s="329"/>
      <c r="K561" s="329"/>
      <c r="L561" s="329"/>
      <c r="M561" s="329"/>
      <c r="N561" s="329"/>
      <c r="O561" s="329">
        <f>SUM(O404:O559)</f>
        <v>270.36342564785656</v>
      </c>
      <c r="P561" s="329"/>
      <c r="Q561" s="329"/>
      <c r="R561" s="329"/>
      <c r="S561" s="329"/>
      <c r="T561" s="329"/>
      <c r="U561" s="329"/>
      <c r="V561" s="329"/>
      <c r="W561" s="329"/>
      <c r="X561" s="329"/>
      <c r="Y561" s="329">
        <f>IF(Y402="kWh",SUMPRODUCT(D404:D559,Y404:Y559))</f>
        <v>1943912</v>
      </c>
      <c r="Z561" s="329">
        <f>IF(Z402="kWh",SUMPRODUCT(D404:D559,Z404:Z559))</f>
        <v>258265.0290725957</v>
      </c>
      <c r="AA561" s="329">
        <f>IF(AA402="kw",SUMPRODUCT(N404:N559,O404:O559,AA404:AA559),SUMPRODUCT(D404:D559,AA404:AA559))</f>
        <v>533.85719829058451</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1122360</v>
      </c>
      <c r="Z562" s="392">
        <f>HLOOKUP(Z218,'2. LRAMVA Threshold'!$B$42:$Q$53,9,FALSE)</f>
        <v>374120</v>
      </c>
      <c r="AA562" s="392">
        <f>HLOOKUP(AA218,'2. LRAMVA Threshold'!$B$42:$Q$53,9,FALSE)</f>
        <v>1002</v>
      </c>
      <c r="AB562" s="392">
        <f>HLOOKUP(AB218,'2. LRAMVA Threshold'!$B$42:$Q$53,9,FALSE)</f>
        <v>0</v>
      </c>
      <c r="AC562" s="392">
        <f>HLOOKUP(AC218,'2. LRAMVA Threshold'!$B$42:$Q$53,9,FALSE)</f>
        <v>0</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6.7000000000000002E-3</v>
      </c>
      <c r="Z564" s="341">
        <f>HLOOKUP(Z$35,'3.  Distribution Rates'!$C$122:$P$133,9,FALSE)</f>
        <v>1.9E-2</v>
      </c>
      <c r="AA564" s="341">
        <f>HLOOKUP(AA$35,'3.  Distribution Rates'!$C$122:$P$133,9,FALSE)</f>
        <v>3.0217000000000001</v>
      </c>
      <c r="AB564" s="341">
        <f>HLOOKUP(AB$35,'3.  Distribution Rates'!$C$122:$P$133,9,FALSE)</f>
        <v>5.7237999999999998</v>
      </c>
      <c r="AC564" s="341">
        <f>HLOOKUP(AC$35,'3.  Distribution Rates'!$C$122:$P$133,9,FALSE)</f>
        <v>2.0400000000000001E-2</v>
      </c>
      <c r="AD564" s="341">
        <f>HLOOKUP(AD$35,'3.  Distribution Rates'!$C$122:$P$133,9,FALSE)</f>
        <v>1.4009</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c r="Z565" s="378"/>
      <c r="AA565" s="378"/>
      <c r="AB565" s="378"/>
      <c r="AC565" s="378"/>
      <c r="AD565" s="378"/>
      <c r="AE565" s="378"/>
      <c r="AF565" s="378"/>
      <c r="AG565" s="378"/>
      <c r="AH565" s="378"/>
      <c r="AI565" s="378"/>
      <c r="AJ565" s="378"/>
      <c r="AK565" s="378"/>
      <c r="AL565" s="378"/>
      <c r="AM565" s="629"/>
    </row>
    <row r="566" spans="2:39">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c r="Z566" s="378"/>
      <c r="AA566" s="378"/>
      <c r="AB566" s="378"/>
      <c r="AC566" s="378"/>
      <c r="AD566" s="378"/>
      <c r="AE566" s="378"/>
      <c r="AF566" s="378"/>
      <c r="AG566" s="378"/>
      <c r="AH566" s="378"/>
      <c r="AI566" s="378"/>
      <c r="AJ566" s="378"/>
      <c r="AK566" s="378"/>
      <c r="AL566" s="378"/>
      <c r="AM566" s="629"/>
    </row>
    <row r="567" spans="2:39">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c r="Z567" s="378"/>
      <c r="AA567" s="378"/>
      <c r="AB567" s="378"/>
      <c r="AC567" s="378"/>
      <c r="AD567" s="378"/>
      <c r="AE567" s="378"/>
      <c r="AF567" s="378"/>
      <c r="AG567" s="378"/>
      <c r="AH567" s="378"/>
      <c r="AI567" s="378"/>
      <c r="AJ567" s="378"/>
      <c r="AK567" s="378"/>
      <c r="AL567" s="378"/>
      <c r="AM567" s="629"/>
    </row>
    <row r="568" spans="2:39">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c r="Z568" s="378"/>
      <c r="AA568" s="378"/>
      <c r="AB568" s="378"/>
      <c r="AC568" s="378"/>
      <c r="AD568" s="378"/>
      <c r="AE568" s="378"/>
      <c r="AF568" s="378"/>
      <c r="AG568" s="378"/>
      <c r="AH568" s="378"/>
      <c r="AI568" s="378"/>
      <c r="AJ568" s="378"/>
      <c r="AK568" s="378"/>
      <c r="AL568" s="378"/>
      <c r="AM568" s="629"/>
    </row>
    <row r="569" spans="2:39">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c r="Z569" s="378"/>
      <c r="AA569" s="378"/>
      <c r="AB569" s="378"/>
      <c r="AC569" s="378"/>
      <c r="AD569" s="378"/>
      <c r="AE569" s="378"/>
      <c r="AF569" s="378"/>
      <c r="AG569" s="378"/>
      <c r="AH569" s="378"/>
      <c r="AI569" s="378"/>
      <c r="AJ569" s="378"/>
      <c r="AK569" s="378"/>
      <c r="AL569" s="378"/>
      <c r="AM569" s="629"/>
    </row>
    <row r="570" spans="2:39">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7770.0838000000003</v>
      </c>
      <c r="Z570" s="378">
        <f>Z392*Z564</f>
        <v>5107.0906953008862</v>
      </c>
      <c r="AA570" s="378">
        <f t="shared" ref="AA570:AL570" si="1698">AA392*AA564</f>
        <v>4544.0144710078848</v>
      </c>
      <c r="AB570" s="378">
        <f>AB392*AB564</f>
        <v>0</v>
      </c>
      <c r="AC570" s="378">
        <f t="shared" si="1698"/>
        <v>0</v>
      </c>
      <c r="AD570" s="378">
        <f t="shared" si="1698"/>
        <v>0</v>
      </c>
      <c r="AE570" s="378">
        <f t="shared" si="1698"/>
        <v>0</v>
      </c>
      <c r="AF570" s="378">
        <f t="shared" si="1698"/>
        <v>0</v>
      </c>
      <c r="AG570" s="378">
        <f t="shared" si="1698"/>
        <v>0</v>
      </c>
      <c r="AH570" s="378">
        <f t="shared" si="1698"/>
        <v>0</v>
      </c>
      <c r="AI570" s="378">
        <f t="shared" si="1698"/>
        <v>0</v>
      </c>
      <c r="AJ570" s="378">
        <f t="shared" si="1698"/>
        <v>0</v>
      </c>
      <c r="AK570" s="378">
        <f t="shared" si="1698"/>
        <v>0</v>
      </c>
      <c r="AL570" s="378">
        <f t="shared" si="1698"/>
        <v>0</v>
      </c>
      <c r="AM570" s="629">
        <f t="shared" ref="AM570:AM571" si="1699">SUM(Y570:AL570)</f>
        <v>17421.188966308771</v>
      </c>
    </row>
    <row r="571" spans="2:39">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13024.2104</v>
      </c>
      <c r="Z571" s="378">
        <f t="shared" ref="Z571:AL571" si="1700">Z561*Z564</f>
        <v>4907.0355523793178</v>
      </c>
      <c r="AA571" s="378">
        <f t="shared" si="1700"/>
        <v>1613.1562960746592</v>
      </c>
      <c r="AB571" s="378">
        <f t="shared" si="1700"/>
        <v>0</v>
      </c>
      <c r="AC571" s="378">
        <f t="shared" si="1700"/>
        <v>0</v>
      </c>
      <c r="AD571" s="378">
        <f t="shared" si="1700"/>
        <v>0</v>
      </c>
      <c r="AE571" s="378">
        <f t="shared" si="1700"/>
        <v>0</v>
      </c>
      <c r="AF571" s="378">
        <f t="shared" si="1700"/>
        <v>0</v>
      </c>
      <c r="AG571" s="378">
        <f t="shared" si="1700"/>
        <v>0</v>
      </c>
      <c r="AH571" s="378">
        <f t="shared" si="1700"/>
        <v>0</v>
      </c>
      <c r="AI571" s="378">
        <f t="shared" si="1700"/>
        <v>0</v>
      </c>
      <c r="AJ571" s="378">
        <f t="shared" si="1700"/>
        <v>0</v>
      </c>
      <c r="AK571" s="378">
        <f t="shared" si="1700"/>
        <v>0</v>
      </c>
      <c r="AL571" s="378">
        <f t="shared" si="1700"/>
        <v>0</v>
      </c>
      <c r="AM571" s="629">
        <f t="shared" si="1699"/>
        <v>19544.402248453978</v>
      </c>
    </row>
    <row r="572" spans="2:39" ht="15.75">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20794.2942</v>
      </c>
      <c r="Z572" s="346">
        <f>SUM(Z565:Z571)</f>
        <v>10014.126247680204</v>
      </c>
      <c r="AA572" s="346">
        <f t="shared" ref="AA572:AE572" si="1701">SUM(AA565:AA571)</f>
        <v>6157.1707670825435</v>
      </c>
      <c r="AB572" s="346">
        <f t="shared" si="1701"/>
        <v>0</v>
      </c>
      <c r="AC572" s="346">
        <f t="shared" si="1701"/>
        <v>0</v>
      </c>
      <c r="AD572" s="346">
        <f>SUM(AD565:AD571)</f>
        <v>0</v>
      </c>
      <c r="AE572" s="346">
        <f t="shared" si="1701"/>
        <v>0</v>
      </c>
      <c r="AF572" s="346">
        <f>SUM(AF565:AF571)</f>
        <v>0</v>
      </c>
      <c r="AG572" s="346">
        <f>SUM(AG565:AG571)</f>
        <v>0</v>
      </c>
      <c r="AH572" s="346">
        <f t="shared" ref="AH572:AL572" si="1702">SUM(AH565:AH571)</f>
        <v>0</v>
      </c>
      <c r="AI572" s="346">
        <f t="shared" si="1702"/>
        <v>0</v>
      </c>
      <c r="AJ572" s="346">
        <f>SUM(AJ565:AJ571)</f>
        <v>0</v>
      </c>
      <c r="AK572" s="346">
        <f t="shared" si="1702"/>
        <v>0</v>
      </c>
      <c r="AL572" s="346">
        <f t="shared" si="1702"/>
        <v>0</v>
      </c>
      <c r="AM572" s="407">
        <f>SUM(AM565:AM571)</f>
        <v>36965.591214762753</v>
      </c>
    </row>
    <row r="573" spans="2:39" ht="15.75">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7519.8119999999999</v>
      </c>
      <c r="Z573" s="347">
        <f t="shared" ref="Z573:AE573" si="1703">Z562*Z564</f>
        <v>7108.28</v>
      </c>
      <c r="AA573" s="347">
        <f t="shared" si="1703"/>
        <v>3027.7433999999998</v>
      </c>
      <c r="AB573" s="347">
        <f t="shared" si="1703"/>
        <v>0</v>
      </c>
      <c r="AC573" s="347">
        <f t="shared" si="1703"/>
        <v>0</v>
      </c>
      <c r="AD573" s="347">
        <f>AD562*AD564</f>
        <v>0</v>
      </c>
      <c r="AE573" s="347">
        <f t="shared" si="1703"/>
        <v>0</v>
      </c>
      <c r="AF573" s="347">
        <f>AF562*AF564</f>
        <v>0</v>
      </c>
      <c r="AG573" s="347">
        <f t="shared" ref="AG573:AL573" si="1704">AG562*AG564</f>
        <v>0</v>
      </c>
      <c r="AH573" s="347">
        <f t="shared" si="1704"/>
        <v>0</v>
      </c>
      <c r="AI573" s="347">
        <f t="shared" si="1704"/>
        <v>0</v>
      </c>
      <c r="AJ573" s="347">
        <f>AJ562*AJ564</f>
        <v>0</v>
      </c>
      <c r="AK573" s="347">
        <f>AK562*AK564</f>
        <v>0</v>
      </c>
      <c r="AL573" s="347">
        <f t="shared" si="1704"/>
        <v>0</v>
      </c>
      <c r="AM573" s="407">
        <f>SUM(Y573:AL573)</f>
        <v>17655.8354</v>
      </c>
    </row>
    <row r="574" spans="2:39" ht="15.75">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19309.755814762753</v>
      </c>
    </row>
    <row r="575" spans="2:39">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1549507.432</v>
      </c>
      <c r="Z576" s="291">
        <f>SUMPRODUCT(E404:E559,Z404:Z559)</f>
        <v>259398.18216137475</v>
      </c>
      <c r="AA576" s="291">
        <f>IF(AA402="kw",SUMPRODUCT($N$404:$N$559,$P$404:$P$559,AA404:AA559),SUMPRODUCT($E$404:$E$559,AA404:AA559))</f>
        <v>543.69955966247994</v>
      </c>
      <c r="AB576" s="291">
        <f>IF(AB402="kw",SUMPRODUCT($N$404:$N$559,$P$404:$P$559,AB404:AB559),SUMPRODUCT($E$404:$E$559,AB404:AB559))</f>
        <v>0</v>
      </c>
      <c r="AC576" s="291">
        <f>IF(AC402="kw",SUMPRODUCT($N$404:$N$559,$P$404:$P$559,AC404:AC559),SUMPRODUCT($E$404:$E$559,AC404:AC559))</f>
        <v>0</v>
      </c>
      <c r="AD576" s="291">
        <f t="shared" ref="AD576:AL576" si="1705">IF(AD402="kw",SUMPRODUCT($N$404:$N$559,$P$404:$P$559,AD404:AD559),SUMPRODUCT($E$404:$E$559,AD404:AD559))</f>
        <v>0</v>
      </c>
      <c r="AE576" s="291">
        <f t="shared" si="1705"/>
        <v>0</v>
      </c>
      <c r="AF576" s="291">
        <f t="shared" si="1705"/>
        <v>0</v>
      </c>
      <c r="AG576" s="291">
        <f t="shared" si="1705"/>
        <v>0</v>
      </c>
      <c r="AH576" s="291">
        <f t="shared" si="1705"/>
        <v>0</v>
      </c>
      <c r="AI576" s="291">
        <f t="shared" si="1705"/>
        <v>0</v>
      </c>
      <c r="AJ576" s="291">
        <f t="shared" si="1705"/>
        <v>0</v>
      </c>
      <c r="AK576" s="291">
        <f t="shared" si="1705"/>
        <v>0</v>
      </c>
      <c r="AL576" s="291">
        <f t="shared" si="1705"/>
        <v>0</v>
      </c>
      <c r="AM576" s="337"/>
    </row>
    <row r="577" spans="1:39">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1549507.432</v>
      </c>
      <c r="Z577" s="291">
        <f>SUMPRODUCT(F404:F559,Z404:Z559)</f>
        <v>258669.29827084125</v>
      </c>
      <c r="AA577" s="291">
        <f t="shared" ref="AA577:AL577" si="1706">IF(AA402="kw",SUMPRODUCT($N$404:$N$559,$Q$404:$Q$559,AA404:AA559),SUMPRODUCT($F$404:$F$559,AA404:AA559))</f>
        <v>543.10707384123293</v>
      </c>
      <c r="AB577" s="291">
        <f t="shared" si="1706"/>
        <v>0</v>
      </c>
      <c r="AC577" s="291">
        <f>IF(AC402="kw",SUMPRODUCT($N$404:$N$559,$Q$404:$Q$559,AC404:AC559),SUMPRODUCT($F$404:$F$559,AC404:AC559))</f>
        <v>0</v>
      </c>
      <c r="AD577" s="291">
        <f t="shared" si="1706"/>
        <v>0</v>
      </c>
      <c r="AE577" s="291">
        <f t="shared" si="1706"/>
        <v>0</v>
      </c>
      <c r="AF577" s="291">
        <f t="shared" si="1706"/>
        <v>0</v>
      </c>
      <c r="AG577" s="291">
        <f t="shared" si="1706"/>
        <v>0</v>
      </c>
      <c r="AH577" s="291">
        <f t="shared" si="1706"/>
        <v>0</v>
      </c>
      <c r="AI577" s="291">
        <f t="shared" si="1706"/>
        <v>0</v>
      </c>
      <c r="AJ577" s="291">
        <f t="shared" si="1706"/>
        <v>0</v>
      </c>
      <c r="AK577" s="291">
        <f t="shared" si="1706"/>
        <v>0</v>
      </c>
      <c r="AL577" s="291">
        <f t="shared" si="1706"/>
        <v>0</v>
      </c>
      <c r="AM577" s="337"/>
    </row>
    <row r="578" spans="1:39">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1549507</v>
      </c>
      <c r="Z578" s="326">
        <f>SUMPRODUCT(G404:G559,Z404:Z559)</f>
        <v>254709.29827084125</v>
      </c>
      <c r="AA578" s="326">
        <f t="shared" ref="AA578:AL578" si="1707">IF(AA402="kw",SUMPRODUCT($N$404:$N$559,$R$404:$R$559,AA404:AA559),SUMPRODUCT($G$404:$G$559,AA404:AA559))</f>
        <v>543.10707384123293</v>
      </c>
      <c r="AB578" s="326">
        <f t="shared" si="1707"/>
        <v>0</v>
      </c>
      <c r="AC578" s="326">
        <f>IF(AC402="kw",SUMPRODUCT($N$404:$N$559,$R$404:$R$559,AC404:AC559),SUMPRODUCT($G$404:$G$559,AC404:AC559))</f>
        <v>0</v>
      </c>
      <c r="AD578" s="326">
        <f t="shared" si="1707"/>
        <v>0</v>
      </c>
      <c r="AE578" s="326">
        <f t="shared" si="1707"/>
        <v>0</v>
      </c>
      <c r="AF578" s="326">
        <f t="shared" si="1707"/>
        <v>0</v>
      </c>
      <c r="AG578" s="326">
        <f t="shared" si="1707"/>
        <v>0</v>
      </c>
      <c r="AH578" s="326">
        <f t="shared" si="1707"/>
        <v>0</v>
      </c>
      <c r="AI578" s="326">
        <f t="shared" si="1707"/>
        <v>0</v>
      </c>
      <c r="AJ578" s="326">
        <f t="shared" si="1707"/>
        <v>0</v>
      </c>
      <c r="AK578" s="326">
        <f t="shared" si="1707"/>
        <v>0</v>
      </c>
      <c r="AL578" s="326">
        <f t="shared" si="1707"/>
        <v>0</v>
      </c>
      <c r="AM578" s="386"/>
    </row>
    <row r="579" spans="1:39" ht="22.5" customHeight="1">
      <c r="B579" s="368" t="s">
        <v>581</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309</v>
      </c>
      <c r="C582" s="281"/>
      <c r="D582" s="590" t="s">
        <v>525</v>
      </c>
      <c r="E582" s="253"/>
      <c r="F582" s="590"/>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56" t="s">
        <v>211</v>
      </c>
      <c r="C583" s="858" t="s">
        <v>33</v>
      </c>
      <c r="D583" s="284" t="s">
        <v>421</v>
      </c>
      <c r="E583" s="860" t="s">
        <v>209</v>
      </c>
      <c r="F583" s="861"/>
      <c r="G583" s="861"/>
      <c r="H583" s="861"/>
      <c r="I583" s="861"/>
      <c r="J583" s="861"/>
      <c r="K583" s="861"/>
      <c r="L583" s="861"/>
      <c r="M583" s="862"/>
      <c r="N583" s="866" t="s">
        <v>213</v>
      </c>
      <c r="O583" s="284" t="s">
        <v>422</v>
      </c>
      <c r="P583" s="860" t="s">
        <v>212</v>
      </c>
      <c r="Q583" s="861"/>
      <c r="R583" s="861"/>
      <c r="S583" s="861"/>
      <c r="T583" s="861"/>
      <c r="U583" s="861"/>
      <c r="V583" s="861"/>
      <c r="W583" s="861"/>
      <c r="X583" s="862"/>
      <c r="Y583" s="863" t="s">
        <v>243</v>
      </c>
      <c r="Z583" s="864"/>
      <c r="AA583" s="864"/>
      <c r="AB583" s="864"/>
      <c r="AC583" s="864"/>
      <c r="AD583" s="864"/>
      <c r="AE583" s="864"/>
      <c r="AF583" s="864"/>
      <c r="AG583" s="864"/>
      <c r="AH583" s="864"/>
      <c r="AI583" s="864"/>
      <c r="AJ583" s="864"/>
      <c r="AK583" s="864"/>
      <c r="AL583" s="864"/>
      <c r="AM583" s="865"/>
    </row>
    <row r="584" spans="1:39" ht="68.25" customHeight="1">
      <c r="B584" s="857"/>
      <c r="C584" s="859"/>
      <c r="D584" s="285">
        <v>2018</v>
      </c>
      <c r="E584" s="285">
        <v>2019</v>
      </c>
      <c r="F584" s="285">
        <v>2020</v>
      </c>
      <c r="G584" s="285">
        <v>2021</v>
      </c>
      <c r="H584" s="285">
        <v>2022</v>
      </c>
      <c r="I584" s="285">
        <v>2023</v>
      </c>
      <c r="J584" s="285">
        <v>2024</v>
      </c>
      <c r="K584" s="285">
        <v>2025</v>
      </c>
      <c r="L584" s="285">
        <v>2026</v>
      </c>
      <c r="M584" s="285">
        <v>2027</v>
      </c>
      <c r="N584" s="867"/>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 50 - 4,999 kW</v>
      </c>
      <c r="AB584" s="285" t="str">
        <f>'1.  LRAMVA Summary'!G52</f>
        <v>Street Light</v>
      </c>
      <c r="AC584" s="285" t="str">
        <f>'1.  LRAMVA Summary'!H52</f>
        <v>USL</v>
      </c>
      <c r="AD584" s="285" t="str">
        <f>'1.  LRAMVA Summary'!I52</f>
        <v>Embedded Distributor</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503</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t="str">
        <f>'1.  LRAMVA Summary'!H53</f>
        <v>kWh</v>
      </c>
      <c r="AD585" s="291" t="str">
        <f>'1.  LRAMVA Summary'!I53</f>
        <v>kW</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outlineLevel="1">
      <c r="A586" s="532"/>
      <c r="B586" s="504" t="s">
        <v>496</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outlineLevel="1">
      <c r="A588" s="532"/>
      <c r="B588" s="294" t="s">
        <v>310</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708">Z587</f>
        <v>0</v>
      </c>
      <c r="AA588" s="411">
        <f t="shared" ref="AA588" si="1709">AA587</f>
        <v>0</v>
      </c>
      <c r="AB588" s="411">
        <f t="shared" ref="AB588" si="1710">AB587</f>
        <v>0</v>
      </c>
      <c r="AC588" s="411">
        <f t="shared" ref="AC588" si="1711">AC587</f>
        <v>0</v>
      </c>
      <c r="AD588" s="411">
        <f t="shared" ref="AD588" si="1712">AD587</f>
        <v>0</v>
      </c>
      <c r="AE588" s="411">
        <f t="shared" ref="AE588" si="1713">AE587</f>
        <v>0</v>
      </c>
      <c r="AF588" s="411">
        <f t="shared" ref="AF588" si="1714">AF587</f>
        <v>0</v>
      </c>
      <c r="AG588" s="411">
        <f t="shared" ref="AG588" si="1715">AG587</f>
        <v>0</v>
      </c>
      <c r="AH588" s="411">
        <f t="shared" ref="AH588" si="1716">AH587</f>
        <v>0</v>
      </c>
      <c r="AI588" s="411">
        <f t="shared" ref="AI588" si="1717">AI587</f>
        <v>0</v>
      </c>
      <c r="AJ588" s="411">
        <f t="shared" ref="AJ588" si="1718">AJ587</f>
        <v>0</v>
      </c>
      <c r="AK588" s="411">
        <f t="shared" ref="AK588" si="1719">AK587</f>
        <v>0</v>
      </c>
      <c r="AL588" s="411">
        <f t="shared" ref="AL588" si="1720">AL587</f>
        <v>0</v>
      </c>
      <c r="AM588" s="297"/>
    </row>
    <row r="589" spans="1:39" ht="15.75"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outlineLevel="1">
      <c r="A591" s="532"/>
      <c r="B591" s="294" t="s">
        <v>310</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21">Z590</f>
        <v>0</v>
      </c>
      <c r="AA591" s="411">
        <f t="shared" ref="AA591" si="1722">AA590</f>
        <v>0</v>
      </c>
      <c r="AB591" s="411">
        <f t="shared" ref="AB591" si="1723">AB590</f>
        <v>0</v>
      </c>
      <c r="AC591" s="411">
        <f t="shared" ref="AC591" si="1724">AC590</f>
        <v>0</v>
      </c>
      <c r="AD591" s="411">
        <f t="shared" ref="AD591" si="1725">AD590</f>
        <v>0</v>
      </c>
      <c r="AE591" s="411">
        <f t="shared" ref="AE591" si="1726">AE590</f>
        <v>0</v>
      </c>
      <c r="AF591" s="411">
        <f t="shared" ref="AF591" si="1727">AF590</f>
        <v>0</v>
      </c>
      <c r="AG591" s="411">
        <f t="shared" ref="AG591" si="1728">AG590</f>
        <v>0</v>
      </c>
      <c r="AH591" s="411">
        <f t="shared" ref="AH591" si="1729">AH590</f>
        <v>0</v>
      </c>
      <c r="AI591" s="411">
        <f t="shared" ref="AI591" si="1730">AI590</f>
        <v>0</v>
      </c>
      <c r="AJ591" s="411">
        <f t="shared" ref="AJ591" si="1731">AJ590</f>
        <v>0</v>
      </c>
      <c r="AK591" s="411">
        <f t="shared" ref="AK591" si="1732">AK590</f>
        <v>0</v>
      </c>
      <c r="AL591" s="411">
        <f t="shared" ref="AL591" si="1733">AL590</f>
        <v>0</v>
      </c>
      <c r="AM591" s="297"/>
    </row>
    <row r="592" spans="1:39" ht="15.75"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outlineLevel="1">
      <c r="A594" s="532"/>
      <c r="B594" s="294" t="s">
        <v>310</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34">Z593</f>
        <v>0</v>
      </c>
      <c r="AA594" s="411">
        <f t="shared" ref="AA594" si="1735">AA593</f>
        <v>0</v>
      </c>
      <c r="AB594" s="411">
        <f t="shared" ref="AB594" si="1736">AB593</f>
        <v>0</v>
      </c>
      <c r="AC594" s="411">
        <f t="shared" ref="AC594" si="1737">AC593</f>
        <v>0</v>
      </c>
      <c r="AD594" s="411">
        <f t="shared" ref="AD594" si="1738">AD593</f>
        <v>0</v>
      </c>
      <c r="AE594" s="411">
        <f t="shared" ref="AE594" si="1739">AE593</f>
        <v>0</v>
      </c>
      <c r="AF594" s="411">
        <f t="shared" ref="AF594" si="1740">AF593</f>
        <v>0</v>
      </c>
      <c r="AG594" s="411">
        <f t="shared" ref="AG594" si="1741">AG593</f>
        <v>0</v>
      </c>
      <c r="AH594" s="411">
        <f t="shared" ref="AH594" si="1742">AH593</f>
        <v>0</v>
      </c>
      <c r="AI594" s="411">
        <f t="shared" ref="AI594" si="1743">AI593</f>
        <v>0</v>
      </c>
      <c r="AJ594" s="411">
        <f t="shared" ref="AJ594" si="1744">AJ593</f>
        <v>0</v>
      </c>
      <c r="AK594" s="411">
        <f t="shared" ref="AK594" si="1745">AK593</f>
        <v>0</v>
      </c>
      <c r="AL594" s="411">
        <f t="shared" ref="AL594" si="1746">AL593</f>
        <v>0</v>
      </c>
      <c r="AM594" s="297"/>
    </row>
    <row r="595" spans="1:39"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outlineLevel="1">
      <c r="A596" s="532">
        <v>4</v>
      </c>
      <c r="B596" s="520" t="s">
        <v>671</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outlineLevel="1">
      <c r="A597" s="532"/>
      <c r="B597" s="294" t="s">
        <v>310</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47">Z596</f>
        <v>0</v>
      </c>
      <c r="AA597" s="411">
        <f t="shared" ref="AA597" si="1748">AA596</f>
        <v>0</v>
      </c>
      <c r="AB597" s="411">
        <f t="shared" ref="AB597" si="1749">AB596</f>
        <v>0</v>
      </c>
      <c r="AC597" s="411">
        <f t="shared" ref="AC597" si="1750">AC596</f>
        <v>0</v>
      </c>
      <c r="AD597" s="411">
        <f t="shared" ref="AD597" si="1751">AD596</f>
        <v>0</v>
      </c>
      <c r="AE597" s="411">
        <f t="shared" ref="AE597" si="1752">AE596</f>
        <v>0</v>
      </c>
      <c r="AF597" s="411">
        <f t="shared" ref="AF597" si="1753">AF596</f>
        <v>0</v>
      </c>
      <c r="AG597" s="411">
        <f t="shared" ref="AG597" si="1754">AG596</f>
        <v>0</v>
      </c>
      <c r="AH597" s="411">
        <f t="shared" ref="AH597" si="1755">AH596</f>
        <v>0</v>
      </c>
      <c r="AI597" s="411">
        <f t="shared" ref="AI597" si="1756">AI596</f>
        <v>0</v>
      </c>
      <c r="AJ597" s="411">
        <f t="shared" ref="AJ597" si="1757">AJ596</f>
        <v>0</v>
      </c>
      <c r="AK597" s="411">
        <f t="shared" ref="AK597" si="1758">AK596</f>
        <v>0</v>
      </c>
      <c r="AL597" s="411">
        <f t="shared" ref="AL597" si="1759">AL596</f>
        <v>0</v>
      </c>
      <c r="AM597" s="297"/>
    </row>
    <row r="598" spans="1:39"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outlineLevel="1">
      <c r="A600" s="532"/>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60">Z599</f>
        <v>0</v>
      </c>
      <c r="AA600" s="411">
        <f t="shared" ref="AA600" si="1761">AA599</f>
        <v>0</v>
      </c>
      <c r="AB600" s="411">
        <f t="shared" ref="AB600" si="1762">AB599</f>
        <v>0</v>
      </c>
      <c r="AC600" s="411">
        <f t="shared" ref="AC600" si="1763">AC599</f>
        <v>0</v>
      </c>
      <c r="AD600" s="411">
        <f t="shared" ref="AD600" si="1764">AD599</f>
        <v>0</v>
      </c>
      <c r="AE600" s="411">
        <f t="shared" ref="AE600" si="1765">AE599</f>
        <v>0</v>
      </c>
      <c r="AF600" s="411">
        <f t="shared" ref="AF600" si="1766">AF599</f>
        <v>0</v>
      </c>
      <c r="AG600" s="411">
        <f t="shared" ref="AG600" si="1767">AG599</f>
        <v>0</v>
      </c>
      <c r="AH600" s="411">
        <f t="shared" ref="AH600" si="1768">AH599</f>
        <v>0</v>
      </c>
      <c r="AI600" s="411">
        <f t="shared" ref="AI600" si="1769">AI599</f>
        <v>0</v>
      </c>
      <c r="AJ600" s="411">
        <f t="shared" ref="AJ600" si="1770">AJ599</f>
        <v>0</v>
      </c>
      <c r="AK600" s="411">
        <f t="shared" ref="AK600" si="1771">AK599</f>
        <v>0</v>
      </c>
      <c r="AL600" s="411">
        <f t="shared" ref="AL600" si="1772">AL599</f>
        <v>0</v>
      </c>
      <c r="AM600" s="297"/>
    </row>
    <row r="601" spans="1:39"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75" outlineLevel="1">
      <c r="A602" s="532"/>
      <c r="B602" s="319" t="s">
        <v>497</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outlineLevel="1">
      <c r="A604" s="532"/>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73">Z603</f>
        <v>0</v>
      </c>
      <c r="AA604" s="411">
        <f t="shared" ref="AA604" si="1774">AA603</f>
        <v>0</v>
      </c>
      <c r="AB604" s="411">
        <f t="shared" ref="AB604" si="1775">AB603</f>
        <v>0</v>
      </c>
      <c r="AC604" s="411">
        <f t="shared" ref="AC604" si="1776">AC603</f>
        <v>0</v>
      </c>
      <c r="AD604" s="411">
        <f t="shared" ref="AD604" si="1777">AD603</f>
        <v>0</v>
      </c>
      <c r="AE604" s="411">
        <f t="shared" ref="AE604" si="1778">AE603</f>
        <v>0</v>
      </c>
      <c r="AF604" s="411">
        <f t="shared" ref="AF604" si="1779">AF603</f>
        <v>0</v>
      </c>
      <c r="AG604" s="411">
        <f t="shared" ref="AG604" si="1780">AG603</f>
        <v>0</v>
      </c>
      <c r="AH604" s="411">
        <f t="shared" ref="AH604" si="1781">AH603</f>
        <v>0</v>
      </c>
      <c r="AI604" s="411">
        <f t="shared" ref="AI604" si="1782">AI603</f>
        <v>0</v>
      </c>
      <c r="AJ604" s="411">
        <f t="shared" ref="AJ604" si="1783">AJ603</f>
        <v>0</v>
      </c>
      <c r="AK604" s="411">
        <f t="shared" ref="AK604" si="1784">AK603</f>
        <v>0</v>
      </c>
      <c r="AL604" s="411">
        <f t="shared" ref="AL604" si="1785">AL603</f>
        <v>0</v>
      </c>
      <c r="AM604" s="311"/>
    </row>
    <row r="605" spans="1:39"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outlineLevel="1">
      <c r="A607" s="532"/>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86">Z606</f>
        <v>0</v>
      </c>
      <c r="AA607" s="411">
        <f t="shared" ref="AA607" si="1787">AA606</f>
        <v>0</v>
      </c>
      <c r="AB607" s="411">
        <f t="shared" ref="AB607" si="1788">AB606</f>
        <v>0</v>
      </c>
      <c r="AC607" s="411">
        <f t="shared" ref="AC607" si="1789">AC606</f>
        <v>0</v>
      </c>
      <c r="AD607" s="411">
        <f t="shared" ref="AD607" si="1790">AD606</f>
        <v>0</v>
      </c>
      <c r="AE607" s="411">
        <f t="shared" ref="AE607" si="1791">AE606</f>
        <v>0</v>
      </c>
      <c r="AF607" s="411">
        <f t="shared" ref="AF607" si="1792">AF606</f>
        <v>0</v>
      </c>
      <c r="AG607" s="411">
        <f t="shared" ref="AG607" si="1793">AG606</f>
        <v>0</v>
      </c>
      <c r="AH607" s="411">
        <f t="shared" ref="AH607" si="1794">AH606</f>
        <v>0</v>
      </c>
      <c r="AI607" s="411">
        <f t="shared" ref="AI607" si="1795">AI606</f>
        <v>0</v>
      </c>
      <c r="AJ607" s="411">
        <f t="shared" ref="AJ607" si="1796">AJ606</f>
        <v>0</v>
      </c>
      <c r="AK607" s="411">
        <f t="shared" ref="AK607" si="1797">AK606</f>
        <v>0</v>
      </c>
      <c r="AL607" s="411">
        <f t="shared" ref="AL607" si="1798">AL606</f>
        <v>0</v>
      </c>
      <c r="AM607" s="311"/>
    </row>
    <row r="608" spans="1:39"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outlineLevel="1">
      <c r="A610" s="532"/>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799">Z609</f>
        <v>0</v>
      </c>
      <c r="AA610" s="411">
        <f t="shared" ref="AA610" si="1800">AA609</f>
        <v>0</v>
      </c>
      <c r="AB610" s="411">
        <f t="shared" ref="AB610" si="1801">AB609</f>
        <v>0</v>
      </c>
      <c r="AC610" s="411">
        <f t="shared" ref="AC610" si="1802">AC609</f>
        <v>0</v>
      </c>
      <c r="AD610" s="411">
        <f t="shared" ref="AD610" si="1803">AD609</f>
        <v>0</v>
      </c>
      <c r="AE610" s="411">
        <f t="shared" ref="AE610" si="1804">AE609</f>
        <v>0</v>
      </c>
      <c r="AF610" s="411">
        <f t="shared" ref="AF610" si="1805">AF609</f>
        <v>0</v>
      </c>
      <c r="AG610" s="411">
        <f t="shared" ref="AG610" si="1806">AG609</f>
        <v>0</v>
      </c>
      <c r="AH610" s="411">
        <f t="shared" ref="AH610" si="1807">AH609</f>
        <v>0</v>
      </c>
      <c r="AI610" s="411">
        <f t="shared" ref="AI610" si="1808">AI609</f>
        <v>0</v>
      </c>
      <c r="AJ610" s="411">
        <f t="shared" ref="AJ610" si="1809">AJ609</f>
        <v>0</v>
      </c>
      <c r="AK610" s="411">
        <f t="shared" ref="AK610" si="1810">AK609</f>
        <v>0</v>
      </c>
      <c r="AL610" s="411">
        <f t="shared" ref="AL610" si="1811">AL609</f>
        <v>0</v>
      </c>
      <c r="AM610" s="311"/>
    </row>
    <row r="611" spans="1:39"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outlineLevel="1">
      <c r="A613" s="532"/>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12">Z612</f>
        <v>0</v>
      </c>
      <c r="AA613" s="411">
        <f t="shared" ref="AA613" si="1813">AA612</f>
        <v>0</v>
      </c>
      <c r="AB613" s="411">
        <f t="shared" ref="AB613" si="1814">AB612</f>
        <v>0</v>
      </c>
      <c r="AC613" s="411">
        <f t="shared" ref="AC613" si="1815">AC612</f>
        <v>0</v>
      </c>
      <c r="AD613" s="411">
        <f t="shared" ref="AD613" si="1816">AD612</f>
        <v>0</v>
      </c>
      <c r="AE613" s="411">
        <f t="shared" ref="AE613" si="1817">AE612</f>
        <v>0</v>
      </c>
      <c r="AF613" s="411">
        <f t="shared" ref="AF613" si="1818">AF612</f>
        <v>0</v>
      </c>
      <c r="AG613" s="411">
        <f t="shared" ref="AG613" si="1819">AG612</f>
        <v>0</v>
      </c>
      <c r="AH613" s="411">
        <f t="shared" ref="AH613" si="1820">AH612</f>
        <v>0</v>
      </c>
      <c r="AI613" s="411">
        <f t="shared" ref="AI613" si="1821">AI612</f>
        <v>0</v>
      </c>
      <c r="AJ613" s="411">
        <f t="shared" ref="AJ613" si="1822">AJ612</f>
        <v>0</v>
      </c>
      <c r="AK613" s="411">
        <f t="shared" ref="AK613" si="1823">AK612</f>
        <v>0</v>
      </c>
      <c r="AL613" s="411">
        <f t="shared" ref="AL613" si="1824">AL612</f>
        <v>0</v>
      </c>
      <c r="AM613" s="311"/>
    </row>
    <row r="614" spans="1:39"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outlineLevel="1">
      <c r="A616" s="532"/>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25">Z615</f>
        <v>0</v>
      </c>
      <c r="AA616" s="411">
        <f t="shared" ref="AA616" si="1826">AA615</f>
        <v>0</v>
      </c>
      <c r="AB616" s="411">
        <f t="shared" ref="AB616" si="1827">AB615</f>
        <v>0</v>
      </c>
      <c r="AC616" s="411">
        <f t="shared" ref="AC616" si="1828">AC615</f>
        <v>0</v>
      </c>
      <c r="AD616" s="411">
        <f t="shared" ref="AD616" si="1829">AD615</f>
        <v>0</v>
      </c>
      <c r="AE616" s="411">
        <f t="shared" ref="AE616" si="1830">AE615</f>
        <v>0</v>
      </c>
      <c r="AF616" s="411">
        <f t="shared" ref="AF616" si="1831">AF615</f>
        <v>0</v>
      </c>
      <c r="AG616" s="411">
        <f t="shared" ref="AG616" si="1832">AG615</f>
        <v>0</v>
      </c>
      <c r="AH616" s="411">
        <f t="shared" ref="AH616" si="1833">AH615</f>
        <v>0</v>
      </c>
      <c r="AI616" s="411">
        <f t="shared" ref="AI616" si="1834">AI615</f>
        <v>0</v>
      </c>
      <c r="AJ616" s="411">
        <f t="shared" ref="AJ616" si="1835">AJ615</f>
        <v>0</v>
      </c>
      <c r="AK616" s="411">
        <f t="shared" ref="AK616" si="1836">AK615</f>
        <v>0</v>
      </c>
      <c r="AL616" s="411">
        <f t="shared" ref="AL616" si="1837">AL615</f>
        <v>0</v>
      </c>
      <c r="AM616" s="311"/>
    </row>
    <row r="617" spans="1:39"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75"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outlineLevel="1">
      <c r="A620" s="532"/>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38">Z619</f>
        <v>0</v>
      </c>
      <c r="AA620" s="411">
        <f t="shared" ref="AA620" si="1839">AA619</f>
        <v>0</v>
      </c>
      <c r="AB620" s="411">
        <f t="shared" ref="AB620" si="1840">AB619</f>
        <v>0</v>
      </c>
      <c r="AC620" s="411">
        <f t="shared" ref="AC620" si="1841">AC619</f>
        <v>0</v>
      </c>
      <c r="AD620" s="411">
        <f t="shared" ref="AD620" si="1842">AD619</f>
        <v>0</v>
      </c>
      <c r="AE620" s="411">
        <f t="shared" ref="AE620" si="1843">AE619</f>
        <v>0</v>
      </c>
      <c r="AF620" s="411">
        <f t="shared" ref="AF620" si="1844">AF619</f>
        <v>0</v>
      </c>
      <c r="AG620" s="411">
        <f t="shared" ref="AG620" si="1845">AG619</f>
        <v>0</v>
      </c>
      <c r="AH620" s="411">
        <f t="shared" ref="AH620" si="1846">AH619</f>
        <v>0</v>
      </c>
      <c r="AI620" s="411">
        <f t="shared" ref="AI620" si="1847">AI619</f>
        <v>0</v>
      </c>
      <c r="AJ620" s="411">
        <f t="shared" ref="AJ620" si="1848">AJ619</f>
        <v>0</v>
      </c>
      <c r="AK620" s="411">
        <f t="shared" ref="AK620" si="1849">AK619</f>
        <v>0</v>
      </c>
      <c r="AL620" s="411">
        <f t="shared" ref="AL620" si="1850">AL619</f>
        <v>0</v>
      </c>
      <c r="AM620" s="297"/>
    </row>
    <row r="621" spans="1:39"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45"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outlineLevel="1">
      <c r="A623" s="532"/>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1">Z622</f>
        <v>0</v>
      </c>
      <c r="AA623" s="411">
        <f t="shared" ref="AA623" si="1852">AA622</f>
        <v>0</v>
      </c>
      <c r="AB623" s="411">
        <f t="shared" ref="AB623" si="1853">AB622</f>
        <v>0</v>
      </c>
      <c r="AC623" s="411">
        <f t="shared" ref="AC623" si="1854">AC622</f>
        <v>0</v>
      </c>
      <c r="AD623" s="411">
        <f t="shared" ref="AD623" si="1855">AD622</f>
        <v>0</v>
      </c>
      <c r="AE623" s="411">
        <f t="shared" ref="AE623" si="1856">AE622</f>
        <v>0</v>
      </c>
      <c r="AF623" s="411">
        <f t="shared" ref="AF623" si="1857">AF622</f>
        <v>0</v>
      </c>
      <c r="AG623" s="411">
        <f t="shared" ref="AG623" si="1858">AG622</f>
        <v>0</v>
      </c>
      <c r="AH623" s="411">
        <f t="shared" ref="AH623" si="1859">AH622</f>
        <v>0</v>
      </c>
      <c r="AI623" s="411">
        <f t="shared" ref="AI623" si="1860">AI622</f>
        <v>0</v>
      </c>
      <c r="AJ623" s="411">
        <f t="shared" ref="AJ623" si="1861">AJ622</f>
        <v>0</v>
      </c>
      <c r="AK623" s="411">
        <f t="shared" ref="AK623" si="1862">AK622</f>
        <v>0</v>
      </c>
      <c r="AL623" s="411">
        <f t="shared" ref="AL623" si="1863">AL622</f>
        <v>0</v>
      </c>
      <c r="AM623" s="297"/>
    </row>
    <row r="624" spans="1:39"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outlineLevel="1">
      <c r="A626" s="532"/>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64">Z625</f>
        <v>0</v>
      </c>
      <c r="AA626" s="411">
        <f t="shared" ref="AA626" si="1865">AA625</f>
        <v>0</v>
      </c>
      <c r="AB626" s="411">
        <f t="shared" ref="AB626" si="1866">AB625</f>
        <v>0</v>
      </c>
      <c r="AC626" s="411">
        <f t="shared" ref="AC626" si="1867">AC625</f>
        <v>0</v>
      </c>
      <c r="AD626" s="411">
        <f t="shared" ref="AD626" si="1868">AD625</f>
        <v>0</v>
      </c>
      <c r="AE626" s="411">
        <f t="shared" ref="AE626" si="1869">AE625</f>
        <v>0</v>
      </c>
      <c r="AF626" s="411">
        <f t="shared" ref="AF626" si="1870">AF625</f>
        <v>0</v>
      </c>
      <c r="AG626" s="411">
        <f t="shared" ref="AG626" si="1871">AG625</f>
        <v>0</v>
      </c>
      <c r="AH626" s="411">
        <f t="shared" ref="AH626" si="1872">AH625</f>
        <v>0</v>
      </c>
      <c r="AI626" s="411">
        <f t="shared" ref="AI626" si="1873">AI625</f>
        <v>0</v>
      </c>
      <c r="AJ626" s="411">
        <f t="shared" ref="AJ626" si="1874">AJ625</f>
        <v>0</v>
      </c>
      <c r="AK626" s="411">
        <f t="shared" ref="AK626" si="1875">AK625</f>
        <v>0</v>
      </c>
      <c r="AL626" s="411">
        <f t="shared" ref="AL626" si="1876">AL625</f>
        <v>0</v>
      </c>
      <c r="AM626" s="306"/>
    </row>
    <row r="627" spans="1:40"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75"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outlineLevel="1">
      <c r="A630" s="532"/>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77">Z629</f>
        <v>0</v>
      </c>
      <c r="AA630" s="411">
        <f t="shared" ref="AA630" si="1878">AA629</f>
        <v>0</v>
      </c>
      <c r="AB630" s="411">
        <f t="shared" ref="AB630" si="1879">AB629</f>
        <v>0</v>
      </c>
      <c r="AC630" s="411">
        <f t="shared" ref="AC630" si="1880">AC629</f>
        <v>0</v>
      </c>
      <c r="AD630" s="411">
        <f t="shared" ref="AD630" si="1881">AD629</f>
        <v>0</v>
      </c>
      <c r="AE630" s="411">
        <f t="shared" ref="AE630" si="1882">AE629</f>
        <v>0</v>
      </c>
      <c r="AF630" s="411">
        <f t="shared" ref="AF630" si="1883">AF629</f>
        <v>0</v>
      </c>
      <c r="AG630" s="411">
        <f t="shared" ref="AG630" si="1884">AG629</f>
        <v>0</v>
      </c>
      <c r="AH630" s="411">
        <f t="shared" ref="AH630" si="1885">AH629</f>
        <v>0</v>
      </c>
      <c r="AI630" s="411">
        <f t="shared" ref="AI630" si="1886">AI629</f>
        <v>0</v>
      </c>
      <c r="AJ630" s="411">
        <f t="shared" ref="AJ630" si="1887">AJ629</f>
        <v>0</v>
      </c>
      <c r="AK630" s="411">
        <f t="shared" ref="AK630" si="1888">AK629</f>
        <v>0</v>
      </c>
      <c r="AL630" s="411">
        <f t="shared" ref="AL630" si="1889">AL629</f>
        <v>0</v>
      </c>
      <c r="AM630" s="516"/>
      <c r="AN630" s="630"/>
    </row>
    <row r="631" spans="1:40"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30"/>
    </row>
    <row r="632" spans="1:40" s="309" customFormat="1" ht="15.75" outlineLevel="1">
      <c r="A632" s="532"/>
      <c r="B632" s="288" t="s">
        <v>489</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1"/>
    </row>
    <row r="633" spans="1:40" outlineLevel="1">
      <c r="A633" s="532">
        <v>15</v>
      </c>
      <c r="B633" s="294" t="s">
        <v>494</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outlineLevel="1">
      <c r="A634" s="532"/>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0">Z633</f>
        <v>0</v>
      </c>
      <c r="AA634" s="411">
        <f t="shared" si="1890"/>
        <v>0</v>
      </c>
      <c r="AB634" s="411">
        <f t="shared" si="1890"/>
        <v>0</v>
      </c>
      <c r="AC634" s="411">
        <f t="shared" si="1890"/>
        <v>0</v>
      </c>
      <c r="AD634" s="411">
        <f t="shared" si="1890"/>
        <v>0</v>
      </c>
      <c r="AE634" s="411">
        <f t="shared" si="1890"/>
        <v>0</v>
      </c>
      <c r="AF634" s="411">
        <f t="shared" si="1890"/>
        <v>0</v>
      </c>
      <c r="AG634" s="411">
        <f t="shared" si="1890"/>
        <v>0</v>
      </c>
      <c r="AH634" s="411">
        <f t="shared" si="1890"/>
        <v>0</v>
      </c>
      <c r="AI634" s="411">
        <f t="shared" si="1890"/>
        <v>0</v>
      </c>
      <c r="AJ634" s="411">
        <f t="shared" si="1890"/>
        <v>0</v>
      </c>
      <c r="AK634" s="411">
        <f t="shared" si="1890"/>
        <v>0</v>
      </c>
      <c r="AL634" s="411">
        <f t="shared" si="1890"/>
        <v>0</v>
      </c>
      <c r="AM634" s="297"/>
    </row>
    <row r="635" spans="1:40"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outlineLevel="1">
      <c r="A636" s="532">
        <v>16</v>
      </c>
      <c r="B636" s="324" t="s">
        <v>490</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outlineLevel="1">
      <c r="A637" s="532"/>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1">Z636</f>
        <v>0</v>
      </c>
      <c r="AA637" s="411">
        <f t="shared" si="1891"/>
        <v>0</v>
      </c>
      <c r="AB637" s="411">
        <f t="shared" si="1891"/>
        <v>0</v>
      </c>
      <c r="AC637" s="411">
        <f t="shared" si="1891"/>
        <v>0</v>
      </c>
      <c r="AD637" s="411">
        <f t="shared" si="1891"/>
        <v>0</v>
      </c>
      <c r="AE637" s="411">
        <f t="shared" si="1891"/>
        <v>0</v>
      </c>
      <c r="AF637" s="411">
        <f t="shared" si="1891"/>
        <v>0</v>
      </c>
      <c r="AG637" s="411">
        <f t="shared" si="1891"/>
        <v>0</v>
      </c>
      <c r="AH637" s="411">
        <f t="shared" si="1891"/>
        <v>0</v>
      </c>
      <c r="AI637" s="411">
        <f t="shared" si="1891"/>
        <v>0</v>
      </c>
      <c r="AJ637" s="411">
        <f t="shared" si="1891"/>
        <v>0</v>
      </c>
      <c r="AK637" s="411">
        <f t="shared" si="1891"/>
        <v>0</v>
      </c>
      <c r="AL637" s="411">
        <f t="shared" si="1891"/>
        <v>0</v>
      </c>
      <c r="AM637" s="297"/>
    </row>
    <row r="638" spans="1:40" s="283" customFormat="1"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75" outlineLevel="1">
      <c r="A639" s="532"/>
      <c r="B639" s="519" t="s">
        <v>495</v>
      </c>
      <c r="C639" s="320"/>
      <c r="D639" s="289"/>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outlineLevel="1">
      <c r="A641" s="532"/>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92">Z640</f>
        <v>0</v>
      </c>
      <c r="AA641" s="411">
        <f t="shared" si="1892"/>
        <v>0</v>
      </c>
      <c r="AB641" s="411">
        <f t="shared" si="1892"/>
        <v>0</v>
      </c>
      <c r="AC641" s="411">
        <f t="shared" si="1892"/>
        <v>0</v>
      </c>
      <c r="AD641" s="411">
        <f t="shared" si="1892"/>
        <v>0</v>
      </c>
      <c r="AE641" s="411">
        <f t="shared" si="1892"/>
        <v>0</v>
      </c>
      <c r="AF641" s="411">
        <f t="shared" si="1892"/>
        <v>0</v>
      </c>
      <c r="AG641" s="411">
        <f t="shared" si="1892"/>
        <v>0</v>
      </c>
      <c r="AH641" s="411">
        <f t="shared" si="1892"/>
        <v>0</v>
      </c>
      <c r="AI641" s="411">
        <f t="shared" si="1892"/>
        <v>0</v>
      </c>
      <c r="AJ641" s="411">
        <f t="shared" si="1892"/>
        <v>0</v>
      </c>
      <c r="AK641" s="411">
        <f t="shared" si="1892"/>
        <v>0</v>
      </c>
      <c r="AL641" s="411">
        <f t="shared" si="1892"/>
        <v>0</v>
      </c>
      <c r="AM641" s="306"/>
    </row>
    <row r="642" spans="1:39"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outlineLevel="1">
      <c r="A644" s="532"/>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3">Z643</f>
        <v>0</v>
      </c>
      <c r="AA644" s="411">
        <f t="shared" si="1893"/>
        <v>0</v>
      </c>
      <c r="AB644" s="411">
        <f t="shared" si="1893"/>
        <v>0</v>
      </c>
      <c r="AC644" s="411">
        <f t="shared" si="1893"/>
        <v>0</v>
      </c>
      <c r="AD644" s="411">
        <f t="shared" si="1893"/>
        <v>0</v>
      </c>
      <c r="AE644" s="411">
        <f t="shared" si="1893"/>
        <v>0</v>
      </c>
      <c r="AF644" s="411">
        <f t="shared" si="1893"/>
        <v>0</v>
      </c>
      <c r="AG644" s="411">
        <f t="shared" si="1893"/>
        <v>0</v>
      </c>
      <c r="AH644" s="411">
        <f t="shared" si="1893"/>
        <v>0</v>
      </c>
      <c r="AI644" s="411">
        <f t="shared" si="1893"/>
        <v>0</v>
      </c>
      <c r="AJ644" s="411">
        <f t="shared" si="1893"/>
        <v>0</v>
      </c>
      <c r="AK644" s="411">
        <f t="shared" si="1893"/>
        <v>0</v>
      </c>
      <c r="AL644" s="411">
        <f t="shared" si="1893"/>
        <v>0</v>
      </c>
      <c r="AM644" s="306"/>
    </row>
    <row r="645" spans="1:39"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outlineLevel="1">
      <c r="A647" s="532"/>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94">Z646</f>
        <v>0</v>
      </c>
      <c r="AA647" s="411">
        <f t="shared" si="1894"/>
        <v>0</v>
      </c>
      <c r="AB647" s="411">
        <f t="shared" si="1894"/>
        <v>0</v>
      </c>
      <c r="AC647" s="411">
        <f t="shared" si="1894"/>
        <v>0</v>
      </c>
      <c r="AD647" s="411">
        <f t="shared" si="1894"/>
        <v>0</v>
      </c>
      <c r="AE647" s="411">
        <f t="shared" si="1894"/>
        <v>0</v>
      </c>
      <c r="AF647" s="411">
        <f t="shared" si="1894"/>
        <v>0</v>
      </c>
      <c r="AG647" s="411">
        <f t="shared" si="1894"/>
        <v>0</v>
      </c>
      <c r="AH647" s="411">
        <f t="shared" si="1894"/>
        <v>0</v>
      </c>
      <c r="AI647" s="411">
        <f t="shared" si="1894"/>
        <v>0</v>
      </c>
      <c r="AJ647" s="411">
        <f t="shared" si="1894"/>
        <v>0</v>
      </c>
      <c r="AK647" s="411">
        <f t="shared" si="1894"/>
        <v>0</v>
      </c>
      <c r="AL647" s="411">
        <f t="shared" si="1894"/>
        <v>0</v>
      </c>
      <c r="AM647" s="297"/>
    </row>
    <row r="648" spans="1:39"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outlineLevel="1">
      <c r="A650" s="532"/>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5">Z649</f>
        <v>0</v>
      </c>
      <c r="AA650" s="411">
        <f t="shared" si="1895"/>
        <v>0</v>
      </c>
      <c r="AB650" s="411">
        <f t="shared" si="1895"/>
        <v>0</v>
      </c>
      <c r="AC650" s="411">
        <f t="shared" si="1895"/>
        <v>0</v>
      </c>
      <c r="AD650" s="411">
        <f t="shared" si="1895"/>
        <v>0</v>
      </c>
      <c r="AE650" s="411">
        <f t="shared" si="1895"/>
        <v>0</v>
      </c>
      <c r="AF650" s="411">
        <f t="shared" si="1895"/>
        <v>0</v>
      </c>
      <c r="AG650" s="411">
        <f t="shared" si="1895"/>
        <v>0</v>
      </c>
      <c r="AH650" s="411">
        <f t="shared" si="1895"/>
        <v>0</v>
      </c>
      <c r="AI650" s="411">
        <f t="shared" si="1895"/>
        <v>0</v>
      </c>
      <c r="AJ650" s="411">
        <f t="shared" si="1895"/>
        <v>0</v>
      </c>
      <c r="AK650" s="411">
        <f t="shared" si="1895"/>
        <v>0</v>
      </c>
      <c r="AL650" s="411">
        <f t="shared" si="1895"/>
        <v>0</v>
      </c>
      <c r="AM650" s="306"/>
    </row>
    <row r="651" spans="1:39" ht="15.75"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75" outlineLevel="1">
      <c r="A652" s="532"/>
      <c r="B652" s="518" t="s">
        <v>502</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75" outlineLevel="1">
      <c r="A653" s="532"/>
      <c r="B653" s="504" t="s">
        <v>498</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outlineLevel="1">
      <c r="A654" s="532">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outlineLevel="1">
      <c r="A655" s="532"/>
      <c r="B655" s="294" t="s">
        <v>310</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0</v>
      </c>
      <c r="Z655" s="411">
        <f t="shared" ref="Z655" si="1896">Z654</f>
        <v>0</v>
      </c>
      <c r="AA655" s="411">
        <f t="shared" ref="AA655" si="1897">AA654</f>
        <v>0</v>
      </c>
      <c r="AB655" s="411">
        <f t="shared" ref="AB655" si="1898">AB654</f>
        <v>0</v>
      </c>
      <c r="AC655" s="411">
        <f t="shared" ref="AC655" si="1899">AC654</f>
        <v>0</v>
      </c>
      <c r="AD655" s="411">
        <f t="shared" ref="AD655" si="1900">AD654</f>
        <v>0</v>
      </c>
      <c r="AE655" s="411">
        <f t="shared" ref="AE655" si="1901">AE654</f>
        <v>0</v>
      </c>
      <c r="AF655" s="411">
        <f t="shared" ref="AF655" si="1902">AF654</f>
        <v>0</v>
      </c>
      <c r="AG655" s="411">
        <f t="shared" ref="AG655" si="1903">AG654</f>
        <v>0</v>
      </c>
      <c r="AH655" s="411">
        <f t="shared" ref="AH655" si="1904">AH654</f>
        <v>0</v>
      </c>
      <c r="AI655" s="411">
        <f t="shared" ref="AI655" si="1905">AI654</f>
        <v>0</v>
      </c>
      <c r="AJ655" s="411">
        <f t="shared" ref="AJ655" si="1906">AJ654</f>
        <v>0</v>
      </c>
      <c r="AK655" s="411">
        <f t="shared" ref="AK655" si="1907">AK654</f>
        <v>0</v>
      </c>
      <c r="AL655" s="411">
        <f t="shared" ref="AL655" si="1908">AL654</f>
        <v>0</v>
      </c>
      <c r="AM655" s="306"/>
    </row>
    <row r="656" spans="1:39"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outlineLevel="1">
      <c r="A657" s="532">
        <v>22</v>
      </c>
      <c r="B657" s="428" t="s">
        <v>114</v>
      </c>
      <c r="C657" s="291" t="s">
        <v>25</v>
      </c>
      <c r="D657" s="295">
        <f>'7.  Persistence Report'!AX127</f>
        <v>82351</v>
      </c>
      <c r="E657" s="295">
        <f>'7.  Persistence Report'!AY127</f>
        <v>82351</v>
      </c>
      <c r="F657" s="295">
        <f>'7.  Persistence Report'!AZ127</f>
        <v>82351</v>
      </c>
      <c r="G657" s="295">
        <f>'7.  Persistence Report'!BA127</f>
        <v>82351</v>
      </c>
      <c r="H657" s="295">
        <f>'7.  Persistence Report'!BB127</f>
        <v>82351</v>
      </c>
      <c r="I657" s="295">
        <f>'7.  Persistence Report'!BC127</f>
        <v>0</v>
      </c>
      <c r="J657" s="295">
        <f>'7.  Persistence Report'!BD127</f>
        <v>0</v>
      </c>
      <c r="K657" s="295">
        <f>'7.  Persistence Report'!BE127</f>
        <v>0</v>
      </c>
      <c r="L657" s="295">
        <f>'7.  Persistence Report'!BF127</f>
        <v>0</v>
      </c>
      <c r="M657" s="295">
        <f>'7.  Persistence Report'!BG127</f>
        <v>0</v>
      </c>
      <c r="N657" s="291"/>
      <c r="O657" s="295">
        <f>'7.  Persistence Report'!S127</f>
        <v>0</v>
      </c>
      <c r="P657" s="295">
        <f>'7.  Persistence Report'!T127</f>
        <v>0</v>
      </c>
      <c r="Q657" s="295">
        <f>'7.  Persistence Report'!U127</f>
        <v>0</v>
      </c>
      <c r="R657" s="295">
        <f>'7.  Persistence Report'!V127</f>
        <v>0</v>
      </c>
      <c r="S657" s="295">
        <f>'7.  Persistence Report'!W127</f>
        <v>0</v>
      </c>
      <c r="T657" s="295">
        <f>'7.  Persistence Report'!X127</f>
        <v>0</v>
      </c>
      <c r="U657" s="295">
        <f>'7.  Persistence Report'!Y127</f>
        <v>0</v>
      </c>
      <c r="V657" s="295">
        <f>'7.  Persistence Report'!Z127</f>
        <v>0</v>
      </c>
      <c r="W657" s="295">
        <f>'7.  Persistence Report'!AA127</f>
        <v>0</v>
      </c>
      <c r="X657" s="295">
        <f>'7.  Persistence Report'!AB127</f>
        <v>0</v>
      </c>
      <c r="Y657" s="410">
        <v>1</v>
      </c>
      <c r="Z657" s="410"/>
      <c r="AA657" s="410"/>
      <c r="AB657" s="410"/>
      <c r="AC657" s="410"/>
      <c r="AD657" s="410"/>
      <c r="AE657" s="410"/>
      <c r="AF657" s="410"/>
      <c r="AG657" s="410"/>
      <c r="AH657" s="410"/>
      <c r="AI657" s="410"/>
      <c r="AJ657" s="410"/>
      <c r="AK657" s="410"/>
      <c r="AL657" s="410"/>
      <c r="AM657" s="296">
        <f>SUM(Y657:AL657)</f>
        <v>1</v>
      </c>
    </row>
    <row r="658" spans="1:39" outlineLevel="1">
      <c r="A658" s="532"/>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1</v>
      </c>
      <c r="Z658" s="411">
        <f t="shared" ref="Z658" si="1909">Z657</f>
        <v>0</v>
      </c>
      <c r="AA658" s="411">
        <f t="shared" ref="AA658" si="1910">AA657</f>
        <v>0</v>
      </c>
      <c r="AB658" s="411">
        <f t="shared" ref="AB658" si="1911">AB657</f>
        <v>0</v>
      </c>
      <c r="AC658" s="411">
        <f t="shared" ref="AC658" si="1912">AC657</f>
        <v>0</v>
      </c>
      <c r="AD658" s="411">
        <f t="shared" ref="AD658" si="1913">AD657</f>
        <v>0</v>
      </c>
      <c r="AE658" s="411">
        <f t="shared" ref="AE658" si="1914">AE657</f>
        <v>0</v>
      </c>
      <c r="AF658" s="411">
        <f t="shared" ref="AF658" si="1915">AF657</f>
        <v>0</v>
      </c>
      <c r="AG658" s="411">
        <f t="shared" ref="AG658" si="1916">AG657</f>
        <v>0</v>
      </c>
      <c r="AH658" s="411">
        <f t="shared" ref="AH658" si="1917">AH657</f>
        <v>0</v>
      </c>
      <c r="AI658" s="411">
        <f t="shared" ref="AI658" si="1918">AI657</f>
        <v>0</v>
      </c>
      <c r="AJ658" s="411">
        <f t="shared" ref="AJ658" si="1919">AJ657</f>
        <v>0</v>
      </c>
      <c r="AK658" s="411">
        <f t="shared" ref="AK658" si="1920">AK657</f>
        <v>0</v>
      </c>
      <c r="AL658" s="411">
        <f t="shared" ref="AL658" si="1921">AL657</f>
        <v>0</v>
      </c>
      <c r="AM658" s="306"/>
    </row>
    <row r="659" spans="1:39"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outlineLevel="1">
      <c r="A660" s="532">
        <v>23</v>
      </c>
      <c r="B660" s="428" t="s">
        <v>115</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outlineLevel="1">
      <c r="A661" s="532"/>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0</v>
      </c>
      <c r="Z661" s="411">
        <f t="shared" ref="Z661" si="1922">Z660</f>
        <v>0</v>
      </c>
      <c r="AA661" s="411">
        <f t="shared" ref="AA661" si="1923">AA660</f>
        <v>0</v>
      </c>
      <c r="AB661" s="411">
        <f t="shared" ref="AB661" si="1924">AB660</f>
        <v>0</v>
      </c>
      <c r="AC661" s="411">
        <f t="shared" ref="AC661" si="1925">AC660</f>
        <v>0</v>
      </c>
      <c r="AD661" s="411">
        <f t="shared" ref="AD661" si="1926">AD660</f>
        <v>0</v>
      </c>
      <c r="AE661" s="411">
        <f t="shared" ref="AE661" si="1927">AE660</f>
        <v>0</v>
      </c>
      <c r="AF661" s="411">
        <f t="shared" ref="AF661" si="1928">AF660</f>
        <v>0</v>
      </c>
      <c r="AG661" s="411">
        <f t="shared" ref="AG661" si="1929">AG660</f>
        <v>0</v>
      </c>
      <c r="AH661" s="411">
        <f t="shared" ref="AH661" si="1930">AH660</f>
        <v>0</v>
      </c>
      <c r="AI661" s="411">
        <f t="shared" ref="AI661" si="1931">AI660</f>
        <v>0</v>
      </c>
      <c r="AJ661" s="411">
        <f t="shared" ref="AJ661" si="1932">AJ660</f>
        <v>0</v>
      </c>
      <c r="AK661" s="411">
        <f t="shared" ref="AK661" si="1933">AK660</f>
        <v>0</v>
      </c>
      <c r="AL661" s="411">
        <f t="shared" ref="AL661" si="1934">AL660</f>
        <v>0</v>
      </c>
      <c r="AM661" s="306"/>
    </row>
    <row r="662" spans="1:39"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outlineLevel="1">
      <c r="A663" s="532">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outlineLevel="1">
      <c r="A664" s="532"/>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35">Z663</f>
        <v>0</v>
      </c>
      <c r="AA664" s="411">
        <f t="shared" ref="AA664" si="1936">AA663</f>
        <v>0</v>
      </c>
      <c r="AB664" s="411">
        <f t="shared" ref="AB664" si="1937">AB663</f>
        <v>0</v>
      </c>
      <c r="AC664" s="411">
        <f t="shared" ref="AC664" si="1938">AC663</f>
        <v>0</v>
      </c>
      <c r="AD664" s="411">
        <f t="shared" ref="AD664" si="1939">AD663</f>
        <v>0</v>
      </c>
      <c r="AE664" s="411">
        <f t="shared" ref="AE664" si="1940">AE663</f>
        <v>0</v>
      </c>
      <c r="AF664" s="411">
        <f t="shared" ref="AF664" si="1941">AF663</f>
        <v>0</v>
      </c>
      <c r="AG664" s="411">
        <f t="shared" ref="AG664" si="1942">AG663</f>
        <v>0</v>
      </c>
      <c r="AH664" s="411">
        <f t="shared" ref="AH664" si="1943">AH663</f>
        <v>0</v>
      </c>
      <c r="AI664" s="411">
        <f t="shared" ref="AI664" si="1944">AI663</f>
        <v>0</v>
      </c>
      <c r="AJ664" s="411">
        <f t="shared" ref="AJ664" si="1945">AJ663</f>
        <v>0</v>
      </c>
      <c r="AK664" s="411">
        <f t="shared" ref="AK664" si="1946">AK663</f>
        <v>0</v>
      </c>
      <c r="AL664" s="411">
        <f t="shared" ref="AL664" si="1947">AL663</f>
        <v>0</v>
      </c>
      <c r="AM664" s="306"/>
    </row>
    <row r="665" spans="1:39"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75" outlineLevel="1">
      <c r="A666" s="532"/>
      <c r="B666" s="288" t="s">
        <v>499</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outlineLevel="1">
      <c r="A668" s="532"/>
      <c r="B668" s="294" t="s">
        <v>310</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48">Z667</f>
        <v>0</v>
      </c>
      <c r="AA668" s="411">
        <f t="shared" ref="AA668" si="1949">AA667</f>
        <v>0</v>
      </c>
      <c r="AB668" s="411">
        <f t="shared" ref="AB668" si="1950">AB667</f>
        <v>0</v>
      </c>
      <c r="AC668" s="411">
        <f t="shared" ref="AC668" si="1951">AC667</f>
        <v>0</v>
      </c>
      <c r="AD668" s="411">
        <f t="shared" ref="AD668" si="1952">AD667</f>
        <v>0</v>
      </c>
      <c r="AE668" s="411">
        <f t="shared" ref="AE668" si="1953">AE667</f>
        <v>0</v>
      </c>
      <c r="AF668" s="411">
        <f t="shared" ref="AF668" si="1954">AF667</f>
        <v>0</v>
      </c>
      <c r="AG668" s="411">
        <f t="shared" ref="AG668" si="1955">AG667</f>
        <v>0</v>
      </c>
      <c r="AH668" s="411">
        <f t="shared" ref="AH668" si="1956">AH667</f>
        <v>0</v>
      </c>
      <c r="AI668" s="411">
        <f t="shared" ref="AI668" si="1957">AI667</f>
        <v>0</v>
      </c>
      <c r="AJ668" s="411">
        <f t="shared" ref="AJ668" si="1958">AJ667</f>
        <v>0</v>
      </c>
      <c r="AK668" s="411">
        <f t="shared" ref="AK668" si="1959">AK667</f>
        <v>0</v>
      </c>
      <c r="AL668" s="411">
        <f t="shared" ref="AL668" si="1960">AL667</f>
        <v>0</v>
      </c>
      <c r="AM668" s="306"/>
    </row>
    <row r="669" spans="1:39"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outlineLevel="1">
      <c r="A670" s="532">
        <v>26</v>
      </c>
      <c r="B670" s="428" t="s">
        <v>118</v>
      </c>
      <c r="C670" s="291" t="s">
        <v>25</v>
      </c>
      <c r="D670" s="295">
        <f>'7.  Persistence Report'!AX129</f>
        <v>372459</v>
      </c>
      <c r="E670" s="295">
        <f>'7.  Persistence Report'!AY129</f>
        <v>372459</v>
      </c>
      <c r="F670" s="295">
        <f>'7.  Persistence Report'!AZ129</f>
        <v>370617</v>
      </c>
      <c r="G670" s="295">
        <f>'7.  Persistence Report'!BA129</f>
        <v>370617</v>
      </c>
      <c r="H670" s="295">
        <f>'7.  Persistence Report'!BB129</f>
        <v>370617</v>
      </c>
      <c r="I670" s="295">
        <f>'7.  Persistence Report'!BC129</f>
        <v>0</v>
      </c>
      <c r="J670" s="295">
        <f>'7.  Persistence Report'!BD129</f>
        <v>0</v>
      </c>
      <c r="K670" s="295">
        <f>'7.  Persistence Report'!BE129</f>
        <v>0</v>
      </c>
      <c r="L670" s="295">
        <f>'7.  Persistence Report'!BF129</f>
        <v>0</v>
      </c>
      <c r="M670" s="295">
        <f>'7.  Persistence Report'!BG129</f>
        <v>0</v>
      </c>
      <c r="N670" s="295">
        <v>12</v>
      </c>
      <c r="O670" s="295">
        <f>'7.  Persistence Report'!S129</f>
        <v>40.399946475519393</v>
      </c>
      <c r="P670" s="295">
        <f>'7.  Persistence Report'!T129</f>
        <v>40.665059631972539</v>
      </c>
      <c r="Q670" s="295">
        <f>'7.  Persistence Report'!U129</f>
        <v>40.196038489413873</v>
      </c>
      <c r="R670" s="295">
        <f>'7.  Persistence Report'!V129</f>
        <v>40.196038489413873</v>
      </c>
      <c r="S670" s="295">
        <f>'7.  Persistence Report'!W129</f>
        <v>40.196038489413873</v>
      </c>
      <c r="T670" s="295">
        <f>'7.  Persistence Report'!X129</f>
        <v>0</v>
      </c>
      <c r="U670" s="295">
        <f>'7.  Persistence Report'!Y129</f>
        <v>0</v>
      </c>
      <c r="V670" s="295">
        <f>'7.  Persistence Report'!Z129</f>
        <v>0</v>
      </c>
      <c r="W670" s="295">
        <f>'7.  Persistence Report'!AA129</f>
        <v>0</v>
      </c>
      <c r="X670" s="295">
        <f>'7.  Persistence Report'!AB129</f>
        <v>0</v>
      </c>
      <c r="Y670" s="426"/>
      <c r="Z670" s="410">
        <f>'3-a.  Rate Class Allocations'!G52</f>
        <v>4.6274728328847867E-2</v>
      </c>
      <c r="AA670" s="410">
        <f>'3-a.  Rate Class Allocations'!H52</f>
        <v>0.95372527167115217</v>
      </c>
      <c r="AB670" s="410"/>
      <c r="AC670" s="410"/>
      <c r="AD670" s="410"/>
      <c r="AE670" s="410"/>
      <c r="AF670" s="415"/>
      <c r="AG670" s="415"/>
      <c r="AH670" s="415"/>
      <c r="AI670" s="415"/>
      <c r="AJ670" s="415"/>
      <c r="AK670" s="415"/>
      <c r="AL670" s="415"/>
      <c r="AM670" s="296">
        <f>SUM(Y670:AL670)</f>
        <v>1</v>
      </c>
    </row>
    <row r="671" spans="1:39" outlineLevel="1">
      <c r="A671" s="532"/>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1">Z670</f>
        <v>4.6274728328847867E-2</v>
      </c>
      <c r="AA671" s="411">
        <f t="shared" ref="AA671" si="1962">AA670</f>
        <v>0.95372527167115217</v>
      </c>
      <c r="AB671" s="411">
        <f t="shared" ref="AB671" si="1963">AB670</f>
        <v>0</v>
      </c>
      <c r="AC671" s="411">
        <f t="shared" ref="AC671" si="1964">AC670</f>
        <v>0</v>
      </c>
      <c r="AD671" s="411">
        <f t="shared" ref="AD671" si="1965">AD670</f>
        <v>0</v>
      </c>
      <c r="AE671" s="411">
        <f t="shared" ref="AE671" si="1966">AE670</f>
        <v>0</v>
      </c>
      <c r="AF671" s="411">
        <f t="shared" ref="AF671" si="1967">AF670</f>
        <v>0</v>
      </c>
      <c r="AG671" s="411">
        <f t="shared" ref="AG671" si="1968">AG670</f>
        <v>0</v>
      </c>
      <c r="AH671" s="411">
        <f t="shared" ref="AH671" si="1969">AH670</f>
        <v>0</v>
      </c>
      <c r="AI671" s="411">
        <f t="shared" ref="AI671" si="1970">AI670</f>
        <v>0</v>
      </c>
      <c r="AJ671" s="411">
        <f t="shared" ref="AJ671" si="1971">AJ670</f>
        <v>0</v>
      </c>
      <c r="AK671" s="411">
        <f t="shared" ref="AK671" si="1972">AK670</f>
        <v>0</v>
      </c>
      <c r="AL671" s="411">
        <f t="shared" ref="AL671" si="1973">AL670</f>
        <v>0</v>
      </c>
      <c r="AM671" s="306"/>
    </row>
    <row r="672" spans="1:39"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outlineLevel="1">
      <c r="A673" s="532">
        <v>27</v>
      </c>
      <c r="B673" s="428" t="s">
        <v>119</v>
      </c>
      <c r="C673" s="291" t="s">
        <v>25</v>
      </c>
      <c r="D673" s="295">
        <f>'7.  Persistence Report'!AX130</f>
        <v>99528</v>
      </c>
      <c r="E673" s="295">
        <f>'7.  Persistence Report'!AY130</f>
        <v>87684.167999999991</v>
      </c>
      <c r="F673" s="295">
        <f>'7.  Persistence Report'!AZ130</f>
        <v>63995</v>
      </c>
      <c r="G673" s="295">
        <f>'7.  Persistence Report'!BA130</f>
        <v>63797.447999999989</v>
      </c>
      <c r="H673" s="295">
        <f>'7.  Persistence Report'!BB130</f>
        <v>63797.447999999989</v>
      </c>
      <c r="I673" s="295">
        <f>'7.  Persistence Report'!BC130</f>
        <v>0</v>
      </c>
      <c r="J673" s="295">
        <f>'7.  Persistence Report'!BD130</f>
        <v>0</v>
      </c>
      <c r="K673" s="295">
        <f>'7.  Persistence Report'!BE130</f>
        <v>0</v>
      </c>
      <c r="L673" s="295">
        <f>'7.  Persistence Report'!BF130</f>
        <v>0</v>
      </c>
      <c r="M673" s="295">
        <f>'7.  Persistence Report'!BG130</f>
        <v>0</v>
      </c>
      <c r="N673" s="295">
        <v>12</v>
      </c>
      <c r="O673" s="295">
        <f>'7.  Persistence Report'!S130</f>
        <v>18.719006949233464</v>
      </c>
      <c r="P673" s="295">
        <f>'7.  Persistence Report'!T130</f>
        <v>16.49144512227468</v>
      </c>
      <c r="Q673" s="295">
        <f>'7.  Persistence Report'!U130</f>
        <v>12.055747698312256</v>
      </c>
      <c r="R673" s="295">
        <f>'7.  Persistence Report'!V130</f>
        <v>12.201565209289095</v>
      </c>
      <c r="S673" s="295">
        <f>'7.  Persistence Report'!W130</f>
        <v>12.47932867132867</v>
      </c>
      <c r="T673" s="295">
        <f>'7.  Persistence Report'!X130</f>
        <v>0</v>
      </c>
      <c r="U673" s="295">
        <f>'7.  Persistence Report'!Y130</f>
        <v>0</v>
      </c>
      <c r="V673" s="295">
        <f>'7.  Persistence Report'!Z130</f>
        <v>0</v>
      </c>
      <c r="W673" s="295">
        <f>'7.  Persistence Report'!AA130</f>
        <v>0</v>
      </c>
      <c r="X673" s="295">
        <f>'7.  Persistence Report'!AB130</f>
        <v>0</v>
      </c>
      <c r="Y673" s="426"/>
      <c r="Z673" s="410">
        <f>'3-a.  Rate Class Allocations'!G53</f>
        <v>1</v>
      </c>
      <c r="AA673" s="410">
        <f>'3-a.  Rate Class Allocations'!H53</f>
        <v>0</v>
      </c>
      <c r="AB673" s="410"/>
      <c r="AC673" s="410"/>
      <c r="AD673" s="410"/>
      <c r="AE673" s="410"/>
      <c r="AF673" s="415"/>
      <c r="AG673" s="415"/>
      <c r="AH673" s="415"/>
      <c r="AI673" s="415"/>
      <c r="AJ673" s="415"/>
      <c r="AK673" s="415"/>
      <c r="AL673" s="415"/>
      <c r="AM673" s="296">
        <f>SUM(Y673:AL673)</f>
        <v>1</v>
      </c>
    </row>
    <row r="674" spans="1:39" outlineLevel="1">
      <c r="A674" s="532"/>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74">Z673</f>
        <v>1</v>
      </c>
      <c r="AA674" s="411">
        <f t="shared" ref="AA674" si="1975">AA673</f>
        <v>0</v>
      </c>
      <c r="AB674" s="411">
        <f t="shared" ref="AB674" si="1976">AB673</f>
        <v>0</v>
      </c>
      <c r="AC674" s="411">
        <f t="shared" ref="AC674" si="1977">AC673</f>
        <v>0</v>
      </c>
      <c r="AD674" s="411">
        <f t="shared" ref="AD674" si="1978">AD673</f>
        <v>0</v>
      </c>
      <c r="AE674" s="411">
        <f t="shared" ref="AE674" si="1979">AE673</f>
        <v>0</v>
      </c>
      <c r="AF674" s="411">
        <f t="shared" ref="AF674" si="1980">AF673</f>
        <v>0</v>
      </c>
      <c r="AG674" s="411">
        <f t="shared" ref="AG674" si="1981">AG673</f>
        <v>0</v>
      </c>
      <c r="AH674" s="411">
        <f t="shared" ref="AH674" si="1982">AH673</f>
        <v>0</v>
      </c>
      <c r="AI674" s="411">
        <f t="shared" ref="AI674" si="1983">AI673</f>
        <v>0</v>
      </c>
      <c r="AJ674" s="411">
        <f t="shared" ref="AJ674" si="1984">AJ673</f>
        <v>0</v>
      </c>
      <c r="AK674" s="411">
        <f t="shared" ref="AK674" si="1985">AK673</f>
        <v>0</v>
      </c>
      <c r="AL674" s="411">
        <f t="shared" ref="AL674" si="1986">AL673</f>
        <v>0</v>
      </c>
      <c r="AM674" s="306"/>
    </row>
    <row r="675" spans="1:39"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outlineLevel="1">
      <c r="A677" s="532"/>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87">Z676</f>
        <v>0</v>
      </c>
      <c r="AA677" s="411">
        <f t="shared" ref="AA677" si="1988">AA676</f>
        <v>0</v>
      </c>
      <c r="AB677" s="411">
        <f t="shared" ref="AB677" si="1989">AB676</f>
        <v>0</v>
      </c>
      <c r="AC677" s="411">
        <f t="shared" ref="AC677" si="1990">AC676</f>
        <v>0</v>
      </c>
      <c r="AD677" s="411">
        <f t="shared" ref="AD677" si="1991">AD676</f>
        <v>0</v>
      </c>
      <c r="AE677" s="411">
        <f t="shared" ref="AE677" si="1992">AE676</f>
        <v>0</v>
      </c>
      <c r="AF677" s="411">
        <f t="shared" ref="AF677" si="1993">AF676</f>
        <v>0</v>
      </c>
      <c r="AG677" s="411">
        <f t="shared" ref="AG677" si="1994">AG676</f>
        <v>0</v>
      </c>
      <c r="AH677" s="411">
        <f t="shared" ref="AH677" si="1995">AH676</f>
        <v>0</v>
      </c>
      <c r="AI677" s="411">
        <f t="shared" ref="AI677" si="1996">AI676</f>
        <v>0</v>
      </c>
      <c r="AJ677" s="411">
        <f t="shared" ref="AJ677" si="1997">AJ676</f>
        <v>0</v>
      </c>
      <c r="AK677" s="411">
        <f t="shared" ref="AK677" si="1998">AK676</f>
        <v>0</v>
      </c>
      <c r="AL677" s="411">
        <f t="shared" ref="AL677" si="1999">AL676</f>
        <v>0</v>
      </c>
      <c r="AM677" s="306"/>
    </row>
    <row r="678" spans="1:39"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outlineLevel="1">
      <c r="A679" s="532">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outlineLevel="1">
      <c r="A680" s="532"/>
      <c r="B680" s="294" t="s">
        <v>310</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0">Z679</f>
        <v>0</v>
      </c>
      <c r="AA680" s="411">
        <f t="shared" ref="AA680" si="2001">AA679</f>
        <v>0</v>
      </c>
      <c r="AB680" s="411">
        <f t="shared" ref="AB680" si="2002">AB679</f>
        <v>0</v>
      </c>
      <c r="AC680" s="411">
        <f t="shared" ref="AC680" si="2003">AC679</f>
        <v>0</v>
      </c>
      <c r="AD680" s="411">
        <f t="shared" ref="AD680" si="2004">AD679</f>
        <v>0</v>
      </c>
      <c r="AE680" s="411">
        <f t="shared" ref="AE680" si="2005">AE679</f>
        <v>0</v>
      </c>
      <c r="AF680" s="411">
        <f t="shared" ref="AF680" si="2006">AF679</f>
        <v>0</v>
      </c>
      <c r="AG680" s="411">
        <f t="shared" ref="AG680" si="2007">AG679</f>
        <v>0</v>
      </c>
      <c r="AH680" s="411">
        <f t="shared" ref="AH680" si="2008">AH679</f>
        <v>0</v>
      </c>
      <c r="AI680" s="411">
        <f t="shared" ref="AI680" si="2009">AI679</f>
        <v>0</v>
      </c>
      <c r="AJ680" s="411">
        <f t="shared" ref="AJ680" si="2010">AJ679</f>
        <v>0</v>
      </c>
      <c r="AK680" s="411">
        <f t="shared" ref="AK680" si="2011">AK679</f>
        <v>0</v>
      </c>
      <c r="AL680" s="411">
        <f t="shared" ref="AL680" si="2012">AL679</f>
        <v>0</v>
      </c>
      <c r="AM680" s="306"/>
    </row>
    <row r="681" spans="1:39"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outlineLevel="1">
      <c r="A683" s="532"/>
      <c r="B683" s="294" t="s">
        <v>310</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13">Z682</f>
        <v>0</v>
      </c>
      <c r="AA683" s="411">
        <f t="shared" ref="AA683" si="2014">AA682</f>
        <v>0</v>
      </c>
      <c r="AB683" s="411">
        <f t="shared" ref="AB683" si="2015">AB682</f>
        <v>0</v>
      </c>
      <c r="AC683" s="411">
        <f t="shared" ref="AC683" si="2016">AC682</f>
        <v>0</v>
      </c>
      <c r="AD683" s="411">
        <f t="shared" ref="AD683" si="2017">AD682</f>
        <v>0</v>
      </c>
      <c r="AE683" s="411">
        <f t="shared" ref="AE683" si="2018">AE682</f>
        <v>0</v>
      </c>
      <c r="AF683" s="411">
        <f t="shared" ref="AF683" si="2019">AF682</f>
        <v>0</v>
      </c>
      <c r="AG683" s="411">
        <f t="shared" ref="AG683" si="2020">AG682</f>
        <v>0</v>
      </c>
      <c r="AH683" s="411">
        <f t="shared" ref="AH683" si="2021">AH682</f>
        <v>0</v>
      </c>
      <c r="AI683" s="411">
        <f t="shared" ref="AI683" si="2022">AI682</f>
        <v>0</v>
      </c>
      <c r="AJ683" s="411">
        <f t="shared" ref="AJ683" si="2023">AJ682</f>
        <v>0</v>
      </c>
      <c r="AK683" s="411">
        <f t="shared" ref="AK683" si="2024">AK682</f>
        <v>0</v>
      </c>
      <c r="AL683" s="411">
        <f t="shared" ref="AL683" si="2025">AL682</f>
        <v>0</v>
      </c>
      <c r="AM683" s="306"/>
    </row>
    <row r="684" spans="1:39"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outlineLevel="1">
      <c r="A686" s="532"/>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26">Z685</f>
        <v>0</v>
      </c>
      <c r="AA686" s="411">
        <f t="shared" ref="AA686" si="2027">AA685</f>
        <v>0</v>
      </c>
      <c r="AB686" s="411">
        <f t="shared" ref="AB686" si="2028">AB685</f>
        <v>0</v>
      </c>
      <c r="AC686" s="411">
        <f t="shared" ref="AC686" si="2029">AC685</f>
        <v>0</v>
      </c>
      <c r="AD686" s="411">
        <f t="shared" ref="AD686" si="2030">AD685</f>
        <v>0</v>
      </c>
      <c r="AE686" s="411">
        <f t="shared" ref="AE686" si="2031">AE685</f>
        <v>0</v>
      </c>
      <c r="AF686" s="411">
        <f t="shared" ref="AF686" si="2032">AF685</f>
        <v>0</v>
      </c>
      <c r="AG686" s="411">
        <f t="shared" ref="AG686" si="2033">AG685</f>
        <v>0</v>
      </c>
      <c r="AH686" s="411">
        <f t="shared" ref="AH686" si="2034">AH685</f>
        <v>0</v>
      </c>
      <c r="AI686" s="411">
        <f t="shared" ref="AI686" si="2035">AI685</f>
        <v>0</v>
      </c>
      <c r="AJ686" s="411">
        <f t="shared" ref="AJ686" si="2036">AJ685</f>
        <v>0</v>
      </c>
      <c r="AK686" s="411">
        <f t="shared" ref="AK686" si="2037">AK685</f>
        <v>0</v>
      </c>
      <c r="AL686" s="411">
        <f t="shared" ref="AL686" si="2038">AL685</f>
        <v>0</v>
      </c>
      <c r="AM686" s="306"/>
    </row>
    <row r="687" spans="1:39"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outlineLevel="1">
      <c r="A689" s="532"/>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39">Z688</f>
        <v>0</v>
      </c>
      <c r="AA689" s="411">
        <f t="shared" ref="AA689" si="2040">AA688</f>
        <v>0</v>
      </c>
      <c r="AB689" s="411">
        <f t="shared" ref="AB689" si="2041">AB688</f>
        <v>0</v>
      </c>
      <c r="AC689" s="411">
        <f t="shared" ref="AC689" si="2042">AC688</f>
        <v>0</v>
      </c>
      <c r="AD689" s="411">
        <f t="shared" ref="AD689" si="2043">AD688</f>
        <v>0</v>
      </c>
      <c r="AE689" s="411">
        <f t="shared" ref="AE689" si="2044">AE688</f>
        <v>0</v>
      </c>
      <c r="AF689" s="411">
        <f t="shared" ref="AF689" si="2045">AF688</f>
        <v>0</v>
      </c>
      <c r="AG689" s="411">
        <f t="shared" ref="AG689" si="2046">AG688</f>
        <v>0</v>
      </c>
      <c r="AH689" s="411">
        <f t="shared" ref="AH689" si="2047">AH688</f>
        <v>0</v>
      </c>
      <c r="AI689" s="411">
        <f t="shared" ref="AI689" si="2048">AI688</f>
        <v>0</v>
      </c>
      <c r="AJ689" s="411">
        <f t="shared" ref="AJ689" si="2049">AJ688</f>
        <v>0</v>
      </c>
      <c r="AK689" s="411">
        <f t="shared" ref="AK689" si="2050">AK688</f>
        <v>0</v>
      </c>
      <c r="AL689" s="411">
        <f t="shared" ref="AL689" si="2051">AL688</f>
        <v>0</v>
      </c>
      <c r="AM689" s="306"/>
    </row>
    <row r="690" spans="1:39"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75" outlineLevel="1">
      <c r="A691" s="532"/>
      <c r="B691" s="288" t="s">
        <v>500</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outlineLevel="1">
      <c r="A692" s="532">
        <v>33</v>
      </c>
      <c r="B692" s="428" t="s">
        <v>125</v>
      </c>
      <c r="C692" s="291" t="s">
        <v>25</v>
      </c>
      <c r="D692" s="295">
        <f>'7.  Persistence Report'!AX131</f>
        <v>95868</v>
      </c>
      <c r="E692" s="295">
        <f>'7.  Persistence Report'!AY131</f>
        <v>95868</v>
      </c>
      <c r="F692" s="295">
        <f>'7.  Persistence Report'!AZ131</f>
        <v>95868</v>
      </c>
      <c r="G692" s="295">
        <f>'7.  Persistence Report'!BA131</f>
        <v>95868</v>
      </c>
      <c r="H692" s="295">
        <f>'7.  Persistence Report'!BB131</f>
        <v>95868</v>
      </c>
      <c r="I692" s="295">
        <f>'7.  Persistence Report'!BC131</f>
        <v>0</v>
      </c>
      <c r="J692" s="295">
        <f>'7.  Persistence Report'!BD131</f>
        <v>0</v>
      </c>
      <c r="K692" s="295">
        <f>'7.  Persistence Report'!BE131</f>
        <v>0</v>
      </c>
      <c r="L692" s="295">
        <f>'7.  Persistence Report'!BF131</f>
        <v>0</v>
      </c>
      <c r="M692" s="295">
        <f>'7.  Persistence Report'!BG131</f>
        <v>0</v>
      </c>
      <c r="N692" s="295">
        <v>0</v>
      </c>
      <c r="O692" s="295">
        <f>'7.  Persistence Report'!S131</f>
        <v>13.481128997495054</v>
      </c>
      <c r="P692" s="295">
        <f>'7.  Persistence Report'!T131</f>
        <v>13.481128997495054</v>
      </c>
      <c r="Q692" s="295">
        <f>'7.  Persistence Report'!U131</f>
        <v>13.481128997495054</v>
      </c>
      <c r="R692" s="295">
        <f>'7.  Persistence Report'!V131</f>
        <v>13.481128997495054</v>
      </c>
      <c r="S692" s="295">
        <f>'7.  Persistence Report'!W131</f>
        <v>13.481128997495054</v>
      </c>
      <c r="T692" s="295">
        <f>'7.  Persistence Report'!X131</f>
        <v>0</v>
      </c>
      <c r="U692" s="295">
        <f>'7.  Persistence Report'!Y131</f>
        <v>0</v>
      </c>
      <c r="V692" s="295">
        <f>'7.  Persistence Report'!Z131</f>
        <v>0</v>
      </c>
      <c r="W692" s="295">
        <f>'7.  Persistence Report'!AA131</f>
        <v>0</v>
      </c>
      <c r="X692" s="295">
        <f>'7.  Persistence Report'!AB131</f>
        <v>0</v>
      </c>
      <c r="Y692" s="426"/>
      <c r="Z692" s="410">
        <f>'3-a.  Rate Class Allocations'!G54</f>
        <v>1</v>
      </c>
      <c r="AA692" s="410">
        <f>'3-a.  Rate Class Allocations'!H54</f>
        <v>0</v>
      </c>
      <c r="AB692" s="410"/>
      <c r="AC692" s="410"/>
      <c r="AD692" s="410"/>
      <c r="AE692" s="410"/>
      <c r="AF692" s="415"/>
      <c r="AG692" s="415"/>
      <c r="AH692" s="415"/>
      <c r="AI692" s="415"/>
      <c r="AJ692" s="415"/>
      <c r="AK692" s="415"/>
      <c r="AL692" s="415"/>
      <c r="AM692" s="296">
        <f>SUM(Y692:AL692)</f>
        <v>1</v>
      </c>
    </row>
    <row r="693" spans="1:39" outlineLevel="1">
      <c r="A693" s="532"/>
      <c r="B693" s="294" t="s">
        <v>310</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52">Z692</f>
        <v>1</v>
      </c>
      <c r="AA693" s="411">
        <f t="shared" ref="AA693" si="2053">AA692</f>
        <v>0</v>
      </c>
      <c r="AB693" s="411">
        <f t="shared" ref="AB693" si="2054">AB692</f>
        <v>0</v>
      </c>
      <c r="AC693" s="411">
        <f t="shared" ref="AC693" si="2055">AC692</f>
        <v>0</v>
      </c>
      <c r="AD693" s="411">
        <f t="shared" ref="AD693" si="2056">AD692</f>
        <v>0</v>
      </c>
      <c r="AE693" s="411">
        <f t="shared" ref="AE693" si="2057">AE692</f>
        <v>0</v>
      </c>
      <c r="AF693" s="411">
        <f t="shared" ref="AF693" si="2058">AF692</f>
        <v>0</v>
      </c>
      <c r="AG693" s="411">
        <f t="shared" ref="AG693" si="2059">AG692</f>
        <v>0</v>
      </c>
      <c r="AH693" s="411">
        <f t="shared" ref="AH693" si="2060">AH692</f>
        <v>0</v>
      </c>
      <c r="AI693" s="411">
        <f t="shared" ref="AI693" si="2061">AI692</f>
        <v>0</v>
      </c>
      <c r="AJ693" s="411">
        <f t="shared" ref="AJ693" si="2062">AJ692</f>
        <v>0</v>
      </c>
      <c r="AK693" s="411">
        <f t="shared" ref="AK693" si="2063">AK692</f>
        <v>0</v>
      </c>
      <c r="AL693" s="411">
        <f t="shared" ref="AL693" si="2064">AL692</f>
        <v>0</v>
      </c>
      <c r="AM693" s="306"/>
    </row>
    <row r="694" spans="1:39"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outlineLevel="1">
      <c r="A696" s="532"/>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65">Z695</f>
        <v>0</v>
      </c>
      <c r="AA696" s="411">
        <f t="shared" ref="AA696" si="2066">AA695</f>
        <v>0</v>
      </c>
      <c r="AB696" s="411">
        <f t="shared" ref="AB696" si="2067">AB695</f>
        <v>0</v>
      </c>
      <c r="AC696" s="411">
        <f t="shared" ref="AC696" si="2068">AC695</f>
        <v>0</v>
      </c>
      <c r="AD696" s="411">
        <f t="shared" ref="AD696" si="2069">AD695</f>
        <v>0</v>
      </c>
      <c r="AE696" s="411">
        <f t="shared" ref="AE696" si="2070">AE695</f>
        <v>0</v>
      </c>
      <c r="AF696" s="411">
        <f t="shared" ref="AF696" si="2071">AF695</f>
        <v>0</v>
      </c>
      <c r="AG696" s="411">
        <f t="shared" ref="AG696" si="2072">AG695</f>
        <v>0</v>
      </c>
      <c r="AH696" s="411">
        <f t="shared" ref="AH696" si="2073">AH695</f>
        <v>0</v>
      </c>
      <c r="AI696" s="411">
        <f t="shared" ref="AI696" si="2074">AI695</f>
        <v>0</v>
      </c>
      <c r="AJ696" s="411">
        <f t="shared" ref="AJ696" si="2075">AJ695</f>
        <v>0</v>
      </c>
      <c r="AK696" s="411">
        <f t="shared" ref="AK696" si="2076">AK695</f>
        <v>0</v>
      </c>
      <c r="AL696" s="411">
        <f t="shared" ref="AL696" si="2077">AL695</f>
        <v>0</v>
      </c>
      <c r="AM696" s="306"/>
    </row>
    <row r="697" spans="1:39"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outlineLevel="1">
      <c r="A699" s="532"/>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78">Z698</f>
        <v>0</v>
      </c>
      <c r="AA699" s="411">
        <f t="shared" ref="AA699" si="2079">AA698</f>
        <v>0</v>
      </c>
      <c r="AB699" s="411">
        <f t="shared" ref="AB699" si="2080">AB698</f>
        <v>0</v>
      </c>
      <c r="AC699" s="411">
        <f t="shared" ref="AC699" si="2081">AC698</f>
        <v>0</v>
      </c>
      <c r="AD699" s="411">
        <f t="shared" ref="AD699" si="2082">AD698</f>
        <v>0</v>
      </c>
      <c r="AE699" s="411">
        <f t="shared" ref="AE699" si="2083">AE698</f>
        <v>0</v>
      </c>
      <c r="AF699" s="411">
        <f t="shared" ref="AF699" si="2084">AF698</f>
        <v>0</v>
      </c>
      <c r="AG699" s="411">
        <f t="shared" ref="AG699" si="2085">AG698</f>
        <v>0</v>
      </c>
      <c r="AH699" s="411">
        <f t="shared" ref="AH699" si="2086">AH698</f>
        <v>0</v>
      </c>
      <c r="AI699" s="411">
        <f t="shared" ref="AI699" si="2087">AI698</f>
        <v>0</v>
      </c>
      <c r="AJ699" s="411">
        <f t="shared" ref="AJ699" si="2088">AJ698</f>
        <v>0</v>
      </c>
      <c r="AK699" s="411">
        <f t="shared" ref="AK699" si="2089">AK698</f>
        <v>0</v>
      </c>
      <c r="AL699" s="411">
        <f t="shared" ref="AL699" si="2090">AL698</f>
        <v>0</v>
      </c>
      <c r="AM699" s="306"/>
    </row>
    <row r="700" spans="1:39"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75" outlineLevel="1">
      <c r="A701" s="532"/>
      <c r="B701" s="288" t="s">
        <v>501</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outlineLevel="1">
      <c r="A702" s="532">
        <v>36</v>
      </c>
      <c r="B702" s="766" t="s">
        <v>804</v>
      </c>
      <c r="C702" s="291" t="s">
        <v>25</v>
      </c>
      <c r="D702" s="295">
        <f>'7.  Persistence Report'!AX128</f>
        <v>344173</v>
      </c>
      <c r="E702" s="295">
        <f>'7.  Persistence Report'!AY128</f>
        <v>342758.5</v>
      </c>
      <c r="F702" s="295">
        <f>'7.  Persistence Report'!AZ128</f>
        <v>341344</v>
      </c>
      <c r="G702" s="295">
        <f>'7.  Persistence Report'!BA128</f>
        <v>339929.5</v>
      </c>
      <c r="H702" s="295">
        <f>'7.  Persistence Report'!BB128</f>
        <v>338515</v>
      </c>
      <c r="I702" s="295">
        <f>'7.  Persistence Report'!BC128</f>
        <v>0</v>
      </c>
      <c r="J702" s="295">
        <f>'7.  Persistence Report'!BD128</f>
        <v>0</v>
      </c>
      <c r="K702" s="295">
        <f>'7.  Persistence Report'!BE128</f>
        <v>0</v>
      </c>
      <c r="L702" s="295">
        <f>'7.  Persistence Report'!BF128</f>
        <v>0</v>
      </c>
      <c r="M702" s="295">
        <f>'7.  Persistence Report'!BG128</f>
        <v>0</v>
      </c>
      <c r="N702" s="295">
        <v>12</v>
      </c>
      <c r="O702" s="295">
        <f>'7.  Persistence Report'!S128</f>
        <v>0</v>
      </c>
      <c r="P702" s="295">
        <f>'7.  Persistence Report'!T128</f>
        <v>0</v>
      </c>
      <c r="Q702" s="295">
        <f>'7.  Persistence Report'!U128</f>
        <v>0</v>
      </c>
      <c r="R702" s="295">
        <f>'7.  Persistence Report'!V128</f>
        <v>0</v>
      </c>
      <c r="S702" s="295">
        <f>'7.  Persistence Report'!W128</f>
        <v>0</v>
      </c>
      <c r="T702" s="295">
        <f>'7.  Persistence Report'!X128</f>
        <v>0</v>
      </c>
      <c r="U702" s="295">
        <f>'7.  Persistence Report'!Y128</f>
        <v>0</v>
      </c>
      <c r="V702" s="295">
        <f>'7.  Persistence Report'!Z128</f>
        <v>0</v>
      </c>
      <c r="W702" s="295">
        <f>'7.  Persistence Report'!AA128</f>
        <v>0</v>
      </c>
      <c r="X702" s="295">
        <f>'7.  Persistence Report'!AB128</f>
        <v>0</v>
      </c>
      <c r="Y702" s="426">
        <v>1</v>
      </c>
      <c r="Z702" s="410"/>
      <c r="AA702" s="410"/>
      <c r="AB702" s="410"/>
      <c r="AC702" s="410"/>
      <c r="AD702" s="410"/>
      <c r="AE702" s="410"/>
      <c r="AF702" s="415"/>
      <c r="AG702" s="415"/>
      <c r="AH702" s="415"/>
      <c r="AI702" s="415"/>
      <c r="AJ702" s="415"/>
      <c r="AK702" s="415"/>
      <c r="AL702" s="415"/>
      <c r="AM702" s="296">
        <f>SUM(Y702:AL702)</f>
        <v>1</v>
      </c>
    </row>
    <row r="703" spans="1:39" outlineLevel="1">
      <c r="A703" s="532"/>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1</v>
      </c>
      <c r="Z703" s="411">
        <f t="shared" ref="Z703" si="2091">Z702</f>
        <v>0</v>
      </c>
      <c r="AA703" s="411">
        <f t="shared" ref="AA703" si="2092">AA702</f>
        <v>0</v>
      </c>
      <c r="AB703" s="411">
        <f t="shared" ref="AB703" si="2093">AB702</f>
        <v>0</v>
      </c>
      <c r="AC703" s="411">
        <f t="shared" ref="AC703" si="2094">AC702</f>
        <v>0</v>
      </c>
      <c r="AD703" s="411">
        <f t="shared" ref="AD703" si="2095">AD702</f>
        <v>0</v>
      </c>
      <c r="AE703" s="411">
        <f t="shared" ref="AE703" si="2096">AE702</f>
        <v>0</v>
      </c>
      <c r="AF703" s="411">
        <f t="shared" ref="AF703" si="2097">AF702</f>
        <v>0</v>
      </c>
      <c r="AG703" s="411">
        <f t="shared" ref="AG703" si="2098">AG702</f>
        <v>0</v>
      </c>
      <c r="AH703" s="411">
        <f t="shared" ref="AH703" si="2099">AH702</f>
        <v>0</v>
      </c>
      <c r="AI703" s="411">
        <f t="shared" ref="AI703" si="2100">AI702</f>
        <v>0</v>
      </c>
      <c r="AJ703" s="411">
        <f t="shared" ref="AJ703" si="2101">AJ702</f>
        <v>0</v>
      </c>
      <c r="AK703" s="411">
        <f t="shared" ref="AK703" si="2102">AK702</f>
        <v>0</v>
      </c>
      <c r="AL703" s="411">
        <f t="shared" ref="AL703" si="2103">AL702</f>
        <v>0</v>
      </c>
      <c r="AM703" s="306"/>
    </row>
    <row r="704" spans="1:39"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outlineLevel="1">
      <c r="A706" s="532"/>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04">Z705</f>
        <v>0</v>
      </c>
      <c r="AA706" s="411">
        <f t="shared" ref="AA706" si="2105">AA705</f>
        <v>0</v>
      </c>
      <c r="AB706" s="411">
        <f t="shared" ref="AB706" si="2106">AB705</f>
        <v>0</v>
      </c>
      <c r="AC706" s="411">
        <f t="shared" ref="AC706" si="2107">AC705</f>
        <v>0</v>
      </c>
      <c r="AD706" s="411">
        <f t="shared" ref="AD706" si="2108">AD705</f>
        <v>0</v>
      </c>
      <c r="AE706" s="411">
        <f t="shared" ref="AE706" si="2109">AE705</f>
        <v>0</v>
      </c>
      <c r="AF706" s="411">
        <f t="shared" ref="AF706" si="2110">AF705</f>
        <v>0</v>
      </c>
      <c r="AG706" s="411">
        <f t="shared" ref="AG706" si="2111">AG705</f>
        <v>0</v>
      </c>
      <c r="AH706" s="411">
        <f t="shared" ref="AH706" si="2112">AH705</f>
        <v>0</v>
      </c>
      <c r="AI706" s="411">
        <f t="shared" ref="AI706" si="2113">AI705</f>
        <v>0</v>
      </c>
      <c r="AJ706" s="411">
        <f t="shared" ref="AJ706" si="2114">AJ705</f>
        <v>0</v>
      </c>
      <c r="AK706" s="411">
        <f t="shared" ref="AK706" si="2115">AK705</f>
        <v>0</v>
      </c>
      <c r="AL706" s="411">
        <f t="shared" ref="AL706" si="2116">AL705</f>
        <v>0</v>
      </c>
      <c r="AM706" s="306"/>
    </row>
    <row r="707" spans="1:39"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outlineLevel="1">
      <c r="A709" s="532"/>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17">Z708</f>
        <v>0</v>
      </c>
      <c r="AA709" s="411">
        <f t="shared" ref="AA709" si="2118">AA708</f>
        <v>0</v>
      </c>
      <c r="AB709" s="411">
        <f t="shared" ref="AB709" si="2119">AB708</f>
        <v>0</v>
      </c>
      <c r="AC709" s="411">
        <f t="shared" ref="AC709" si="2120">AC708</f>
        <v>0</v>
      </c>
      <c r="AD709" s="411">
        <f t="shared" ref="AD709" si="2121">AD708</f>
        <v>0</v>
      </c>
      <c r="AE709" s="411">
        <f t="shared" ref="AE709" si="2122">AE708</f>
        <v>0</v>
      </c>
      <c r="AF709" s="411">
        <f t="shared" ref="AF709" si="2123">AF708</f>
        <v>0</v>
      </c>
      <c r="AG709" s="411">
        <f t="shared" ref="AG709" si="2124">AG708</f>
        <v>0</v>
      </c>
      <c r="AH709" s="411">
        <f t="shared" ref="AH709" si="2125">AH708</f>
        <v>0</v>
      </c>
      <c r="AI709" s="411">
        <f t="shared" ref="AI709" si="2126">AI708</f>
        <v>0</v>
      </c>
      <c r="AJ709" s="411">
        <f t="shared" ref="AJ709" si="2127">AJ708</f>
        <v>0</v>
      </c>
      <c r="AK709" s="411">
        <f t="shared" ref="AK709" si="2128">AK708</f>
        <v>0</v>
      </c>
      <c r="AL709" s="411">
        <f t="shared" ref="AL709" si="2129">AL708</f>
        <v>0</v>
      </c>
      <c r="AM709" s="306"/>
    </row>
    <row r="710" spans="1:39"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outlineLevel="1">
      <c r="A712" s="532"/>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0">Z711</f>
        <v>0</v>
      </c>
      <c r="AA712" s="411">
        <f t="shared" ref="AA712" si="2131">AA711</f>
        <v>0</v>
      </c>
      <c r="AB712" s="411">
        <f t="shared" ref="AB712" si="2132">AB711</f>
        <v>0</v>
      </c>
      <c r="AC712" s="411">
        <f t="shared" ref="AC712" si="2133">AC711</f>
        <v>0</v>
      </c>
      <c r="AD712" s="411">
        <f t="shared" ref="AD712" si="2134">AD711</f>
        <v>0</v>
      </c>
      <c r="AE712" s="411">
        <f t="shared" ref="AE712" si="2135">AE711</f>
        <v>0</v>
      </c>
      <c r="AF712" s="411">
        <f t="shared" ref="AF712" si="2136">AF711</f>
        <v>0</v>
      </c>
      <c r="AG712" s="411">
        <f t="shared" ref="AG712" si="2137">AG711</f>
        <v>0</v>
      </c>
      <c r="AH712" s="411">
        <f t="shared" ref="AH712" si="2138">AH711</f>
        <v>0</v>
      </c>
      <c r="AI712" s="411">
        <f t="shared" ref="AI712" si="2139">AI711</f>
        <v>0</v>
      </c>
      <c r="AJ712" s="411">
        <f t="shared" ref="AJ712" si="2140">AJ711</f>
        <v>0</v>
      </c>
      <c r="AK712" s="411">
        <f t="shared" ref="AK712" si="2141">AK711</f>
        <v>0</v>
      </c>
      <c r="AL712" s="411">
        <f t="shared" ref="AL712" si="2142">AL711</f>
        <v>0</v>
      </c>
      <c r="AM712" s="306"/>
    </row>
    <row r="713" spans="1:39"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outlineLevel="1">
      <c r="A715" s="532"/>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43">Z714</f>
        <v>0</v>
      </c>
      <c r="AA715" s="411">
        <f t="shared" ref="AA715" si="2144">AA714</f>
        <v>0</v>
      </c>
      <c r="AB715" s="411">
        <f t="shared" ref="AB715" si="2145">AB714</f>
        <v>0</v>
      </c>
      <c r="AC715" s="411">
        <f t="shared" ref="AC715" si="2146">AC714</f>
        <v>0</v>
      </c>
      <c r="AD715" s="411">
        <f t="shared" ref="AD715" si="2147">AD714</f>
        <v>0</v>
      </c>
      <c r="AE715" s="411">
        <f t="shared" ref="AE715" si="2148">AE714</f>
        <v>0</v>
      </c>
      <c r="AF715" s="411">
        <f t="shared" ref="AF715" si="2149">AF714</f>
        <v>0</v>
      </c>
      <c r="AG715" s="411">
        <f t="shared" ref="AG715" si="2150">AG714</f>
        <v>0</v>
      </c>
      <c r="AH715" s="411">
        <f t="shared" ref="AH715" si="2151">AH714</f>
        <v>0</v>
      </c>
      <c r="AI715" s="411">
        <f t="shared" ref="AI715" si="2152">AI714</f>
        <v>0</v>
      </c>
      <c r="AJ715" s="411">
        <f t="shared" ref="AJ715" si="2153">AJ714</f>
        <v>0</v>
      </c>
      <c r="AK715" s="411">
        <f t="shared" ref="AK715" si="2154">AK714</f>
        <v>0</v>
      </c>
      <c r="AL715" s="411">
        <f t="shared" ref="AL715" si="2155">AL714</f>
        <v>0</v>
      </c>
      <c r="AM715" s="306"/>
    </row>
    <row r="716" spans="1:39"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outlineLevel="1">
      <c r="A718" s="532"/>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56">Z717</f>
        <v>0</v>
      </c>
      <c r="AA718" s="411">
        <f t="shared" ref="AA718" si="2157">AA717</f>
        <v>0</v>
      </c>
      <c r="AB718" s="411">
        <f t="shared" ref="AB718" si="2158">AB717</f>
        <v>0</v>
      </c>
      <c r="AC718" s="411">
        <f t="shared" ref="AC718" si="2159">AC717</f>
        <v>0</v>
      </c>
      <c r="AD718" s="411">
        <f t="shared" ref="AD718" si="2160">AD717</f>
        <v>0</v>
      </c>
      <c r="AE718" s="411">
        <f t="shared" ref="AE718" si="2161">AE717</f>
        <v>0</v>
      </c>
      <c r="AF718" s="411">
        <f t="shared" ref="AF718" si="2162">AF717</f>
        <v>0</v>
      </c>
      <c r="AG718" s="411">
        <f t="shared" ref="AG718" si="2163">AG717</f>
        <v>0</v>
      </c>
      <c r="AH718" s="411">
        <f t="shared" ref="AH718" si="2164">AH717</f>
        <v>0</v>
      </c>
      <c r="AI718" s="411">
        <f t="shared" ref="AI718" si="2165">AI717</f>
        <v>0</v>
      </c>
      <c r="AJ718" s="411">
        <f t="shared" ref="AJ718" si="2166">AJ717</f>
        <v>0</v>
      </c>
      <c r="AK718" s="411">
        <f t="shared" ref="AK718" si="2167">AK717</f>
        <v>0</v>
      </c>
      <c r="AL718" s="411">
        <f t="shared" ref="AL718" si="2168">AL717</f>
        <v>0</v>
      </c>
      <c r="AM718" s="306"/>
    </row>
    <row r="719" spans="1:39"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outlineLevel="1">
      <c r="A721" s="532"/>
      <c r="B721" s="294" t="s">
        <v>310</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169">Z720</f>
        <v>0</v>
      </c>
      <c r="AA721" s="411">
        <f t="shared" ref="AA721" si="2170">AA720</f>
        <v>0</v>
      </c>
      <c r="AB721" s="411">
        <f t="shared" ref="AB721" si="2171">AB720</f>
        <v>0</v>
      </c>
      <c r="AC721" s="411">
        <f t="shared" ref="AC721" si="2172">AC720</f>
        <v>0</v>
      </c>
      <c r="AD721" s="411">
        <f t="shared" ref="AD721" si="2173">AD720</f>
        <v>0</v>
      </c>
      <c r="AE721" s="411">
        <f t="shared" ref="AE721" si="2174">AE720</f>
        <v>0</v>
      </c>
      <c r="AF721" s="411">
        <f t="shared" ref="AF721" si="2175">AF720</f>
        <v>0</v>
      </c>
      <c r="AG721" s="411">
        <f t="shared" ref="AG721" si="2176">AG720</f>
        <v>0</v>
      </c>
      <c r="AH721" s="411">
        <f t="shared" ref="AH721" si="2177">AH720</f>
        <v>0</v>
      </c>
      <c r="AI721" s="411">
        <f t="shared" ref="AI721" si="2178">AI720</f>
        <v>0</v>
      </c>
      <c r="AJ721" s="411">
        <f t="shared" ref="AJ721" si="2179">AJ720</f>
        <v>0</v>
      </c>
      <c r="AK721" s="411">
        <f t="shared" ref="AK721" si="2180">AK720</f>
        <v>0</v>
      </c>
      <c r="AL721" s="411">
        <f t="shared" ref="AL721" si="2181">AL720</f>
        <v>0</v>
      </c>
      <c r="AM721" s="306"/>
    </row>
    <row r="722" spans="1:39"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30"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outlineLevel="1">
      <c r="A724" s="532"/>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82">Z723</f>
        <v>0</v>
      </c>
      <c r="AA724" s="411">
        <f t="shared" ref="AA724" si="2183">AA723</f>
        <v>0</v>
      </c>
      <c r="AB724" s="411">
        <f t="shared" ref="AB724" si="2184">AB723</f>
        <v>0</v>
      </c>
      <c r="AC724" s="411">
        <f t="shared" ref="AC724" si="2185">AC723</f>
        <v>0</v>
      </c>
      <c r="AD724" s="411">
        <f t="shared" ref="AD724" si="2186">AD723</f>
        <v>0</v>
      </c>
      <c r="AE724" s="411">
        <f t="shared" ref="AE724" si="2187">AE723</f>
        <v>0</v>
      </c>
      <c r="AF724" s="411">
        <f t="shared" ref="AF724" si="2188">AF723</f>
        <v>0</v>
      </c>
      <c r="AG724" s="411">
        <f t="shared" ref="AG724" si="2189">AG723</f>
        <v>0</v>
      </c>
      <c r="AH724" s="411">
        <f t="shared" ref="AH724" si="2190">AH723</f>
        <v>0</v>
      </c>
      <c r="AI724" s="411">
        <f t="shared" ref="AI724" si="2191">AI723</f>
        <v>0</v>
      </c>
      <c r="AJ724" s="411">
        <f t="shared" ref="AJ724" si="2192">AJ723</f>
        <v>0</v>
      </c>
      <c r="AK724" s="411">
        <f t="shared" ref="AK724" si="2193">AK723</f>
        <v>0</v>
      </c>
      <c r="AL724" s="411">
        <f t="shared" ref="AL724" si="2194">AL723</f>
        <v>0</v>
      </c>
      <c r="AM724" s="306"/>
    </row>
    <row r="725" spans="1:39"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outlineLevel="1">
      <c r="A727" s="532"/>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95">Z726</f>
        <v>0</v>
      </c>
      <c r="AA727" s="411">
        <f t="shared" ref="AA727" si="2196">AA726</f>
        <v>0</v>
      </c>
      <c r="AB727" s="411">
        <f t="shared" ref="AB727" si="2197">AB726</f>
        <v>0</v>
      </c>
      <c r="AC727" s="411">
        <f t="shared" ref="AC727" si="2198">AC726</f>
        <v>0</v>
      </c>
      <c r="AD727" s="411">
        <f t="shared" ref="AD727" si="2199">AD726</f>
        <v>0</v>
      </c>
      <c r="AE727" s="411">
        <f t="shared" ref="AE727" si="2200">AE726</f>
        <v>0</v>
      </c>
      <c r="AF727" s="411">
        <f t="shared" ref="AF727" si="2201">AF726</f>
        <v>0</v>
      </c>
      <c r="AG727" s="411">
        <f t="shared" ref="AG727" si="2202">AG726</f>
        <v>0</v>
      </c>
      <c r="AH727" s="411">
        <f t="shared" ref="AH727" si="2203">AH726</f>
        <v>0</v>
      </c>
      <c r="AI727" s="411">
        <f t="shared" ref="AI727" si="2204">AI726</f>
        <v>0</v>
      </c>
      <c r="AJ727" s="411">
        <f t="shared" ref="AJ727" si="2205">AJ726</f>
        <v>0</v>
      </c>
      <c r="AK727" s="411">
        <f t="shared" ref="AK727" si="2206">AK726</f>
        <v>0</v>
      </c>
      <c r="AL727" s="411">
        <f t="shared" ref="AL727" si="2207">AL726</f>
        <v>0</v>
      </c>
      <c r="AM727" s="306"/>
    </row>
    <row r="728" spans="1:39"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outlineLevel="1">
      <c r="A730" s="532"/>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08">Z729</f>
        <v>0</v>
      </c>
      <c r="AA730" s="411">
        <f t="shared" ref="AA730" si="2209">AA729</f>
        <v>0</v>
      </c>
      <c r="AB730" s="411">
        <f t="shared" ref="AB730" si="2210">AB729</f>
        <v>0</v>
      </c>
      <c r="AC730" s="411">
        <f t="shared" ref="AC730" si="2211">AC729</f>
        <v>0</v>
      </c>
      <c r="AD730" s="411">
        <f t="shared" ref="AD730" si="2212">AD729</f>
        <v>0</v>
      </c>
      <c r="AE730" s="411">
        <f t="shared" ref="AE730" si="2213">AE729</f>
        <v>0</v>
      </c>
      <c r="AF730" s="411">
        <f t="shared" ref="AF730" si="2214">AF729</f>
        <v>0</v>
      </c>
      <c r="AG730" s="411">
        <f t="shared" ref="AG730" si="2215">AG729</f>
        <v>0</v>
      </c>
      <c r="AH730" s="411">
        <f t="shared" ref="AH730" si="2216">AH729</f>
        <v>0</v>
      </c>
      <c r="AI730" s="411">
        <f t="shared" ref="AI730" si="2217">AI729</f>
        <v>0</v>
      </c>
      <c r="AJ730" s="411">
        <f t="shared" ref="AJ730" si="2218">AJ729</f>
        <v>0</v>
      </c>
      <c r="AK730" s="411">
        <f t="shared" ref="AK730" si="2219">AK729</f>
        <v>0</v>
      </c>
      <c r="AL730" s="411">
        <f t="shared" ref="AL730" si="2220">AL729</f>
        <v>0</v>
      </c>
      <c r="AM730" s="306"/>
    </row>
    <row r="731" spans="1:39"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outlineLevel="1">
      <c r="A733" s="532"/>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1">Z732</f>
        <v>0</v>
      </c>
      <c r="AA733" s="411">
        <f t="shared" ref="AA733" si="2222">AA732</f>
        <v>0</v>
      </c>
      <c r="AB733" s="411">
        <f t="shared" ref="AB733" si="2223">AB732</f>
        <v>0</v>
      </c>
      <c r="AC733" s="411">
        <f t="shared" ref="AC733" si="2224">AC732</f>
        <v>0</v>
      </c>
      <c r="AD733" s="411">
        <f t="shared" ref="AD733" si="2225">AD732</f>
        <v>0</v>
      </c>
      <c r="AE733" s="411">
        <f t="shared" ref="AE733" si="2226">AE732</f>
        <v>0</v>
      </c>
      <c r="AF733" s="411">
        <f t="shared" ref="AF733" si="2227">AF732</f>
        <v>0</v>
      </c>
      <c r="AG733" s="411">
        <f t="shared" ref="AG733" si="2228">AG732</f>
        <v>0</v>
      </c>
      <c r="AH733" s="411">
        <f t="shared" ref="AH733" si="2229">AH732</f>
        <v>0</v>
      </c>
      <c r="AI733" s="411">
        <f t="shared" ref="AI733" si="2230">AI732</f>
        <v>0</v>
      </c>
      <c r="AJ733" s="411">
        <f t="shared" ref="AJ733" si="2231">AJ732</f>
        <v>0</v>
      </c>
      <c r="AK733" s="411">
        <f t="shared" ref="AK733" si="2232">AK732</f>
        <v>0</v>
      </c>
      <c r="AL733" s="411">
        <f t="shared" ref="AL733" si="2233">AL732</f>
        <v>0</v>
      </c>
      <c r="AM733" s="306"/>
    </row>
    <row r="734" spans="1:39"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outlineLevel="1">
      <c r="A736" s="532"/>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34">Z735</f>
        <v>0</v>
      </c>
      <c r="AA736" s="411">
        <f t="shared" ref="AA736" si="2235">AA735</f>
        <v>0</v>
      </c>
      <c r="AB736" s="411">
        <f t="shared" ref="AB736" si="2236">AB735</f>
        <v>0</v>
      </c>
      <c r="AC736" s="411">
        <f t="shared" ref="AC736" si="2237">AC735</f>
        <v>0</v>
      </c>
      <c r="AD736" s="411">
        <f t="shared" ref="AD736" si="2238">AD735</f>
        <v>0</v>
      </c>
      <c r="AE736" s="411">
        <f t="shared" ref="AE736" si="2239">AE735</f>
        <v>0</v>
      </c>
      <c r="AF736" s="411">
        <f t="shared" ref="AF736" si="2240">AF735</f>
        <v>0</v>
      </c>
      <c r="AG736" s="411">
        <f t="shared" ref="AG736" si="2241">AG735</f>
        <v>0</v>
      </c>
      <c r="AH736" s="411">
        <f t="shared" ref="AH736" si="2242">AH735</f>
        <v>0</v>
      </c>
      <c r="AI736" s="411">
        <f t="shared" ref="AI736" si="2243">AI735</f>
        <v>0</v>
      </c>
      <c r="AJ736" s="411">
        <f t="shared" ref="AJ736" si="2244">AJ735</f>
        <v>0</v>
      </c>
      <c r="AK736" s="411">
        <f t="shared" ref="AK736" si="2245">AK735</f>
        <v>0</v>
      </c>
      <c r="AL736" s="411">
        <f t="shared" ref="AL736" si="2246">AL735</f>
        <v>0</v>
      </c>
      <c r="AM736" s="306"/>
    </row>
    <row r="737" spans="1:40"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45"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outlineLevel="1">
      <c r="A739" s="532"/>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47">Z738</f>
        <v>0</v>
      </c>
      <c r="AA739" s="411">
        <f t="shared" ref="AA739" si="2248">AA738</f>
        <v>0</v>
      </c>
      <c r="AB739" s="411">
        <f t="shared" ref="AB739" si="2249">AB738</f>
        <v>0</v>
      </c>
      <c r="AC739" s="411">
        <f t="shared" ref="AC739" si="2250">AC738</f>
        <v>0</v>
      </c>
      <c r="AD739" s="411">
        <f t="shared" ref="AD739" si="2251">AD738</f>
        <v>0</v>
      </c>
      <c r="AE739" s="411">
        <f t="shared" ref="AE739" si="2252">AE738</f>
        <v>0</v>
      </c>
      <c r="AF739" s="411">
        <f t="shared" ref="AF739" si="2253">AF738</f>
        <v>0</v>
      </c>
      <c r="AG739" s="411">
        <f t="shared" ref="AG739" si="2254">AG738</f>
        <v>0</v>
      </c>
      <c r="AH739" s="411">
        <f t="shared" ref="AH739" si="2255">AH738</f>
        <v>0</v>
      </c>
      <c r="AI739" s="411">
        <f t="shared" ref="AI739" si="2256">AI738</f>
        <v>0</v>
      </c>
      <c r="AJ739" s="411">
        <f t="shared" ref="AJ739" si="2257">AJ738</f>
        <v>0</v>
      </c>
      <c r="AK739" s="411">
        <f t="shared" ref="AK739" si="2258">AK738</f>
        <v>0</v>
      </c>
      <c r="AL739" s="411">
        <f t="shared" ref="AL739" si="2259">AL738</f>
        <v>0</v>
      </c>
      <c r="AM739" s="306"/>
    </row>
    <row r="740" spans="1:40"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outlineLevel="1">
      <c r="A742" s="532"/>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0">Z741</f>
        <v>0</v>
      </c>
      <c r="AA742" s="411">
        <f t="shared" ref="AA742" si="2261">AA741</f>
        <v>0</v>
      </c>
      <c r="AB742" s="411">
        <f t="shared" ref="AB742" si="2262">AB741</f>
        <v>0</v>
      </c>
      <c r="AC742" s="411">
        <f t="shared" ref="AC742" si="2263">AC741</f>
        <v>0</v>
      </c>
      <c r="AD742" s="411">
        <f t="shared" ref="AD742" si="2264">AD741</f>
        <v>0</v>
      </c>
      <c r="AE742" s="411">
        <f t="shared" ref="AE742" si="2265">AE741</f>
        <v>0</v>
      </c>
      <c r="AF742" s="411">
        <f t="shared" ref="AF742" si="2266">AF741</f>
        <v>0</v>
      </c>
      <c r="AG742" s="411">
        <f t="shared" ref="AG742" si="2267">AG741</f>
        <v>0</v>
      </c>
      <c r="AH742" s="411">
        <f t="shared" ref="AH742" si="2268">AH741</f>
        <v>0</v>
      </c>
      <c r="AI742" s="411">
        <f t="shared" ref="AI742" si="2269">AI741</f>
        <v>0</v>
      </c>
      <c r="AJ742" s="411">
        <f t="shared" ref="AJ742" si="2270">AJ741</f>
        <v>0</v>
      </c>
      <c r="AK742" s="411">
        <f t="shared" ref="AK742" si="2271">AK741</f>
        <v>0</v>
      </c>
      <c r="AL742" s="411">
        <f t="shared" ref="AL742" si="2272">AL741</f>
        <v>0</v>
      </c>
      <c r="AM742" s="306"/>
    </row>
    <row r="743" spans="1:40"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 r="B744" s="327" t="s">
        <v>311</v>
      </c>
      <c r="C744" s="329"/>
      <c r="D744" s="329">
        <f>SUM(D587:D742)</f>
        <v>994379</v>
      </c>
      <c r="E744" s="329"/>
      <c r="F744" s="329"/>
      <c r="G744" s="329"/>
      <c r="H744" s="329"/>
      <c r="I744" s="329"/>
      <c r="J744" s="329"/>
      <c r="K744" s="329"/>
      <c r="L744" s="329"/>
      <c r="M744" s="329"/>
      <c r="N744" s="329"/>
      <c r="O744" s="329">
        <f>SUM(O587:O742)</f>
        <v>72.600082422247908</v>
      </c>
      <c r="P744" s="329"/>
      <c r="Q744" s="329"/>
      <c r="R744" s="329"/>
      <c r="S744" s="329"/>
      <c r="T744" s="329"/>
      <c r="U744" s="329"/>
      <c r="V744" s="329"/>
      <c r="W744" s="329"/>
      <c r="X744" s="329"/>
      <c r="Y744" s="329">
        <f>IF(Y585="kWh",SUMPRODUCT(D587:D742,Y587:Y742))</f>
        <v>426524</v>
      </c>
      <c r="Z744" s="329">
        <f>IF(Z585="kWh",SUMPRODUCT(D587:D742,Z587:Z742))</f>
        <v>212631.43903863436</v>
      </c>
      <c r="AA744" s="329">
        <f>IF(AA585="kw",SUMPRODUCT(N587:N742,O587:O742,AA587:AA742),SUMPRODUCT(D587:D742,AA587:AA742))</f>
        <v>462.3653991343769</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1122360</v>
      </c>
      <c r="Z745" s="392">
        <f>HLOOKUP(Z401,'2. LRAMVA Threshold'!$B$42:$Q$53,10,FALSE)</f>
        <v>374120</v>
      </c>
      <c r="AA745" s="392">
        <f>HLOOKUP(AA401,'2. LRAMVA Threshold'!$B$42:$Q$53,10,FALSE)</f>
        <v>1002</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c r="B747" s="324" t="s">
        <v>313</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3.3999999999999998E-3</v>
      </c>
      <c r="Z747" s="341">
        <f>HLOOKUP(Z$35,'3.  Distribution Rates'!$C$122:$P$133,10,FALSE)</f>
        <v>1.9199999999999998E-2</v>
      </c>
      <c r="AA747" s="341">
        <f>HLOOKUP(AA$35,'3.  Distribution Rates'!$C$122:$P$133,10,FALSE)</f>
        <v>3.0373000000000001</v>
      </c>
      <c r="AB747" s="341">
        <f>HLOOKUP(AB$35,'3.  Distribution Rates'!$C$122:$P$133,10,FALSE)</f>
        <v>5.7839</v>
      </c>
      <c r="AC747" s="341">
        <f>HLOOKUP(AC$35,'3.  Distribution Rates'!$C$122:$P$133,10,FALSE)</f>
        <v>2.3099999999999999E-2</v>
      </c>
      <c r="AD747" s="341">
        <f>HLOOKUP(AD$35,'3.  Distribution Rates'!$C$122:$P$133,10,FALSE)</f>
        <v>1.4156</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c r="B748" s="324" t="s">
        <v>314</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c r="Z748" s="378"/>
      <c r="AA748" s="378"/>
      <c r="AB748" s="378"/>
      <c r="AC748" s="378"/>
      <c r="AD748" s="378"/>
      <c r="AE748" s="378"/>
      <c r="AF748" s="378"/>
      <c r="AG748" s="378"/>
      <c r="AH748" s="378"/>
      <c r="AI748" s="378"/>
      <c r="AJ748" s="378"/>
      <c r="AK748" s="378"/>
      <c r="AL748" s="378"/>
      <c r="AM748" s="629"/>
      <c r="AN748" s="443"/>
    </row>
    <row r="749" spans="1:40">
      <c r="B749" s="324" t="s">
        <v>315</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c r="Z749" s="378"/>
      <c r="AA749" s="378"/>
      <c r="AB749" s="378"/>
      <c r="AC749" s="378"/>
      <c r="AD749" s="378"/>
      <c r="AE749" s="378"/>
      <c r="AF749" s="378"/>
      <c r="AG749" s="378"/>
      <c r="AH749" s="378"/>
      <c r="AI749" s="378"/>
      <c r="AJ749" s="378"/>
      <c r="AK749" s="378"/>
      <c r="AL749" s="378"/>
      <c r="AM749" s="629"/>
      <c r="AN749" s="443"/>
    </row>
    <row r="750" spans="1:40">
      <c r="B750" s="324" t="s">
        <v>316</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c r="Z750" s="378"/>
      <c r="AA750" s="378"/>
      <c r="AB750" s="378"/>
      <c r="AC750" s="378"/>
      <c r="AD750" s="378"/>
      <c r="AE750" s="378"/>
      <c r="AF750" s="378"/>
      <c r="AG750" s="378"/>
      <c r="AH750" s="378"/>
      <c r="AI750" s="378"/>
      <c r="AJ750" s="378"/>
      <c r="AK750" s="378"/>
      <c r="AL750" s="378"/>
      <c r="AM750" s="629"/>
      <c r="AN750" s="443"/>
    </row>
    <row r="751" spans="1:40">
      <c r="B751" s="324" t="s">
        <v>317</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c r="Z751" s="378"/>
      <c r="AA751" s="378"/>
      <c r="AB751" s="378"/>
      <c r="AC751" s="378"/>
      <c r="AD751" s="378"/>
      <c r="AE751" s="378"/>
      <c r="AF751" s="378"/>
      <c r="AG751" s="378"/>
      <c r="AH751" s="378"/>
      <c r="AI751" s="378"/>
      <c r="AJ751" s="378"/>
      <c r="AK751" s="378"/>
      <c r="AL751" s="378"/>
      <c r="AM751" s="629"/>
      <c r="AN751" s="443"/>
    </row>
    <row r="752" spans="1:40">
      <c r="B752" s="324" t="s">
        <v>318</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c r="Z752" s="378"/>
      <c r="AA752" s="378"/>
      <c r="AB752" s="378"/>
      <c r="AC752" s="378"/>
      <c r="AD752" s="378"/>
      <c r="AE752" s="378"/>
      <c r="AF752" s="378"/>
      <c r="AG752" s="378"/>
      <c r="AH752" s="378"/>
      <c r="AI752" s="378"/>
      <c r="AJ752" s="378"/>
      <c r="AK752" s="378"/>
      <c r="AL752" s="378"/>
      <c r="AM752" s="629"/>
      <c r="AN752" s="443"/>
    </row>
    <row r="753" spans="1:40">
      <c r="B753" s="324" t="s">
        <v>319</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73">Y393*Y747</f>
        <v>3943.0275999999999</v>
      </c>
      <c r="Z753" s="378">
        <f t="shared" si="2273"/>
        <v>5160.9952766636461</v>
      </c>
      <c r="AA753" s="378">
        <f t="shared" si="2273"/>
        <v>4567.4736581368934</v>
      </c>
      <c r="AB753" s="378">
        <f t="shared" si="2273"/>
        <v>0</v>
      </c>
      <c r="AC753" s="378">
        <f t="shared" si="2273"/>
        <v>0</v>
      </c>
      <c r="AD753" s="378">
        <f t="shared" si="2273"/>
        <v>0</v>
      </c>
      <c r="AE753" s="378">
        <f t="shared" si="2273"/>
        <v>0</v>
      </c>
      <c r="AF753" s="378">
        <f t="shared" si="2273"/>
        <v>0</v>
      </c>
      <c r="AG753" s="378">
        <f t="shared" si="2273"/>
        <v>0</v>
      </c>
      <c r="AH753" s="378">
        <f t="shared" si="2273"/>
        <v>0</v>
      </c>
      <c r="AI753" s="378">
        <f t="shared" si="2273"/>
        <v>0</v>
      </c>
      <c r="AJ753" s="378">
        <f t="shared" si="2273"/>
        <v>0</v>
      </c>
      <c r="AK753" s="378">
        <f t="shared" si="2273"/>
        <v>0</v>
      </c>
      <c r="AL753" s="378">
        <f t="shared" si="2273"/>
        <v>0</v>
      </c>
      <c r="AM753" s="629">
        <f t="shared" ref="AM753:AM755" si="2274">SUM(Y753:AL753)</f>
        <v>13671.496534800539</v>
      </c>
      <c r="AN753" s="443"/>
    </row>
    <row r="754" spans="1:40">
      <c r="B754" s="324" t="s">
        <v>320</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75">Y576*Y747</f>
        <v>5268.3252688000002</v>
      </c>
      <c r="Z754" s="378">
        <f t="shared" si="2275"/>
        <v>4980.4450974983947</v>
      </c>
      <c r="AA754" s="378">
        <f t="shared" si="2275"/>
        <v>1651.3786725628504</v>
      </c>
      <c r="AB754" s="378">
        <f t="shared" si="2275"/>
        <v>0</v>
      </c>
      <c r="AC754" s="378">
        <f t="shared" si="2275"/>
        <v>0</v>
      </c>
      <c r="AD754" s="378">
        <f t="shared" si="2275"/>
        <v>0</v>
      </c>
      <c r="AE754" s="378">
        <f t="shared" si="2275"/>
        <v>0</v>
      </c>
      <c r="AF754" s="378">
        <f t="shared" si="2275"/>
        <v>0</v>
      </c>
      <c r="AG754" s="378">
        <f t="shared" si="2275"/>
        <v>0</v>
      </c>
      <c r="AH754" s="378">
        <f t="shared" si="2275"/>
        <v>0</v>
      </c>
      <c r="AI754" s="378">
        <f t="shared" si="2275"/>
        <v>0</v>
      </c>
      <c r="AJ754" s="378">
        <f t="shared" si="2275"/>
        <v>0</v>
      </c>
      <c r="AK754" s="378">
        <f t="shared" si="2275"/>
        <v>0</v>
      </c>
      <c r="AL754" s="378">
        <f t="shared" si="2275"/>
        <v>0</v>
      </c>
      <c r="AM754" s="629">
        <f t="shared" si="2274"/>
        <v>11900.149038861246</v>
      </c>
      <c r="AN754" s="443"/>
    </row>
    <row r="755" spans="1:40">
      <c r="B755" s="324" t="s">
        <v>321</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1450.1815999999999</v>
      </c>
      <c r="Z755" s="378">
        <f t="shared" ref="Z755:AL755" si="2276">Z744*Z747</f>
        <v>4082.5236295417794</v>
      </c>
      <c r="AA755" s="378">
        <f t="shared" si="2276"/>
        <v>1404.3424267908431</v>
      </c>
      <c r="AB755" s="378">
        <f t="shared" si="2276"/>
        <v>0</v>
      </c>
      <c r="AC755" s="378">
        <f t="shared" si="2276"/>
        <v>0</v>
      </c>
      <c r="AD755" s="378">
        <f t="shared" si="2276"/>
        <v>0</v>
      </c>
      <c r="AE755" s="378">
        <f t="shared" si="2276"/>
        <v>0</v>
      </c>
      <c r="AF755" s="378">
        <f t="shared" si="2276"/>
        <v>0</v>
      </c>
      <c r="AG755" s="378">
        <f t="shared" si="2276"/>
        <v>0</v>
      </c>
      <c r="AH755" s="378">
        <f t="shared" si="2276"/>
        <v>0</v>
      </c>
      <c r="AI755" s="378">
        <f t="shared" si="2276"/>
        <v>0</v>
      </c>
      <c r="AJ755" s="378">
        <f t="shared" si="2276"/>
        <v>0</v>
      </c>
      <c r="AK755" s="378">
        <f t="shared" si="2276"/>
        <v>0</v>
      </c>
      <c r="AL755" s="378">
        <f t="shared" si="2276"/>
        <v>0</v>
      </c>
      <c r="AM755" s="629">
        <f t="shared" si="2274"/>
        <v>6937.0476563326229</v>
      </c>
      <c r="AN755" s="443"/>
    </row>
    <row r="756" spans="1:40" ht="15.75">
      <c r="B756" s="349" t="s">
        <v>322</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10661.5344688</v>
      </c>
      <c r="Z756" s="346">
        <f>SUM(Z748:Z755)</f>
        <v>14223.964003703821</v>
      </c>
      <c r="AA756" s="346">
        <f t="shared" ref="AA756:AE756" si="2277">SUM(AA748:AA755)</f>
        <v>7623.1947574905871</v>
      </c>
      <c r="AB756" s="346">
        <f t="shared" si="2277"/>
        <v>0</v>
      </c>
      <c r="AC756" s="346">
        <f t="shared" si="2277"/>
        <v>0</v>
      </c>
      <c r="AD756" s="346">
        <f t="shared" si="2277"/>
        <v>0</v>
      </c>
      <c r="AE756" s="346">
        <f t="shared" si="2277"/>
        <v>0</v>
      </c>
      <c r="AF756" s="346">
        <f t="shared" ref="AF756:AL756" si="2278">SUM(AF748:AF755)</f>
        <v>0</v>
      </c>
      <c r="AG756" s="346">
        <f t="shared" si="2278"/>
        <v>0</v>
      </c>
      <c r="AH756" s="346">
        <f t="shared" si="2278"/>
        <v>0</v>
      </c>
      <c r="AI756" s="346">
        <f t="shared" si="2278"/>
        <v>0</v>
      </c>
      <c r="AJ756" s="346">
        <f t="shared" si="2278"/>
        <v>0</v>
      </c>
      <c r="AK756" s="346">
        <f t="shared" si="2278"/>
        <v>0</v>
      </c>
      <c r="AL756" s="346">
        <f t="shared" si="2278"/>
        <v>0</v>
      </c>
      <c r="AM756" s="407">
        <f>SUM(AM748:AM755)</f>
        <v>32508.693229994409</v>
      </c>
      <c r="AN756" s="443"/>
    </row>
    <row r="757" spans="1:40" ht="15.75">
      <c r="B757" s="349" t="s">
        <v>323</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3816.0239999999999</v>
      </c>
      <c r="Z757" s="347">
        <f t="shared" ref="Z757:AE757" si="2279">Z745*Z747</f>
        <v>7183.1039999999994</v>
      </c>
      <c r="AA757" s="347">
        <f t="shared" si="2279"/>
        <v>3043.3746000000001</v>
      </c>
      <c r="AB757" s="347">
        <f t="shared" si="2279"/>
        <v>0</v>
      </c>
      <c r="AC757" s="347">
        <f t="shared" si="2279"/>
        <v>0</v>
      </c>
      <c r="AD757" s="347">
        <f t="shared" si="2279"/>
        <v>0</v>
      </c>
      <c r="AE757" s="347">
        <f t="shared" si="2279"/>
        <v>0</v>
      </c>
      <c r="AF757" s="347">
        <f t="shared" ref="AF757:AL757" si="2280">AF745*AF747</f>
        <v>0</v>
      </c>
      <c r="AG757" s="347">
        <f t="shared" si="2280"/>
        <v>0</v>
      </c>
      <c r="AH757" s="347">
        <f t="shared" si="2280"/>
        <v>0</v>
      </c>
      <c r="AI757" s="347">
        <f t="shared" si="2280"/>
        <v>0</v>
      </c>
      <c r="AJ757" s="347">
        <f t="shared" si="2280"/>
        <v>0</v>
      </c>
      <c r="AK757" s="347">
        <f t="shared" si="2280"/>
        <v>0</v>
      </c>
      <c r="AL757" s="347">
        <f t="shared" si="2280"/>
        <v>0</v>
      </c>
      <c r="AM757" s="407">
        <f>SUM(Y757:AL757)</f>
        <v>14042.5026</v>
      </c>
      <c r="AN757" s="443"/>
    </row>
    <row r="758" spans="1:40" ht="15.75">
      <c r="B758" s="349" t="s">
        <v>324</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18466.190629994409</v>
      </c>
      <c r="AN758" s="443"/>
    </row>
    <row r="759" spans="1:40">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c r="B760" s="439" t="s">
        <v>325</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425109.5</v>
      </c>
      <c r="Z760" s="291">
        <f>SUMPRODUCT(E587:E742,Z587:Z742)</f>
        <v>200787.60703863433</v>
      </c>
      <c r="AA760" s="291">
        <f t="shared" ref="AA760:AL760" si="2281">IF(AA585="kw",SUMPRODUCT($N$587:$N$742,$P$587:$P$742,AA587:AA742),SUMPRODUCT($E$587:$E$742,AA587:AA742))</f>
        <v>465.39954054031938</v>
      </c>
      <c r="AB760" s="291">
        <f t="shared" si="2281"/>
        <v>0</v>
      </c>
      <c r="AC760" s="291">
        <f t="shared" si="2281"/>
        <v>0</v>
      </c>
      <c r="AD760" s="291">
        <f t="shared" si="2281"/>
        <v>0</v>
      </c>
      <c r="AE760" s="291">
        <f t="shared" si="2281"/>
        <v>0</v>
      </c>
      <c r="AF760" s="291">
        <f t="shared" si="2281"/>
        <v>0</v>
      </c>
      <c r="AG760" s="291">
        <f t="shared" si="2281"/>
        <v>0</v>
      </c>
      <c r="AH760" s="291">
        <f t="shared" si="2281"/>
        <v>0</v>
      </c>
      <c r="AI760" s="291">
        <f t="shared" si="2281"/>
        <v>0</v>
      </c>
      <c r="AJ760" s="291">
        <f t="shared" si="2281"/>
        <v>0</v>
      </c>
      <c r="AK760" s="291">
        <f t="shared" si="2281"/>
        <v>0</v>
      </c>
      <c r="AL760" s="291">
        <f t="shared" si="2281"/>
        <v>0</v>
      </c>
      <c r="AM760" s="337"/>
    </row>
    <row r="761" spans="1:40">
      <c r="B761" s="440" t="s">
        <v>326</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423695</v>
      </c>
      <c r="Z761" s="326">
        <f>SUMPRODUCT(F587:F742,Z587:Z742)</f>
        <v>177013.2009890526</v>
      </c>
      <c r="AA761" s="326">
        <f t="shared" ref="AA761:AL761" si="2282">IF(AA585="kw",SUMPRODUCT($N$587:$N$742,$Q$587:$Q$742,AA587:AA742),SUMPRODUCT($F$587:$F$742,AA587:AA742))</f>
        <v>460.03173274104404</v>
      </c>
      <c r="AB761" s="326">
        <f t="shared" si="2282"/>
        <v>0</v>
      </c>
      <c r="AC761" s="326">
        <f t="shared" si="2282"/>
        <v>0</v>
      </c>
      <c r="AD761" s="326">
        <f t="shared" si="2282"/>
        <v>0</v>
      </c>
      <c r="AE761" s="326">
        <f t="shared" si="2282"/>
        <v>0</v>
      </c>
      <c r="AF761" s="326">
        <f t="shared" si="2282"/>
        <v>0</v>
      </c>
      <c r="AG761" s="326">
        <f t="shared" si="2282"/>
        <v>0</v>
      </c>
      <c r="AH761" s="326">
        <f t="shared" si="2282"/>
        <v>0</v>
      </c>
      <c r="AI761" s="326">
        <f t="shared" si="2282"/>
        <v>0</v>
      </c>
      <c r="AJ761" s="326">
        <f t="shared" si="2282"/>
        <v>0</v>
      </c>
      <c r="AK761" s="326">
        <f t="shared" si="2282"/>
        <v>0</v>
      </c>
      <c r="AL761" s="326">
        <f t="shared" si="2282"/>
        <v>0</v>
      </c>
      <c r="AM761" s="386"/>
    </row>
    <row r="762" spans="1:40" ht="20.25" customHeight="1">
      <c r="B762" s="368" t="s">
        <v>581</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75">
      <c r="B765" s="280" t="s">
        <v>327</v>
      </c>
      <c r="C765" s="281"/>
      <c r="D765" s="590" t="s">
        <v>525</v>
      </c>
      <c r="E765" s="253"/>
      <c r="F765" s="590"/>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56" t="s">
        <v>211</v>
      </c>
      <c r="C766" s="858" t="s">
        <v>33</v>
      </c>
      <c r="D766" s="284" t="s">
        <v>421</v>
      </c>
      <c r="E766" s="860" t="s">
        <v>209</v>
      </c>
      <c r="F766" s="861"/>
      <c r="G766" s="861"/>
      <c r="H766" s="861"/>
      <c r="I766" s="861"/>
      <c r="J766" s="861"/>
      <c r="K766" s="861"/>
      <c r="L766" s="861"/>
      <c r="M766" s="862"/>
      <c r="N766" s="866" t="s">
        <v>213</v>
      </c>
      <c r="O766" s="284" t="s">
        <v>422</v>
      </c>
      <c r="P766" s="860" t="s">
        <v>212</v>
      </c>
      <c r="Q766" s="861"/>
      <c r="R766" s="861"/>
      <c r="S766" s="861"/>
      <c r="T766" s="861"/>
      <c r="U766" s="861"/>
      <c r="V766" s="861"/>
      <c r="W766" s="861"/>
      <c r="X766" s="862"/>
      <c r="Y766" s="863" t="s">
        <v>243</v>
      </c>
      <c r="Z766" s="864"/>
      <c r="AA766" s="864"/>
      <c r="AB766" s="864"/>
      <c r="AC766" s="864"/>
      <c r="AD766" s="864"/>
      <c r="AE766" s="864"/>
      <c r="AF766" s="864"/>
      <c r="AG766" s="864"/>
      <c r="AH766" s="864"/>
      <c r="AI766" s="864"/>
      <c r="AJ766" s="864"/>
      <c r="AK766" s="864"/>
      <c r="AL766" s="864"/>
      <c r="AM766" s="865"/>
    </row>
    <row r="767" spans="1:40" ht="65.25" customHeight="1">
      <c r="B767" s="857"/>
      <c r="C767" s="859"/>
      <c r="D767" s="285">
        <v>2019</v>
      </c>
      <c r="E767" s="285">
        <v>2020</v>
      </c>
      <c r="F767" s="285">
        <v>2021</v>
      </c>
      <c r="G767" s="285">
        <v>2022</v>
      </c>
      <c r="H767" s="285">
        <v>2023</v>
      </c>
      <c r="I767" s="285">
        <v>2024</v>
      </c>
      <c r="J767" s="285">
        <v>2025</v>
      </c>
      <c r="K767" s="285">
        <v>2026</v>
      </c>
      <c r="L767" s="285">
        <v>2027</v>
      </c>
      <c r="M767" s="285">
        <v>2028</v>
      </c>
      <c r="N767" s="867"/>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 50 - 4,999 kW</v>
      </c>
      <c r="AB767" s="285" t="str">
        <f>'1.  LRAMVA Summary'!G52</f>
        <v>Street Light</v>
      </c>
      <c r="AC767" s="285" t="str">
        <f>'1.  LRAMVA Summary'!H52</f>
        <v>USL</v>
      </c>
      <c r="AD767" s="285" t="str">
        <f>'1.  LRAMVA Summary'!I52</f>
        <v>Embedded Distributor</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503</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t="str">
        <f>'1.  LRAMVA Summary'!H53</f>
        <v>kWh</v>
      </c>
      <c r="AD768" s="291" t="str">
        <f>'1.  LRAMVA Summary'!I53</f>
        <v>kW</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outlineLevel="1">
      <c r="A769" s="532"/>
      <c r="B769" s="504" t="s">
        <v>496</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outlineLevel="1">
      <c r="A771" s="532"/>
      <c r="B771" s="294" t="s">
        <v>342</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83">Z770</f>
        <v>0</v>
      </c>
      <c r="AA771" s="411">
        <f t="shared" ref="AA771" si="2284">AA770</f>
        <v>0</v>
      </c>
      <c r="AB771" s="411">
        <f t="shared" ref="AB771" si="2285">AB770</f>
        <v>0</v>
      </c>
      <c r="AC771" s="411">
        <f t="shared" ref="AC771" si="2286">AC770</f>
        <v>0</v>
      </c>
      <c r="AD771" s="411">
        <f t="shared" ref="AD771" si="2287">AD770</f>
        <v>0</v>
      </c>
      <c r="AE771" s="411">
        <f t="shared" ref="AE771" si="2288">AE770</f>
        <v>0</v>
      </c>
      <c r="AF771" s="411">
        <f t="shared" ref="AF771" si="2289">AF770</f>
        <v>0</v>
      </c>
      <c r="AG771" s="411">
        <f t="shared" ref="AG771" si="2290">AG770</f>
        <v>0</v>
      </c>
      <c r="AH771" s="411">
        <f t="shared" ref="AH771" si="2291">AH770</f>
        <v>0</v>
      </c>
      <c r="AI771" s="411">
        <f t="shared" ref="AI771" si="2292">AI770</f>
        <v>0</v>
      </c>
      <c r="AJ771" s="411">
        <f t="shared" ref="AJ771" si="2293">AJ770</f>
        <v>0</v>
      </c>
      <c r="AK771" s="411">
        <f t="shared" ref="AK771" si="2294">AK770</f>
        <v>0</v>
      </c>
      <c r="AL771" s="411">
        <f t="shared" ref="AL771" si="2295">AL770</f>
        <v>0</v>
      </c>
      <c r="AM771" s="297"/>
    </row>
    <row r="772" spans="1:39" ht="15.75"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outlineLevel="1">
      <c r="A774" s="532"/>
      <c r="B774" s="294" t="s">
        <v>342</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296">Z773</f>
        <v>0</v>
      </c>
      <c r="AA774" s="411">
        <f t="shared" ref="AA774" si="2297">AA773</f>
        <v>0</v>
      </c>
      <c r="AB774" s="411">
        <f t="shared" ref="AB774" si="2298">AB773</f>
        <v>0</v>
      </c>
      <c r="AC774" s="411">
        <f t="shared" ref="AC774" si="2299">AC773</f>
        <v>0</v>
      </c>
      <c r="AD774" s="411">
        <f t="shared" ref="AD774" si="2300">AD773</f>
        <v>0</v>
      </c>
      <c r="AE774" s="411">
        <f t="shared" ref="AE774" si="2301">AE773</f>
        <v>0</v>
      </c>
      <c r="AF774" s="411">
        <f t="shared" ref="AF774" si="2302">AF773</f>
        <v>0</v>
      </c>
      <c r="AG774" s="411">
        <f t="shared" ref="AG774" si="2303">AG773</f>
        <v>0</v>
      </c>
      <c r="AH774" s="411">
        <f t="shared" ref="AH774" si="2304">AH773</f>
        <v>0</v>
      </c>
      <c r="AI774" s="411">
        <f t="shared" ref="AI774" si="2305">AI773</f>
        <v>0</v>
      </c>
      <c r="AJ774" s="411">
        <f t="shared" ref="AJ774" si="2306">AJ773</f>
        <v>0</v>
      </c>
      <c r="AK774" s="411">
        <f t="shared" ref="AK774" si="2307">AK773</f>
        <v>0</v>
      </c>
      <c r="AL774" s="411">
        <f t="shared" ref="AL774" si="2308">AL773</f>
        <v>0</v>
      </c>
      <c r="AM774" s="297"/>
    </row>
    <row r="775" spans="1:39" ht="15.75"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outlineLevel="1">
      <c r="A777" s="532"/>
      <c r="B777" s="294" t="s">
        <v>342</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09">Z776</f>
        <v>0</v>
      </c>
      <c r="AA777" s="411">
        <f t="shared" ref="AA777" si="2310">AA776</f>
        <v>0</v>
      </c>
      <c r="AB777" s="411">
        <f t="shared" ref="AB777" si="2311">AB776</f>
        <v>0</v>
      </c>
      <c r="AC777" s="411">
        <f t="shared" ref="AC777" si="2312">AC776</f>
        <v>0</v>
      </c>
      <c r="AD777" s="411">
        <f t="shared" ref="AD777" si="2313">AD776</f>
        <v>0</v>
      </c>
      <c r="AE777" s="411">
        <f t="shared" ref="AE777" si="2314">AE776</f>
        <v>0</v>
      </c>
      <c r="AF777" s="411">
        <f t="shared" ref="AF777" si="2315">AF776</f>
        <v>0</v>
      </c>
      <c r="AG777" s="411">
        <f t="shared" ref="AG777" si="2316">AG776</f>
        <v>0</v>
      </c>
      <c r="AH777" s="411">
        <f t="shared" ref="AH777" si="2317">AH776</f>
        <v>0</v>
      </c>
      <c r="AI777" s="411">
        <f t="shared" ref="AI777" si="2318">AI776</f>
        <v>0</v>
      </c>
      <c r="AJ777" s="411">
        <f t="shared" ref="AJ777" si="2319">AJ776</f>
        <v>0</v>
      </c>
      <c r="AK777" s="411">
        <f t="shared" ref="AK777" si="2320">AK776</f>
        <v>0</v>
      </c>
      <c r="AL777" s="411">
        <f t="shared" ref="AL777" si="2321">AL776</f>
        <v>0</v>
      </c>
      <c r="AM777" s="297"/>
    </row>
    <row r="778" spans="1:39"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outlineLevel="1">
      <c r="A779" s="532">
        <v>4</v>
      </c>
      <c r="B779" s="520" t="s">
        <v>671</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outlineLevel="1">
      <c r="A780" s="532"/>
      <c r="B780" s="294" t="s">
        <v>342</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22">Z779</f>
        <v>0</v>
      </c>
      <c r="AA780" s="411">
        <f t="shared" ref="AA780" si="2323">AA779</f>
        <v>0</v>
      </c>
      <c r="AB780" s="411">
        <f t="shared" ref="AB780" si="2324">AB779</f>
        <v>0</v>
      </c>
      <c r="AC780" s="411">
        <f t="shared" ref="AC780" si="2325">AC779</f>
        <v>0</v>
      </c>
      <c r="AD780" s="411">
        <f t="shared" ref="AD780" si="2326">AD779</f>
        <v>0</v>
      </c>
      <c r="AE780" s="411">
        <f t="shared" ref="AE780" si="2327">AE779</f>
        <v>0</v>
      </c>
      <c r="AF780" s="411">
        <f t="shared" ref="AF780" si="2328">AF779</f>
        <v>0</v>
      </c>
      <c r="AG780" s="411">
        <f t="shared" ref="AG780" si="2329">AG779</f>
        <v>0</v>
      </c>
      <c r="AH780" s="411">
        <f t="shared" ref="AH780" si="2330">AH779</f>
        <v>0</v>
      </c>
      <c r="AI780" s="411">
        <f t="shared" ref="AI780" si="2331">AI779</f>
        <v>0</v>
      </c>
      <c r="AJ780" s="411">
        <f t="shared" ref="AJ780" si="2332">AJ779</f>
        <v>0</v>
      </c>
      <c r="AK780" s="411">
        <f t="shared" ref="AK780" si="2333">AK779</f>
        <v>0</v>
      </c>
      <c r="AL780" s="411">
        <f t="shared" ref="AL780" si="2334">AL779</f>
        <v>0</v>
      </c>
      <c r="AM780" s="297"/>
    </row>
    <row r="781" spans="1:39"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customHeight="1" outlineLevel="1">
      <c r="A783" s="532"/>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35">Z782</f>
        <v>0</v>
      </c>
      <c r="AA783" s="411">
        <f t="shared" ref="AA783" si="2336">AA782</f>
        <v>0</v>
      </c>
      <c r="AB783" s="411">
        <f t="shared" ref="AB783" si="2337">AB782</f>
        <v>0</v>
      </c>
      <c r="AC783" s="411">
        <f t="shared" ref="AC783" si="2338">AC782</f>
        <v>0</v>
      </c>
      <c r="AD783" s="411">
        <f t="shared" ref="AD783" si="2339">AD782</f>
        <v>0</v>
      </c>
      <c r="AE783" s="411">
        <f t="shared" ref="AE783" si="2340">AE782</f>
        <v>0</v>
      </c>
      <c r="AF783" s="411">
        <f t="shared" ref="AF783" si="2341">AF782</f>
        <v>0</v>
      </c>
      <c r="AG783" s="411">
        <f t="shared" ref="AG783" si="2342">AG782</f>
        <v>0</v>
      </c>
      <c r="AH783" s="411">
        <f t="shared" ref="AH783" si="2343">AH782</f>
        <v>0</v>
      </c>
      <c r="AI783" s="411">
        <f t="shared" ref="AI783" si="2344">AI782</f>
        <v>0</v>
      </c>
      <c r="AJ783" s="411">
        <f t="shared" ref="AJ783" si="2345">AJ782</f>
        <v>0</v>
      </c>
      <c r="AK783" s="411">
        <f t="shared" ref="AK783" si="2346">AK782</f>
        <v>0</v>
      </c>
      <c r="AL783" s="411">
        <f t="shared" ref="AL783" si="2347">AL782</f>
        <v>0</v>
      </c>
      <c r="AM783" s="297"/>
    </row>
    <row r="784" spans="1:39"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75" outlineLevel="1">
      <c r="A785" s="532"/>
      <c r="B785" s="319" t="s">
        <v>497</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outlineLevel="1">
      <c r="A787" s="532"/>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48">Z786</f>
        <v>0</v>
      </c>
      <c r="AA787" s="411">
        <f t="shared" ref="AA787" si="2349">AA786</f>
        <v>0</v>
      </c>
      <c r="AB787" s="411">
        <f t="shared" ref="AB787" si="2350">AB786</f>
        <v>0</v>
      </c>
      <c r="AC787" s="411">
        <f t="shared" ref="AC787" si="2351">AC786</f>
        <v>0</v>
      </c>
      <c r="AD787" s="411">
        <f t="shared" ref="AD787" si="2352">AD786</f>
        <v>0</v>
      </c>
      <c r="AE787" s="411">
        <f t="shared" ref="AE787" si="2353">AE786</f>
        <v>0</v>
      </c>
      <c r="AF787" s="411">
        <f t="shared" ref="AF787" si="2354">AF786</f>
        <v>0</v>
      </c>
      <c r="AG787" s="411">
        <f t="shared" ref="AG787" si="2355">AG786</f>
        <v>0</v>
      </c>
      <c r="AH787" s="411">
        <f t="shared" ref="AH787" si="2356">AH786</f>
        <v>0</v>
      </c>
      <c r="AI787" s="411">
        <f t="shared" ref="AI787" si="2357">AI786</f>
        <v>0</v>
      </c>
      <c r="AJ787" s="411">
        <f t="shared" ref="AJ787" si="2358">AJ786</f>
        <v>0</v>
      </c>
      <c r="AK787" s="411">
        <f t="shared" ref="AK787" si="2359">AK786</f>
        <v>0</v>
      </c>
      <c r="AL787" s="411">
        <f t="shared" ref="AL787" si="2360">AL786</f>
        <v>0</v>
      </c>
      <c r="AM787" s="311"/>
    </row>
    <row r="788" spans="1:39"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outlineLevel="1">
      <c r="A790" s="532"/>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61">Z789</f>
        <v>0</v>
      </c>
      <c r="AA790" s="411">
        <f t="shared" ref="AA790" si="2362">AA789</f>
        <v>0</v>
      </c>
      <c r="AB790" s="411">
        <f t="shared" ref="AB790" si="2363">AB789</f>
        <v>0</v>
      </c>
      <c r="AC790" s="411">
        <f t="shared" ref="AC790" si="2364">AC789</f>
        <v>0</v>
      </c>
      <c r="AD790" s="411">
        <f t="shared" ref="AD790" si="2365">AD789</f>
        <v>0</v>
      </c>
      <c r="AE790" s="411">
        <f t="shared" ref="AE790" si="2366">AE789</f>
        <v>0</v>
      </c>
      <c r="AF790" s="411">
        <f t="shared" ref="AF790" si="2367">AF789</f>
        <v>0</v>
      </c>
      <c r="AG790" s="411">
        <f t="shared" ref="AG790" si="2368">AG789</f>
        <v>0</v>
      </c>
      <c r="AH790" s="411">
        <f t="shared" ref="AH790" si="2369">AH789</f>
        <v>0</v>
      </c>
      <c r="AI790" s="411">
        <f t="shared" ref="AI790" si="2370">AI789</f>
        <v>0</v>
      </c>
      <c r="AJ790" s="411">
        <f t="shared" ref="AJ790" si="2371">AJ789</f>
        <v>0</v>
      </c>
      <c r="AK790" s="411">
        <f t="shared" ref="AK790" si="2372">AK789</f>
        <v>0</v>
      </c>
      <c r="AL790" s="411">
        <f t="shared" ref="AL790" si="2373">AL789</f>
        <v>0</v>
      </c>
      <c r="AM790" s="311"/>
    </row>
    <row r="791" spans="1:39"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outlineLevel="1">
      <c r="A793" s="532"/>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74">Z792</f>
        <v>0</v>
      </c>
      <c r="AA793" s="411">
        <f t="shared" ref="AA793" si="2375">AA792</f>
        <v>0</v>
      </c>
      <c r="AB793" s="411">
        <f t="shared" ref="AB793" si="2376">AB792</f>
        <v>0</v>
      </c>
      <c r="AC793" s="411">
        <f t="shared" ref="AC793" si="2377">AC792</f>
        <v>0</v>
      </c>
      <c r="AD793" s="411">
        <f t="shared" ref="AD793" si="2378">AD792</f>
        <v>0</v>
      </c>
      <c r="AE793" s="411">
        <f t="shared" ref="AE793" si="2379">AE792</f>
        <v>0</v>
      </c>
      <c r="AF793" s="411">
        <f t="shared" ref="AF793" si="2380">AF792</f>
        <v>0</v>
      </c>
      <c r="AG793" s="411">
        <f t="shared" ref="AG793" si="2381">AG792</f>
        <v>0</v>
      </c>
      <c r="AH793" s="411">
        <f t="shared" ref="AH793" si="2382">AH792</f>
        <v>0</v>
      </c>
      <c r="AI793" s="411">
        <f t="shared" ref="AI793" si="2383">AI792</f>
        <v>0</v>
      </c>
      <c r="AJ793" s="411">
        <f t="shared" ref="AJ793" si="2384">AJ792</f>
        <v>0</v>
      </c>
      <c r="AK793" s="411">
        <f t="shared" ref="AK793" si="2385">AK792</f>
        <v>0</v>
      </c>
      <c r="AL793" s="411">
        <f t="shared" ref="AL793" si="2386">AL792</f>
        <v>0</v>
      </c>
      <c r="AM793" s="311"/>
    </row>
    <row r="794" spans="1:39"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outlineLevel="1">
      <c r="A796" s="532"/>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87">Z795</f>
        <v>0</v>
      </c>
      <c r="AA796" s="411">
        <f t="shared" ref="AA796" si="2388">AA795</f>
        <v>0</v>
      </c>
      <c r="AB796" s="411">
        <f t="shared" ref="AB796" si="2389">AB795</f>
        <v>0</v>
      </c>
      <c r="AC796" s="411">
        <f t="shared" ref="AC796" si="2390">AC795</f>
        <v>0</v>
      </c>
      <c r="AD796" s="411">
        <f t="shared" ref="AD796" si="2391">AD795</f>
        <v>0</v>
      </c>
      <c r="AE796" s="411">
        <f t="shared" ref="AE796" si="2392">AE795</f>
        <v>0</v>
      </c>
      <c r="AF796" s="411">
        <f t="shared" ref="AF796" si="2393">AF795</f>
        <v>0</v>
      </c>
      <c r="AG796" s="411">
        <f t="shared" ref="AG796" si="2394">AG795</f>
        <v>0</v>
      </c>
      <c r="AH796" s="411">
        <f t="shared" ref="AH796" si="2395">AH795</f>
        <v>0</v>
      </c>
      <c r="AI796" s="411">
        <f t="shared" ref="AI796" si="2396">AI795</f>
        <v>0</v>
      </c>
      <c r="AJ796" s="411">
        <f t="shared" ref="AJ796" si="2397">AJ795</f>
        <v>0</v>
      </c>
      <c r="AK796" s="411">
        <f t="shared" ref="AK796" si="2398">AK795</f>
        <v>0</v>
      </c>
      <c r="AL796" s="411">
        <f t="shared" ref="AL796" si="2399">AL795</f>
        <v>0</v>
      </c>
      <c r="AM796" s="311"/>
    </row>
    <row r="797" spans="1:39"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outlineLevel="1">
      <c r="A799" s="532"/>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0">Z798</f>
        <v>0</v>
      </c>
      <c r="AA799" s="411">
        <f t="shared" ref="AA799" si="2401">AA798</f>
        <v>0</v>
      </c>
      <c r="AB799" s="411">
        <f t="shared" ref="AB799" si="2402">AB798</f>
        <v>0</v>
      </c>
      <c r="AC799" s="411">
        <f t="shared" ref="AC799" si="2403">AC798</f>
        <v>0</v>
      </c>
      <c r="AD799" s="411">
        <f t="shared" ref="AD799" si="2404">AD798</f>
        <v>0</v>
      </c>
      <c r="AE799" s="411">
        <f t="shared" ref="AE799" si="2405">AE798</f>
        <v>0</v>
      </c>
      <c r="AF799" s="411">
        <f t="shared" ref="AF799" si="2406">AF798</f>
        <v>0</v>
      </c>
      <c r="AG799" s="411">
        <f t="shared" ref="AG799" si="2407">AG798</f>
        <v>0</v>
      </c>
      <c r="AH799" s="411">
        <f t="shared" ref="AH799" si="2408">AH798</f>
        <v>0</v>
      </c>
      <c r="AI799" s="411">
        <f t="shared" ref="AI799" si="2409">AI798</f>
        <v>0</v>
      </c>
      <c r="AJ799" s="411">
        <f t="shared" ref="AJ799" si="2410">AJ798</f>
        <v>0</v>
      </c>
      <c r="AK799" s="411">
        <f t="shared" ref="AK799" si="2411">AK798</f>
        <v>0</v>
      </c>
      <c r="AL799" s="411">
        <f t="shared" ref="AL799" si="2412">AL798</f>
        <v>0</v>
      </c>
      <c r="AM799" s="311"/>
    </row>
    <row r="800" spans="1:39"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75"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outlineLevel="1">
      <c r="A803" s="532"/>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13">Z802</f>
        <v>0</v>
      </c>
      <c r="AA803" s="411">
        <f t="shared" ref="AA803" si="2414">AA802</f>
        <v>0</v>
      </c>
      <c r="AB803" s="411">
        <f t="shared" ref="AB803" si="2415">AB802</f>
        <v>0</v>
      </c>
      <c r="AC803" s="411">
        <f t="shared" ref="AC803" si="2416">AC802</f>
        <v>0</v>
      </c>
      <c r="AD803" s="411">
        <f t="shared" ref="AD803" si="2417">AD802</f>
        <v>0</v>
      </c>
      <c r="AE803" s="411">
        <f t="shared" ref="AE803" si="2418">AE802</f>
        <v>0</v>
      </c>
      <c r="AF803" s="411">
        <f t="shared" ref="AF803" si="2419">AF802</f>
        <v>0</v>
      </c>
      <c r="AG803" s="411">
        <f t="shared" ref="AG803" si="2420">AG802</f>
        <v>0</v>
      </c>
      <c r="AH803" s="411">
        <f t="shared" ref="AH803" si="2421">AH802</f>
        <v>0</v>
      </c>
      <c r="AI803" s="411">
        <f t="shared" ref="AI803" si="2422">AI802</f>
        <v>0</v>
      </c>
      <c r="AJ803" s="411">
        <f t="shared" ref="AJ803" si="2423">AJ802</f>
        <v>0</v>
      </c>
      <c r="AK803" s="411">
        <f t="shared" ref="AK803" si="2424">AK802</f>
        <v>0</v>
      </c>
      <c r="AL803" s="411">
        <f t="shared" ref="AL803" si="2425">AL802</f>
        <v>0</v>
      </c>
      <c r="AM803" s="297"/>
    </row>
    <row r="804" spans="1:39"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45"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outlineLevel="1">
      <c r="A806" s="532"/>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26">Z805</f>
        <v>0</v>
      </c>
      <c r="AA806" s="411">
        <f t="shared" ref="AA806" si="2427">AA805</f>
        <v>0</v>
      </c>
      <c r="AB806" s="411">
        <f t="shared" ref="AB806" si="2428">AB805</f>
        <v>0</v>
      </c>
      <c r="AC806" s="411">
        <f t="shared" ref="AC806" si="2429">AC805</f>
        <v>0</v>
      </c>
      <c r="AD806" s="411">
        <f t="shared" ref="AD806" si="2430">AD805</f>
        <v>0</v>
      </c>
      <c r="AE806" s="411">
        <f t="shared" ref="AE806" si="2431">AE805</f>
        <v>0</v>
      </c>
      <c r="AF806" s="411">
        <f t="shared" ref="AF806" si="2432">AF805</f>
        <v>0</v>
      </c>
      <c r="AG806" s="411">
        <f t="shared" ref="AG806" si="2433">AG805</f>
        <v>0</v>
      </c>
      <c r="AH806" s="411">
        <f t="shared" ref="AH806" si="2434">AH805</f>
        <v>0</v>
      </c>
      <c r="AI806" s="411">
        <f t="shared" ref="AI806" si="2435">AI805</f>
        <v>0</v>
      </c>
      <c r="AJ806" s="411">
        <f t="shared" ref="AJ806" si="2436">AJ805</f>
        <v>0</v>
      </c>
      <c r="AK806" s="411">
        <f t="shared" ref="AK806" si="2437">AK805</f>
        <v>0</v>
      </c>
      <c r="AL806" s="411">
        <f t="shared" ref="AL806" si="2438">AL805</f>
        <v>0</v>
      </c>
      <c r="AM806" s="297"/>
    </row>
    <row r="807" spans="1:39"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outlineLevel="1">
      <c r="A809" s="532"/>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39">Z808</f>
        <v>0</v>
      </c>
      <c r="AA809" s="411">
        <f t="shared" ref="AA809" si="2440">AA808</f>
        <v>0</v>
      </c>
      <c r="AB809" s="411">
        <f t="shared" ref="AB809" si="2441">AB808</f>
        <v>0</v>
      </c>
      <c r="AC809" s="411">
        <f t="shared" ref="AC809" si="2442">AC808</f>
        <v>0</v>
      </c>
      <c r="AD809" s="411">
        <f t="shared" ref="AD809" si="2443">AD808</f>
        <v>0</v>
      </c>
      <c r="AE809" s="411">
        <f t="shared" ref="AE809" si="2444">AE808</f>
        <v>0</v>
      </c>
      <c r="AF809" s="411">
        <f t="shared" ref="AF809" si="2445">AF808</f>
        <v>0</v>
      </c>
      <c r="AG809" s="411">
        <f t="shared" ref="AG809" si="2446">AG808</f>
        <v>0</v>
      </c>
      <c r="AH809" s="411">
        <f t="shared" ref="AH809" si="2447">AH808</f>
        <v>0</v>
      </c>
      <c r="AI809" s="411">
        <f t="shared" ref="AI809" si="2448">AI808</f>
        <v>0</v>
      </c>
      <c r="AJ809" s="411">
        <f t="shared" ref="AJ809" si="2449">AJ808</f>
        <v>0</v>
      </c>
      <c r="AK809" s="411">
        <f t="shared" ref="AK809" si="2450">AK808</f>
        <v>0</v>
      </c>
      <c r="AL809" s="411">
        <f t="shared" ref="AL809" si="2451">AL808</f>
        <v>0</v>
      </c>
      <c r="AM809" s="306"/>
    </row>
    <row r="810" spans="1:39"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outlineLevel="1">
      <c r="A813" s="532"/>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52">Z812</f>
        <v>0</v>
      </c>
      <c r="AA813" s="411">
        <f t="shared" ref="AA813" si="2453">AA812</f>
        <v>0</v>
      </c>
      <c r="AB813" s="411">
        <f t="shared" ref="AB813" si="2454">AB812</f>
        <v>0</v>
      </c>
      <c r="AC813" s="411">
        <f t="shared" ref="AC813" si="2455">AC812</f>
        <v>0</v>
      </c>
      <c r="AD813" s="411">
        <f t="shared" ref="AD813" si="2456">AD812</f>
        <v>0</v>
      </c>
      <c r="AE813" s="411">
        <f t="shared" ref="AE813" si="2457">AE812</f>
        <v>0</v>
      </c>
      <c r="AF813" s="411">
        <f t="shared" ref="AF813" si="2458">AF812</f>
        <v>0</v>
      </c>
      <c r="AG813" s="411">
        <f t="shared" ref="AG813" si="2459">AG812</f>
        <v>0</v>
      </c>
      <c r="AH813" s="411">
        <f t="shared" ref="AH813" si="2460">AH812</f>
        <v>0</v>
      </c>
      <c r="AI813" s="411">
        <f t="shared" ref="AI813" si="2461">AI812</f>
        <v>0</v>
      </c>
      <c r="AJ813" s="411">
        <f t="shared" ref="AJ813" si="2462">AJ812</f>
        <v>0</v>
      </c>
      <c r="AK813" s="411">
        <f t="shared" ref="AK813" si="2463">AK812</f>
        <v>0</v>
      </c>
      <c r="AL813" s="411">
        <f t="shared" ref="AL813" si="2464">AL812</f>
        <v>0</v>
      </c>
      <c r="AM813" s="297"/>
    </row>
    <row r="814" spans="1:39"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outlineLevel="1">
      <c r="A815" s="532"/>
      <c r="B815" s="288" t="s">
        <v>489</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outlineLevel="1">
      <c r="A816" s="532">
        <v>15</v>
      </c>
      <c r="B816" s="294" t="s">
        <v>494</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outlineLevel="1">
      <c r="A817" s="532"/>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65">Z816</f>
        <v>0</v>
      </c>
      <c r="AA817" s="411">
        <f t="shared" si="2465"/>
        <v>0</v>
      </c>
      <c r="AB817" s="411">
        <f t="shared" si="2465"/>
        <v>0</v>
      </c>
      <c r="AC817" s="411">
        <f t="shared" si="2465"/>
        <v>0</v>
      </c>
      <c r="AD817" s="411">
        <f t="shared" si="2465"/>
        <v>0</v>
      </c>
      <c r="AE817" s="411">
        <f t="shared" si="2465"/>
        <v>0</v>
      </c>
      <c r="AF817" s="411">
        <f t="shared" si="2465"/>
        <v>0</v>
      </c>
      <c r="AG817" s="411">
        <f t="shared" si="2465"/>
        <v>0</v>
      </c>
      <c r="AH817" s="411">
        <f t="shared" si="2465"/>
        <v>0</v>
      </c>
      <c r="AI817" s="411">
        <f t="shared" si="2465"/>
        <v>0</v>
      </c>
      <c r="AJ817" s="411">
        <f t="shared" si="2465"/>
        <v>0</v>
      </c>
      <c r="AK817" s="411">
        <f t="shared" si="2465"/>
        <v>0</v>
      </c>
      <c r="AL817" s="411">
        <f t="shared" si="2465"/>
        <v>0</v>
      </c>
      <c r="AM817" s="297"/>
    </row>
    <row r="818" spans="1:39"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outlineLevel="1">
      <c r="A819" s="532">
        <v>16</v>
      </c>
      <c r="B819" s="324" t="s">
        <v>490</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outlineLevel="1">
      <c r="A820" s="532"/>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66">Z819</f>
        <v>0</v>
      </c>
      <c r="AA820" s="411">
        <f t="shared" si="2466"/>
        <v>0</v>
      </c>
      <c r="AB820" s="411">
        <f t="shared" si="2466"/>
        <v>0</v>
      </c>
      <c r="AC820" s="411">
        <f t="shared" si="2466"/>
        <v>0</v>
      </c>
      <c r="AD820" s="411">
        <f t="shared" si="2466"/>
        <v>0</v>
      </c>
      <c r="AE820" s="411">
        <f t="shared" si="2466"/>
        <v>0</v>
      </c>
      <c r="AF820" s="411">
        <f t="shared" si="2466"/>
        <v>0</v>
      </c>
      <c r="AG820" s="411">
        <f t="shared" si="2466"/>
        <v>0</v>
      </c>
      <c r="AH820" s="411">
        <f t="shared" si="2466"/>
        <v>0</v>
      </c>
      <c r="AI820" s="411">
        <f t="shared" si="2466"/>
        <v>0</v>
      </c>
      <c r="AJ820" s="411">
        <f t="shared" si="2466"/>
        <v>0</v>
      </c>
      <c r="AK820" s="411">
        <f t="shared" si="2466"/>
        <v>0</v>
      </c>
      <c r="AL820" s="411">
        <f t="shared" si="2466"/>
        <v>0</v>
      </c>
      <c r="AM820" s="297"/>
    </row>
    <row r="821" spans="1:39" s="283" customFormat="1"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75" outlineLevel="1">
      <c r="A822" s="532"/>
      <c r="B822" s="519" t="s">
        <v>495</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outlineLevel="1">
      <c r="A824" s="532"/>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67">Z823</f>
        <v>0</v>
      </c>
      <c r="AA824" s="411">
        <f t="shared" si="2467"/>
        <v>0</v>
      </c>
      <c r="AB824" s="411">
        <f t="shared" si="2467"/>
        <v>0</v>
      </c>
      <c r="AC824" s="411">
        <f t="shared" si="2467"/>
        <v>0</v>
      </c>
      <c r="AD824" s="411">
        <f t="shared" si="2467"/>
        <v>0</v>
      </c>
      <c r="AE824" s="411">
        <f t="shared" si="2467"/>
        <v>0</v>
      </c>
      <c r="AF824" s="411">
        <f t="shared" si="2467"/>
        <v>0</v>
      </c>
      <c r="AG824" s="411">
        <f t="shared" si="2467"/>
        <v>0</v>
      </c>
      <c r="AH824" s="411">
        <f t="shared" si="2467"/>
        <v>0</v>
      </c>
      <c r="AI824" s="411">
        <f t="shared" si="2467"/>
        <v>0</v>
      </c>
      <c r="AJ824" s="411">
        <f t="shared" si="2467"/>
        <v>0</v>
      </c>
      <c r="AK824" s="411">
        <f t="shared" si="2467"/>
        <v>0</v>
      </c>
      <c r="AL824" s="411">
        <f t="shared" si="2467"/>
        <v>0</v>
      </c>
      <c r="AM824" s="306"/>
    </row>
    <row r="825" spans="1:39"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outlineLevel="1">
      <c r="A827" s="532"/>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68">Z826</f>
        <v>0</v>
      </c>
      <c r="AA827" s="411">
        <f t="shared" si="2468"/>
        <v>0</v>
      </c>
      <c r="AB827" s="411">
        <f t="shared" si="2468"/>
        <v>0</v>
      </c>
      <c r="AC827" s="411">
        <f t="shared" si="2468"/>
        <v>0</v>
      </c>
      <c r="AD827" s="411">
        <f t="shared" si="2468"/>
        <v>0</v>
      </c>
      <c r="AE827" s="411">
        <f t="shared" si="2468"/>
        <v>0</v>
      </c>
      <c r="AF827" s="411">
        <f t="shared" si="2468"/>
        <v>0</v>
      </c>
      <c r="AG827" s="411">
        <f t="shared" si="2468"/>
        <v>0</v>
      </c>
      <c r="AH827" s="411">
        <f t="shared" si="2468"/>
        <v>0</v>
      </c>
      <c r="AI827" s="411">
        <f t="shared" si="2468"/>
        <v>0</v>
      </c>
      <c r="AJ827" s="411">
        <f t="shared" si="2468"/>
        <v>0</v>
      </c>
      <c r="AK827" s="411">
        <f t="shared" si="2468"/>
        <v>0</v>
      </c>
      <c r="AL827" s="411">
        <f t="shared" si="2468"/>
        <v>0</v>
      </c>
      <c r="AM827" s="306"/>
    </row>
    <row r="828" spans="1:39"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outlineLevel="1">
      <c r="A830" s="532"/>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69">Z829</f>
        <v>0</v>
      </c>
      <c r="AA830" s="411">
        <f t="shared" si="2469"/>
        <v>0</v>
      </c>
      <c r="AB830" s="411">
        <f t="shared" si="2469"/>
        <v>0</v>
      </c>
      <c r="AC830" s="411">
        <f t="shared" si="2469"/>
        <v>0</v>
      </c>
      <c r="AD830" s="411">
        <f t="shared" si="2469"/>
        <v>0</v>
      </c>
      <c r="AE830" s="411">
        <f t="shared" si="2469"/>
        <v>0</v>
      </c>
      <c r="AF830" s="411">
        <f t="shared" si="2469"/>
        <v>0</v>
      </c>
      <c r="AG830" s="411">
        <f t="shared" si="2469"/>
        <v>0</v>
      </c>
      <c r="AH830" s="411">
        <f t="shared" si="2469"/>
        <v>0</v>
      </c>
      <c r="AI830" s="411">
        <f t="shared" si="2469"/>
        <v>0</v>
      </c>
      <c r="AJ830" s="411">
        <f t="shared" si="2469"/>
        <v>0</v>
      </c>
      <c r="AK830" s="411">
        <f t="shared" si="2469"/>
        <v>0</v>
      </c>
      <c r="AL830" s="411">
        <f t="shared" si="2469"/>
        <v>0</v>
      </c>
      <c r="AM830" s="297"/>
    </row>
    <row r="831" spans="1:39"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outlineLevel="1">
      <c r="A833" s="532"/>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0">Z832</f>
        <v>0</v>
      </c>
      <c r="AA833" s="411">
        <f t="shared" si="2470"/>
        <v>0</v>
      </c>
      <c r="AB833" s="411">
        <f t="shared" si="2470"/>
        <v>0</v>
      </c>
      <c r="AC833" s="411">
        <f t="shared" si="2470"/>
        <v>0</v>
      </c>
      <c r="AD833" s="411">
        <f t="shared" si="2470"/>
        <v>0</v>
      </c>
      <c r="AE833" s="411">
        <f t="shared" si="2470"/>
        <v>0</v>
      </c>
      <c r="AF833" s="411">
        <f t="shared" si="2470"/>
        <v>0</v>
      </c>
      <c r="AG833" s="411">
        <f t="shared" si="2470"/>
        <v>0</v>
      </c>
      <c r="AH833" s="411">
        <f t="shared" si="2470"/>
        <v>0</v>
      </c>
      <c r="AI833" s="411">
        <f t="shared" si="2470"/>
        <v>0</v>
      </c>
      <c r="AJ833" s="411">
        <f t="shared" si="2470"/>
        <v>0</v>
      </c>
      <c r="AK833" s="411">
        <f t="shared" si="2470"/>
        <v>0</v>
      </c>
      <c r="AL833" s="411">
        <f t="shared" si="2470"/>
        <v>0</v>
      </c>
      <c r="AM833" s="306"/>
    </row>
    <row r="834" spans="1:39" ht="15.75"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outlineLevel="1">
      <c r="A835" s="532"/>
      <c r="B835" s="518" t="s">
        <v>502</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75" outlineLevel="1">
      <c r="A836" s="532"/>
      <c r="B836" s="504" t="s">
        <v>498</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outlineLevel="1">
      <c r="A838" s="532"/>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71">Z837</f>
        <v>0</v>
      </c>
      <c r="AA838" s="411">
        <f t="shared" ref="AA838" si="2472">AA837</f>
        <v>0</v>
      </c>
      <c r="AB838" s="411">
        <f t="shared" ref="AB838" si="2473">AB837</f>
        <v>0</v>
      </c>
      <c r="AC838" s="411">
        <f t="shared" ref="AC838" si="2474">AC837</f>
        <v>0</v>
      </c>
      <c r="AD838" s="411">
        <f t="shared" ref="AD838" si="2475">AD837</f>
        <v>0</v>
      </c>
      <c r="AE838" s="411">
        <f t="shared" ref="AE838" si="2476">AE837</f>
        <v>0</v>
      </c>
      <c r="AF838" s="411">
        <f t="shared" ref="AF838" si="2477">AF837</f>
        <v>0</v>
      </c>
      <c r="AG838" s="411">
        <f t="shared" ref="AG838" si="2478">AG837</f>
        <v>0</v>
      </c>
      <c r="AH838" s="411">
        <f t="shared" ref="AH838" si="2479">AH837</f>
        <v>0</v>
      </c>
      <c r="AI838" s="411">
        <f t="shared" ref="AI838" si="2480">AI837</f>
        <v>0</v>
      </c>
      <c r="AJ838" s="411">
        <f t="shared" ref="AJ838" si="2481">AJ837</f>
        <v>0</v>
      </c>
      <c r="AK838" s="411">
        <f t="shared" ref="AK838" si="2482">AK837</f>
        <v>0</v>
      </c>
      <c r="AL838" s="411">
        <f t="shared" ref="AL838" si="2483">AL837</f>
        <v>0</v>
      </c>
      <c r="AM838" s="306"/>
    </row>
    <row r="839" spans="1:39"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outlineLevel="1">
      <c r="A840" s="532">
        <v>22</v>
      </c>
      <c r="B840" s="428" t="s">
        <v>114</v>
      </c>
      <c r="C840" s="291" t="s">
        <v>25</v>
      </c>
      <c r="D840" s="295">
        <f>'7.  Persistence Report'!AY132</f>
        <v>2520</v>
      </c>
      <c r="E840" s="295">
        <f>'7.  Persistence Report'!AZ132</f>
        <v>2520</v>
      </c>
      <c r="F840" s="295">
        <f>'7.  Persistence Report'!BA132</f>
        <v>2520</v>
      </c>
      <c r="G840" s="295">
        <f>'7.  Persistence Report'!BB132</f>
        <v>2520</v>
      </c>
      <c r="H840" s="295">
        <f>'7.  Persistence Report'!BC132</f>
        <v>0</v>
      </c>
      <c r="I840" s="295">
        <f>'7.  Persistence Report'!BD132</f>
        <v>0</v>
      </c>
      <c r="J840" s="295">
        <f>'7.  Persistence Report'!BE132</f>
        <v>0</v>
      </c>
      <c r="K840" s="295">
        <f>'7.  Persistence Report'!BF132</f>
        <v>0</v>
      </c>
      <c r="L840" s="295">
        <f>'7.  Persistence Report'!BG132</f>
        <v>0</v>
      </c>
      <c r="M840" s="295">
        <f>'7.  Persistence Report'!BH132</f>
        <v>0</v>
      </c>
      <c r="N840" s="291"/>
      <c r="O840" s="295">
        <f>'7.  Persistence Report'!T132</f>
        <v>0</v>
      </c>
      <c r="P840" s="295">
        <f>'7.  Persistence Report'!U132</f>
        <v>0</v>
      </c>
      <c r="Q840" s="295">
        <f>'7.  Persistence Report'!V132</f>
        <v>0</v>
      </c>
      <c r="R840" s="295">
        <f>'7.  Persistence Report'!W132</f>
        <v>0</v>
      </c>
      <c r="S840" s="295">
        <f>'7.  Persistence Report'!X132</f>
        <v>0</v>
      </c>
      <c r="T840" s="295">
        <f>'7.  Persistence Report'!Y132</f>
        <v>0</v>
      </c>
      <c r="U840" s="295">
        <f>'7.  Persistence Report'!Z132</f>
        <v>0</v>
      </c>
      <c r="V840" s="295">
        <f>'7.  Persistence Report'!AA132</f>
        <v>0</v>
      </c>
      <c r="W840" s="295">
        <f>'7.  Persistence Report'!AB132</f>
        <v>0</v>
      </c>
      <c r="X840" s="295">
        <f>'7.  Persistence Report'!AC132</f>
        <v>0</v>
      </c>
      <c r="Y840" s="415">
        <v>1</v>
      </c>
      <c r="Z840" s="415"/>
      <c r="AA840" s="415"/>
      <c r="AB840" s="415"/>
      <c r="AC840" s="415"/>
      <c r="AD840" s="415"/>
      <c r="AE840" s="415"/>
      <c r="AF840" s="410"/>
      <c r="AG840" s="410"/>
      <c r="AH840" s="410"/>
      <c r="AI840" s="410"/>
      <c r="AJ840" s="410"/>
      <c r="AK840" s="410"/>
      <c r="AL840" s="410"/>
      <c r="AM840" s="296">
        <f>SUM(Y840:AL840)</f>
        <v>1</v>
      </c>
    </row>
    <row r="841" spans="1:39" outlineLevel="1">
      <c r="A841" s="532"/>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1</v>
      </c>
      <c r="Z841" s="411">
        <f t="shared" ref="Z841" si="2484">Z840</f>
        <v>0</v>
      </c>
      <c r="AA841" s="411">
        <f t="shared" ref="AA841" si="2485">AA840</f>
        <v>0</v>
      </c>
      <c r="AB841" s="411">
        <f t="shared" ref="AB841" si="2486">AB840</f>
        <v>0</v>
      </c>
      <c r="AC841" s="411">
        <f t="shared" ref="AC841" si="2487">AC840</f>
        <v>0</v>
      </c>
      <c r="AD841" s="411">
        <f t="shared" ref="AD841" si="2488">AD840</f>
        <v>0</v>
      </c>
      <c r="AE841" s="411">
        <f t="shared" ref="AE841" si="2489">AE840</f>
        <v>0</v>
      </c>
      <c r="AF841" s="411">
        <f t="shared" ref="AF841" si="2490">AF840</f>
        <v>0</v>
      </c>
      <c r="AG841" s="411">
        <f t="shared" ref="AG841" si="2491">AG840</f>
        <v>0</v>
      </c>
      <c r="AH841" s="411">
        <f t="shared" ref="AH841" si="2492">AH840</f>
        <v>0</v>
      </c>
      <c r="AI841" s="411">
        <f t="shared" ref="AI841" si="2493">AI840</f>
        <v>0</v>
      </c>
      <c r="AJ841" s="411">
        <f t="shared" ref="AJ841" si="2494">AJ840</f>
        <v>0</v>
      </c>
      <c r="AK841" s="411">
        <f t="shared" ref="AK841" si="2495">AK840</f>
        <v>0</v>
      </c>
      <c r="AL841" s="411">
        <f t="shared" ref="AL841" si="2496">AL840</f>
        <v>0</v>
      </c>
      <c r="AM841" s="306"/>
    </row>
    <row r="842" spans="1:39"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outlineLevel="1">
      <c r="A844" s="532"/>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497">Z843</f>
        <v>0</v>
      </c>
      <c r="AA844" s="411">
        <f t="shared" ref="AA844" si="2498">AA843</f>
        <v>0</v>
      </c>
      <c r="AB844" s="411">
        <f t="shared" ref="AB844" si="2499">AB843</f>
        <v>0</v>
      </c>
      <c r="AC844" s="411">
        <f t="shared" ref="AC844" si="2500">AC843</f>
        <v>0</v>
      </c>
      <c r="AD844" s="411">
        <f t="shared" ref="AD844" si="2501">AD843</f>
        <v>0</v>
      </c>
      <c r="AE844" s="411">
        <f t="shared" ref="AE844" si="2502">AE843</f>
        <v>0</v>
      </c>
      <c r="AF844" s="411">
        <f t="shared" ref="AF844" si="2503">AF843</f>
        <v>0</v>
      </c>
      <c r="AG844" s="411">
        <f t="shared" ref="AG844" si="2504">AG843</f>
        <v>0</v>
      </c>
      <c r="AH844" s="411">
        <f t="shared" ref="AH844" si="2505">AH843</f>
        <v>0</v>
      </c>
      <c r="AI844" s="411">
        <f t="shared" ref="AI844" si="2506">AI843</f>
        <v>0</v>
      </c>
      <c r="AJ844" s="411">
        <f t="shared" ref="AJ844" si="2507">AJ843</f>
        <v>0</v>
      </c>
      <c r="AK844" s="411">
        <f t="shared" ref="AK844" si="2508">AK843</f>
        <v>0</v>
      </c>
      <c r="AL844" s="411">
        <f t="shared" ref="AL844" si="2509">AL843</f>
        <v>0</v>
      </c>
      <c r="AM844" s="306"/>
    </row>
    <row r="845" spans="1:39"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outlineLevel="1">
      <c r="A847" s="532"/>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0">Z846</f>
        <v>0</v>
      </c>
      <c r="AA847" s="411">
        <f t="shared" ref="AA847" si="2511">AA846</f>
        <v>0</v>
      </c>
      <c r="AB847" s="411">
        <f t="shared" ref="AB847" si="2512">AB846</f>
        <v>0</v>
      </c>
      <c r="AC847" s="411">
        <f t="shared" ref="AC847" si="2513">AC846</f>
        <v>0</v>
      </c>
      <c r="AD847" s="411">
        <f t="shared" ref="AD847" si="2514">AD846</f>
        <v>0</v>
      </c>
      <c r="AE847" s="411">
        <f t="shared" ref="AE847" si="2515">AE846</f>
        <v>0</v>
      </c>
      <c r="AF847" s="411">
        <f t="shared" ref="AF847" si="2516">AF846</f>
        <v>0</v>
      </c>
      <c r="AG847" s="411">
        <f t="shared" ref="AG847" si="2517">AG846</f>
        <v>0</v>
      </c>
      <c r="AH847" s="411">
        <f t="shared" ref="AH847" si="2518">AH846</f>
        <v>0</v>
      </c>
      <c r="AI847" s="411">
        <f t="shared" ref="AI847" si="2519">AI846</f>
        <v>0</v>
      </c>
      <c r="AJ847" s="411">
        <f t="shared" ref="AJ847" si="2520">AJ846</f>
        <v>0</v>
      </c>
      <c r="AK847" s="411">
        <f t="shared" ref="AK847" si="2521">AK846</f>
        <v>0</v>
      </c>
      <c r="AL847" s="411">
        <f t="shared" ref="AL847" si="2522">AL846</f>
        <v>0</v>
      </c>
      <c r="AM847" s="306"/>
    </row>
    <row r="848" spans="1:39"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75" outlineLevel="1">
      <c r="A849" s="532"/>
      <c r="B849" s="288" t="s">
        <v>499</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outlineLevel="1">
      <c r="A851" s="532"/>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23">Z850</f>
        <v>0</v>
      </c>
      <c r="AA851" s="411">
        <f t="shared" ref="AA851" si="2524">AA850</f>
        <v>0</v>
      </c>
      <c r="AB851" s="411">
        <f t="shared" ref="AB851" si="2525">AB850</f>
        <v>0</v>
      </c>
      <c r="AC851" s="411">
        <f t="shared" ref="AC851" si="2526">AC850</f>
        <v>0</v>
      </c>
      <c r="AD851" s="411">
        <f t="shared" ref="AD851" si="2527">AD850</f>
        <v>0</v>
      </c>
      <c r="AE851" s="411">
        <f t="shared" ref="AE851" si="2528">AE850</f>
        <v>0</v>
      </c>
      <c r="AF851" s="411">
        <f t="shared" ref="AF851" si="2529">AF850</f>
        <v>0</v>
      </c>
      <c r="AG851" s="411">
        <f t="shared" ref="AG851" si="2530">AG850</f>
        <v>0</v>
      </c>
      <c r="AH851" s="411">
        <f t="shared" ref="AH851" si="2531">AH850</f>
        <v>0</v>
      </c>
      <c r="AI851" s="411">
        <f t="shared" ref="AI851" si="2532">AI850</f>
        <v>0</v>
      </c>
      <c r="AJ851" s="411">
        <f t="shared" ref="AJ851" si="2533">AJ850</f>
        <v>0</v>
      </c>
      <c r="AK851" s="411">
        <f t="shared" ref="AK851" si="2534">AK850</f>
        <v>0</v>
      </c>
      <c r="AL851" s="411">
        <f t="shared" ref="AL851" si="2535">AL850</f>
        <v>0</v>
      </c>
      <c r="AM851" s="306"/>
    </row>
    <row r="852" spans="1:39"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outlineLevel="1">
      <c r="A853" s="532">
        <v>26</v>
      </c>
      <c r="B853" s="428" t="s">
        <v>118</v>
      </c>
      <c r="C853" s="291" t="s">
        <v>25</v>
      </c>
      <c r="D853" s="295">
        <f>'7.  Persistence Report'!AY133</f>
        <v>46718</v>
      </c>
      <c r="E853" s="295">
        <f>'7.  Persistence Report'!AZ133</f>
        <v>46718</v>
      </c>
      <c r="F853" s="295">
        <f>'7.  Persistence Report'!BA133</f>
        <v>46484.409999999996</v>
      </c>
      <c r="G853" s="295">
        <f>'7.  Persistence Report'!BB133</f>
        <v>46484.409999999996</v>
      </c>
      <c r="H853" s="295">
        <f>'7.  Persistence Report'!BC133</f>
        <v>0</v>
      </c>
      <c r="I853" s="295">
        <f>'7.  Persistence Report'!BD133</f>
        <v>0</v>
      </c>
      <c r="J853" s="295">
        <f>'7.  Persistence Report'!BE133</f>
        <v>0</v>
      </c>
      <c r="K853" s="295">
        <f>'7.  Persistence Report'!BF133</f>
        <v>0</v>
      </c>
      <c r="L853" s="295">
        <f>'7.  Persistence Report'!BG133</f>
        <v>0</v>
      </c>
      <c r="M853" s="295">
        <f>'7.  Persistence Report'!BH133</f>
        <v>0</v>
      </c>
      <c r="N853" s="295">
        <v>12</v>
      </c>
      <c r="O853" s="295">
        <f>'7.  Persistence Report'!T133</f>
        <v>5.0674160093951688</v>
      </c>
      <c r="P853" s="295">
        <f>'7.  Persistence Report'!U133</f>
        <v>5.1006694854641541</v>
      </c>
      <c r="Q853" s="295">
        <f>'7.  Persistence Report'!V133</f>
        <v>5.0415634833741976</v>
      </c>
      <c r="R853" s="295">
        <f>'7.  Persistence Report'!W133</f>
        <v>5.0415634833741976</v>
      </c>
      <c r="S853" s="295">
        <f>'7.  Persistence Report'!X133</f>
        <v>0</v>
      </c>
      <c r="T853" s="295">
        <f>'7.  Persistence Report'!Y133</f>
        <v>0</v>
      </c>
      <c r="U853" s="295">
        <f>'7.  Persistence Report'!Z133</f>
        <v>0</v>
      </c>
      <c r="V853" s="295">
        <f>'7.  Persistence Report'!AA133</f>
        <v>0</v>
      </c>
      <c r="W853" s="295">
        <f>'7.  Persistence Report'!AB133</f>
        <v>0</v>
      </c>
      <c r="X853" s="295">
        <f>'7.  Persistence Report'!AC133</f>
        <v>0</v>
      </c>
      <c r="Y853" s="426"/>
      <c r="Z853" s="415">
        <f>'3-a.  Rate Class Allocations'!G56</f>
        <v>0</v>
      </c>
      <c r="AA853" s="415">
        <f>'3-a.  Rate Class Allocations'!H56</f>
        <v>1</v>
      </c>
      <c r="AB853" s="415"/>
      <c r="AC853" s="415"/>
      <c r="AD853" s="415"/>
      <c r="AE853" s="415"/>
      <c r="AF853" s="415"/>
      <c r="AG853" s="415"/>
      <c r="AH853" s="415"/>
      <c r="AI853" s="415"/>
      <c r="AJ853" s="415"/>
      <c r="AK853" s="415"/>
      <c r="AL853" s="415"/>
      <c r="AM853" s="296">
        <f>SUM(Y853:AL853)</f>
        <v>1</v>
      </c>
    </row>
    <row r="854" spans="1:39" outlineLevel="1">
      <c r="A854" s="532"/>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36">Z853</f>
        <v>0</v>
      </c>
      <c r="AA854" s="411">
        <f t="shared" ref="AA854" si="2537">AA853</f>
        <v>1</v>
      </c>
      <c r="AB854" s="411">
        <f t="shared" ref="AB854" si="2538">AB853</f>
        <v>0</v>
      </c>
      <c r="AC854" s="411">
        <f t="shared" ref="AC854" si="2539">AC853</f>
        <v>0</v>
      </c>
      <c r="AD854" s="411">
        <f t="shared" ref="AD854" si="2540">AD853</f>
        <v>0</v>
      </c>
      <c r="AE854" s="411">
        <f t="shared" ref="AE854" si="2541">AE853</f>
        <v>0</v>
      </c>
      <c r="AF854" s="411">
        <f t="shared" ref="AF854" si="2542">AF853</f>
        <v>0</v>
      </c>
      <c r="AG854" s="411">
        <f t="shared" ref="AG854" si="2543">AG853</f>
        <v>0</v>
      </c>
      <c r="AH854" s="411">
        <f t="shared" ref="AH854" si="2544">AH853</f>
        <v>0</v>
      </c>
      <c r="AI854" s="411">
        <f t="shared" ref="AI854" si="2545">AI853</f>
        <v>0</v>
      </c>
      <c r="AJ854" s="411">
        <f t="shared" ref="AJ854" si="2546">AJ853</f>
        <v>0</v>
      </c>
      <c r="AK854" s="411">
        <f t="shared" ref="AK854" si="2547">AK853</f>
        <v>0</v>
      </c>
      <c r="AL854" s="411">
        <f t="shared" ref="AL854" si="2548">AL853</f>
        <v>0</v>
      </c>
      <c r="AM854" s="306"/>
    </row>
    <row r="855" spans="1:39"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outlineLevel="1">
      <c r="A856" s="532">
        <v>27</v>
      </c>
      <c r="B856" s="428" t="s">
        <v>119</v>
      </c>
      <c r="C856" s="291" t="s">
        <v>25</v>
      </c>
      <c r="D856" s="295">
        <f>'7.  Persistence Report'!AY134</f>
        <v>87922</v>
      </c>
      <c r="E856" s="295">
        <f>'7.  Persistence Report'!AZ134</f>
        <v>77416</v>
      </c>
      <c r="F856" s="295">
        <f>'7.  Persistence Report'!BA134</f>
        <v>56533.846000000005</v>
      </c>
      <c r="G856" s="295">
        <f>'7.  Persistence Report'!BB134</f>
        <v>56358.001999999993</v>
      </c>
      <c r="H856" s="295">
        <f>'7.  Persistence Report'!BC134</f>
        <v>0</v>
      </c>
      <c r="I856" s="295">
        <f>'7.  Persistence Report'!BD134</f>
        <v>0</v>
      </c>
      <c r="J856" s="295">
        <f>'7.  Persistence Report'!BE134</f>
        <v>0</v>
      </c>
      <c r="K856" s="295">
        <f>'7.  Persistence Report'!BF134</f>
        <v>0</v>
      </c>
      <c r="L856" s="295">
        <f>'7.  Persistence Report'!BG134</f>
        <v>0</v>
      </c>
      <c r="M856" s="295">
        <f>'7.  Persistence Report'!BH134</f>
        <v>0</v>
      </c>
      <c r="N856" s="295">
        <v>12</v>
      </c>
      <c r="O856" s="295">
        <f>'7.  Persistence Report'!T134</f>
        <v>16.536176040817704</v>
      </c>
      <c r="P856" s="295">
        <f>'7.  Persistence Report'!U134</f>
        <v>14.560230708763942</v>
      </c>
      <c r="Q856" s="295">
        <f>'7.  Persistence Report'!V134</f>
        <v>10.650172416458155</v>
      </c>
      <c r="R856" s="295">
        <f>'7.  Persistence Report'!W134</f>
        <v>10.778735796269551</v>
      </c>
      <c r="S856" s="295">
        <f>'7.  Persistence Report'!X134</f>
        <v>0</v>
      </c>
      <c r="T856" s="295">
        <f>'7.  Persistence Report'!Y134</f>
        <v>0</v>
      </c>
      <c r="U856" s="295">
        <f>'7.  Persistence Report'!Z134</f>
        <v>0</v>
      </c>
      <c r="V856" s="295">
        <f>'7.  Persistence Report'!AA134</f>
        <v>0</v>
      </c>
      <c r="W856" s="295">
        <f>'7.  Persistence Report'!AB134</f>
        <v>0</v>
      </c>
      <c r="X856" s="295">
        <f>'7.  Persistence Report'!AC134</f>
        <v>0</v>
      </c>
      <c r="Y856" s="426"/>
      <c r="Z856" s="415">
        <f>'3-a.  Rate Class Allocations'!G57</f>
        <v>1</v>
      </c>
      <c r="AA856" s="415">
        <f>'3-a.  Rate Class Allocations'!H57</f>
        <v>0</v>
      </c>
      <c r="AB856" s="415"/>
      <c r="AC856" s="415"/>
      <c r="AD856" s="415"/>
      <c r="AE856" s="415"/>
      <c r="AF856" s="415"/>
      <c r="AG856" s="415"/>
      <c r="AH856" s="415"/>
      <c r="AI856" s="415"/>
      <c r="AJ856" s="415"/>
      <c r="AK856" s="415"/>
      <c r="AL856" s="415"/>
      <c r="AM856" s="296">
        <f>SUM(Y856:AL856)</f>
        <v>1</v>
      </c>
    </row>
    <row r="857" spans="1:39" outlineLevel="1">
      <c r="A857" s="532"/>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49">Z856</f>
        <v>1</v>
      </c>
      <c r="AA857" s="411">
        <f t="shared" ref="AA857" si="2550">AA856</f>
        <v>0</v>
      </c>
      <c r="AB857" s="411">
        <f t="shared" ref="AB857" si="2551">AB856</f>
        <v>0</v>
      </c>
      <c r="AC857" s="411">
        <f t="shared" ref="AC857" si="2552">AC856</f>
        <v>0</v>
      </c>
      <c r="AD857" s="411">
        <f t="shared" ref="AD857" si="2553">AD856</f>
        <v>0</v>
      </c>
      <c r="AE857" s="411">
        <f t="shared" ref="AE857" si="2554">AE856</f>
        <v>0</v>
      </c>
      <c r="AF857" s="411">
        <f t="shared" ref="AF857" si="2555">AF856</f>
        <v>0</v>
      </c>
      <c r="AG857" s="411">
        <f t="shared" ref="AG857" si="2556">AG856</f>
        <v>0</v>
      </c>
      <c r="AH857" s="411">
        <f t="shared" ref="AH857" si="2557">AH856</f>
        <v>0</v>
      </c>
      <c r="AI857" s="411">
        <f t="shared" ref="AI857" si="2558">AI856</f>
        <v>0</v>
      </c>
      <c r="AJ857" s="411">
        <f t="shared" ref="AJ857" si="2559">AJ856</f>
        <v>0</v>
      </c>
      <c r="AK857" s="411">
        <f t="shared" ref="AK857" si="2560">AK856</f>
        <v>0</v>
      </c>
      <c r="AL857" s="411">
        <f t="shared" ref="AL857" si="2561">AL856</f>
        <v>0</v>
      </c>
      <c r="AM857" s="306"/>
    </row>
    <row r="858" spans="1:39"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outlineLevel="1">
      <c r="A859" s="532">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outlineLevel="1">
      <c r="A860" s="532"/>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62">Z859</f>
        <v>0</v>
      </c>
      <c r="AA860" s="411">
        <f t="shared" ref="AA860" si="2563">AA859</f>
        <v>0</v>
      </c>
      <c r="AB860" s="411">
        <f t="shared" ref="AB860" si="2564">AB859</f>
        <v>0</v>
      </c>
      <c r="AC860" s="411">
        <f t="shared" ref="AC860" si="2565">AC859</f>
        <v>0</v>
      </c>
      <c r="AD860" s="411">
        <f t="shared" ref="AD860" si="2566">AD859</f>
        <v>0</v>
      </c>
      <c r="AE860" s="411">
        <f t="shared" ref="AE860" si="2567">AE859</f>
        <v>0</v>
      </c>
      <c r="AF860" s="411">
        <f t="shared" ref="AF860" si="2568">AF859</f>
        <v>0</v>
      </c>
      <c r="AG860" s="411">
        <f t="shared" ref="AG860" si="2569">AG859</f>
        <v>0</v>
      </c>
      <c r="AH860" s="411">
        <f t="shared" ref="AH860" si="2570">AH859</f>
        <v>0</v>
      </c>
      <c r="AI860" s="411">
        <f t="shared" ref="AI860" si="2571">AI859</f>
        <v>0</v>
      </c>
      <c r="AJ860" s="411">
        <f t="shared" ref="AJ860" si="2572">AJ859</f>
        <v>0</v>
      </c>
      <c r="AK860" s="411">
        <f t="shared" ref="AK860" si="2573">AK859</f>
        <v>0</v>
      </c>
      <c r="AL860" s="411">
        <f t="shared" ref="AL860" si="2574">AL859</f>
        <v>0</v>
      </c>
      <c r="AM860" s="306"/>
    </row>
    <row r="861" spans="1:39"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outlineLevel="1">
      <c r="A863" s="532"/>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75">Z862</f>
        <v>0</v>
      </c>
      <c r="AA863" s="411">
        <f t="shared" ref="AA863" si="2576">AA862</f>
        <v>0</v>
      </c>
      <c r="AB863" s="411">
        <f t="shared" ref="AB863" si="2577">AB862</f>
        <v>0</v>
      </c>
      <c r="AC863" s="411">
        <f t="shared" ref="AC863" si="2578">AC862</f>
        <v>0</v>
      </c>
      <c r="AD863" s="411">
        <f t="shared" ref="AD863" si="2579">AD862</f>
        <v>0</v>
      </c>
      <c r="AE863" s="411">
        <f t="shared" ref="AE863" si="2580">AE862</f>
        <v>0</v>
      </c>
      <c r="AF863" s="411">
        <f t="shared" ref="AF863" si="2581">AF862</f>
        <v>0</v>
      </c>
      <c r="AG863" s="411">
        <f t="shared" ref="AG863" si="2582">AG862</f>
        <v>0</v>
      </c>
      <c r="AH863" s="411">
        <f t="shared" ref="AH863" si="2583">AH862</f>
        <v>0</v>
      </c>
      <c r="AI863" s="411">
        <f t="shared" ref="AI863" si="2584">AI862</f>
        <v>0</v>
      </c>
      <c r="AJ863" s="411">
        <f t="shared" ref="AJ863" si="2585">AJ862</f>
        <v>0</v>
      </c>
      <c r="AK863" s="411">
        <f t="shared" ref="AK863" si="2586">AK862</f>
        <v>0</v>
      </c>
      <c r="AL863" s="411">
        <f t="shared" ref="AL863" si="2587">AL862</f>
        <v>0</v>
      </c>
      <c r="AM863" s="306"/>
    </row>
    <row r="864" spans="1:39"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outlineLevel="1">
      <c r="A866" s="532"/>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88">Z865</f>
        <v>0</v>
      </c>
      <c r="AA866" s="411">
        <f t="shared" ref="AA866" si="2589">AA865</f>
        <v>0</v>
      </c>
      <c r="AB866" s="411">
        <f t="shared" ref="AB866" si="2590">AB865</f>
        <v>0</v>
      </c>
      <c r="AC866" s="411">
        <f t="shared" ref="AC866" si="2591">AC865</f>
        <v>0</v>
      </c>
      <c r="AD866" s="411">
        <f t="shared" ref="AD866" si="2592">AD865</f>
        <v>0</v>
      </c>
      <c r="AE866" s="411">
        <f t="shared" ref="AE866" si="2593">AE865</f>
        <v>0</v>
      </c>
      <c r="AF866" s="411">
        <f t="shared" ref="AF866" si="2594">AF865</f>
        <v>0</v>
      </c>
      <c r="AG866" s="411">
        <f t="shared" ref="AG866" si="2595">AG865</f>
        <v>0</v>
      </c>
      <c r="AH866" s="411">
        <f t="shared" ref="AH866" si="2596">AH865</f>
        <v>0</v>
      </c>
      <c r="AI866" s="411">
        <f t="shared" ref="AI866" si="2597">AI865</f>
        <v>0</v>
      </c>
      <c r="AJ866" s="411">
        <f t="shared" ref="AJ866" si="2598">AJ865</f>
        <v>0</v>
      </c>
      <c r="AK866" s="411">
        <f t="shared" ref="AK866" si="2599">AK865</f>
        <v>0</v>
      </c>
      <c r="AL866" s="411">
        <f t="shared" ref="AL866" si="2600">AL865</f>
        <v>0</v>
      </c>
      <c r="AM866" s="306"/>
    </row>
    <row r="867" spans="1:39"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outlineLevel="1">
      <c r="A869" s="532"/>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01">Z868</f>
        <v>0</v>
      </c>
      <c r="AA869" s="411">
        <f t="shared" ref="AA869" si="2602">AA868</f>
        <v>0</v>
      </c>
      <c r="AB869" s="411">
        <f t="shared" ref="AB869" si="2603">AB868</f>
        <v>0</v>
      </c>
      <c r="AC869" s="411">
        <f t="shared" ref="AC869" si="2604">AC868</f>
        <v>0</v>
      </c>
      <c r="AD869" s="411">
        <f t="shared" ref="AD869" si="2605">AD868</f>
        <v>0</v>
      </c>
      <c r="AE869" s="411">
        <f t="shared" ref="AE869" si="2606">AE868</f>
        <v>0</v>
      </c>
      <c r="AF869" s="411">
        <f t="shared" ref="AF869" si="2607">AF868</f>
        <v>0</v>
      </c>
      <c r="AG869" s="411">
        <f t="shared" ref="AG869" si="2608">AG868</f>
        <v>0</v>
      </c>
      <c r="AH869" s="411">
        <f t="shared" ref="AH869" si="2609">AH868</f>
        <v>0</v>
      </c>
      <c r="AI869" s="411">
        <f t="shared" ref="AI869" si="2610">AI868</f>
        <v>0</v>
      </c>
      <c r="AJ869" s="411">
        <f t="shared" ref="AJ869" si="2611">AJ868</f>
        <v>0</v>
      </c>
      <c r="AK869" s="411">
        <f t="shared" ref="AK869" si="2612">AK868</f>
        <v>0</v>
      </c>
      <c r="AL869" s="411">
        <f t="shared" ref="AL869" si="2613">AL868</f>
        <v>0</v>
      </c>
      <c r="AM869" s="306"/>
    </row>
    <row r="870" spans="1:39"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outlineLevel="1">
      <c r="A872" s="532"/>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14">Z871</f>
        <v>0</v>
      </c>
      <c r="AA872" s="411">
        <f t="shared" ref="AA872" si="2615">AA871</f>
        <v>0</v>
      </c>
      <c r="AB872" s="411">
        <f t="shared" ref="AB872" si="2616">AB871</f>
        <v>0</v>
      </c>
      <c r="AC872" s="411">
        <f t="shared" ref="AC872" si="2617">AC871</f>
        <v>0</v>
      </c>
      <c r="AD872" s="411">
        <f t="shared" ref="AD872" si="2618">AD871</f>
        <v>0</v>
      </c>
      <c r="AE872" s="411">
        <f t="shared" ref="AE872" si="2619">AE871</f>
        <v>0</v>
      </c>
      <c r="AF872" s="411">
        <f t="shared" ref="AF872" si="2620">AF871</f>
        <v>0</v>
      </c>
      <c r="AG872" s="411">
        <f t="shared" ref="AG872" si="2621">AG871</f>
        <v>0</v>
      </c>
      <c r="AH872" s="411">
        <f t="shared" ref="AH872" si="2622">AH871</f>
        <v>0</v>
      </c>
      <c r="AI872" s="411">
        <f t="shared" ref="AI872" si="2623">AI871</f>
        <v>0</v>
      </c>
      <c r="AJ872" s="411">
        <f t="shared" ref="AJ872" si="2624">AJ871</f>
        <v>0</v>
      </c>
      <c r="AK872" s="411">
        <f t="shared" ref="AK872" si="2625">AK871</f>
        <v>0</v>
      </c>
      <c r="AL872" s="411">
        <f>AL871</f>
        <v>0</v>
      </c>
      <c r="AM872" s="306"/>
    </row>
    <row r="873" spans="1:39"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75" outlineLevel="1">
      <c r="A874" s="532"/>
      <c r="B874" s="288" t="s">
        <v>500</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outlineLevel="1">
      <c r="A875" s="532">
        <v>33</v>
      </c>
      <c r="B875" s="428" t="s">
        <v>125</v>
      </c>
      <c r="C875" s="291" t="s">
        <v>25</v>
      </c>
      <c r="D875" s="295">
        <f>'7.  Persistence Report'!AY135</f>
        <v>29256</v>
      </c>
      <c r="E875" s="295">
        <f>'7.  Persistence Report'!AZ135</f>
        <v>29256</v>
      </c>
      <c r="F875" s="295">
        <f>'7.  Persistence Report'!BA135</f>
        <v>29256</v>
      </c>
      <c r="G875" s="295">
        <f>'7.  Persistence Report'!BB135</f>
        <v>29256</v>
      </c>
      <c r="H875" s="295">
        <f>'7.  Persistence Report'!BC135</f>
        <v>0</v>
      </c>
      <c r="I875" s="295">
        <f>'7.  Persistence Report'!BD135</f>
        <v>0</v>
      </c>
      <c r="J875" s="295">
        <f>'7.  Persistence Report'!BE135</f>
        <v>0</v>
      </c>
      <c r="K875" s="295">
        <f>'7.  Persistence Report'!BF135</f>
        <v>0</v>
      </c>
      <c r="L875" s="295">
        <f>'7.  Persistence Report'!BG135</f>
        <v>0</v>
      </c>
      <c r="M875" s="295">
        <f>'7.  Persistence Report'!BH135</f>
        <v>0</v>
      </c>
      <c r="N875" s="295">
        <v>0</v>
      </c>
      <c r="O875" s="295">
        <f>'7.  Persistence Report'!T135</f>
        <v>4.1140308544114337</v>
      </c>
      <c r="P875" s="295">
        <f>'7.  Persistence Report'!U135</f>
        <v>4.1140308544114337</v>
      </c>
      <c r="Q875" s="295">
        <f>'7.  Persistence Report'!V135</f>
        <v>4.1140308544114337</v>
      </c>
      <c r="R875" s="295">
        <f>'7.  Persistence Report'!W135</f>
        <v>4.1140308544114337</v>
      </c>
      <c r="S875" s="295">
        <f>'7.  Persistence Report'!X135</f>
        <v>0</v>
      </c>
      <c r="T875" s="295">
        <f>'7.  Persistence Report'!Y135</f>
        <v>0</v>
      </c>
      <c r="U875" s="295">
        <f>'7.  Persistence Report'!Z135</f>
        <v>0</v>
      </c>
      <c r="V875" s="295">
        <f>'7.  Persistence Report'!AA135</f>
        <v>0</v>
      </c>
      <c r="W875" s="295">
        <f>'7.  Persistence Report'!AB135</f>
        <v>0</v>
      </c>
      <c r="X875" s="295">
        <f>'7.  Persistence Report'!AC135</f>
        <v>0</v>
      </c>
      <c r="Y875" s="426"/>
      <c r="Z875" s="415">
        <f>'3-a.  Rate Class Allocations'!G58</f>
        <v>1</v>
      </c>
      <c r="AA875" s="415">
        <f>'3-a.  Rate Class Allocations'!H58</f>
        <v>0</v>
      </c>
      <c r="AB875" s="415"/>
      <c r="AC875" s="415"/>
      <c r="AD875" s="415"/>
      <c r="AE875" s="415"/>
      <c r="AF875" s="415"/>
      <c r="AG875" s="415"/>
      <c r="AH875" s="415"/>
      <c r="AI875" s="415"/>
      <c r="AJ875" s="415"/>
      <c r="AK875" s="415"/>
      <c r="AL875" s="415"/>
      <c r="AM875" s="296">
        <f>SUM(Y875:AL875)</f>
        <v>1</v>
      </c>
    </row>
    <row r="876" spans="1:39" outlineLevel="1">
      <c r="A876" s="532"/>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26">Z875</f>
        <v>1</v>
      </c>
      <c r="AA876" s="411">
        <f t="shared" ref="AA876" si="2627">AA875</f>
        <v>0</v>
      </c>
      <c r="AB876" s="411">
        <f t="shared" ref="AB876" si="2628">AB875</f>
        <v>0</v>
      </c>
      <c r="AC876" s="411">
        <f t="shared" ref="AC876" si="2629">AC875</f>
        <v>0</v>
      </c>
      <c r="AD876" s="411">
        <f t="shared" ref="AD876" si="2630">AD875</f>
        <v>0</v>
      </c>
      <c r="AE876" s="411">
        <f t="shared" ref="AE876" si="2631">AE875</f>
        <v>0</v>
      </c>
      <c r="AF876" s="411">
        <f t="shared" ref="AF876" si="2632">AF875</f>
        <v>0</v>
      </c>
      <c r="AG876" s="411">
        <f t="shared" ref="AG876" si="2633">AG875</f>
        <v>0</v>
      </c>
      <c r="AH876" s="411">
        <f t="shared" ref="AH876" si="2634">AH875</f>
        <v>0</v>
      </c>
      <c r="AI876" s="411">
        <f t="shared" ref="AI876" si="2635">AI875</f>
        <v>0</v>
      </c>
      <c r="AJ876" s="411">
        <f t="shared" ref="AJ876" si="2636">AJ875</f>
        <v>0</v>
      </c>
      <c r="AK876" s="411">
        <f t="shared" ref="AK876" si="2637">AK875</f>
        <v>0</v>
      </c>
      <c r="AL876" s="411">
        <f t="shared" ref="AL876" si="2638">AL875</f>
        <v>0</v>
      </c>
      <c r="AM876" s="306"/>
    </row>
    <row r="877" spans="1:39"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outlineLevel="1">
      <c r="A879" s="532"/>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39">Z878</f>
        <v>0</v>
      </c>
      <c r="AA879" s="411">
        <f t="shared" ref="AA879" si="2640">AA878</f>
        <v>0</v>
      </c>
      <c r="AB879" s="411">
        <f t="shared" ref="AB879" si="2641">AB878</f>
        <v>0</v>
      </c>
      <c r="AC879" s="411">
        <f t="shared" ref="AC879" si="2642">AC878</f>
        <v>0</v>
      </c>
      <c r="AD879" s="411">
        <f t="shared" ref="AD879" si="2643">AD878</f>
        <v>0</v>
      </c>
      <c r="AE879" s="411">
        <f t="shared" ref="AE879" si="2644">AE878</f>
        <v>0</v>
      </c>
      <c r="AF879" s="411">
        <f t="shared" ref="AF879" si="2645">AF878</f>
        <v>0</v>
      </c>
      <c r="AG879" s="411">
        <f t="shared" ref="AG879" si="2646">AG878</f>
        <v>0</v>
      </c>
      <c r="AH879" s="411">
        <f t="shared" ref="AH879" si="2647">AH878</f>
        <v>0</v>
      </c>
      <c r="AI879" s="411">
        <f t="shared" ref="AI879" si="2648">AI878</f>
        <v>0</v>
      </c>
      <c r="AJ879" s="411">
        <f t="shared" ref="AJ879" si="2649">AJ878</f>
        <v>0</v>
      </c>
      <c r="AK879" s="411">
        <f t="shared" ref="AK879" si="2650">AK878</f>
        <v>0</v>
      </c>
      <c r="AL879" s="411">
        <f t="shared" ref="AL879" si="2651">AL878</f>
        <v>0</v>
      </c>
      <c r="AM879" s="306"/>
    </row>
    <row r="880" spans="1:39"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outlineLevel="1">
      <c r="A882" s="532"/>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52">Z881</f>
        <v>0</v>
      </c>
      <c r="AA882" s="411">
        <f t="shared" ref="AA882" si="2653">AA881</f>
        <v>0</v>
      </c>
      <c r="AB882" s="411">
        <f t="shared" ref="AB882" si="2654">AB881</f>
        <v>0</v>
      </c>
      <c r="AC882" s="411">
        <f t="shared" ref="AC882" si="2655">AC881</f>
        <v>0</v>
      </c>
      <c r="AD882" s="411">
        <f t="shared" ref="AD882" si="2656">AD881</f>
        <v>0</v>
      </c>
      <c r="AE882" s="411">
        <f t="shared" ref="AE882" si="2657">AE881</f>
        <v>0</v>
      </c>
      <c r="AF882" s="411">
        <f t="shared" ref="AF882" si="2658">AF881</f>
        <v>0</v>
      </c>
      <c r="AG882" s="411">
        <f t="shared" ref="AG882" si="2659">AG881</f>
        <v>0</v>
      </c>
      <c r="AH882" s="411">
        <f t="shared" ref="AH882" si="2660">AH881</f>
        <v>0</v>
      </c>
      <c r="AI882" s="411">
        <f t="shared" ref="AI882" si="2661">AI881</f>
        <v>0</v>
      </c>
      <c r="AJ882" s="411">
        <f t="shared" ref="AJ882" si="2662">AJ881</f>
        <v>0</v>
      </c>
      <c r="AK882" s="411">
        <f t="shared" ref="AK882" si="2663">AK881</f>
        <v>0</v>
      </c>
      <c r="AL882" s="411">
        <f t="shared" ref="AL882" si="2664">AL881</f>
        <v>0</v>
      </c>
      <c r="AM882" s="306"/>
    </row>
    <row r="883" spans="1:39"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75" outlineLevel="1">
      <c r="A884" s="532"/>
      <c r="B884" s="288" t="s">
        <v>501</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outlineLevel="1">
      <c r="A886" s="532"/>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65">Z885</f>
        <v>0</v>
      </c>
      <c r="AA886" s="411">
        <f t="shared" ref="AA886" si="2666">AA885</f>
        <v>0</v>
      </c>
      <c r="AB886" s="411">
        <f t="shared" ref="AB886" si="2667">AB885</f>
        <v>0</v>
      </c>
      <c r="AC886" s="411">
        <f t="shared" ref="AC886" si="2668">AC885</f>
        <v>0</v>
      </c>
      <c r="AD886" s="411">
        <f t="shared" ref="AD886" si="2669">AD885</f>
        <v>0</v>
      </c>
      <c r="AE886" s="411">
        <f t="shared" ref="AE886" si="2670">AE885</f>
        <v>0</v>
      </c>
      <c r="AF886" s="411">
        <f t="shared" ref="AF886" si="2671">AF885</f>
        <v>0</v>
      </c>
      <c r="AG886" s="411">
        <f t="shared" ref="AG886" si="2672">AG885</f>
        <v>0</v>
      </c>
      <c r="AH886" s="411">
        <f t="shared" ref="AH886" si="2673">AH885</f>
        <v>0</v>
      </c>
      <c r="AI886" s="411">
        <f t="shared" ref="AI886" si="2674">AI885</f>
        <v>0</v>
      </c>
      <c r="AJ886" s="411">
        <f t="shared" ref="AJ886" si="2675">AJ885</f>
        <v>0</v>
      </c>
      <c r="AK886" s="411">
        <f t="shared" ref="AK886" si="2676">AK885</f>
        <v>0</v>
      </c>
      <c r="AL886" s="411">
        <f t="shared" ref="AL886" si="2677">AL885</f>
        <v>0</v>
      </c>
      <c r="AM886" s="306"/>
    </row>
    <row r="887" spans="1:39"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outlineLevel="1">
      <c r="A889" s="532"/>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78">Z888</f>
        <v>0</v>
      </c>
      <c r="AA889" s="411">
        <f t="shared" ref="AA889" si="2679">AA888</f>
        <v>0</v>
      </c>
      <c r="AB889" s="411">
        <f t="shared" ref="AB889" si="2680">AB888</f>
        <v>0</v>
      </c>
      <c r="AC889" s="411">
        <f t="shared" ref="AC889" si="2681">AC888</f>
        <v>0</v>
      </c>
      <c r="AD889" s="411">
        <f t="shared" ref="AD889" si="2682">AD888</f>
        <v>0</v>
      </c>
      <c r="AE889" s="411">
        <f t="shared" ref="AE889" si="2683">AE888</f>
        <v>0</v>
      </c>
      <c r="AF889" s="411">
        <f t="shared" ref="AF889" si="2684">AF888</f>
        <v>0</v>
      </c>
      <c r="AG889" s="411">
        <f t="shared" ref="AG889" si="2685">AG888</f>
        <v>0</v>
      </c>
      <c r="AH889" s="411">
        <f t="shared" ref="AH889" si="2686">AH888</f>
        <v>0</v>
      </c>
      <c r="AI889" s="411">
        <f t="shared" ref="AI889" si="2687">AI888</f>
        <v>0</v>
      </c>
      <c r="AJ889" s="411">
        <f t="shared" ref="AJ889" si="2688">AJ888</f>
        <v>0</v>
      </c>
      <c r="AK889" s="411">
        <f t="shared" ref="AK889" si="2689">AK888</f>
        <v>0</v>
      </c>
      <c r="AL889" s="411">
        <f t="shared" ref="AL889" si="2690">AL888</f>
        <v>0</v>
      </c>
      <c r="AM889" s="306"/>
    </row>
    <row r="890" spans="1:39"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outlineLevel="1">
      <c r="A892" s="532"/>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91">Z891</f>
        <v>0</v>
      </c>
      <c r="AA892" s="411">
        <f t="shared" ref="AA892" si="2692">AA891</f>
        <v>0</v>
      </c>
      <c r="AB892" s="411">
        <f t="shared" ref="AB892" si="2693">AB891</f>
        <v>0</v>
      </c>
      <c r="AC892" s="411">
        <f t="shared" ref="AC892" si="2694">AC891</f>
        <v>0</v>
      </c>
      <c r="AD892" s="411">
        <f t="shared" ref="AD892" si="2695">AD891</f>
        <v>0</v>
      </c>
      <c r="AE892" s="411">
        <f t="shared" ref="AE892" si="2696">AE891</f>
        <v>0</v>
      </c>
      <c r="AF892" s="411">
        <f t="shared" ref="AF892" si="2697">AF891</f>
        <v>0</v>
      </c>
      <c r="AG892" s="411">
        <f t="shared" ref="AG892" si="2698">AG891</f>
        <v>0</v>
      </c>
      <c r="AH892" s="411">
        <f t="shared" ref="AH892" si="2699">AH891</f>
        <v>0</v>
      </c>
      <c r="AI892" s="411">
        <f t="shared" ref="AI892" si="2700">AI891</f>
        <v>0</v>
      </c>
      <c r="AJ892" s="411">
        <f t="shared" ref="AJ892" si="2701">AJ891</f>
        <v>0</v>
      </c>
      <c r="AK892" s="411">
        <f t="shared" ref="AK892" si="2702">AK891</f>
        <v>0</v>
      </c>
      <c r="AL892" s="411">
        <f t="shared" ref="AL892" si="2703">AL891</f>
        <v>0</v>
      </c>
      <c r="AM892" s="306"/>
    </row>
    <row r="893" spans="1:39"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outlineLevel="1">
      <c r="A895" s="532"/>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04">Z894</f>
        <v>0</v>
      </c>
      <c r="AA895" s="411">
        <f t="shared" ref="AA895" si="2705">AA894</f>
        <v>0</v>
      </c>
      <c r="AB895" s="411">
        <f t="shared" ref="AB895" si="2706">AB894</f>
        <v>0</v>
      </c>
      <c r="AC895" s="411">
        <f t="shared" ref="AC895" si="2707">AC894</f>
        <v>0</v>
      </c>
      <c r="AD895" s="411">
        <f t="shared" ref="AD895" si="2708">AD894</f>
        <v>0</v>
      </c>
      <c r="AE895" s="411">
        <f t="shared" ref="AE895" si="2709">AE894</f>
        <v>0</v>
      </c>
      <c r="AF895" s="411">
        <f t="shared" ref="AF895" si="2710">AF894</f>
        <v>0</v>
      </c>
      <c r="AG895" s="411">
        <f t="shared" ref="AG895" si="2711">AG894</f>
        <v>0</v>
      </c>
      <c r="AH895" s="411">
        <f t="shared" ref="AH895" si="2712">AH894</f>
        <v>0</v>
      </c>
      <c r="AI895" s="411">
        <f t="shared" ref="AI895" si="2713">AI894</f>
        <v>0</v>
      </c>
      <c r="AJ895" s="411">
        <f t="shared" ref="AJ895" si="2714">AJ894</f>
        <v>0</v>
      </c>
      <c r="AK895" s="411">
        <f t="shared" ref="AK895" si="2715">AK894</f>
        <v>0</v>
      </c>
      <c r="AL895" s="411">
        <f t="shared" ref="AL895" si="2716">AL894</f>
        <v>0</v>
      </c>
      <c r="AM895" s="306"/>
    </row>
    <row r="896" spans="1:39"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outlineLevel="1">
      <c r="A898" s="532"/>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17">Z897</f>
        <v>0</v>
      </c>
      <c r="AA898" s="411">
        <f t="shared" ref="AA898" si="2718">AA897</f>
        <v>0</v>
      </c>
      <c r="AB898" s="411">
        <f t="shared" ref="AB898" si="2719">AB897</f>
        <v>0</v>
      </c>
      <c r="AC898" s="411">
        <f t="shared" ref="AC898" si="2720">AC897</f>
        <v>0</v>
      </c>
      <c r="AD898" s="411">
        <f t="shared" ref="AD898" si="2721">AD897</f>
        <v>0</v>
      </c>
      <c r="AE898" s="411">
        <f t="shared" ref="AE898" si="2722">AE897</f>
        <v>0</v>
      </c>
      <c r="AF898" s="411">
        <f t="shared" ref="AF898" si="2723">AF897</f>
        <v>0</v>
      </c>
      <c r="AG898" s="411">
        <f t="shared" ref="AG898" si="2724">AG897</f>
        <v>0</v>
      </c>
      <c r="AH898" s="411">
        <f t="shared" ref="AH898" si="2725">AH897</f>
        <v>0</v>
      </c>
      <c r="AI898" s="411">
        <f t="shared" ref="AI898" si="2726">AI897</f>
        <v>0</v>
      </c>
      <c r="AJ898" s="411">
        <f t="shared" ref="AJ898" si="2727">AJ897</f>
        <v>0</v>
      </c>
      <c r="AK898" s="411">
        <f t="shared" ref="AK898" si="2728">AK897</f>
        <v>0</v>
      </c>
      <c r="AL898" s="411">
        <f t="shared" ref="AL898" si="2729">AL897</f>
        <v>0</v>
      </c>
      <c r="AM898" s="306"/>
    </row>
    <row r="899" spans="1:39"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outlineLevel="1">
      <c r="A901" s="532"/>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0">Z900</f>
        <v>0</v>
      </c>
      <c r="AA901" s="411">
        <f t="shared" ref="AA901" si="2731">AA900</f>
        <v>0</v>
      </c>
      <c r="AB901" s="411">
        <f t="shared" ref="AB901" si="2732">AB900</f>
        <v>0</v>
      </c>
      <c r="AC901" s="411">
        <f t="shared" ref="AC901" si="2733">AC900</f>
        <v>0</v>
      </c>
      <c r="AD901" s="411">
        <f t="shared" ref="AD901" si="2734">AD900</f>
        <v>0</v>
      </c>
      <c r="AE901" s="411">
        <f t="shared" ref="AE901" si="2735">AE900</f>
        <v>0</v>
      </c>
      <c r="AF901" s="411">
        <f t="shared" ref="AF901" si="2736">AF900</f>
        <v>0</v>
      </c>
      <c r="AG901" s="411">
        <f t="shared" ref="AG901" si="2737">AG900</f>
        <v>0</v>
      </c>
      <c r="AH901" s="411">
        <f t="shared" ref="AH901" si="2738">AH900</f>
        <v>0</v>
      </c>
      <c r="AI901" s="411">
        <f t="shared" ref="AI901" si="2739">AI900</f>
        <v>0</v>
      </c>
      <c r="AJ901" s="411">
        <f t="shared" ref="AJ901" si="2740">AJ900</f>
        <v>0</v>
      </c>
      <c r="AK901" s="411">
        <f t="shared" ref="AK901" si="2741">AK900</f>
        <v>0</v>
      </c>
      <c r="AL901" s="411">
        <f t="shared" ref="AL901" si="2742">AL900</f>
        <v>0</v>
      </c>
      <c r="AM901" s="306"/>
    </row>
    <row r="902" spans="1:39"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outlineLevel="1">
      <c r="A904" s="532"/>
      <c r="B904" s="294" t="s">
        <v>342</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743">Z903</f>
        <v>0</v>
      </c>
      <c r="AA904" s="411">
        <f t="shared" ref="AA904" si="2744">AA903</f>
        <v>0</v>
      </c>
      <c r="AB904" s="411">
        <f t="shared" ref="AB904" si="2745">AB903</f>
        <v>0</v>
      </c>
      <c r="AC904" s="411">
        <f t="shared" ref="AC904" si="2746">AC903</f>
        <v>0</v>
      </c>
      <c r="AD904" s="411">
        <f t="shared" ref="AD904" si="2747">AD903</f>
        <v>0</v>
      </c>
      <c r="AE904" s="411">
        <f t="shared" ref="AE904" si="2748">AE903</f>
        <v>0</v>
      </c>
      <c r="AF904" s="411">
        <f t="shared" ref="AF904" si="2749">AF903</f>
        <v>0</v>
      </c>
      <c r="AG904" s="411">
        <f t="shared" ref="AG904" si="2750">AG903</f>
        <v>0</v>
      </c>
      <c r="AH904" s="411">
        <f t="shared" ref="AH904" si="2751">AH903</f>
        <v>0</v>
      </c>
      <c r="AI904" s="411">
        <f t="shared" ref="AI904" si="2752">AI903</f>
        <v>0</v>
      </c>
      <c r="AJ904" s="411">
        <f t="shared" ref="AJ904" si="2753">AJ903</f>
        <v>0</v>
      </c>
      <c r="AK904" s="411">
        <f t="shared" ref="AK904" si="2754">AK903</f>
        <v>0</v>
      </c>
      <c r="AL904" s="411">
        <f t="shared" ref="AL904" si="2755">AL903</f>
        <v>0</v>
      </c>
      <c r="AM904" s="306"/>
    </row>
    <row r="905" spans="1:39"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0"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outlineLevel="1">
      <c r="A907" s="532"/>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56">Z906</f>
        <v>0</v>
      </c>
      <c r="AA907" s="411">
        <f t="shared" ref="AA907" si="2757">AA906</f>
        <v>0</v>
      </c>
      <c r="AB907" s="411">
        <f t="shared" ref="AB907" si="2758">AB906</f>
        <v>0</v>
      </c>
      <c r="AC907" s="411">
        <f t="shared" ref="AC907" si="2759">AC906</f>
        <v>0</v>
      </c>
      <c r="AD907" s="411">
        <f t="shared" ref="AD907" si="2760">AD906</f>
        <v>0</v>
      </c>
      <c r="AE907" s="411">
        <f t="shared" ref="AE907" si="2761">AE906</f>
        <v>0</v>
      </c>
      <c r="AF907" s="411">
        <f t="shared" ref="AF907" si="2762">AF906</f>
        <v>0</v>
      </c>
      <c r="AG907" s="411">
        <f t="shared" ref="AG907" si="2763">AG906</f>
        <v>0</v>
      </c>
      <c r="AH907" s="411">
        <f t="shared" ref="AH907" si="2764">AH906</f>
        <v>0</v>
      </c>
      <c r="AI907" s="411">
        <f t="shared" ref="AI907" si="2765">AI906</f>
        <v>0</v>
      </c>
      <c r="AJ907" s="411">
        <f t="shared" ref="AJ907" si="2766">AJ906</f>
        <v>0</v>
      </c>
      <c r="AK907" s="411">
        <f t="shared" ref="AK907" si="2767">AK906</f>
        <v>0</v>
      </c>
      <c r="AL907" s="411">
        <f t="shared" ref="AL907" si="2768">AL906</f>
        <v>0</v>
      </c>
      <c r="AM907" s="306"/>
    </row>
    <row r="908" spans="1:39"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outlineLevel="1">
      <c r="A910" s="532"/>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69">Z909</f>
        <v>0</v>
      </c>
      <c r="AA910" s="411">
        <f t="shared" ref="AA910" si="2770">AA909</f>
        <v>0</v>
      </c>
      <c r="AB910" s="411">
        <f t="shared" ref="AB910" si="2771">AB909</f>
        <v>0</v>
      </c>
      <c r="AC910" s="411">
        <f t="shared" ref="AC910" si="2772">AC909</f>
        <v>0</v>
      </c>
      <c r="AD910" s="411">
        <f t="shared" ref="AD910" si="2773">AD909</f>
        <v>0</v>
      </c>
      <c r="AE910" s="411">
        <f t="shared" ref="AE910" si="2774">AE909</f>
        <v>0</v>
      </c>
      <c r="AF910" s="411">
        <f t="shared" ref="AF910" si="2775">AF909</f>
        <v>0</v>
      </c>
      <c r="AG910" s="411">
        <f t="shared" ref="AG910" si="2776">AG909</f>
        <v>0</v>
      </c>
      <c r="AH910" s="411">
        <f t="shared" ref="AH910" si="2777">AH909</f>
        <v>0</v>
      </c>
      <c r="AI910" s="411">
        <f t="shared" ref="AI910" si="2778">AI909</f>
        <v>0</v>
      </c>
      <c r="AJ910" s="411">
        <f t="shared" ref="AJ910" si="2779">AJ909</f>
        <v>0</v>
      </c>
      <c r="AK910" s="411">
        <f t="shared" ref="AK910" si="2780">AK909</f>
        <v>0</v>
      </c>
      <c r="AL910" s="411">
        <f t="shared" ref="AL910" si="2781">AL909</f>
        <v>0</v>
      </c>
      <c r="AM910" s="306"/>
    </row>
    <row r="911" spans="1:39"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outlineLevel="1">
      <c r="A913" s="532"/>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82">Z912</f>
        <v>0</v>
      </c>
      <c r="AA913" s="411">
        <f t="shared" ref="AA913" si="2783">AA912</f>
        <v>0</v>
      </c>
      <c r="AB913" s="411">
        <f t="shared" ref="AB913" si="2784">AB912</f>
        <v>0</v>
      </c>
      <c r="AC913" s="411">
        <f t="shared" ref="AC913" si="2785">AC912</f>
        <v>0</v>
      </c>
      <c r="AD913" s="411">
        <f t="shared" ref="AD913" si="2786">AD912</f>
        <v>0</v>
      </c>
      <c r="AE913" s="411">
        <f t="shared" ref="AE913" si="2787">AE912</f>
        <v>0</v>
      </c>
      <c r="AF913" s="411">
        <f t="shared" ref="AF913" si="2788">AF912</f>
        <v>0</v>
      </c>
      <c r="AG913" s="411">
        <f t="shared" ref="AG913" si="2789">AG912</f>
        <v>0</v>
      </c>
      <c r="AH913" s="411">
        <f t="shared" ref="AH913" si="2790">AH912</f>
        <v>0</v>
      </c>
      <c r="AI913" s="411">
        <f t="shared" ref="AI913" si="2791">AI912</f>
        <v>0</v>
      </c>
      <c r="AJ913" s="411">
        <f t="shared" ref="AJ913" si="2792">AJ912</f>
        <v>0</v>
      </c>
      <c r="AK913" s="411">
        <f t="shared" ref="AK913" si="2793">AK912</f>
        <v>0</v>
      </c>
      <c r="AL913" s="411">
        <f t="shared" ref="AL913" si="2794">AL912</f>
        <v>0</v>
      </c>
      <c r="AM913" s="306"/>
    </row>
    <row r="914" spans="1:39"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outlineLevel="1">
      <c r="A916" s="532"/>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795">Z915</f>
        <v>0</v>
      </c>
      <c r="AA916" s="411">
        <f t="shared" ref="AA916" si="2796">AA915</f>
        <v>0</v>
      </c>
      <c r="AB916" s="411">
        <f t="shared" ref="AB916" si="2797">AB915</f>
        <v>0</v>
      </c>
      <c r="AC916" s="411">
        <f t="shared" ref="AC916" si="2798">AC915</f>
        <v>0</v>
      </c>
      <c r="AD916" s="411">
        <f t="shared" ref="AD916" si="2799">AD915</f>
        <v>0</v>
      </c>
      <c r="AE916" s="411">
        <f t="shared" ref="AE916" si="2800">AE915</f>
        <v>0</v>
      </c>
      <c r="AF916" s="411">
        <f t="shared" ref="AF916" si="2801">AF915</f>
        <v>0</v>
      </c>
      <c r="AG916" s="411">
        <f t="shared" ref="AG916" si="2802">AG915</f>
        <v>0</v>
      </c>
      <c r="AH916" s="411">
        <f t="shared" ref="AH916" si="2803">AH915</f>
        <v>0</v>
      </c>
      <c r="AI916" s="411">
        <f t="shared" ref="AI916" si="2804">AI915</f>
        <v>0</v>
      </c>
      <c r="AJ916" s="411">
        <f t="shared" ref="AJ916" si="2805">AJ915</f>
        <v>0</v>
      </c>
      <c r="AK916" s="411">
        <f t="shared" ref="AK916" si="2806">AK915</f>
        <v>0</v>
      </c>
      <c r="AL916" s="411">
        <f t="shared" ref="AL916" si="2807">AL915</f>
        <v>0</v>
      </c>
      <c r="AM916" s="306"/>
    </row>
    <row r="917" spans="1:39"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outlineLevel="1">
      <c r="A919" s="532"/>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08">Z918</f>
        <v>0</v>
      </c>
      <c r="AA919" s="411">
        <f t="shared" ref="AA919" si="2809">AA918</f>
        <v>0</v>
      </c>
      <c r="AB919" s="411">
        <f t="shared" ref="AB919" si="2810">AB918</f>
        <v>0</v>
      </c>
      <c r="AC919" s="411">
        <f t="shared" ref="AC919" si="2811">AC918</f>
        <v>0</v>
      </c>
      <c r="AD919" s="411">
        <f t="shared" ref="AD919" si="2812">AD918</f>
        <v>0</v>
      </c>
      <c r="AE919" s="411">
        <f t="shared" ref="AE919" si="2813">AE918</f>
        <v>0</v>
      </c>
      <c r="AF919" s="411">
        <f t="shared" ref="AF919" si="2814">AF918</f>
        <v>0</v>
      </c>
      <c r="AG919" s="411">
        <f t="shared" ref="AG919" si="2815">AG918</f>
        <v>0</v>
      </c>
      <c r="AH919" s="411">
        <f t="shared" ref="AH919" si="2816">AH918</f>
        <v>0</v>
      </c>
      <c r="AI919" s="411">
        <f t="shared" ref="AI919" si="2817">AI918</f>
        <v>0</v>
      </c>
      <c r="AJ919" s="411">
        <f t="shared" ref="AJ919" si="2818">AJ918</f>
        <v>0</v>
      </c>
      <c r="AK919" s="411">
        <f t="shared" ref="AK919" si="2819">AK918</f>
        <v>0</v>
      </c>
      <c r="AL919" s="411">
        <f t="shared" ref="AL919" si="2820">AL918</f>
        <v>0</v>
      </c>
      <c r="AM919" s="306"/>
    </row>
    <row r="920" spans="1:39"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45"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outlineLevel="1">
      <c r="A922" s="532"/>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21">Z921</f>
        <v>0</v>
      </c>
      <c r="AA922" s="411">
        <f t="shared" ref="AA922" si="2822">AA921</f>
        <v>0</v>
      </c>
      <c r="AB922" s="411">
        <f t="shared" ref="AB922" si="2823">AB921</f>
        <v>0</v>
      </c>
      <c r="AC922" s="411">
        <f t="shared" ref="AC922" si="2824">AC921</f>
        <v>0</v>
      </c>
      <c r="AD922" s="411">
        <f t="shared" ref="AD922" si="2825">AD921</f>
        <v>0</v>
      </c>
      <c r="AE922" s="411">
        <f t="shared" ref="AE922" si="2826">AE921</f>
        <v>0</v>
      </c>
      <c r="AF922" s="411">
        <f t="shared" ref="AF922" si="2827">AF921</f>
        <v>0</v>
      </c>
      <c r="AG922" s="411">
        <f t="shared" ref="AG922" si="2828">AG921</f>
        <v>0</v>
      </c>
      <c r="AH922" s="411">
        <f t="shared" ref="AH922" si="2829">AH921</f>
        <v>0</v>
      </c>
      <c r="AI922" s="411">
        <f t="shared" ref="AI922" si="2830">AI921</f>
        <v>0</v>
      </c>
      <c r="AJ922" s="411">
        <f t="shared" ref="AJ922" si="2831">AJ921</f>
        <v>0</v>
      </c>
      <c r="AK922" s="411">
        <f t="shared" ref="AK922" si="2832">AK921</f>
        <v>0</v>
      </c>
      <c r="AL922" s="411">
        <f t="shared" ref="AL922" si="2833">AL921</f>
        <v>0</v>
      </c>
      <c r="AM922" s="306"/>
    </row>
    <row r="923" spans="1:39"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outlineLevel="1">
      <c r="A925" s="532"/>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34">Z924</f>
        <v>0</v>
      </c>
      <c r="AA925" s="411">
        <f t="shared" ref="AA925" si="2835">AA924</f>
        <v>0</v>
      </c>
      <c r="AB925" s="411">
        <f t="shared" ref="AB925" si="2836">AB924</f>
        <v>0</v>
      </c>
      <c r="AC925" s="411">
        <f t="shared" ref="AC925" si="2837">AC924</f>
        <v>0</v>
      </c>
      <c r="AD925" s="411">
        <f t="shared" ref="AD925" si="2838">AD924</f>
        <v>0</v>
      </c>
      <c r="AE925" s="411">
        <f t="shared" ref="AE925" si="2839">AE924</f>
        <v>0</v>
      </c>
      <c r="AF925" s="411">
        <f t="shared" ref="AF925" si="2840">AF924</f>
        <v>0</v>
      </c>
      <c r="AG925" s="411">
        <f t="shared" ref="AG925" si="2841">AG924</f>
        <v>0</v>
      </c>
      <c r="AH925" s="411">
        <f t="shared" ref="AH925" si="2842">AH924</f>
        <v>0</v>
      </c>
      <c r="AI925" s="411">
        <f t="shared" ref="AI925" si="2843">AI924</f>
        <v>0</v>
      </c>
      <c r="AJ925" s="411">
        <f t="shared" ref="AJ925" si="2844">AJ924</f>
        <v>0</v>
      </c>
      <c r="AK925" s="411">
        <f t="shared" ref="AK925" si="2845">AK924</f>
        <v>0</v>
      </c>
      <c r="AL925" s="411">
        <f t="shared" ref="AL925" si="2846">AL924</f>
        <v>0</v>
      </c>
      <c r="AM925" s="306"/>
    </row>
    <row r="926" spans="1:39"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 r="B927" s="327" t="s">
        <v>328</v>
      </c>
      <c r="C927" s="329"/>
      <c r="D927" s="329">
        <f>SUM(D770:D925)</f>
        <v>166416</v>
      </c>
      <c r="E927" s="329"/>
      <c r="F927" s="329"/>
      <c r="G927" s="329"/>
      <c r="H927" s="329"/>
      <c r="I927" s="329"/>
      <c r="J927" s="329"/>
      <c r="K927" s="329"/>
      <c r="L927" s="329"/>
      <c r="M927" s="329"/>
      <c r="N927" s="329"/>
      <c r="O927" s="329">
        <f>SUM(O770:O925)</f>
        <v>25.717622904624307</v>
      </c>
      <c r="P927" s="329"/>
      <c r="Q927" s="329"/>
      <c r="R927" s="329"/>
      <c r="S927" s="329"/>
      <c r="T927" s="329"/>
      <c r="U927" s="329"/>
      <c r="V927" s="329"/>
      <c r="W927" s="329"/>
      <c r="X927" s="329"/>
      <c r="Y927" s="329">
        <f>IF(Y768="kWh",SUMPRODUCT(D770:D925,Y770:Y925))</f>
        <v>2520</v>
      </c>
      <c r="Z927" s="329">
        <f>IF(Z768="kWh",SUMPRODUCT(D770:D925,Z770:Z925))</f>
        <v>117178</v>
      </c>
      <c r="AA927" s="329">
        <f>IF(AA768="kw",SUMPRODUCT(N770:N925,O770:O925,AA770:AA925),SUMPRODUCT(D770:D925,AA770:AA925))</f>
        <v>60.808992112742025</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1122360</v>
      </c>
      <c r="Z928" s="392">
        <f>HLOOKUP(Z584,'2. LRAMVA Threshold'!$B$42:$Q$53,11,FALSE)</f>
        <v>374120</v>
      </c>
      <c r="AA928" s="392">
        <f>HLOOKUP(AA584,'2. LRAMVA Threshold'!$B$42:$Q$53,11,FALSE)</f>
        <v>1002</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c r="B930" s="324" t="s">
        <v>330</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0</v>
      </c>
      <c r="Z930" s="341">
        <f>HLOOKUP(Z$35,'3.  Distribution Rates'!$C$122:$P$133,11,FALSE)</f>
        <v>1.95E-2</v>
      </c>
      <c r="AA930" s="341">
        <f>HLOOKUP(AA$35,'3.  Distribution Rates'!$C$122:$P$133,11,FALSE)</f>
        <v>3.0783</v>
      </c>
      <c r="AB930" s="341">
        <f>HLOOKUP(AB$35,'3.  Distribution Rates'!$C$122:$P$133,11,FALSE)</f>
        <v>5.8620000000000001</v>
      </c>
      <c r="AC930" s="341">
        <f>HLOOKUP(AC$35,'3.  Distribution Rates'!$C$122:$P$133,11,FALSE)</f>
        <v>2.3400000000000001E-2</v>
      </c>
      <c r="AD930" s="341">
        <f>HLOOKUP(AD$35,'3.  Distribution Rates'!$C$122:$P$133,11,FALSE)</f>
        <v>1.4347000000000001</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331</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c r="Z931" s="378"/>
      <c r="AA931" s="378"/>
      <c r="AB931" s="378"/>
      <c r="AC931" s="378"/>
      <c r="AD931" s="378"/>
      <c r="AE931" s="378"/>
      <c r="AF931" s="378"/>
      <c r="AG931" s="378"/>
      <c r="AH931" s="378"/>
      <c r="AI931" s="378"/>
      <c r="AJ931" s="378"/>
      <c r="AK931" s="378"/>
      <c r="AL931" s="378"/>
      <c r="AM931" s="629"/>
    </row>
    <row r="932" spans="2:39">
      <c r="B932" s="324" t="s">
        <v>332</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c r="Z932" s="378"/>
      <c r="AA932" s="378"/>
      <c r="AB932" s="378"/>
      <c r="AC932" s="378"/>
      <c r="AD932" s="378"/>
      <c r="AE932" s="378"/>
      <c r="AF932" s="378"/>
      <c r="AG932" s="378"/>
      <c r="AH932" s="378"/>
      <c r="AI932" s="378"/>
      <c r="AJ932" s="378"/>
      <c r="AK932" s="378"/>
      <c r="AL932" s="378"/>
      <c r="AM932" s="629"/>
    </row>
    <row r="933" spans="2:39">
      <c r="B933" s="324" t="s">
        <v>333</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c r="Z933" s="378"/>
      <c r="AA933" s="378"/>
      <c r="AB933" s="378"/>
      <c r="AC933" s="378"/>
      <c r="AD933" s="378"/>
      <c r="AE933" s="378"/>
      <c r="AF933" s="378"/>
      <c r="AG933" s="378"/>
      <c r="AH933" s="378"/>
      <c r="AI933" s="378"/>
      <c r="AJ933" s="378"/>
      <c r="AK933" s="378"/>
      <c r="AL933" s="378"/>
      <c r="AM933" s="629"/>
    </row>
    <row r="934" spans="2:39">
      <c r="B934" s="324" t="s">
        <v>334</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c r="Z934" s="378"/>
      <c r="AA934" s="378"/>
      <c r="AB934" s="378"/>
      <c r="AC934" s="378"/>
      <c r="AD934" s="378"/>
      <c r="AE934" s="378"/>
      <c r="AF934" s="378"/>
      <c r="AG934" s="378"/>
      <c r="AH934" s="378"/>
      <c r="AI934" s="378"/>
      <c r="AJ934" s="378"/>
      <c r="AK934" s="378"/>
      <c r="AL934" s="378"/>
      <c r="AM934" s="629"/>
    </row>
    <row r="935" spans="2:39">
      <c r="B935" s="324" t="s">
        <v>335</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c r="Z935" s="378"/>
      <c r="AA935" s="378"/>
      <c r="AB935" s="378"/>
      <c r="AC935" s="378"/>
      <c r="AD935" s="378"/>
      <c r="AE935" s="378"/>
      <c r="AF935" s="378"/>
      <c r="AG935" s="378"/>
      <c r="AH935" s="378"/>
      <c r="AI935" s="378"/>
      <c r="AJ935" s="378"/>
      <c r="AK935" s="378"/>
      <c r="AL935" s="378"/>
      <c r="AM935" s="629"/>
    </row>
    <row r="936" spans="2:39">
      <c r="B936" s="324" t="s">
        <v>336</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47">Y394*Y930</f>
        <v>0</v>
      </c>
      <c r="Z936" s="378">
        <f t="shared" si="2847"/>
        <v>5197.7413278615159</v>
      </c>
      <c r="AA936" s="378">
        <f t="shared" si="2847"/>
        <v>4629.1292140528749</v>
      </c>
      <c r="AB936" s="378">
        <f t="shared" si="2847"/>
        <v>0</v>
      </c>
      <c r="AC936" s="378">
        <f t="shared" si="2847"/>
        <v>0</v>
      </c>
      <c r="AD936" s="378">
        <f t="shared" si="2847"/>
        <v>0</v>
      </c>
      <c r="AE936" s="378">
        <f t="shared" si="2847"/>
        <v>0</v>
      </c>
      <c r="AF936" s="378">
        <f t="shared" si="2847"/>
        <v>0</v>
      </c>
      <c r="AG936" s="378">
        <f t="shared" si="2847"/>
        <v>0</v>
      </c>
      <c r="AH936" s="378">
        <f t="shared" si="2847"/>
        <v>0</v>
      </c>
      <c r="AI936" s="378">
        <f t="shared" si="2847"/>
        <v>0</v>
      </c>
      <c r="AJ936" s="378">
        <f t="shared" si="2847"/>
        <v>0</v>
      </c>
      <c r="AK936" s="378">
        <f t="shared" si="2847"/>
        <v>0</v>
      </c>
      <c r="AL936" s="378">
        <f t="shared" si="2847"/>
        <v>0</v>
      </c>
      <c r="AM936" s="629">
        <f t="shared" ref="AM936:AM939" si="2848">SUM(Y936:AL936)</f>
        <v>9826.8705419143917</v>
      </c>
    </row>
    <row r="937" spans="2:39">
      <c r="B937" s="324" t="s">
        <v>337</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49">Y577*Y930</f>
        <v>0</v>
      </c>
      <c r="Z937" s="378">
        <f t="shared" si="2849"/>
        <v>5044.0513162814041</v>
      </c>
      <c r="AA937" s="378">
        <f t="shared" si="2849"/>
        <v>1671.8465054054673</v>
      </c>
      <c r="AB937" s="378">
        <f t="shared" si="2849"/>
        <v>0</v>
      </c>
      <c r="AC937" s="378">
        <f t="shared" si="2849"/>
        <v>0</v>
      </c>
      <c r="AD937" s="378">
        <f t="shared" si="2849"/>
        <v>0</v>
      </c>
      <c r="AE937" s="378">
        <f t="shared" si="2849"/>
        <v>0</v>
      </c>
      <c r="AF937" s="378">
        <f t="shared" si="2849"/>
        <v>0</v>
      </c>
      <c r="AG937" s="378">
        <f t="shared" si="2849"/>
        <v>0</v>
      </c>
      <c r="AH937" s="378">
        <f t="shared" si="2849"/>
        <v>0</v>
      </c>
      <c r="AI937" s="378">
        <f t="shared" si="2849"/>
        <v>0</v>
      </c>
      <c r="AJ937" s="378">
        <f t="shared" si="2849"/>
        <v>0</v>
      </c>
      <c r="AK937" s="378">
        <f t="shared" si="2849"/>
        <v>0</v>
      </c>
      <c r="AL937" s="378">
        <f t="shared" si="2849"/>
        <v>0</v>
      </c>
      <c r="AM937" s="629">
        <f t="shared" si="2848"/>
        <v>6715.8978216868709</v>
      </c>
    </row>
    <row r="938" spans="2:39">
      <c r="B938" s="324" t="s">
        <v>338</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0">Y760*Y930</f>
        <v>0</v>
      </c>
      <c r="Z938" s="378">
        <f t="shared" si="2850"/>
        <v>3915.3583372533694</v>
      </c>
      <c r="AA938" s="378">
        <f t="shared" si="2850"/>
        <v>1432.6394056452652</v>
      </c>
      <c r="AB938" s="378">
        <f t="shared" si="2850"/>
        <v>0</v>
      </c>
      <c r="AC938" s="378">
        <f t="shared" si="2850"/>
        <v>0</v>
      </c>
      <c r="AD938" s="378">
        <f t="shared" si="2850"/>
        <v>0</v>
      </c>
      <c r="AE938" s="378">
        <f t="shared" si="2850"/>
        <v>0</v>
      </c>
      <c r="AF938" s="378">
        <f t="shared" si="2850"/>
        <v>0</v>
      </c>
      <c r="AG938" s="378">
        <f t="shared" si="2850"/>
        <v>0</v>
      </c>
      <c r="AH938" s="378">
        <f t="shared" si="2850"/>
        <v>0</v>
      </c>
      <c r="AI938" s="378">
        <f t="shared" si="2850"/>
        <v>0</v>
      </c>
      <c r="AJ938" s="378">
        <f t="shared" si="2850"/>
        <v>0</v>
      </c>
      <c r="AK938" s="378">
        <f t="shared" si="2850"/>
        <v>0</v>
      </c>
      <c r="AL938" s="378">
        <f t="shared" si="2850"/>
        <v>0</v>
      </c>
      <c r="AM938" s="629">
        <f t="shared" si="2848"/>
        <v>5347.9977428986349</v>
      </c>
    </row>
    <row r="939" spans="2:39">
      <c r="B939" s="324" t="s">
        <v>339</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851">Z927*Z930</f>
        <v>2284.971</v>
      </c>
      <c r="AA939" s="378">
        <f t="shared" si="2851"/>
        <v>187.18832042065378</v>
      </c>
      <c r="AB939" s="378">
        <f t="shared" si="2851"/>
        <v>0</v>
      </c>
      <c r="AC939" s="378">
        <f t="shared" si="2851"/>
        <v>0</v>
      </c>
      <c r="AD939" s="378">
        <f t="shared" si="2851"/>
        <v>0</v>
      </c>
      <c r="AE939" s="378">
        <f t="shared" si="2851"/>
        <v>0</v>
      </c>
      <c r="AF939" s="378">
        <f t="shared" si="2851"/>
        <v>0</v>
      </c>
      <c r="AG939" s="378">
        <f t="shared" si="2851"/>
        <v>0</v>
      </c>
      <c r="AH939" s="378">
        <f t="shared" si="2851"/>
        <v>0</v>
      </c>
      <c r="AI939" s="378">
        <f t="shared" si="2851"/>
        <v>0</v>
      </c>
      <c r="AJ939" s="378">
        <f t="shared" si="2851"/>
        <v>0</v>
      </c>
      <c r="AK939" s="378">
        <f t="shared" si="2851"/>
        <v>0</v>
      </c>
      <c r="AL939" s="378">
        <f t="shared" si="2851"/>
        <v>0</v>
      </c>
      <c r="AM939" s="629">
        <f t="shared" si="2848"/>
        <v>2472.1593204206538</v>
      </c>
    </row>
    <row r="940" spans="2:39" ht="15.75">
      <c r="B940" s="349" t="s">
        <v>343</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0</v>
      </c>
      <c r="Z940" s="346">
        <f t="shared" ref="Z940:AE940" si="2852">SUM(Z931:Z939)</f>
        <v>16442.121981396289</v>
      </c>
      <c r="AA940" s="346">
        <f t="shared" si="2852"/>
        <v>7920.8034455242614</v>
      </c>
      <c r="AB940" s="346">
        <f t="shared" si="2852"/>
        <v>0</v>
      </c>
      <c r="AC940" s="346">
        <f t="shared" si="2852"/>
        <v>0</v>
      </c>
      <c r="AD940" s="346">
        <f t="shared" si="2852"/>
        <v>0</v>
      </c>
      <c r="AE940" s="346">
        <f t="shared" si="2852"/>
        <v>0</v>
      </c>
      <c r="AF940" s="346">
        <f>SUM(AF931:AF939)</f>
        <v>0</v>
      </c>
      <c r="AG940" s="346">
        <f t="shared" ref="AG940:AL940" si="2853">SUM(AG931:AG939)</f>
        <v>0</v>
      </c>
      <c r="AH940" s="346">
        <f t="shared" si="2853"/>
        <v>0</v>
      </c>
      <c r="AI940" s="346">
        <f t="shared" si="2853"/>
        <v>0</v>
      </c>
      <c r="AJ940" s="346">
        <f t="shared" si="2853"/>
        <v>0</v>
      </c>
      <c r="AK940" s="346">
        <f t="shared" si="2853"/>
        <v>0</v>
      </c>
      <c r="AL940" s="346">
        <f t="shared" si="2853"/>
        <v>0</v>
      </c>
      <c r="AM940" s="407">
        <f>SUM(AM931:AM939)</f>
        <v>24362.925426920552</v>
      </c>
    </row>
    <row r="941" spans="2:39" ht="15.75">
      <c r="B941" s="349" t="s">
        <v>344</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2854">Z928*Z930</f>
        <v>7295.34</v>
      </c>
      <c r="AA941" s="347">
        <f t="shared" si="2854"/>
        <v>3084.4566</v>
      </c>
      <c r="AB941" s="347">
        <f t="shared" si="2854"/>
        <v>0</v>
      </c>
      <c r="AC941" s="347">
        <f t="shared" si="2854"/>
        <v>0</v>
      </c>
      <c r="AD941" s="347">
        <f t="shared" si="2854"/>
        <v>0</v>
      </c>
      <c r="AE941" s="347">
        <f t="shared" si="2854"/>
        <v>0</v>
      </c>
      <c r="AF941" s="347">
        <f>AF928*AF930</f>
        <v>0</v>
      </c>
      <c r="AG941" s="347">
        <f t="shared" ref="AG941:AL941" si="2855">AG928*AG930</f>
        <v>0</v>
      </c>
      <c r="AH941" s="347">
        <f t="shared" si="2855"/>
        <v>0</v>
      </c>
      <c r="AI941" s="347">
        <f t="shared" si="2855"/>
        <v>0</v>
      </c>
      <c r="AJ941" s="347">
        <f t="shared" si="2855"/>
        <v>0</v>
      </c>
      <c r="AK941" s="347">
        <f t="shared" si="2855"/>
        <v>0</v>
      </c>
      <c r="AL941" s="347">
        <f t="shared" si="2855"/>
        <v>0</v>
      </c>
      <c r="AM941" s="407">
        <f>SUM(Y941:AL941)</f>
        <v>10379.7966</v>
      </c>
    </row>
    <row r="942" spans="2:39" ht="15.75">
      <c r="B942" s="349" t="s">
        <v>345</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13983.128826920552</v>
      </c>
    </row>
    <row r="943" spans="2:39">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c r="B944" s="440" t="s">
        <v>340</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2520</v>
      </c>
      <c r="Z944" s="326">
        <f>SUMPRODUCT(E770:E925,Z770:Z925)</f>
        <v>106672</v>
      </c>
      <c r="AA944" s="326">
        <f t="shared" ref="AA944:AL944" si="2856">IF(AA768="kw",SUMPRODUCT($N$770:$N$925,$P$770:$P$925,AA770:AA925),SUMPRODUCT($E$770:$E$925,AA770:AA925))</f>
        <v>61.208033825569849</v>
      </c>
      <c r="AB944" s="326">
        <f t="shared" si="2856"/>
        <v>0</v>
      </c>
      <c r="AC944" s="326">
        <f t="shared" si="2856"/>
        <v>0</v>
      </c>
      <c r="AD944" s="326">
        <f t="shared" si="2856"/>
        <v>0</v>
      </c>
      <c r="AE944" s="326">
        <f t="shared" si="2856"/>
        <v>0</v>
      </c>
      <c r="AF944" s="326">
        <f t="shared" si="2856"/>
        <v>0</v>
      </c>
      <c r="AG944" s="326">
        <f t="shared" si="2856"/>
        <v>0</v>
      </c>
      <c r="AH944" s="326">
        <f t="shared" si="2856"/>
        <v>0</v>
      </c>
      <c r="AI944" s="326">
        <f t="shared" si="2856"/>
        <v>0</v>
      </c>
      <c r="AJ944" s="326">
        <f t="shared" si="2856"/>
        <v>0</v>
      </c>
      <c r="AK944" s="326">
        <f t="shared" si="2856"/>
        <v>0</v>
      </c>
      <c r="AL944" s="326">
        <f t="shared" si="2856"/>
        <v>0</v>
      </c>
      <c r="AM944" s="386"/>
    </row>
    <row r="945" spans="1:39" ht="18.75" customHeight="1">
      <c r="B945" s="368" t="s">
        <v>581</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341</v>
      </c>
      <c r="C948" s="281"/>
      <c r="D948" s="590" t="s">
        <v>525</v>
      </c>
      <c r="E948" s="253"/>
      <c r="F948" s="590"/>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56" t="s">
        <v>211</v>
      </c>
      <c r="C949" s="858" t="s">
        <v>33</v>
      </c>
      <c r="D949" s="284" t="s">
        <v>421</v>
      </c>
      <c r="E949" s="860" t="s">
        <v>209</v>
      </c>
      <c r="F949" s="861"/>
      <c r="G949" s="861"/>
      <c r="H949" s="861"/>
      <c r="I949" s="861"/>
      <c r="J949" s="861"/>
      <c r="K949" s="861"/>
      <c r="L949" s="861"/>
      <c r="M949" s="862"/>
      <c r="N949" s="866" t="s">
        <v>213</v>
      </c>
      <c r="O949" s="284" t="s">
        <v>422</v>
      </c>
      <c r="P949" s="860" t="s">
        <v>212</v>
      </c>
      <c r="Q949" s="861"/>
      <c r="R949" s="861"/>
      <c r="S949" s="861"/>
      <c r="T949" s="861"/>
      <c r="U949" s="861"/>
      <c r="V949" s="861"/>
      <c r="W949" s="861"/>
      <c r="X949" s="862"/>
      <c r="Y949" s="863" t="s">
        <v>243</v>
      </c>
      <c r="Z949" s="864"/>
      <c r="AA949" s="864"/>
      <c r="AB949" s="864"/>
      <c r="AC949" s="864"/>
      <c r="AD949" s="864"/>
      <c r="AE949" s="864"/>
      <c r="AF949" s="864"/>
      <c r="AG949" s="864"/>
      <c r="AH949" s="864"/>
      <c r="AI949" s="864"/>
      <c r="AJ949" s="864"/>
      <c r="AK949" s="864"/>
      <c r="AL949" s="864"/>
      <c r="AM949" s="865"/>
    </row>
    <row r="950" spans="1:39" ht="65.25" customHeight="1">
      <c r="B950" s="857"/>
      <c r="C950" s="859"/>
      <c r="D950" s="285">
        <v>2020</v>
      </c>
      <c r="E950" s="285">
        <v>2021</v>
      </c>
      <c r="F950" s="285">
        <v>2022</v>
      </c>
      <c r="G950" s="285">
        <v>2023</v>
      </c>
      <c r="H950" s="285">
        <v>2024</v>
      </c>
      <c r="I950" s="285">
        <v>2025</v>
      </c>
      <c r="J950" s="285">
        <v>2026</v>
      </c>
      <c r="K950" s="285">
        <v>2027</v>
      </c>
      <c r="L950" s="285">
        <v>2028</v>
      </c>
      <c r="M950" s="285">
        <v>2029</v>
      </c>
      <c r="N950" s="867"/>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 50 - 4,999 kW</v>
      </c>
      <c r="AB950" s="285" t="str">
        <f>'1.  LRAMVA Summary'!G52</f>
        <v>Street Light</v>
      </c>
      <c r="AC950" s="285" t="str">
        <f>'1.  LRAMVA Summary'!H52</f>
        <v>USL</v>
      </c>
      <c r="AD950" s="285" t="str">
        <f>'1.  LRAMVA Summary'!I52</f>
        <v>Embedded Distributor</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503</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t="str">
        <f>'1.  LRAMVA Summary'!H53</f>
        <v>kWh</v>
      </c>
      <c r="AD951" s="291" t="str">
        <f>'1.  LRAMVA Summary'!I53</f>
        <v>kW</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2"/>
      <c r="B952" s="504" t="s">
        <v>496</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2"/>
      <c r="B954" s="294" t="s">
        <v>346</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857">Z953</f>
        <v>0</v>
      </c>
      <c r="AA954" s="411">
        <f t="shared" ref="AA954" si="2858">AA953</f>
        <v>0</v>
      </c>
      <c r="AB954" s="411">
        <f t="shared" ref="AB954" si="2859">AB953</f>
        <v>0</v>
      </c>
      <c r="AC954" s="411">
        <f t="shared" ref="AC954" si="2860">AC953</f>
        <v>0</v>
      </c>
      <c r="AD954" s="411">
        <f t="shared" ref="AD954" si="2861">AD953</f>
        <v>0</v>
      </c>
      <c r="AE954" s="411">
        <f t="shared" ref="AE954" si="2862">AE953</f>
        <v>0</v>
      </c>
      <c r="AF954" s="411">
        <f t="shared" ref="AF954" si="2863">AF953</f>
        <v>0</v>
      </c>
      <c r="AG954" s="411">
        <f t="shared" ref="AG954" si="2864">AG953</f>
        <v>0</v>
      </c>
      <c r="AH954" s="411">
        <f t="shared" ref="AH954" si="2865">AH953</f>
        <v>0</v>
      </c>
      <c r="AI954" s="411">
        <f t="shared" ref="AI954" si="2866">AI953</f>
        <v>0</v>
      </c>
      <c r="AJ954" s="411">
        <f t="shared" ref="AJ954" si="2867">AJ953</f>
        <v>0</v>
      </c>
      <c r="AK954" s="411">
        <f t="shared" ref="AK954" si="2868">AK953</f>
        <v>0</v>
      </c>
      <c r="AL954" s="411">
        <f t="shared" ref="AL954" si="2869">AL953</f>
        <v>0</v>
      </c>
      <c r="AM954" s="297"/>
    </row>
    <row r="955" spans="1:39" ht="15" hidden="1"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2"/>
      <c r="B957" s="294" t="s">
        <v>346</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70">Z956</f>
        <v>0</v>
      </c>
      <c r="AA957" s="411">
        <f t="shared" ref="AA957" si="2871">AA956</f>
        <v>0</v>
      </c>
      <c r="AB957" s="411">
        <f t="shared" ref="AB957" si="2872">AB956</f>
        <v>0</v>
      </c>
      <c r="AC957" s="411">
        <f t="shared" ref="AC957" si="2873">AC956</f>
        <v>0</v>
      </c>
      <c r="AD957" s="411">
        <f t="shared" ref="AD957" si="2874">AD956</f>
        <v>0</v>
      </c>
      <c r="AE957" s="411">
        <f t="shared" ref="AE957" si="2875">AE956</f>
        <v>0</v>
      </c>
      <c r="AF957" s="411">
        <f t="shared" ref="AF957" si="2876">AF956</f>
        <v>0</v>
      </c>
      <c r="AG957" s="411">
        <f t="shared" ref="AG957" si="2877">AG956</f>
        <v>0</v>
      </c>
      <c r="AH957" s="411">
        <f t="shared" ref="AH957" si="2878">AH956</f>
        <v>0</v>
      </c>
      <c r="AI957" s="411">
        <f t="shared" ref="AI957" si="2879">AI956</f>
        <v>0</v>
      </c>
      <c r="AJ957" s="411">
        <f t="shared" ref="AJ957" si="2880">AJ956</f>
        <v>0</v>
      </c>
      <c r="AK957" s="411">
        <f t="shared" ref="AK957" si="2881">AK956</f>
        <v>0</v>
      </c>
      <c r="AL957" s="411">
        <f t="shared" ref="AL957" si="2882">AL956</f>
        <v>0</v>
      </c>
      <c r="AM957" s="297"/>
    </row>
    <row r="958" spans="1:39" ht="15" hidden="1"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2"/>
      <c r="B960" s="294" t="s">
        <v>346</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83">Z959</f>
        <v>0</v>
      </c>
      <c r="AA960" s="411">
        <f t="shared" ref="AA960" si="2884">AA959</f>
        <v>0</v>
      </c>
      <c r="AB960" s="411">
        <f t="shared" ref="AB960" si="2885">AB959</f>
        <v>0</v>
      </c>
      <c r="AC960" s="411">
        <f t="shared" ref="AC960" si="2886">AC959</f>
        <v>0</v>
      </c>
      <c r="AD960" s="411">
        <f t="shared" ref="AD960" si="2887">AD959</f>
        <v>0</v>
      </c>
      <c r="AE960" s="411">
        <f t="shared" ref="AE960" si="2888">AE959</f>
        <v>0</v>
      </c>
      <c r="AF960" s="411">
        <f t="shared" ref="AF960" si="2889">AF959</f>
        <v>0</v>
      </c>
      <c r="AG960" s="411">
        <f t="shared" ref="AG960" si="2890">AG959</f>
        <v>0</v>
      </c>
      <c r="AH960" s="411">
        <f t="shared" ref="AH960" si="2891">AH959</f>
        <v>0</v>
      </c>
      <c r="AI960" s="411">
        <f t="shared" ref="AI960" si="2892">AI959</f>
        <v>0</v>
      </c>
      <c r="AJ960" s="411">
        <f t="shared" ref="AJ960" si="2893">AJ959</f>
        <v>0</v>
      </c>
      <c r="AK960" s="411">
        <f t="shared" ref="AK960" si="2894">AK959</f>
        <v>0</v>
      </c>
      <c r="AL960" s="411">
        <f t="shared" ref="AL960" si="2895">AL959</f>
        <v>0</v>
      </c>
      <c r="AM960" s="297"/>
    </row>
    <row r="961" spans="1:39" ht="15" hidden="1"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2">
        <v>4</v>
      </c>
      <c r="B962" s="520" t="s">
        <v>671</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2"/>
      <c r="B963" s="294" t="s">
        <v>346</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896">Z962</f>
        <v>0</v>
      </c>
      <c r="AA963" s="411">
        <f t="shared" ref="AA963" si="2897">AA962</f>
        <v>0</v>
      </c>
      <c r="AB963" s="411">
        <f t="shared" ref="AB963" si="2898">AB962</f>
        <v>0</v>
      </c>
      <c r="AC963" s="411">
        <f t="shared" ref="AC963" si="2899">AC962</f>
        <v>0</v>
      </c>
      <c r="AD963" s="411">
        <f t="shared" ref="AD963" si="2900">AD962</f>
        <v>0</v>
      </c>
      <c r="AE963" s="411">
        <f t="shared" ref="AE963" si="2901">AE962</f>
        <v>0</v>
      </c>
      <c r="AF963" s="411">
        <f t="shared" ref="AF963" si="2902">AF962</f>
        <v>0</v>
      </c>
      <c r="AG963" s="411">
        <f t="shared" ref="AG963" si="2903">AG962</f>
        <v>0</v>
      </c>
      <c r="AH963" s="411">
        <f t="shared" ref="AH963" si="2904">AH962</f>
        <v>0</v>
      </c>
      <c r="AI963" s="411">
        <f t="shared" ref="AI963" si="2905">AI962</f>
        <v>0</v>
      </c>
      <c r="AJ963" s="411">
        <f t="shared" ref="AJ963" si="2906">AJ962</f>
        <v>0</v>
      </c>
      <c r="AK963" s="411">
        <f t="shared" ref="AK963" si="2907">AK962</f>
        <v>0</v>
      </c>
      <c r="AL963" s="411">
        <f t="shared" ref="AL963" si="2908">AL962</f>
        <v>0</v>
      </c>
      <c r="AM963" s="297"/>
    </row>
    <row r="964" spans="1:39" ht="15" hidden="1"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2"/>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09">Z965</f>
        <v>0</v>
      </c>
      <c r="AA966" s="411">
        <f t="shared" ref="AA966" si="2910">AA965</f>
        <v>0</v>
      </c>
      <c r="AB966" s="411">
        <f t="shared" ref="AB966" si="2911">AB965</f>
        <v>0</v>
      </c>
      <c r="AC966" s="411">
        <f t="shared" ref="AC966" si="2912">AC965</f>
        <v>0</v>
      </c>
      <c r="AD966" s="411">
        <f t="shared" ref="AD966" si="2913">AD965</f>
        <v>0</v>
      </c>
      <c r="AE966" s="411">
        <f t="shared" ref="AE966" si="2914">AE965</f>
        <v>0</v>
      </c>
      <c r="AF966" s="411">
        <f t="shared" ref="AF966" si="2915">AF965</f>
        <v>0</v>
      </c>
      <c r="AG966" s="411">
        <f t="shared" ref="AG966" si="2916">AG965</f>
        <v>0</v>
      </c>
      <c r="AH966" s="411">
        <f t="shared" ref="AH966" si="2917">AH965</f>
        <v>0</v>
      </c>
      <c r="AI966" s="411">
        <f t="shared" ref="AI966" si="2918">AI965</f>
        <v>0</v>
      </c>
      <c r="AJ966" s="411">
        <f t="shared" ref="AJ966" si="2919">AJ965</f>
        <v>0</v>
      </c>
      <c r="AK966" s="411">
        <f t="shared" ref="AK966" si="2920">AK965</f>
        <v>0</v>
      </c>
      <c r="AL966" s="411">
        <f t="shared" ref="AL966" si="2921">AL965</f>
        <v>0</v>
      </c>
      <c r="AM966" s="297"/>
    </row>
    <row r="967" spans="1:39" ht="15" hidden="1"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75" hidden="1" outlineLevel="1">
      <c r="A968" s="532"/>
      <c r="B968" s="319" t="s">
        <v>497</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2"/>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22">Z969</f>
        <v>0</v>
      </c>
      <c r="AA970" s="411">
        <f t="shared" ref="AA970" si="2923">AA969</f>
        <v>0</v>
      </c>
      <c r="AB970" s="411">
        <f t="shared" ref="AB970" si="2924">AB969</f>
        <v>0</v>
      </c>
      <c r="AC970" s="411">
        <f t="shared" ref="AC970" si="2925">AC969</f>
        <v>0</v>
      </c>
      <c r="AD970" s="411">
        <f t="shared" ref="AD970" si="2926">AD969</f>
        <v>0</v>
      </c>
      <c r="AE970" s="411">
        <f t="shared" ref="AE970" si="2927">AE969</f>
        <v>0</v>
      </c>
      <c r="AF970" s="411">
        <f t="shared" ref="AF970" si="2928">AF969</f>
        <v>0</v>
      </c>
      <c r="AG970" s="411">
        <f t="shared" ref="AG970" si="2929">AG969</f>
        <v>0</v>
      </c>
      <c r="AH970" s="411">
        <f t="shared" ref="AH970" si="2930">AH969</f>
        <v>0</v>
      </c>
      <c r="AI970" s="411">
        <f t="shared" ref="AI970" si="2931">AI969</f>
        <v>0</v>
      </c>
      <c r="AJ970" s="411">
        <f t="shared" ref="AJ970" si="2932">AJ969</f>
        <v>0</v>
      </c>
      <c r="AK970" s="411">
        <f t="shared" ref="AK970" si="2933">AK969</f>
        <v>0</v>
      </c>
      <c r="AL970" s="411">
        <f t="shared" ref="AL970" si="2934">AL969</f>
        <v>0</v>
      </c>
      <c r="AM970" s="311"/>
    </row>
    <row r="971" spans="1:39" ht="15" hidden="1"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2"/>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35">Z972</f>
        <v>0</v>
      </c>
      <c r="AA973" s="411">
        <f t="shared" ref="AA973" si="2936">AA972</f>
        <v>0</v>
      </c>
      <c r="AB973" s="411">
        <f t="shared" ref="AB973" si="2937">AB972</f>
        <v>0</v>
      </c>
      <c r="AC973" s="411">
        <f t="shared" ref="AC973" si="2938">AC972</f>
        <v>0</v>
      </c>
      <c r="AD973" s="411">
        <f t="shared" ref="AD973" si="2939">AD972</f>
        <v>0</v>
      </c>
      <c r="AE973" s="411">
        <f t="shared" ref="AE973" si="2940">AE972</f>
        <v>0</v>
      </c>
      <c r="AF973" s="411">
        <f t="shared" ref="AF973" si="2941">AF972</f>
        <v>0</v>
      </c>
      <c r="AG973" s="411">
        <f t="shared" ref="AG973" si="2942">AG972</f>
        <v>0</v>
      </c>
      <c r="AH973" s="411">
        <f t="shared" ref="AH973" si="2943">AH972</f>
        <v>0</v>
      </c>
      <c r="AI973" s="411">
        <f t="shared" ref="AI973" si="2944">AI972</f>
        <v>0</v>
      </c>
      <c r="AJ973" s="411">
        <f t="shared" ref="AJ973" si="2945">AJ972</f>
        <v>0</v>
      </c>
      <c r="AK973" s="411">
        <f t="shared" ref="AK973" si="2946">AK972</f>
        <v>0</v>
      </c>
      <c r="AL973" s="411">
        <f t="shared" ref="AL973" si="2947">AL972</f>
        <v>0</v>
      </c>
      <c r="AM973" s="311"/>
    </row>
    <row r="974" spans="1:39" ht="15" hidden="1"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2"/>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48">Z975</f>
        <v>0</v>
      </c>
      <c r="AA976" s="411">
        <f t="shared" ref="AA976" si="2949">AA975</f>
        <v>0</v>
      </c>
      <c r="AB976" s="411">
        <f t="shared" ref="AB976" si="2950">AB975</f>
        <v>0</v>
      </c>
      <c r="AC976" s="411">
        <f t="shared" ref="AC976" si="2951">AC975</f>
        <v>0</v>
      </c>
      <c r="AD976" s="411">
        <f t="shared" ref="AD976" si="2952">AD975</f>
        <v>0</v>
      </c>
      <c r="AE976" s="411">
        <f t="shared" ref="AE976" si="2953">AE975</f>
        <v>0</v>
      </c>
      <c r="AF976" s="411">
        <f t="shared" ref="AF976" si="2954">AF975</f>
        <v>0</v>
      </c>
      <c r="AG976" s="411">
        <f t="shared" ref="AG976" si="2955">AG975</f>
        <v>0</v>
      </c>
      <c r="AH976" s="411">
        <f t="shared" ref="AH976" si="2956">AH975</f>
        <v>0</v>
      </c>
      <c r="AI976" s="411">
        <f t="shared" ref="AI976" si="2957">AI975</f>
        <v>0</v>
      </c>
      <c r="AJ976" s="411">
        <f t="shared" ref="AJ976" si="2958">AJ975</f>
        <v>0</v>
      </c>
      <c r="AK976" s="411">
        <f t="shared" ref="AK976" si="2959">AK975</f>
        <v>0</v>
      </c>
      <c r="AL976" s="411">
        <f t="shared" ref="AL976" si="2960">AL975</f>
        <v>0</v>
      </c>
      <c r="AM976" s="311"/>
    </row>
    <row r="977" spans="1:39" ht="15" hidden="1"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2"/>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61">Z978</f>
        <v>0</v>
      </c>
      <c r="AA979" s="411">
        <f t="shared" ref="AA979" si="2962">AA978</f>
        <v>0</v>
      </c>
      <c r="AB979" s="411">
        <f t="shared" ref="AB979" si="2963">AB978</f>
        <v>0</v>
      </c>
      <c r="AC979" s="411">
        <f t="shared" ref="AC979" si="2964">AC978</f>
        <v>0</v>
      </c>
      <c r="AD979" s="411">
        <f t="shared" ref="AD979" si="2965">AD978</f>
        <v>0</v>
      </c>
      <c r="AE979" s="411">
        <f t="shared" ref="AE979" si="2966">AE978</f>
        <v>0</v>
      </c>
      <c r="AF979" s="411">
        <f t="shared" ref="AF979" si="2967">AF978</f>
        <v>0</v>
      </c>
      <c r="AG979" s="411">
        <f t="shared" ref="AG979" si="2968">AG978</f>
        <v>0</v>
      </c>
      <c r="AH979" s="411">
        <f t="shared" ref="AH979" si="2969">AH978</f>
        <v>0</v>
      </c>
      <c r="AI979" s="411">
        <f t="shared" ref="AI979" si="2970">AI978</f>
        <v>0</v>
      </c>
      <c r="AJ979" s="411">
        <f t="shared" ref="AJ979" si="2971">AJ978</f>
        <v>0</v>
      </c>
      <c r="AK979" s="411">
        <f t="shared" ref="AK979" si="2972">AK978</f>
        <v>0</v>
      </c>
      <c r="AL979" s="411">
        <f t="shared" ref="AL979" si="2973">AL978</f>
        <v>0</v>
      </c>
      <c r="AM979" s="311"/>
    </row>
    <row r="980" spans="1:39" ht="15" hidden="1"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2"/>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74">Z981</f>
        <v>0</v>
      </c>
      <c r="AA982" s="411">
        <f t="shared" ref="AA982" si="2975">AA981</f>
        <v>0</v>
      </c>
      <c r="AB982" s="411">
        <f t="shared" ref="AB982" si="2976">AB981</f>
        <v>0</v>
      </c>
      <c r="AC982" s="411">
        <f t="shared" ref="AC982" si="2977">AC981</f>
        <v>0</v>
      </c>
      <c r="AD982" s="411">
        <f t="shared" ref="AD982" si="2978">AD981</f>
        <v>0</v>
      </c>
      <c r="AE982" s="411">
        <f t="shared" ref="AE982" si="2979">AE981</f>
        <v>0</v>
      </c>
      <c r="AF982" s="411">
        <f t="shared" ref="AF982" si="2980">AF981</f>
        <v>0</v>
      </c>
      <c r="AG982" s="411">
        <f t="shared" ref="AG982" si="2981">AG981</f>
        <v>0</v>
      </c>
      <c r="AH982" s="411">
        <f t="shared" ref="AH982" si="2982">AH981</f>
        <v>0</v>
      </c>
      <c r="AI982" s="411">
        <f t="shared" ref="AI982" si="2983">AI981</f>
        <v>0</v>
      </c>
      <c r="AJ982" s="411">
        <f t="shared" ref="AJ982" si="2984">AJ981</f>
        <v>0</v>
      </c>
      <c r="AK982" s="411">
        <f t="shared" ref="AK982" si="2985">AK981</f>
        <v>0</v>
      </c>
      <c r="AL982" s="411">
        <f t="shared" ref="AL982" si="2986">AL981</f>
        <v>0</v>
      </c>
      <c r="AM982" s="311"/>
    </row>
    <row r="983" spans="1:39" ht="15" hidden="1"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2"/>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87">Z985</f>
        <v>0</v>
      </c>
      <c r="AA986" s="411">
        <f t="shared" ref="AA986" si="2988">AA985</f>
        <v>0</v>
      </c>
      <c r="AB986" s="411">
        <f t="shared" ref="AB986" si="2989">AB985</f>
        <v>0</v>
      </c>
      <c r="AC986" s="411">
        <f t="shared" ref="AC986" si="2990">AC985</f>
        <v>0</v>
      </c>
      <c r="AD986" s="411">
        <f t="shared" ref="AD986" si="2991">AD985</f>
        <v>0</v>
      </c>
      <c r="AE986" s="411">
        <f t="shared" ref="AE986" si="2992">AE985</f>
        <v>0</v>
      </c>
      <c r="AF986" s="411">
        <f t="shared" ref="AF986" si="2993">AF985</f>
        <v>0</v>
      </c>
      <c r="AG986" s="411">
        <f t="shared" ref="AG986" si="2994">AG985</f>
        <v>0</v>
      </c>
      <c r="AH986" s="411">
        <f t="shared" ref="AH986" si="2995">AH985</f>
        <v>0</v>
      </c>
      <c r="AI986" s="411">
        <f t="shared" ref="AI986" si="2996">AI985</f>
        <v>0</v>
      </c>
      <c r="AJ986" s="411">
        <f t="shared" ref="AJ986" si="2997">AJ985</f>
        <v>0</v>
      </c>
      <c r="AK986" s="411">
        <f t="shared" ref="AK986" si="2998">AK985</f>
        <v>0</v>
      </c>
      <c r="AL986" s="411">
        <f t="shared" ref="AL986" si="2999">AL985</f>
        <v>0</v>
      </c>
      <c r="AM986" s="297"/>
    </row>
    <row r="987" spans="1:39" ht="15" hidden="1"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hidden="1"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00">Z988</f>
        <v>0</v>
      </c>
      <c r="AA989" s="411">
        <f t="shared" ref="AA989" si="3001">AA988</f>
        <v>0</v>
      </c>
      <c r="AB989" s="411">
        <f t="shared" ref="AB989" si="3002">AB988</f>
        <v>0</v>
      </c>
      <c r="AC989" s="411">
        <f t="shared" ref="AC989" si="3003">AC988</f>
        <v>0</v>
      </c>
      <c r="AD989" s="411">
        <f t="shared" ref="AD989" si="3004">AD988</f>
        <v>0</v>
      </c>
      <c r="AE989" s="411">
        <f t="shared" ref="AE989" si="3005">AE988</f>
        <v>0</v>
      </c>
      <c r="AF989" s="411">
        <f t="shared" ref="AF989" si="3006">AF988</f>
        <v>0</v>
      </c>
      <c r="AG989" s="411">
        <f t="shared" ref="AG989" si="3007">AG988</f>
        <v>0</v>
      </c>
      <c r="AH989" s="411">
        <f t="shared" ref="AH989" si="3008">AH988</f>
        <v>0</v>
      </c>
      <c r="AI989" s="411">
        <f t="shared" ref="AI989" si="3009">AI988</f>
        <v>0</v>
      </c>
      <c r="AJ989" s="411">
        <f t="shared" ref="AJ989" si="3010">AJ988</f>
        <v>0</v>
      </c>
      <c r="AK989" s="411">
        <f t="shared" ref="AK989" si="3011">AK988</f>
        <v>0</v>
      </c>
      <c r="AL989" s="411">
        <f t="shared" ref="AL989" si="3012">AL988</f>
        <v>0</v>
      </c>
      <c r="AM989" s="297"/>
    </row>
    <row r="990" spans="1:39" ht="15" hidden="1"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2"/>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13">Z991</f>
        <v>0</v>
      </c>
      <c r="AA992" s="411">
        <f t="shared" ref="AA992" si="3014">AA991</f>
        <v>0</v>
      </c>
      <c r="AB992" s="411">
        <f t="shared" ref="AB992" si="3015">AB991</f>
        <v>0</v>
      </c>
      <c r="AC992" s="411">
        <f t="shared" ref="AC992" si="3016">AC991</f>
        <v>0</v>
      </c>
      <c r="AD992" s="411">
        <f t="shared" ref="AD992" si="3017">AD991</f>
        <v>0</v>
      </c>
      <c r="AE992" s="411">
        <f t="shared" ref="AE992" si="3018">AE991</f>
        <v>0</v>
      </c>
      <c r="AF992" s="411">
        <f t="shared" ref="AF992" si="3019">AF991</f>
        <v>0</v>
      </c>
      <c r="AG992" s="411">
        <f t="shared" ref="AG992" si="3020">AG991</f>
        <v>0</v>
      </c>
      <c r="AH992" s="411">
        <f t="shared" ref="AH992" si="3021">AH991</f>
        <v>0</v>
      </c>
      <c r="AI992" s="411">
        <f t="shared" ref="AI992" si="3022">AI991</f>
        <v>0</v>
      </c>
      <c r="AJ992" s="411">
        <f t="shared" ref="AJ992" si="3023">AJ991</f>
        <v>0</v>
      </c>
      <c r="AK992" s="411">
        <f t="shared" ref="AK992" si="3024">AK991</f>
        <v>0</v>
      </c>
      <c r="AL992" s="411">
        <f t="shared" ref="AL992" si="3025">AL991</f>
        <v>0</v>
      </c>
      <c r="AM992" s="306"/>
    </row>
    <row r="993" spans="1:40" ht="15" hidden="1"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2"/>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26">Z995</f>
        <v>0</v>
      </c>
      <c r="AA996" s="411">
        <f t="shared" ref="AA996" si="3027">AA995</f>
        <v>0</v>
      </c>
      <c r="AB996" s="411">
        <f t="shared" ref="AB996" si="3028">AB995</f>
        <v>0</v>
      </c>
      <c r="AC996" s="411">
        <f t="shared" ref="AC996" si="3029">AC995</f>
        <v>0</v>
      </c>
      <c r="AD996" s="411">
        <f t="shared" ref="AD996" si="3030">AD995</f>
        <v>0</v>
      </c>
      <c r="AE996" s="411">
        <f t="shared" ref="AE996" si="3031">AE995</f>
        <v>0</v>
      </c>
      <c r="AF996" s="411">
        <f t="shared" ref="AF996" si="3032">AF995</f>
        <v>0</v>
      </c>
      <c r="AG996" s="411">
        <f t="shared" ref="AG996" si="3033">AG995</f>
        <v>0</v>
      </c>
      <c r="AH996" s="411">
        <f t="shared" ref="AH996" si="3034">AH995</f>
        <v>0</v>
      </c>
      <c r="AI996" s="411">
        <f t="shared" ref="AI996" si="3035">AI995</f>
        <v>0</v>
      </c>
      <c r="AJ996" s="411">
        <f t="shared" ref="AJ996" si="3036">AJ995</f>
        <v>0</v>
      </c>
      <c r="AK996" s="411">
        <f t="shared" ref="AK996" si="3037">AK995</f>
        <v>0</v>
      </c>
      <c r="AL996" s="411">
        <f t="shared" ref="AL996" si="3038">AL995</f>
        <v>0</v>
      </c>
      <c r="AM996" s="297"/>
    </row>
    <row r="997" spans="1:40" ht="15" hidden="1"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30"/>
    </row>
    <row r="998" spans="1:40" s="309" customFormat="1" ht="15.75" hidden="1" outlineLevel="1">
      <c r="A998" s="532"/>
      <c r="B998" s="288" t="s">
        <v>489</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1"/>
    </row>
    <row r="999" spans="1:40" hidden="1" outlineLevel="1">
      <c r="A999" s="532">
        <v>15</v>
      </c>
      <c r="B999" s="294" t="s">
        <v>494</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2">
        <f>SUM(Y999:AL999)</f>
        <v>0</v>
      </c>
      <c r="AN999" s="630"/>
    </row>
    <row r="1000" spans="1:40" hidden="1" outlineLevel="1">
      <c r="A1000" s="532"/>
      <c r="B1000" s="294" t="s">
        <v>342</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39">AA999</f>
        <v>0</v>
      </c>
      <c r="AB1000" s="411">
        <f t="shared" si="3039"/>
        <v>0</v>
      </c>
      <c r="AC1000" s="411">
        <f t="shared" si="3039"/>
        <v>0</v>
      </c>
      <c r="AD1000" s="411">
        <f>AD999</f>
        <v>0</v>
      </c>
      <c r="AE1000" s="411">
        <f t="shared" si="3039"/>
        <v>0</v>
      </c>
      <c r="AF1000" s="411">
        <f t="shared" si="3039"/>
        <v>0</v>
      </c>
      <c r="AG1000" s="411">
        <f t="shared" si="3039"/>
        <v>0</v>
      </c>
      <c r="AH1000" s="411">
        <f t="shared" si="3039"/>
        <v>0</v>
      </c>
      <c r="AI1000" s="411">
        <f t="shared" si="3039"/>
        <v>0</v>
      </c>
      <c r="AJ1000" s="411">
        <f t="shared" si="3039"/>
        <v>0</v>
      </c>
      <c r="AK1000" s="411">
        <f t="shared" si="3039"/>
        <v>0</v>
      </c>
      <c r="AL1000" s="411">
        <f t="shared" si="3039"/>
        <v>0</v>
      </c>
      <c r="AM1000" s="297"/>
    </row>
    <row r="1001" spans="1:40" hidden="1"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idden="1" outlineLevel="1">
      <c r="A1002" s="532">
        <v>16</v>
      </c>
      <c r="B1002" s="324" t="s">
        <v>490</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idden="1" outlineLevel="1">
      <c r="A1003" s="532"/>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40">Z1002</f>
        <v>0</v>
      </c>
      <c r="AA1003" s="411">
        <f t="shared" si="3040"/>
        <v>0</v>
      </c>
      <c r="AB1003" s="411">
        <f t="shared" si="3040"/>
        <v>0</v>
      </c>
      <c r="AC1003" s="411">
        <f t="shared" si="3040"/>
        <v>0</v>
      </c>
      <c r="AD1003" s="411">
        <f t="shared" si="3040"/>
        <v>0</v>
      </c>
      <c r="AE1003" s="411">
        <f t="shared" si="3040"/>
        <v>0</v>
      </c>
      <c r="AF1003" s="411">
        <f t="shared" si="3040"/>
        <v>0</v>
      </c>
      <c r="AG1003" s="411">
        <f t="shared" si="3040"/>
        <v>0</v>
      </c>
      <c r="AH1003" s="411">
        <f t="shared" si="3040"/>
        <v>0</v>
      </c>
      <c r="AI1003" s="411">
        <f t="shared" si="3040"/>
        <v>0</v>
      </c>
      <c r="AJ1003" s="411">
        <f t="shared" si="3040"/>
        <v>0</v>
      </c>
      <c r="AK1003" s="411">
        <f t="shared" si="3040"/>
        <v>0</v>
      </c>
      <c r="AL1003" s="411">
        <f>AL1002</f>
        <v>0</v>
      </c>
      <c r="AM1003" s="297"/>
    </row>
    <row r="1004" spans="1:40" s="283" customFormat="1" hidden="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75" hidden="1" outlineLevel="1">
      <c r="A1005" s="532"/>
      <c r="B1005" s="519" t="s">
        <v>495</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idden="1"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idden="1" outlineLevel="1">
      <c r="A1007" s="532"/>
      <c r="B1007" s="294" t="s">
        <v>342</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41">Z1006</f>
        <v>0</v>
      </c>
      <c r="AA1007" s="411">
        <f t="shared" si="3041"/>
        <v>0</v>
      </c>
      <c r="AB1007" s="411">
        <f t="shared" si="3041"/>
        <v>0</v>
      </c>
      <c r="AC1007" s="411">
        <f t="shared" si="3041"/>
        <v>0</v>
      </c>
      <c r="AD1007" s="411">
        <f t="shared" si="3041"/>
        <v>0</v>
      </c>
      <c r="AE1007" s="411">
        <f t="shared" si="3041"/>
        <v>0</v>
      </c>
      <c r="AF1007" s="411">
        <f t="shared" si="3041"/>
        <v>0</v>
      </c>
      <c r="AG1007" s="411">
        <f t="shared" si="3041"/>
        <v>0</v>
      </c>
      <c r="AH1007" s="411">
        <f t="shared" si="3041"/>
        <v>0</v>
      </c>
      <c r="AI1007" s="411">
        <f t="shared" si="3041"/>
        <v>0</v>
      </c>
      <c r="AJ1007" s="411">
        <f t="shared" si="3041"/>
        <v>0</v>
      </c>
      <c r="AK1007" s="411">
        <f t="shared" si="3041"/>
        <v>0</v>
      </c>
      <c r="AL1007" s="411">
        <f t="shared" si="3041"/>
        <v>0</v>
      </c>
      <c r="AM1007" s="306"/>
    </row>
    <row r="1008" spans="1:40" hidden="1"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idden="1"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idden="1" outlineLevel="1">
      <c r="A1010" s="532"/>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42">Z1009</f>
        <v>0</v>
      </c>
      <c r="AA1010" s="411">
        <f t="shared" si="3042"/>
        <v>0</v>
      </c>
      <c r="AB1010" s="411">
        <f t="shared" si="3042"/>
        <v>0</v>
      </c>
      <c r="AC1010" s="411">
        <f t="shared" si="3042"/>
        <v>0</v>
      </c>
      <c r="AD1010" s="411">
        <f t="shared" si="3042"/>
        <v>0</v>
      </c>
      <c r="AE1010" s="411">
        <f t="shared" si="3042"/>
        <v>0</v>
      </c>
      <c r="AF1010" s="411">
        <f t="shared" si="3042"/>
        <v>0</v>
      </c>
      <c r="AG1010" s="411">
        <f t="shared" si="3042"/>
        <v>0</v>
      </c>
      <c r="AH1010" s="411">
        <f t="shared" si="3042"/>
        <v>0</v>
      </c>
      <c r="AI1010" s="411">
        <f t="shared" si="3042"/>
        <v>0</v>
      </c>
      <c r="AJ1010" s="411">
        <f t="shared" si="3042"/>
        <v>0</v>
      </c>
      <c r="AK1010" s="411">
        <f t="shared" si="3042"/>
        <v>0</v>
      </c>
      <c r="AL1010" s="411">
        <f t="shared" si="3042"/>
        <v>0</v>
      </c>
      <c r="AM1010" s="306"/>
    </row>
    <row r="1011" spans="1:39" hidden="1"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idden="1"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idden="1" outlineLevel="1">
      <c r="A1013" s="532"/>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43">Z1012</f>
        <v>0</v>
      </c>
      <c r="AA1013" s="411">
        <f t="shared" si="3043"/>
        <v>0</v>
      </c>
      <c r="AB1013" s="411">
        <f t="shared" si="3043"/>
        <v>0</v>
      </c>
      <c r="AC1013" s="411">
        <f t="shared" si="3043"/>
        <v>0</v>
      </c>
      <c r="AD1013" s="411">
        <f t="shared" si="3043"/>
        <v>0</v>
      </c>
      <c r="AE1013" s="411">
        <f t="shared" si="3043"/>
        <v>0</v>
      </c>
      <c r="AF1013" s="411">
        <f t="shared" si="3043"/>
        <v>0</v>
      </c>
      <c r="AG1013" s="411">
        <f t="shared" si="3043"/>
        <v>0</v>
      </c>
      <c r="AH1013" s="411">
        <f t="shared" si="3043"/>
        <v>0</v>
      </c>
      <c r="AI1013" s="411">
        <f t="shared" si="3043"/>
        <v>0</v>
      </c>
      <c r="AJ1013" s="411">
        <f t="shared" si="3043"/>
        <v>0</v>
      </c>
      <c r="AK1013" s="411">
        <f t="shared" si="3043"/>
        <v>0</v>
      </c>
      <c r="AL1013" s="411">
        <f t="shared" si="3043"/>
        <v>0</v>
      </c>
      <c r="AM1013" s="297"/>
    </row>
    <row r="1014" spans="1:39" hidden="1"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idden="1"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idden="1" outlineLevel="1">
      <c r="A1016" s="532"/>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44">Y1015</f>
        <v>0</v>
      </c>
      <c r="Z1016" s="411">
        <f t="shared" si="3044"/>
        <v>0</v>
      </c>
      <c r="AA1016" s="411">
        <f t="shared" si="3044"/>
        <v>0</v>
      </c>
      <c r="AB1016" s="411">
        <f t="shared" si="3044"/>
        <v>0</v>
      </c>
      <c r="AC1016" s="411">
        <f t="shared" si="3044"/>
        <v>0</v>
      </c>
      <c r="AD1016" s="411">
        <f t="shared" si="3044"/>
        <v>0</v>
      </c>
      <c r="AE1016" s="411">
        <f t="shared" si="3044"/>
        <v>0</v>
      </c>
      <c r="AF1016" s="411">
        <f t="shared" si="3044"/>
        <v>0</v>
      </c>
      <c r="AG1016" s="411">
        <f t="shared" si="3044"/>
        <v>0</v>
      </c>
      <c r="AH1016" s="411">
        <f t="shared" si="3044"/>
        <v>0</v>
      </c>
      <c r="AI1016" s="411">
        <f t="shared" si="3044"/>
        <v>0</v>
      </c>
      <c r="AJ1016" s="411">
        <f t="shared" si="3044"/>
        <v>0</v>
      </c>
      <c r="AK1016" s="411">
        <f t="shared" si="3044"/>
        <v>0</v>
      </c>
      <c r="AL1016" s="411">
        <f t="shared" si="3044"/>
        <v>0</v>
      </c>
      <c r="AM1016" s="306"/>
    </row>
    <row r="1017" spans="1:39" ht="15.75" hidden="1"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hidden="1" outlineLevel="1">
      <c r="A1018" s="532"/>
      <c r="B1018" s="518" t="s">
        <v>502</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75" hidden="1" outlineLevel="1">
      <c r="A1019" s="532"/>
      <c r="B1019" s="504" t="s">
        <v>498</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2"/>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45">Z1020</f>
        <v>0</v>
      </c>
      <c r="AA1021" s="411">
        <f t="shared" ref="AA1021" si="3046">AA1020</f>
        <v>0</v>
      </c>
      <c r="AB1021" s="411">
        <f t="shared" ref="AB1021" si="3047">AB1020</f>
        <v>0</v>
      </c>
      <c r="AC1021" s="411">
        <f t="shared" ref="AC1021" si="3048">AC1020</f>
        <v>0</v>
      </c>
      <c r="AD1021" s="411">
        <f t="shared" ref="AD1021" si="3049">AD1020</f>
        <v>0</v>
      </c>
      <c r="AE1021" s="411">
        <f t="shared" ref="AE1021" si="3050">AE1020</f>
        <v>0</v>
      </c>
      <c r="AF1021" s="411">
        <f t="shared" ref="AF1021" si="3051">AF1020</f>
        <v>0</v>
      </c>
      <c r="AG1021" s="411">
        <f t="shared" ref="AG1021" si="3052">AG1020</f>
        <v>0</v>
      </c>
      <c r="AH1021" s="411">
        <f t="shared" ref="AH1021" si="3053">AH1020</f>
        <v>0</v>
      </c>
      <c r="AI1021" s="411">
        <f t="shared" ref="AI1021" si="3054">AI1020</f>
        <v>0</v>
      </c>
      <c r="AJ1021" s="411">
        <f t="shared" ref="AJ1021" si="3055">AJ1020</f>
        <v>0</v>
      </c>
      <c r="AK1021" s="411">
        <f t="shared" ref="AK1021" si="3056">AK1020</f>
        <v>0</v>
      </c>
      <c r="AL1021" s="411">
        <f t="shared" ref="AL1021" si="3057">AL1020</f>
        <v>0</v>
      </c>
      <c r="AM1021" s="306"/>
    </row>
    <row r="1022" spans="1:39" ht="15" hidden="1"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2"/>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58">Z1023</f>
        <v>0</v>
      </c>
      <c r="AA1024" s="411">
        <f t="shared" ref="AA1024" si="3059">AA1023</f>
        <v>0</v>
      </c>
      <c r="AB1024" s="411">
        <f t="shared" ref="AB1024" si="3060">AB1023</f>
        <v>0</v>
      </c>
      <c r="AC1024" s="411">
        <f t="shared" ref="AC1024" si="3061">AC1023</f>
        <v>0</v>
      </c>
      <c r="AD1024" s="411">
        <f t="shared" ref="AD1024" si="3062">AD1023</f>
        <v>0</v>
      </c>
      <c r="AE1024" s="411">
        <f t="shared" ref="AE1024" si="3063">AE1023</f>
        <v>0</v>
      </c>
      <c r="AF1024" s="411">
        <f t="shared" ref="AF1024" si="3064">AF1023</f>
        <v>0</v>
      </c>
      <c r="AG1024" s="411">
        <f t="shared" ref="AG1024" si="3065">AG1023</f>
        <v>0</v>
      </c>
      <c r="AH1024" s="411">
        <f t="shared" ref="AH1024" si="3066">AH1023</f>
        <v>0</v>
      </c>
      <c r="AI1024" s="411">
        <f t="shared" ref="AI1024" si="3067">AI1023</f>
        <v>0</v>
      </c>
      <c r="AJ1024" s="411">
        <f t="shared" ref="AJ1024" si="3068">AJ1023</f>
        <v>0</v>
      </c>
      <c r="AK1024" s="411">
        <f t="shared" ref="AK1024" si="3069">AK1023</f>
        <v>0</v>
      </c>
      <c r="AL1024" s="411">
        <f t="shared" ref="AL1024" si="3070">AL1023</f>
        <v>0</v>
      </c>
      <c r="AM1024" s="306"/>
    </row>
    <row r="1025" spans="1:39" ht="15" hidden="1"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2"/>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71">Z1026</f>
        <v>0</v>
      </c>
      <c r="AA1027" s="411">
        <f t="shared" ref="AA1027" si="3072">AA1026</f>
        <v>0</v>
      </c>
      <c r="AB1027" s="411">
        <f t="shared" ref="AB1027" si="3073">AB1026</f>
        <v>0</v>
      </c>
      <c r="AC1027" s="411">
        <f t="shared" ref="AC1027" si="3074">AC1026</f>
        <v>0</v>
      </c>
      <c r="AD1027" s="411">
        <f t="shared" ref="AD1027" si="3075">AD1026</f>
        <v>0</v>
      </c>
      <c r="AE1027" s="411">
        <f t="shared" ref="AE1027" si="3076">AE1026</f>
        <v>0</v>
      </c>
      <c r="AF1027" s="411">
        <f t="shared" ref="AF1027" si="3077">AF1026</f>
        <v>0</v>
      </c>
      <c r="AG1027" s="411">
        <f t="shared" ref="AG1027" si="3078">AG1026</f>
        <v>0</v>
      </c>
      <c r="AH1027" s="411">
        <f t="shared" ref="AH1027" si="3079">AH1026</f>
        <v>0</v>
      </c>
      <c r="AI1027" s="411">
        <f t="shared" ref="AI1027" si="3080">AI1026</f>
        <v>0</v>
      </c>
      <c r="AJ1027" s="411">
        <f t="shared" ref="AJ1027" si="3081">AJ1026</f>
        <v>0</v>
      </c>
      <c r="AK1027" s="411">
        <f t="shared" ref="AK1027" si="3082">AK1026</f>
        <v>0</v>
      </c>
      <c r="AL1027" s="411">
        <f t="shared" ref="AL1027" si="3083">AL1026</f>
        <v>0</v>
      </c>
      <c r="AM1027" s="306"/>
    </row>
    <row r="1028" spans="1:39" ht="15" hidden="1"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2"/>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84">Z1029</f>
        <v>0</v>
      </c>
      <c r="AA1030" s="411">
        <f t="shared" ref="AA1030" si="3085">AA1029</f>
        <v>0</v>
      </c>
      <c r="AB1030" s="411">
        <f t="shared" ref="AB1030" si="3086">AB1029</f>
        <v>0</v>
      </c>
      <c r="AC1030" s="411">
        <f t="shared" ref="AC1030" si="3087">AC1029</f>
        <v>0</v>
      </c>
      <c r="AD1030" s="411">
        <f t="shared" ref="AD1030" si="3088">AD1029</f>
        <v>0</v>
      </c>
      <c r="AE1030" s="411">
        <f t="shared" ref="AE1030" si="3089">AE1029</f>
        <v>0</v>
      </c>
      <c r="AF1030" s="411">
        <f t="shared" ref="AF1030" si="3090">AF1029</f>
        <v>0</v>
      </c>
      <c r="AG1030" s="411">
        <f t="shared" ref="AG1030" si="3091">AG1029</f>
        <v>0</v>
      </c>
      <c r="AH1030" s="411">
        <f t="shared" ref="AH1030" si="3092">AH1029</f>
        <v>0</v>
      </c>
      <c r="AI1030" s="411">
        <f t="shared" ref="AI1030" si="3093">AI1029</f>
        <v>0</v>
      </c>
      <c r="AJ1030" s="411">
        <f t="shared" ref="AJ1030" si="3094">AJ1029</f>
        <v>0</v>
      </c>
      <c r="AK1030" s="411">
        <f t="shared" ref="AK1030" si="3095">AK1029</f>
        <v>0</v>
      </c>
      <c r="AL1030" s="411">
        <f t="shared" ref="AL1030" si="3096">AL1029</f>
        <v>0</v>
      </c>
      <c r="AM1030" s="306"/>
    </row>
    <row r="1031" spans="1:39" ht="15" hidden="1"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2"/>
      <c r="B1032" s="288" t="s">
        <v>499</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2"/>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097">Z1033</f>
        <v>0</v>
      </c>
      <c r="AA1034" s="411">
        <f t="shared" ref="AA1034" si="3098">AA1033</f>
        <v>0</v>
      </c>
      <c r="AB1034" s="411">
        <f t="shared" ref="AB1034" si="3099">AB1033</f>
        <v>0</v>
      </c>
      <c r="AC1034" s="411">
        <f t="shared" ref="AC1034" si="3100">AC1033</f>
        <v>0</v>
      </c>
      <c r="AD1034" s="411">
        <f t="shared" ref="AD1034" si="3101">AD1033</f>
        <v>0</v>
      </c>
      <c r="AE1034" s="411">
        <f t="shared" ref="AE1034" si="3102">AE1033</f>
        <v>0</v>
      </c>
      <c r="AF1034" s="411">
        <f t="shared" ref="AF1034" si="3103">AF1033</f>
        <v>0</v>
      </c>
      <c r="AG1034" s="411">
        <f t="shared" ref="AG1034" si="3104">AG1033</f>
        <v>0</v>
      </c>
      <c r="AH1034" s="411">
        <f t="shared" ref="AH1034" si="3105">AH1033</f>
        <v>0</v>
      </c>
      <c r="AI1034" s="411">
        <f t="shared" ref="AI1034" si="3106">AI1033</f>
        <v>0</v>
      </c>
      <c r="AJ1034" s="411">
        <f t="shared" ref="AJ1034" si="3107">AJ1033</f>
        <v>0</v>
      </c>
      <c r="AK1034" s="411">
        <f t="shared" ref="AK1034" si="3108">AK1033</f>
        <v>0</v>
      </c>
      <c r="AL1034" s="411">
        <f t="shared" ref="AL1034" si="3109">AL1033</f>
        <v>0</v>
      </c>
      <c r="AM1034" s="306"/>
    </row>
    <row r="1035" spans="1:39" ht="15" hidden="1"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2"/>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10">Z1036</f>
        <v>0</v>
      </c>
      <c r="AA1037" s="411">
        <f t="shared" ref="AA1037" si="3111">AA1036</f>
        <v>0</v>
      </c>
      <c r="AB1037" s="411">
        <f t="shared" ref="AB1037" si="3112">AB1036</f>
        <v>0</v>
      </c>
      <c r="AC1037" s="411">
        <f t="shared" ref="AC1037" si="3113">AC1036</f>
        <v>0</v>
      </c>
      <c r="AD1037" s="411">
        <f t="shared" ref="AD1037" si="3114">AD1036</f>
        <v>0</v>
      </c>
      <c r="AE1037" s="411">
        <f t="shared" ref="AE1037" si="3115">AE1036</f>
        <v>0</v>
      </c>
      <c r="AF1037" s="411">
        <f t="shared" ref="AF1037" si="3116">AF1036</f>
        <v>0</v>
      </c>
      <c r="AG1037" s="411">
        <f t="shared" ref="AG1037" si="3117">AG1036</f>
        <v>0</v>
      </c>
      <c r="AH1037" s="411">
        <f t="shared" ref="AH1037" si="3118">AH1036</f>
        <v>0</v>
      </c>
      <c r="AI1037" s="411">
        <f t="shared" ref="AI1037" si="3119">AI1036</f>
        <v>0</v>
      </c>
      <c r="AJ1037" s="411">
        <f t="shared" ref="AJ1037" si="3120">AJ1036</f>
        <v>0</v>
      </c>
      <c r="AK1037" s="411">
        <f t="shared" ref="AK1037" si="3121">AK1036</f>
        <v>0</v>
      </c>
      <c r="AL1037" s="411">
        <f t="shared" ref="AL1037" si="3122">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2"/>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23">Z1039</f>
        <v>0</v>
      </c>
      <c r="AA1040" s="411">
        <f t="shared" ref="AA1040" si="3124">AA1039</f>
        <v>0</v>
      </c>
      <c r="AB1040" s="411">
        <f t="shared" ref="AB1040" si="3125">AB1039</f>
        <v>0</v>
      </c>
      <c r="AC1040" s="411">
        <f t="shared" ref="AC1040" si="3126">AC1039</f>
        <v>0</v>
      </c>
      <c r="AD1040" s="411">
        <f t="shared" ref="AD1040" si="3127">AD1039</f>
        <v>0</v>
      </c>
      <c r="AE1040" s="411">
        <f t="shared" ref="AE1040" si="3128">AE1039</f>
        <v>0</v>
      </c>
      <c r="AF1040" s="411">
        <f t="shared" ref="AF1040" si="3129">AF1039</f>
        <v>0</v>
      </c>
      <c r="AG1040" s="411">
        <f t="shared" ref="AG1040" si="3130">AG1039</f>
        <v>0</v>
      </c>
      <c r="AH1040" s="411">
        <f t="shared" ref="AH1040" si="3131">AH1039</f>
        <v>0</v>
      </c>
      <c r="AI1040" s="411">
        <f t="shared" ref="AI1040" si="3132">AI1039</f>
        <v>0</v>
      </c>
      <c r="AJ1040" s="411">
        <f t="shared" ref="AJ1040" si="3133">AJ1039</f>
        <v>0</v>
      </c>
      <c r="AK1040" s="411">
        <f t="shared" ref="AK1040" si="3134">AK1039</f>
        <v>0</v>
      </c>
      <c r="AL1040" s="411">
        <f t="shared" ref="AL1040" si="3135">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2"/>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36">AA1042</f>
        <v>0</v>
      </c>
      <c r="AB1043" s="411">
        <f t="shared" ref="AB1043" si="3137">AB1042</f>
        <v>0</v>
      </c>
      <c r="AC1043" s="411">
        <f t="shared" ref="AC1043" si="3138">AC1042</f>
        <v>0</v>
      </c>
      <c r="AD1043" s="411">
        <f t="shared" ref="AD1043" si="3139">AD1042</f>
        <v>0</v>
      </c>
      <c r="AE1043" s="411">
        <f>AE1042</f>
        <v>0</v>
      </c>
      <c r="AF1043" s="411">
        <f t="shared" ref="AF1043" si="3140">AF1042</f>
        <v>0</v>
      </c>
      <c r="AG1043" s="411">
        <f t="shared" ref="AG1043" si="3141">AG1042</f>
        <v>0</v>
      </c>
      <c r="AH1043" s="411">
        <f t="shared" ref="AH1043" si="3142">AH1042</f>
        <v>0</v>
      </c>
      <c r="AI1043" s="411">
        <f t="shared" ref="AI1043" si="3143">AI1042</f>
        <v>0</v>
      </c>
      <c r="AJ1043" s="411">
        <f t="shared" ref="AJ1043" si="3144">AJ1042</f>
        <v>0</v>
      </c>
      <c r="AK1043" s="411">
        <f t="shared" ref="AK1043" si="3145">AK1042</f>
        <v>0</v>
      </c>
      <c r="AL1043" s="411">
        <f t="shared" ref="AL1043" si="3146">AL1042</f>
        <v>0</v>
      </c>
      <c r="AM1043" s="306"/>
    </row>
    <row r="1044" spans="1:39" ht="15" hidden="1"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2"/>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47">Z1045</f>
        <v>0</v>
      </c>
      <c r="AA1046" s="411">
        <f t="shared" ref="AA1046" si="3148">AA1045</f>
        <v>0</v>
      </c>
      <c r="AB1046" s="411">
        <f t="shared" ref="AB1046" si="3149">AB1045</f>
        <v>0</v>
      </c>
      <c r="AC1046" s="411">
        <f t="shared" ref="AC1046" si="3150">AC1045</f>
        <v>0</v>
      </c>
      <c r="AD1046" s="411">
        <f t="shared" ref="AD1046" si="3151">AD1045</f>
        <v>0</v>
      </c>
      <c r="AE1046" s="411">
        <f t="shared" ref="AE1046" si="3152">AE1045</f>
        <v>0</v>
      </c>
      <c r="AF1046" s="411">
        <f t="shared" ref="AF1046" si="3153">AF1045</f>
        <v>0</v>
      </c>
      <c r="AG1046" s="411">
        <f t="shared" ref="AG1046" si="3154">AG1045</f>
        <v>0</v>
      </c>
      <c r="AH1046" s="411">
        <f t="shared" ref="AH1046" si="3155">AH1045</f>
        <v>0</v>
      </c>
      <c r="AI1046" s="411">
        <f t="shared" ref="AI1046" si="3156">AI1045</f>
        <v>0</v>
      </c>
      <c r="AJ1046" s="411">
        <f t="shared" ref="AJ1046" si="3157">AJ1045</f>
        <v>0</v>
      </c>
      <c r="AK1046" s="411">
        <f t="shared" ref="AK1046" si="3158">AK1045</f>
        <v>0</v>
      </c>
      <c r="AL1046" s="411">
        <f t="shared" ref="AL1046" si="3159">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2"/>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60">Z1048</f>
        <v>0</v>
      </c>
      <c r="AA1049" s="411">
        <f t="shared" ref="AA1049" si="3161">AA1048</f>
        <v>0</v>
      </c>
      <c r="AB1049" s="411">
        <f t="shared" ref="AB1049" si="3162">AB1048</f>
        <v>0</v>
      </c>
      <c r="AC1049" s="411">
        <f t="shared" ref="AC1049" si="3163">AC1048</f>
        <v>0</v>
      </c>
      <c r="AD1049" s="411">
        <f t="shared" ref="AD1049" si="3164">AD1048</f>
        <v>0</v>
      </c>
      <c r="AE1049" s="411">
        <f t="shared" ref="AE1049" si="3165">AE1048</f>
        <v>0</v>
      </c>
      <c r="AF1049" s="411">
        <f t="shared" ref="AF1049" si="3166">AF1048</f>
        <v>0</v>
      </c>
      <c r="AG1049" s="411">
        <f t="shared" ref="AG1049" si="3167">AG1048</f>
        <v>0</v>
      </c>
      <c r="AH1049" s="411">
        <f t="shared" ref="AH1049" si="3168">AH1048</f>
        <v>0</v>
      </c>
      <c r="AI1049" s="411">
        <f t="shared" ref="AI1049" si="3169">AI1048</f>
        <v>0</v>
      </c>
      <c r="AJ1049" s="411">
        <f t="shared" ref="AJ1049" si="3170">AJ1048</f>
        <v>0</v>
      </c>
      <c r="AK1049" s="411">
        <f t="shared" ref="AK1049" si="3171">AK1048</f>
        <v>0</v>
      </c>
      <c r="AL1049" s="411">
        <f t="shared" ref="AL1049" si="3172">AL1048</f>
        <v>0</v>
      </c>
      <c r="AM1049" s="306"/>
    </row>
    <row r="1050" spans="1:39" ht="15" hidden="1"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2"/>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73">Z1051</f>
        <v>0</v>
      </c>
      <c r="AA1052" s="411">
        <f t="shared" ref="AA1052" si="3174">AA1051</f>
        <v>0</v>
      </c>
      <c r="AB1052" s="411">
        <f t="shared" ref="AB1052" si="3175">AB1051</f>
        <v>0</v>
      </c>
      <c r="AC1052" s="411">
        <f t="shared" ref="AC1052" si="3176">AC1051</f>
        <v>0</v>
      </c>
      <c r="AD1052" s="411">
        <f t="shared" ref="AD1052" si="3177">AD1051</f>
        <v>0</v>
      </c>
      <c r="AE1052" s="411">
        <f t="shared" ref="AE1052" si="3178">AE1051</f>
        <v>0</v>
      </c>
      <c r="AF1052" s="411">
        <f t="shared" ref="AF1052" si="3179">AF1051</f>
        <v>0</v>
      </c>
      <c r="AG1052" s="411">
        <f t="shared" ref="AG1052" si="3180">AG1051</f>
        <v>0</v>
      </c>
      <c r="AH1052" s="411">
        <f t="shared" ref="AH1052" si="3181">AH1051</f>
        <v>0</v>
      </c>
      <c r="AI1052" s="411">
        <f t="shared" ref="AI1052" si="3182">AI1051</f>
        <v>0</v>
      </c>
      <c r="AJ1052" s="411">
        <f t="shared" ref="AJ1052" si="3183">AJ1051</f>
        <v>0</v>
      </c>
      <c r="AK1052" s="411">
        <f t="shared" ref="AK1052" si="3184">AK1051</f>
        <v>0</v>
      </c>
      <c r="AL1052" s="411">
        <f t="shared" ref="AL1052" si="3185">AL1051</f>
        <v>0</v>
      </c>
      <c r="AM1052" s="306"/>
    </row>
    <row r="1053" spans="1:39" ht="15" hidden="1"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2"/>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86">Z1054</f>
        <v>0</v>
      </c>
      <c r="AA1055" s="411">
        <f t="shared" ref="AA1055" si="3187">AA1054</f>
        <v>0</v>
      </c>
      <c r="AB1055" s="411">
        <f t="shared" ref="AB1055" si="3188">AB1054</f>
        <v>0</v>
      </c>
      <c r="AC1055" s="411">
        <f t="shared" ref="AC1055" si="3189">AC1054</f>
        <v>0</v>
      </c>
      <c r="AD1055" s="411">
        <f t="shared" ref="AD1055" si="3190">AD1054</f>
        <v>0</v>
      </c>
      <c r="AE1055" s="411">
        <f t="shared" ref="AE1055" si="3191">AE1054</f>
        <v>0</v>
      </c>
      <c r="AF1055" s="411">
        <f t="shared" ref="AF1055" si="3192">AF1054</f>
        <v>0</v>
      </c>
      <c r="AG1055" s="411">
        <f t="shared" ref="AG1055" si="3193">AG1054</f>
        <v>0</v>
      </c>
      <c r="AH1055" s="411">
        <f t="shared" ref="AH1055" si="3194">AH1054</f>
        <v>0</v>
      </c>
      <c r="AI1055" s="411">
        <f t="shared" ref="AI1055" si="3195">AI1054</f>
        <v>0</v>
      </c>
      <c r="AJ1055" s="411">
        <f t="shared" ref="AJ1055" si="3196">AJ1054</f>
        <v>0</v>
      </c>
      <c r="AK1055" s="411">
        <f t="shared" ref="AK1055" si="3197">AK1054</f>
        <v>0</v>
      </c>
      <c r="AL1055" s="411">
        <f t="shared" ref="AL1055" si="3198">AL1054</f>
        <v>0</v>
      </c>
      <c r="AM1055" s="306"/>
    </row>
    <row r="1056" spans="1:39" ht="15" hidden="1"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2"/>
      <c r="B1057" s="288" t="s">
        <v>500</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2"/>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199">Z1058</f>
        <v>0</v>
      </c>
      <c r="AA1059" s="411">
        <f t="shared" ref="AA1059" si="3200">AA1058</f>
        <v>0</v>
      </c>
      <c r="AB1059" s="411">
        <f t="shared" ref="AB1059" si="3201">AB1058</f>
        <v>0</v>
      </c>
      <c r="AC1059" s="411">
        <f t="shared" ref="AC1059" si="3202">AC1058</f>
        <v>0</v>
      </c>
      <c r="AD1059" s="411">
        <f t="shared" ref="AD1059" si="3203">AD1058</f>
        <v>0</v>
      </c>
      <c r="AE1059" s="411">
        <f t="shared" ref="AE1059" si="3204">AE1058</f>
        <v>0</v>
      </c>
      <c r="AF1059" s="411">
        <f t="shared" ref="AF1059" si="3205">AF1058</f>
        <v>0</v>
      </c>
      <c r="AG1059" s="411">
        <f t="shared" ref="AG1059" si="3206">AG1058</f>
        <v>0</v>
      </c>
      <c r="AH1059" s="411">
        <f t="shared" ref="AH1059" si="3207">AH1058</f>
        <v>0</v>
      </c>
      <c r="AI1059" s="411">
        <f t="shared" ref="AI1059" si="3208">AI1058</f>
        <v>0</v>
      </c>
      <c r="AJ1059" s="411">
        <f t="shared" ref="AJ1059" si="3209">AJ1058</f>
        <v>0</v>
      </c>
      <c r="AK1059" s="411">
        <f t="shared" ref="AK1059" si="3210">AK1058</f>
        <v>0</v>
      </c>
      <c r="AL1059" s="411">
        <f t="shared" ref="AL1059" si="3211">AL1058</f>
        <v>0</v>
      </c>
      <c r="AM1059" s="306"/>
    </row>
    <row r="1060" spans="1:39" ht="15" hidden="1"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12">Z1061</f>
        <v>0</v>
      </c>
      <c r="AA1062" s="411">
        <f t="shared" ref="AA1062" si="3213">AA1061</f>
        <v>0</v>
      </c>
      <c r="AB1062" s="411">
        <f t="shared" ref="AB1062" si="3214">AB1061</f>
        <v>0</v>
      </c>
      <c r="AC1062" s="411">
        <f t="shared" ref="AC1062" si="3215">AC1061</f>
        <v>0</v>
      </c>
      <c r="AD1062" s="411">
        <f t="shared" ref="AD1062" si="3216">AD1061</f>
        <v>0</v>
      </c>
      <c r="AE1062" s="411">
        <f t="shared" ref="AE1062" si="3217">AE1061</f>
        <v>0</v>
      </c>
      <c r="AF1062" s="411">
        <f t="shared" ref="AF1062" si="3218">AF1061</f>
        <v>0</v>
      </c>
      <c r="AG1062" s="411">
        <f t="shared" ref="AG1062" si="3219">AG1061</f>
        <v>0</v>
      </c>
      <c r="AH1062" s="411">
        <f t="shared" ref="AH1062" si="3220">AH1061</f>
        <v>0</v>
      </c>
      <c r="AI1062" s="411">
        <f t="shared" ref="AI1062" si="3221">AI1061</f>
        <v>0</v>
      </c>
      <c r="AJ1062" s="411">
        <f t="shared" ref="AJ1062" si="3222">AJ1061</f>
        <v>0</v>
      </c>
      <c r="AK1062" s="411">
        <f t="shared" ref="AK1062" si="3223">AK1061</f>
        <v>0</v>
      </c>
      <c r="AL1062" s="411">
        <f t="shared" ref="AL1062" si="3224">AL1061</f>
        <v>0</v>
      </c>
      <c r="AM1062" s="306"/>
    </row>
    <row r="1063" spans="1:39" ht="15" hidden="1"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2"/>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25">Z1064</f>
        <v>0</v>
      </c>
      <c r="AA1065" s="411">
        <f t="shared" ref="AA1065" si="3226">AA1064</f>
        <v>0</v>
      </c>
      <c r="AB1065" s="411">
        <f t="shared" ref="AB1065" si="3227">AB1064</f>
        <v>0</v>
      </c>
      <c r="AC1065" s="411">
        <f t="shared" ref="AC1065" si="3228">AC1064</f>
        <v>0</v>
      </c>
      <c r="AD1065" s="411">
        <f t="shared" ref="AD1065" si="3229">AD1064</f>
        <v>0</v>
      </c>
      <c r="AE1065" s="411">
        <f t="shared" ref="AE1065" si="3230">AE1064</f>
        <v>0</v>
      </c>
      <c r="AF1065" s="411">
        <f t="shared" ref="AF1065" si="3231">AF1064</f>
        <v>0</v>
      </c>
      <c r="AG1065" s="411">
        <f t="shared" ref="AG1065" si="3232">AG1064</f>
        <v>0</v>
      </c>
      <c r="AH1065" s="411">
        <f t="shared" ref="AH1065" si="3233">AH1064</f>
        <v>0</v>
      </c>
      <c r="AI1065" s="411">
        <f t="shared" ref="AI1065" si="3234">AI1064</f>
        <v>0</v>
      </c>
      <c r="AJ1065" s="411">
        <f t="shared" ref="AJ1065" si="3235">AJ1064</f>
        <v>0</v>
      </c>
      <c r="AK1065" s="411">
        <f t="shared" ref="AK1065" si="3236">AK1064</f>
        <v>0</v>
      </c>
      <c r="AL1065" s="411">
        <f t="shared" ref="AL1065" si="3237">AL1064</f>
        <v>0</v>
      </c>
      <c r="AM1065" s="306"/>
    </row>
    <row r="1066" spans="1:39" ht="15" hidden="1"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2"/>
      <c r="B1067" s="288" t="s">
        <v>501</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2"/>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38">Z1068</f>
        <v>0</v>
      </c>
      <c r="AA1069" s="411">
        <f t="shared" ref="AA1069" si="3239">AA1068</f>
        <v>0</v>
      </c>
      <c r="AB1069" s="411">
        <f t="shared" ref="AB1069" si="3240">AB1068</f>
        <v>0</v>
      </c>
      <c r="AC1069" s="411">
        <f t="shared" ref="AC1069" si="3241">AC1068</f>
        <v>0</v>
      </c>
      <c r="AD1069" s="411">
        <f t="shared" ref="AD1069" si="3242">AD1068</f>
        <v>0</v>
      </c>
      <c r="AE1069" s="411">
        <f t="shared" ref="AE1069" si="3243">AE1068</f>
        <v>0</v>
      </c>
      <c r="AF1069" s="411">
        <f t="shared" ref="AF1069" si="3244">AF1068</f>
        <v>0</v>
      </c>
      <c r="AG1069" s="411">
        <f t="shared" ref="AG1069" si="3245">AG1068</f>
        <v>0</v>
      </c>
      <c r="AH1069" s="411">
        <f t="shared" ref="AH1069" si="3246">AH1068</f>
        <v>0</v>
      </c>
      <c r="AI1069" s="411">
        <f t="shared" ref="AI1069" si="3247">AI1068</f>
        <v>0</v>
      </c>
      <c r="AJ1069" s="411">
        <f t="shared" ref="AJ1069" si="3248">AJ1068</f>
        <v>0</v>
      </c>
      <c r="AK1069" s="411">
        <f t="shared" ref="AK1069" si="3249">AK1068</f>
        <v>0</v>
      </c>
      <c r="AL1069" s="411">
        <f t="shared" ref="AL1069" si="3250">AL1068</f>
        <v>0</v>
      </c>
      <c r="AM1069" s="306"/>
    </row>
    <row r="1070" spans="1:39" ht="15" hidden="1"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2"/>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51">Z1071</f>
        <v>0</v>
      </c>
      <c r="AA1072" s="411">
        <f t="shared" ref="AA1072" si="3252">AA1071</f>
        <v>0</v>
      </c>
      <c r="AB1072" s="411">
        <f t="shared" ref="AB1072" si="3253">AB1071</f>
        <v>0</v>
      </c>
      <c r="AC1072" s="411">
        <f t="shared" ref="AC1072" si="3254">AC1071</f>
        <v>0</v>
      </c>
      <c r="AD1072" s="411">
        <f t="shared" ref="AD1072" si="3255">AD1071</f>
        <v>0</v>
      </c>
      <c r="AE1072" s="411">
        <f t="shared" ref="AE1072" si="3256">AE1071</f>
        <v>0</v>
      </c>
      <c r="AF1072" s="411">
        <f t="shared" ref="AF1072" si="3257">AF1071</f>
        <v>0</v>
      </c>
      <c r="AG1072" s="411">
        <f t="shared" ref="AG1072" si="3258">AG1071</f>
        <v>0</v>
      </c>
      <c r="AH1072" s="411">
        <f t="shared" ref="AH1072" si="3259">AH1071</f>
        <v>0</v>
      </c>
      <c r="AI1072" s="411">
        <f t="shared" ref="AI1072" si="3260">AI1071</f>
        <v>0</v>
      </c>
      <c r="AJ1072" s="411">
        <f t="shared" ref="AJ1072" si="3261">AJ1071</f>
        <v>0</v>
      </c>
      <c r="AK1072" s="411">
        <f t="shared" ref="AK1072" si="3262">AK1071</f>
        <v>0</v>
      </c>
      <c r="AL1072" s="411">
        <f t="shared" ref="AL1072" si="3263">AL1071</f>
        <v>0</v>
      </c>
      <c r="AM1072" s="306"/>
    </row>
    <row r="1073" spans="1:39" ht="15" hidden="1"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64">Z1074</f>
        <v>0</v>
      </c>
      <c r="AA1075" s="411">
        <f t="shared" ref="AA1075" si="3265">AA1074</f>
        <v>0</v>
      </c>
      <c r="AB1075" s="411">
        <f t="shared" ref="AB1075" si="3266">AB1074</f>
        <v>0</v>
      </c>
      <c r="AC1075" s="411">
        <f t="shared" ref="AC1075" si="3267">AC1074</f>
        <v>0</v>
      </c>
      <c r="AD1075" s="411">
        <f t="shared" ref="AD1075" si="3268">AD1074</f>
        <v>0</v>
      </c>
      <c r="AE1075" s="411">
        <f t="shared" ref="AE1075" si="3269">AE1074</f>
        <v>0</v>
      </c>
      <c r="AF1075" s="411">
        <f t="shared" ref="AF1075" si="3270">AF1074</f>
        <v>0</v>
      </c>
      <c r="AG1075" s="411">
        <f t="shared" ref="AG1075" si="3271">AG1074</f>
        <v>0</v>
      </c>
      <c r="AH1075" s="411">
        <f t="shared" ref="AH1075" si="3272">AH1074</f>
        <v>0</v>
      </c>
      <c r="AI1075" s="411">
        <f t="shared" ref="AI1075" si="3273">AI1074</f>
        <v>0</v>
      </c>
      <c r="AJ1075" s="411">
        <f t="shared" ref="AJ1075" si="3274">AJ1074</f>
        <v>0</v>
      </c>
      <c r="AK1075" s="411">
        <f t="shared" ref="AK1075" si="3275">AK1074</f>
        <v>0</v>
      </c>
      <c r="AL1075" s="411">
        <f t="shared" ref="AL1075" si="3276">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77">Z1077</f>
        <v>0</v>
      </c>
      <c r="AA1078" s="411">
        <f t="shared" ref="AA1078" si="3278">AA1077</f>
        <v>0</v>
      </c>
      <c r="AB1078" s="411">
        <f t="shared" ref="AB1078" si="3279">AB1077</f>
        <v>0</v>
      </c>
      <c r="AC1078" s="411">
        <f t="shared" ref="AC1078" si="3280">AC1077</f>
        <v>0</v>
      </c>
      <c r="AD1078" s="411">
        <f t="shared" ref="AD1078" si="3281">AD1077</f>
        <v>0</v>
      </c>
      <c r="AE1078" s="411">
        <f t="shared" ref="AE1078" si="3282">AE1077</f>
        <v>0</v>
      </c>
      <c r="AF1078" s="411">
        <f t="shared" ref="AF1078" si="3283">AF1077</f>
        <v>0</v>
      </c>
      <c r="AG1078" s="411">
        <f t="shared" ref="AG1078" si="3284">AG1077</f>
        <v>0</v>
      </c>
      <c r="AH1078" s="411">
        <f t="shared" ref="AH1078" si="3285">AH1077</f>
        <v>0</v>
      </c>
      <c r="AI1078" s="411">
        <f t="shared" ref="AI1078" si="3286">AI1077</f>
        <v>0</v>
      </c>
      <c r="AJ1078" s="411">
        <f t="shared" ref="AJ1078" si="3287">AJ1077</f>
        <v>0</v>
      </c>
      <c r="AK1078" s="411">
        <f t="shared" ref="AK1078" si="3288">AK1077</f>
        <v>0</v>
      </c>
      <c r="AL1078" s="411">
        <f t="shared" ref="AL1078" si="3289">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90">Z1080</f>
        <v>0</v>
      </c>
      <c r="AA1081" s="411">
        <f t="shared" ref="AA1081" si="3291">AA1080</f>
        <v>0</v>
      </c>
      <c r="AB1081" s="411">
        <f t="shared" ref="AB1081" si="3292">AB1080</f>
        <v>0</v>
      </c>
      <c r="AC1081" s="411">
        <f t="shared" ref="AC1081" si="3293">AC1080</f>
        <v>0</v>
      </c>
      <c r="AD1081" s="411">
        <f t="shared" ref="AD1081" si="3294">AD1080</f>
        <v>0</v>
      </c>
      <c r="AE1081" s="411">
        <f t="shared" ref="AE1081" si="3295">AE1080</f>
        <v>0</v>
      </c>
      <c r="AF1081" s="411">
        <f t="shared" ref="AF1081" si="3296">AF1080</f>
        <v>0</v>
      </c>
      <c r="AG1081" s="411">
        <f t="shared" ref="AG1081" si="3297">AG1080</f>
        <v>0</v>
      </c>
      <c r="AH1081" s="411">
        <f t="shared" ref="AH1081" si="3298">AH1080</f>
        <v>0</v>
      </c>
      <c r="AI1081" s="411">
        <f t="shared" ref="AI1081" si="3299">AI1080</f>
        <v>0</v>
      </c>
      <c r="AJ1081" s="411">
        <f t="shared" ref="AJ1081" si="3300">AJ1080</f>
        <v>0</v>
      </c>
      <c r="AK1081" s="411">
        <f t="shared" ref="AK1081" si="3301">AK1080</f>
        <v>0</v>
      </c>
      <c r="AL1081" s="411">
        <f t="shared" ref="AL1081" si="3302">AL1080</f>
        <v>0</v>
      </c>
      <c r="AM1081" s="306"/>
    </row>
    <row r="1082" spans="1:39" ht="15" hidden="1"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2"/>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03">Z1083</f>
        <v>0</v>
      </c>
      <c r="AA1084" s="411">
        <f t="shared" ref="AA1084" si="3304">AA1083</f>
        <v>0</v>
      </c>
      <c r="AB1084" s="411">
        <f t="shared" ref="AB1084" si="3305">AB1083</f>
        <v>0</v>
      </c>
      <c r="AC1084" s="411">
        <f t="shared" ref="AC1084" si="3306">AC1083</f>
        <v>0</v>
      </c>
      <c r="AD1084" s="411">
        <f t="shared" ref="AD1084" si="3307">AD1083</f>
        <v>0</v>
      </c>
      <c r="AE1084" s="411">
        <f t="shared" ref="AE1084" si="3308">AE1083</f>
        <v>0</v>
      </c>
      <c r="AF1084" s="411">
        <f t="shared" ref="AF1084" si="3309">AF1083</f>
        <v>0</v>
      </c>
      <c r="AG1084" s="411">
        <f t="shared" ref="AG1084" si="3310">AG1083</f>
        <v>0</v>
      </c>
      <c r="AH1084" s="411">
        <f t="shared" ref="AH1084" si="3311">AH1083</f>
        <v>0</v>
      </c>
      <c r="AI1084" s="411">
        <f t="shared" ref="AI1084" si="3312">AI1083</f>
        <v>0</v>
      </c>
      <c r="AJ1084" s="411">
        <f t="shared" ref="AJ1084" si="3313">AJ1083</f>
        <v>0</v>
      </c>
      <c r="AK1084" s="411">
        <f t="shared" ref="AK1084" si="3314">AK1083</f>
        <v>0</v>
      </c>
      <c r="AL1084" s="411">
        <f t="shared" ref="AL1084" si="3315">AL1083</f>
        <v>0</v>
      </c>
      <c r="AM1084" s="306"/>
    </row>
    <row r="1085" spans="1:39" ht="15" hidden="1"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2"/>
      <c r="B1087" s="294" t="s">
        <v>346</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316">Z1086</f>
        <v>0</v>
      </c>
      <c r="AA1087" s="411">
        <f t="shared" ref="AA1087" si="3317">AA1086</f>
        <v>0</v>
      </c>
      <c r="AB1087" s="411">
        <f t="shared" ref="AB1087" si="3318">AB1086</f>
        <v>0</v>
      </c>
      <c r="AC1087" s="411">
        <f t="shared" ref="AC1087" si="3319">AC1086</f>
        <v>0</v>
      </c>
      <c r="AD1087" s="411">
        <f t="shared" ref="AD1087" si="3320">AD1086</f>
        <v>0</v>
      </c>
      <c r="AE1087" s="411">
        <f t="shared" ref="AE1087" si="3321">AE1086</f>
        <v>0</v>
      </c>
      <c r="AF1087" s="411">
        <f t="shared" ref="AF1087" si="3322">AF1086</f>
        <v>0</v>
      </c>
      <c r="AG1087" s="411">
        <f t="shared" ref="AG1087" si="3323">AG1086</f>
        <v>0</v>
      </c>
      <c r="AH1087" s="411">
        <f t="shared" ref="AH1087" si="3324">AH1086</f>
        <v>0</v>
      </c>
      <c r="AI1087" s="411">
        <f t="shared" ref="AI1087" si="3325">AI1086</f>
        <v>0</v>
      </c>
      <c r="AJ1087" s="411">
        <f t="shared" ref="AJ1087" si="3326">AJ1086</f>
        <v>0</v>
      </c>
      <c r="AK1087" s="411">
        <f t="shared" ref="AK1087" si="3327">AK1086</f>
        <v>0</v>
      </c>
      <c r="AL1087" s="411">
        <f t="shared" ref="AL1087" si="3328">AL1086</f>
        <v>0</v>
      </c>
      <c r="AM1087" s="306"/>
    </row>
    <row r="1088" spans="1:39" ht="15" hidden="1"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2"/>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29">Z1089</f>
        <v>0</v>
      </c>
      <c r="AA1090" s="411">
        <f t="shared" ref="AA1090" si="3330">AA1089</f>
        <v>0</v>
      </c>
      <c r="AB1090" s="411">
        <f t="shared" ref="AB1090" si="3331">AB1089</f>
        <v>0</v>
      </c>
      <c r="AC1090" s="411">
        <f t="shared" ref="AC1090" si="3332">AC1089</f>
        <v>0</v>
      </c>
      <c r="AD1090" s="411">
        <f t="shared" ref="AD1090" si="3333">AD1089</f>
        <v>0</v>
      </c>
      <c r="AE1090" s="411">
        <f t="shared" ref="AE1090" si="3334">AE1089</f>
        <v>0</v>
      </c>
      <c r="AF1090" s="411">
        <f t="shared" ref="AF1090" si="3335">AF1089</f>
        <v>0</v>
      </c>
      <c r="AG1090" s="411">
        <f t="shared" ref="AG1090" si="3336">AG1089</f>
        <v>0</v>
      </c>
      <c r="AH1090" s="411">
        <f t="shared" ref="AH1090" si="3337">AH1089</f>
        <v>0</v>
      </c>
      <c r="AI1090" s="411">
        <f t="shared" ref="AI1090" si="3338">AI1089</f>
        <v>0</v>
      </c>
      <c r="AJ1090" s="411">
        <f t="shared" ref="AJ1090" si="3339">AJ1089</f>
        <v>0</v>
      </c>
      <c r="AK1090" s="411">
        <f t="shared" ref="AK1090" si="3340">AK1089</f>
        <v>0</v>
      </c>
      <c r="AL1090" s="411">
        <f t="shared" ref="AL1090" si="3341">AL1089</f>
        <v>0</v>
      </c>
      <c r="AM1090" s="306"/>
    </row>
    <row r="1091" spans="1:39" ht="15" hidden="1"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2"/>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42">Z1092</f>
        <v>0</v>
      </c>
      <c r="AA1093" s="411">
        <f t="shared" ref="AA1093" si="3343">AA1092</f>
        <v>0</v>
      </c>
      <c r="AB1093" s="411">
        <f t="shared" ref="AB1093" si="3344">AB1092</f>
        <v>0</v>
      </c>
      <c r="AC1093" s="411">
        <f t="shared" ref="AC1093" si="3345">AC1092</f>
        <v>0</v>
      </c>
      <c r="AD1093" s="411">
        <f t="shared" ref="AD1093" si="3346">AD1092</f>
        <v>0</v>
      </c>
      <c r="AE1093" s="411">
        <f t="shared" ref="AE1093" si="3347">AE1092</f>
        <v>0</v>
      </c>
      <c r="AF1093" s="411">
        <f t="shared" ref="AF1093" si="3348">AF1092</f>
        <v>0</v>
      </c>
      <c r="AG1093" s="411">
        <f t="shared" ref="AG1093" si="3349">AG1092</f>
        <v>0</v>
      </c>
      <c r="AH1093" s="411">
        <f t="shared" ref="AH1093" si="3350">AH1092</f>
        <v>0</v>
      </c>
      <c r="AI1093" s="411">
        <f t="shared" ref="AI1093" si="3351">AI1092</f>
        <v>0</v>
      </c>
      <c r="AJ1093" s="411">
        <f t="shared" ref="AJ1093" si="3352">AJ1092</f>
        <v>0</v>
      </c>
      <c r="AK1093" s="411">
        <f t="shared" ref="AK1093" si="3353">AK1092</f>
        <v>0</v>
      </c>
      <c r="AL1093" s="411">
        <f t="shared" ref="AL1093" si="3354">AL1092</f>
        <v>0</v>
      </c>
      <c r="AM1093" s="306"/>
    </row>
    <row r="1094" spans="1:39" ht="15" hidden="1"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50000000000003" hidden="1"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55">Z1095</f>
        <v>0</v>
      </c>
      <c r="AA1096" s="411">
        <f t="shared" ref="AA1096" si="3356">AA1095</f>
        <v>0</v>
      </c>
      <c r="AB1096" s="411">
        <f t="shared" ref="AB1096" si="3357">AB1095</f>
        <v>0</v>
      </c>
      <c r="AC1096" s="411">
        <f t="shared" ref="AC1096" si="3358">AC1095</f>
        <v>0</v>
      </c>
      <c r="AD1096" s="411">
        <f t="shared" ref="AD1096" si="3359">AD1095</f>
        <v>0</v>
      </c>
      <c r="AE1096" s="411">
        <f t="shared" ref="AE1096" si="3360">AE1095</f>
        <v>0</v>
      </c>
      <c r="AF1096" s="411">
        <f t="shared" ref="AF1096" si="3361">AF1095</f>
        <v>0</v>
      </c>
      <c r="AG1096" s="411">
        <f t="shared" ref="AG1096" si="3362">AG1095</f>
        <v>0</v>
      </c>
      <c r="AH1096" s="411">
        <f t="shared" ref="AH1096" si="3363">AH1095</f>
        <v>0</v>
      </c>
      <c r="AI1096" s="411">
        <f t="shared" ref="AI1096" si="3364">AI1095</f>
        <v>0</v>
      </c>
      <c r="AJ1096" s="411">
        <f t="shared" ref="AJ1096" si="3365">AJ1095</f>
        <v>0</v>
      </c>
      <c r="AK1096" s="411">
        <f t="shared" ref="AK1096" si="3366">AK1095</f>
        <v>0</v>
      </c>
      <c r="AL1096" s="411">
        <f t="shared" ref="AL1096" si="3367">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2.1" hidden="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68">Z1098</f>
        <v>0</v>
      </c>
      <c r="AA1099" s="411">
        <f t="shared" ref="AA1099" si="3369">AA1098</f>
        <v>0</v>
      </c>
      <c r="AB1099" s="411">
        <f t="shared" ref="AB1099" si="3370">AB1098</f>
        <v>0</v>
      </c>
      <c r="AC1099" s="411">
        <f t="shared" ref="AC1099" si="3371">AC1098</f>
        <v>0</v>
      </c>
      <c r="AD1099" s="411">
        <f t="shared" ref="AD1099" si="3372">AD1098</f>
        <v>0</v>
      </c>
      <c r="AE1099" s="411">
        <f t="shared" ref="AE1099" si="3373">AE1098</f>
        <v>0</v>
      </c>
      <c r="AF1099" s="411">
        <f t="shared" ref="AF1099" si="3374">AF1098</f>
        <v>0</v>
      </c>
      <c r="AG1099" s="411">
        <f t="shared" ref="AG1099" si="3375">AG1098</f>
        <v>0</v>
      </c>
      <c r="AH1099" s="411">
        <f t="shared" ref="AH1099" si="3376">AH1098</f>
        <v>0</v>
      </c>
      <c r="AI1099" s="411">
        <f t="shared" ref="AI1099" si="3377">AI1098</f>
        <v>0</v>
      </c>
      <c r="AJ1099" s="411">
        <f t="shared" ref="AJ1099" si="3378">AJ1098</f>
        <v>0</v>
      </c>
      <c r="AK1099" s="411">
        <f t="shared" ref="AK1099" si="3379">AK1098</f>
        <v>0</v>
      </c>
      <c r="AL1099" s="411">
        <f t="shared" ref="AL1099" si="3380">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50000000000003" hidden="1"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81">Z1101</f>
        <v>0</v>
      </c>
      <c r="AA1102" s="411">
        <f t="shared" ref="AA1102" si="3382">AA1101</f>
        <v>0</v>
      </c>
      <c r="AB1102" s="411">
        <f t="shared" ref="AB1102" si="3383">AB1101</f>
        <v>0</v>
      </c>
      <c r="AC1102" s="411">
        <f t="shared" ref="AC1102" si="3384">AC1101</f>
        <v>0</v>
      </c>
      <c r="AD1102" s="411">
        <f t="shared" ref="AD1102" si="3385">AD1101</f>
        <v>0</v>
      </c>
      <c r="AE1102" s="411">
        <f t="shared" ref="AE1102" si="3386">AE1101</f>
        <v>0</v>
      </c>
      <c r="AF1102" s="411">
        <f t="shared" ref="AF1102" si="3387">AF1101</f>
        <v>0</v>
      </c>
      <c r="AG1102" s="411">
        <f t="shared" ref="AG1102" si="3388">AG1101</f>
        <v>0</v>
      </c>
      <c r="AH1102" s="411">
        <f t="shared" ref="AH1102" si="3389">AH1101</f>
        <v>0</v>
      </c>
      <c r="AI1102" s="411">
        <f t="shared" ref="AI1102" si="3390">AI1101</f>
        <v>0</v>
      </c>
      <c r="AJ1102" s="411">
        <f t="shared" ref="AJ1102" si="3391">AJ1101</f>
        <v>0</v>
      </c>
      <c r="AK1102" s="411">
        <f t="shared" ref="AK1102" si="3392">AK1101</f>
        <v>0</v>
      </c>
      <c r="AL1102" s="411">
        <f t="shared" ref="AL1102" si="3393">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75" hidden="1"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394">Z1104</f>
        <v>0</v>
      </c>
      <c r="AA1105" s="411">
        <f t="shared" ref="AA1105" si="3395">AA1104</f>
        <v>0</v>
      </c>
      <c r="AB1105" s="411">
        <f t="shared" ref="AB1105" si="3396">AB1104</f>
        <v>0</v>
      </c>
      <c r="AC1105" s="411">
        <f t="shared" ref="AC1105" si="3397">AC1104</f>
        <v>0</v>
      </c>
      <c r="AD1105" s="411">
        <f t="shared" ref="AD1105" si="3398">AD1104</f>
        <v>0</v>
      </c>
      <c r="AE1105" s="411">
        <f t="shared" ref="AE1105" si="3399">AE1104</f>
        <v>0</v>
      </c>
      <c r="AF1105" s="411">
        <f t="shared" ref="AF1105" si="3400">AF1104</f>
        <v>0</v>
      </c>
      <c r="AG1105" s="411">
        <f t="shared" ref="AG1105" si="3401">AG1104</f>
        <v>0</v>
      </c>
      <c r="AH1105" s="411">
        <f t="shared" ref="AH1105" si="3402">AH1104</f>
        <v>0</v>
      </c>
      <c r="AI1105" s="411">
        <f t="shared" ref="AI1105" si="3403">AI1104</f>
        <v>0</v>
      </c>
      <c r="AJ1105" s="411">
        <f t="shared" ref="AJ1105" si="3404">AJ1104</f>
        <v>0</v>
      </c>
      <c r="AK1105" s="411">
        <f t="shared" ref="AK1105" si="3405">AK1104</f>
        <v>0</v>
      </c>
      <c r="AL1105" s="411">
        <f t="shared" ref="AL1105" si="3406">AL1104</f>
        <v>0</v>
      </c>
      <c r="AM1105" s="306"/>
    </row>
    <row r="1106" spans="1:39" ht="15" hidden="1"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2"/>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07">Z1107</f>
        <v>0</v>
      </c>
      <c r="AA1108" s="411">
        <f t="shared" ref="AA1108" si="3408">AA1107</f>
        <v>0</v>
      </c>
      <c r="AB1108" s="411">
        <f t="shared" ref="AB1108" si="3409">AB1107</f>
        <v>0</v>
      </c>
      <c r="AC1108" s="411">
        <f t="shared" ref="AC1108" si="3410">AC1107</f>
        <v>0</v>
      </c>
      <c r="AD1108" s="411">
        <f t="shared" ref="AD1108" si="3411">AD1107</f>
        <v>0</v>
      </c>
      <c r="AE1108" s="411">
        <f t="shared" ref="AE1108" si="3412">AE1107</f>
        <v>0</v>
      </c>
      <c r="AF1108" s="411">
        <f t="shared" ref="AF1108" si="3413">AF1107</f>
        <v>0</v>
      </c>
      <c r="AG1108" s="411">
        <f t="shared" ref="AG1108" si="3414">AG1107</f>
        <v>0</v>
      </c>
      <c r="AH1108" s="411">
        <f t="shared" ref="AH1108" si="3415">AH1107</f>
        <v>0</v>
      </c>
      <c r="AI1108" s="411">
        <f t="shared" ref="AI1108" si="3416">AI1107</f>
        <v>0</v>
      </c>
      <c r="AJ1108" s="411">
        <f t="shared" ref="AJ1108" si="3417">AJ1107</f>
        <v>0</v>
      </c>
      <c r="AK1108" s="411">
        <f t="shared" ref="AK1108" si="3418">AK1107</f>
        <v>0</v>
      </c>
      <c r="AL1108" s="411">
        <f t="shared" ref="AL1108" si="3419">AL1107</f>
        <v>0</v>
      </c>
      <c r="AM1108" s="306"/>
    </row>
    <row r="1109" spans="1:39" ht="15" hidden="1"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ollapsed="1">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1122360</v>
      </c>
      <c r="Z1111" s="392">
        <f>HLOOKUP(Z767,'2. LRAMVA Threshold'!$B$42:$Q$53,12,FALSE)</f>
        <v>374120</v>
      </c>
      <c r="AA1111" s="392">
        <f>HLOOKUP(AA767,'2. LRAMVA Threshold'!$B$42:$Q$53,12,FALSE)</f>
        <v>1002</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c r="B1113" s="324" t="s">
        <v>349</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1.9900000000000001E-2</v>
      </c>
      <c r="AA1113" s="341">
        <f>HLOOKUP(AA$35,'3.  Distribution Rates'!$C$122:$P$133,12,FALSE)</f>
        <v>3.1352000000000002</v>
      </c>
      <c r="AB1113" s="341">
        <f>HLOOKUP(AB$35,'3.  Distribution Rates'!$C$122:$P$133,12,FALSE)</f>
        <v>5.9703999999999997</v>
      </c>
      <c r="AC1113" s="341">
        <f>HLOOKUP(AC$35,'3.  Distribution Rates'!$C$122:$P$133,12,FALSE)</f>
        <v>2.3800000000000002E-2</v>
      </c>
      <c r="AD1113" s="341">
        <f>HLOOKUP(AD$35,'3.  Distribution Rates'!$C$122:$P$133,12,FALSE)</f>
        <v>1.4612000000000001</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c r="B1114" s="324" t="s">
        <v>353</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c r="Z1114" s="378"/>
      <c r="AA1114" s="378"/>
      <c r="AB1114" s="378"/>
      <c r="AC1114" s="378"/>
      <c r="AD1114" s="378"/>
      <c r="AE1114" s="378"/>
      <c r="AF1114" s="378"/>
      <c r="AG1114" s="378"/>
      <c r="AH1114" s="378"/>
      <c r="AI1114" s="378"/>
      <c r="AJ1114" s="378"/>
      <c r="AK1114" s="378"/>
      <c r="AL1114" s="378"/>
      <c r="AM1114" s="629"/>
    </row>
    <row r="1115" spans="1:39">
      <c r="B1115" s="324" t="s">
        <v>354</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c r="Z1115" s="378"/>
      <c r="AA1115" s="378"/>
      <c r="AB1115" s="378"/>
      <c r="AC1115" s="378"/>
      <c r="AD1115" s="378"/>
      <c r="AE1115" s="378"/>
      <c r="AF1115" s="378"/>
      <c r="AG1115" s="378"/>
      <c r="AH1115" s="378"/>
      <c r="AI1115" s="378"/>
      <c r="AJ1115" s="378"/>
      <c r="AK1115" s="378"/>
      <c r="AL1115" s="378"/>
      <c r="AM1115" s="629"/>
    </row>
    <row r="1116" spans="1:39">
      <c r="B1116" s="324" t="s">
        <v>355</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c r="Z1116" s="378"/>
      <c r="AA1116" s="378"/>
      <c r="AB1116" s="378"/>
      <c r="AC1116" s="378"/>
      <c r="AD1116" s="378"/>
      <c r="AE1116" s="378"/>
      <c r="AF1116" s="378"/>
      <c r="AG1116" s="378"/>
      <c r="AH1116" s="378"/>
      <c r="AI1116" s="378"/>
      <c r="AJ1116" s="378"/>
      <c r="AK1116" s="378"/>
      <c r="AL1116" s="378"/>
      <c r="AM1116" s="629"/>
    </row>
    <row r="1117" spans="1:39">
      <c r="B1117" s="324" t="s">
        <v>356</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c r="Z1117" s="378"/>
      <c r="AA1117" s="378"/>
      <c r="AB1117" s="378"/>
      <c r="AC1117" s="378"/>
      <c r="AD1117" s="378"/>
      <c r="AE1117" s="378"/>
      <c r="AF1117" s="378"/>
      <c r="AG1117" s="378"/>
      <c r="AH1117" s="378"/>
      <c r="AI1117" s="378"/>
      <c r="AJ1117" s="378"/>
      <c r="AK1117" s="378"/>
      <c r="AL1117" s="378"/>
      <c r="AM1117" s="629"/>
    </row>
    <row r="1118" spans="1:39">
      <c r="B1118" s="324" t="s">
        <v>357</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c r="Z1118" s="378"/>
      <c r="AA1118" s="378"/>
      <c r="AB1118" s="378"/>
      <c r="AC1118" s="378"/>
      <c r="AD1118" s="378"/>
      <c r="AE1118" s="378"/>
      <c r="AF1118" s="378"/>
      <c r="AG1118" s="378"/>
      <c r="AH1118" s="378"/>
      <c r="AI1118" s="378"/>
      <c r="AJ1118" s="378"/>
      <c r="AK1118" s="378"/>
      <c r="AL1118" s="378"/>
      <c r="AM1118" s="629"/>
    </row>
    <row r="1119" spans="1:39">
      <c r="B1119" s="324" t="s">
        <v>358</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3420">Y395*Y1113</f>
        <v>0</v>
      </c>
      <c r="Z1119" s="378">
        <f t="shared" si="3420"/>
        <v>4920.251862792009</v>
      </c>
      <c r="AA1119" s="378">
        <f t="shared" si="3420"/>
        <v>4714.6950953118849</v>
      </c>
      <c r="AB1119" s="378">
        <f t="shared" si="3420"/>
        <v>0</v>
      </c>
      <c r="AC1119" s="378">
        <f t="shared" si="3420"/>
        <v>0</v>
      </c>
      <c r="AD1119" s="378">
        <f t="shared" si="3420"/>
        <v>0</v>
      </c>
      <c r="AE1119" s="378">
        <f t="shared" si="3420"/>
        <v>0</v>
      </c>
      <c r="AF1119" s="378">
        <f t="shared" si="3420"/>
        <v>0</v>
      </c>
      <c r="AG1119" s="378">
        <f t="shared" si="3420"/>
        <v>0</v>
      </c>
      <c r="AH1119" s="378">
        <f t="shared" si="3420"/>
        <v>0</v>
      </c>
      <c r="AI1119" s="378">
        <f t="shared" si="3420"/>
        <v>0</v>
      </c>
      <c r="AJ1119" s="378">
        <f t="shared" si="3420"/>
        <v>0</v>
      </c>
      <c r="AK1119" s="378">
        <f t="shared" si="3420"/>
        <v>0</v>
      </c>
      <c r="AL1119" s="378">
        <f t="shared" si="3420"/>
        <v>0</v>
      </c>
      <c r="AM1119" s="629">
        <f t="shared" ref="AM1119:AM1123" si="3421">SUM(Y1119:AL1119)</f>
        <v>9634.9469581038938</v>
      </c>
    </row>
    <row r="1120" spans="1:39">
      <c r="B1120" s="324" t="s">
        <v>359</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22">Y578*Y1113</f>
        <v>0</v>
      </c>
      <c r="Z1120" s="378">
        <f t="shared" si="3422"/>
        <v>5068.7150355897411</v>
      </c>
      <c r="AA1120" s="378">
        <f t="shared" si="3422"/>
        <v>1702.7492979070337</v>
      </c>
      <c r="AB1120" s="378">
        <f t="shared" si="3422"/>
        <v>0</v>
      </c>
      <c r="AC1120" s="378">
        <f t="shared" si="3422"/>
        <v>0</v>
      </c>
      <c r="AD1120" s="378">
        <f t="shared" si="3422"/>
        <v>0</v>
      </c>
      <c r="AE1120" s="378">
        <f t="shared" si="3422"/>
        <v>0</v>
      </c>
      <c r="AF1120" s="378">
        <f t="shared" si="3422"/>
        <v>0</v>
      </c>
      <c r="AG1120" s="378">
        <f t="shared" si="3422"/>
        <v>0</v>
      </c>
      <c r="AH1120" s="378">
        <f t="shared" si="3422"/>
        <v>0</v>
      </c>
      <c r="AI1120" s="378">
        <f t="shared" si="3422"/>
        <v>0</v>
      </c>
      <c r="AJ1120" s="378">
        <f t="shared" si="3422"/>
        <v>0</v>
      </c>
      <c r="AK1120" s="378">
        <f t="shared" si="3422"/>
        <v>0</v>
      </c>
      <c r="AL1120" s="378">
        <f t="shared" si="3422"/>
        <v>0</v>
      </c>
      <c r="AM1120" s="629">
        <f t="shared" si="3421"/>
        <v>6771.464333496775</v>
      </c>
    </row>
    <row r="1121" spans="2:39">
      <c r="B1121" s="324" t="s">
        <v>360</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23">Y761*Y1113</f>
        <v>0</v>
      </c>
      <c r="Z1121" s="378">
        <f t="shared" si="3423"/>
        <v>3522.562699682147</v>
      </c>
      <c r="AA1121" s="378">
        <f t="shared" si="3423"/>
        <v>1442.2914884897214</v>
      </c>
      <c r="AB1121" s="378">
        <f t="shared" si="3423"/>
        <v>0</v>
      </c>
      <c r="AC1121" s="378">
        <f t="shared" si="3423"/>
        <v>0</v>
      </c>
      <c r="AD1121" s="378">
        <f t="shared" si="3423"/>
        <v>0</v>
      </c>
      <c r="AE1121" s="378">
        <f t="shared" si="3423"/>
        <v>0</v>
      </c>
      <c r="AF1121" s="378">
        <f t="shared" si="3423"/>
        <v>0</v>
      </c>
      <c r="AG1121" s="378">
        <f t="shared" si="3423"/>
        <v>0</v>
      </c>
      <c r="AH1121" s="378">
        <f t="shared" si="3423"/>
        <v>0</v>
      </c>
      <c r="AI1121" s="378">
        <f t="shared" si="3423"/>
        <v>0</v>
      </c>
      <c r="AJ1121" s="378">
        <f t="shared" si="3423"/>
        <v>0</v>
      </c>
      <c r="AK1121" s="378">
        <f t="shared" si="3423"/>
        <v>0</v>
      </c>
      <c r="AL1121" s="378">
        <f t="shared" si="3423"/>
        <v>0</v>
      </c>
      <c r="AM1121" s="629">
        <f t="shared" si="3421"/>
        <v>4964.8541881718684</v>
      </c>
    </row>
    <row r="1122" spans="2:39">
      <c r="B1122" s="324" t="s">
        <v>361</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24">Y944*Y1113</f>
        <v>0</v>
      </c>
      <c r="Z1122" s="378">
        <f t="shared" si="3424"/>
        <v>2122.7728000000002</v>
      </c>
      <c r="AA1122" s="378">
        <f t="shared" si="3424"/>
        <v>191.89942764992659</v>
      </c>
      <c r="AB1122" s="378">
        <f t="shared" si="3424"/>
        <v>0</v>
      </c>
      <c r="AC1122" s="378">
        <f t="shared" si="3424"/>
        <v>0</v>
      </c>
      <c r="AD1122" s="378">
        <f t="shared" si="3424"/>
        <v>0</v>
      </c>
      <c r="AE1122" s="378">
        <f t="shared" si="3424"/>
        <v>0</v>
      </c>
      <c r="AF1122" s="378">
        <f t="shared" si="3424"/>
        <v>0</v>
      </c>
      <c r="AG1122" s="378">
        <f t="shared" si="3424"/>
        <v>0</v>
      </c>
      <c r="AH1122" s="378">
        <f t="shared" si="3424"/>
        <v>0</v>
      </c>
      <c r="AI1122" s="378">
        <f t="shared" si="3424"/>
        <v>0</v>
      </c>
      <c r="AJ1122" s="378">
        <f t="shared" si="3424"/>
        <v>0</v>
      </c>
      <c r="AK1122" s="378">
        <f t="shared" si="3424"/>
        <v>0</v>
      </c>
      <c r="AL1122" s="378">
        <f t="shared" si="3424"/>
        <v>0</v>
      </c>
      <c r="AM1122" s="629">
        <f t="shared" si="3421"/>
        <v>2314.6722276499268</v>
      </c>
    </row>
    <row r="1123" spans="2:39">
      <c r="B1123" s="324" t="s">
        <v>362</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425">AA1110*AA1113</f>
        <v>0</v>
      </c>
      <c r="AB1123" s="378">
        <f t="shared" si="3425"/>
        <v>0</v>
      </c>
      <c r="AC1123" s="378">
        <f t="shared" si="3425"/>
        <v>0</v>
      </c>
      <c r="AD1123" s="378">
        <f t="shared" si="3425"/>
        <v>0</v>
      </c>
      <c r="AE1123" s="378">
        <f t="shared" si="3425"/>
        <v>0</v>
      </c>
      <c r="AF1123" s="378">
        <f t="shared" si="3425"/>
        <v>0</v>
      </c>
      <c r="AG1123" s="378">
        <f t="shared" si="3425"/>
        <v>0</v>
      </c>
      <c r="AH1123" s="378">
        <f t="shared" si="3425"/>
        <v>0</v>
      </c>
      <c r="AI1123" s="378">
        <f t="shared" si="3425"/>
        <v>0</v>
      </c>
      <c r="AJ1123" s="378">
        <f t="shared" si="3425"/>
        <v>0</v>
      </c>
      <c r="AK1123" s="378">
        <f t="shared" si="3425"/>
        <v>0</v>
      </c>
      <c r="AL1123" s="378">
        <f t="shared" si="3425"/>
        <v>0</v>
      </c>
      <c r="AM1123" s="629">
        <f t="shared" si="3421"/>
        <v>0</v>
      </c>
    </row>
    <row r="1124" spans="2:39" ht="15.75">
      <c r="B1124" s="349" t="s">
        <v>352</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26">SUM(Z1114:Z1123)</f>
        <v>15634.302398063897</v>
      </c>
      <c r="AA1124" s="346">
        <f t="shared" si="3426"/>
        <v>8051.6353093585676</v>
      </c>
      <c r="AB1124" s="346">
        <f t="shared" si="3426"/>
        <v>0</v>
      </c>
      <c r="AC1124" s="346">
        <f t="shared" si="3426"/>
        <v>0</v>
      </c>
      <c r="AD1124" s="346">
        <f t="shared" si="3426"/>
        <v>0</v>
      </c>
      <c r="AE1124" s="346">
        <f t="shared" si="3426"/>
        <v>0</v>
      </c>
      <c r="AF1124" s="346">
        <f>SUM(AF1114:AF1123)</f>
        <v>0</v>
      </c>
      <c r="AG1124" s="346">
        <f t="shared" ref="AG1124:AL1124" si="3427">SUM(AG1114:AG1123)</f>
        <v>0</v>
      </c>
      <c r="AH1124" s="346">
        <f t="shared" si="3427"/>
        <v>0</v>
      </c>
      <c r="AI1124" s="346">
        <f t="shared" si="3427"/>
        <v>0</v>
      </c>
      <c r="AJ1124" s="346">
        <f t="shared" si="3427"/>
        <v>0</v>
      </c>
      <c r="AK1124" s="346">
        <f t="shared" si="3427"/>
        <v>0</v>
      </c>
      <c r="AL1124" s="346">
        <f t="shared" si="3427"/>
        <v>0</v>
      </c>
      <c r="AM1124" s="407">
        <f>SUM(AM1114:AM1123)</f>
        <v>23685.937707422469</v>
      </c>
    </row>
    <row r="1125" spans="2:39" ht="15.75">
      <c r="B1125" s="349" t="s">
        <v>351</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28">Z1111*Z1113</f>
        <v>7444.9880000000003</v>
      </c>
      <c r="AA1125" s="347">
        <f>AA1111*AA1113</f>
        <v>3141.4704000000002</v>
      </c>
      <c r="AB1125" s="347">
        <f t="shared" si="3428"/>
        <v>0</v>
      </c>
      <c r="AC1125" s="347">
        <f t="shared" si="3428"/>
        <v>0</v>
      </c>
      <c r="AD1125" s="347">
        <f t="shared" si="3428"/>
        <v>0</v>
      </c>
      <c r="AE1125" s="347">
        <f t="shared" si="3428"/>
        <v>0</v>
      </c>
      <c r="AF1125" s="347">
        <f t="shared" ref="AF1125:AL1125" si="3429">AF1111*AF1113</f>
        <v>0</v>
      </c>
      <c r="AG1125" s="347">
        <f t="shared" si="3429"/>
        <v>0</v>
      </c>
      <c r="AH1125" s="347">
        <f t="shared" si="3429"/>
        <v>0</v>
      </c>
      <c r="AI1125" s="347">
        <f t="shared" si="3429"/>
        <v>0</v>
      </c>
      <c r="AJ1125" s="347">
        <f t="shared" si="3429"/>
        <v>0</v>
      </c>
      <c r="AK1125" s="347">
        <f t="shared" si="3429"/>
        <v>0</v>
      </c>
      <c r="AL1125" s="347">
        <f t="shared" si="3429"/>
        <v>0</v>
      </c>
      <c r="AM1125" s="407">
        <f>SUM(Y1125:AL1125)</f>
        <v>10586.4584</v>
      </c>
    </row>
    <row r="1126" spans="2:39" ht="15.75">
      <c r="B1126" s="349" t="s">
        <v>350</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13099.479307422469</v>
      </c>
    </row>
    <row r="1127" spans="2:39">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581</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90" t="s">
        <v>525</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AB238"/>
  <sheetViews>
    <sheetView topLeftCell="A55" zoomScale="90" zoomScaleNormal="90" workbookViewId="0">
      <selection activeCell="B77" sqref="B77"/>
    </sheetView>
  </sheetViews>
  <sheetFormatPr defaultColWidth="9" defaultRowHeight="15"/>
  <cols>
    <col min="1" max="1" width="4.5703125" style="12" customWidth="1"/>
    <col min="2" max="2" width="19.5703125" style="11" customWidth="1"/>
    <col min="3" max="3" width="31" style="12" customWidth="1"/>
    <col min="4" max="4" width="5" style="12" customWidth="1"/>
    <col min="5" max="5" width="14.28515625" style="12" customWidth="1"/>
    <col min="6" max="6" width="15" style="12" customWidth="1"/>
    <col min="7" max="7" width="11.4257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703125" style="12" customWidth="1"/>
    <col min="17" max="17" width="14" style="12" customWidth="1"/>
    <col min="18" max="18" width="15.5703125" style="12" customWidth="1"/>
    <col min="19" max="19" width="14" style="12" customWidth="1"/>
    <col min="20" max="22" width="15" style="12" customWidth="1"/>
    <col min="23" max="23" width="13.4257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550</v>
      </c>
      <c r="D6" s="177"/>
      <c r="E6" s="177"/>
      <c r="F6" s="17"/>
      <c r="G6" s="177"/>
      <c r="H6" s="178"/>
      <c r="I6" s="179"/>
      <c r="J6" s="179"/>
      <c r="K6" s="179"/>
      <c r="L6" s="179"/>
      <c r="M6" s="179"/>
      <c r="N6" s="177"/>
      <c r="O6" s="177"/>
      <c r="P6" s="177"/>
      <c r="Q6" s="177"/>
      <c r="R6" s="177"/>
      <c r="S6" s="177"/>
      <c r="T6" s="177"/>
      <c r="U6" s="177"/>
      <c r="V6" s="177"/>
      <c r="W6" s="17"/>
    </row>
    <row r="7" spans="1:28" s="9" customFormat="1" ht="25.3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504</v>
      </c>
      <c r="C8" s="869" t="s">
        <v>658</v>
      </c>
      <c r="D8" s="869"/>
      <c r="E8" s="869"/>
      <c r="F8" s="869"/>
      <c r="G8" s="869"/>
      <c r="H8" s="869"/>
      <c r="I8" s="869"/>
      <c r="J8" s="869"/>
      <c r="K8" s="869"/>
      <c r="L8" s="869"/>
      <c r="M8" s="869"/>
      <c r="N8" s="869"/>
      <c r="O8" s="869"/>
      <c r="P8" s="869"/>
      <c r="Q8" s="869"/>
      <c r="R8" s="869"/>
      <c r="S8" s="869"/>
      <c r="T8" s="105"/>
      <c r="U8" s="105"/>
      <c r="V8" s="105"/>
      <c r="W8" s="105"/>
    </row>
    <row r="9" spans="1:28" s="9" customFormat="1" ht="47.1" customHeight="1">
      <c r="B9" s="55"/>
      <c r="C9" s="821" t="s">
        <v>669</v>
      </c>
      <c r="D9" s="821"/>
      <c r="E9" s="821"/>
      <c r="F9" s="821"/>
      <c r="G9" s="821"/>
      <c r="H9" s="821"/>
      <c r="I9" s="821"/>
      <c r="J9" s="821"/>
      <c r="K9" s="821"/>
      <c r="L9" s="821"/>
      <c r="M9" s="821"/>
      <c r="N9" s="821"/>
      <c r="O9" s="821"/>
      <c r="P9" s="821"/>
      <c r="Q9" s="821"/>
      <c r="R9" s="821"/>
      <c r="S9" s="821"/>
      <c r="T9" s="105"/>
      <c r="U9" s="105"/>
      <c r="V9" s="105"/>
      <c r="W9" s="105"/>
    </row>
    <row r="10" spans="1:28" s="9" customFormat="1" ht="38.1" customHeight="1">
      <c r="B10" s="88"/>
      <c r="C10" s="846" t="s">
        <v>670</v>
      </c>
      <c r="D10" s="821"/>
      <c r="E10" s="821"/>
      <c r="F10" s="821"/>
      <c r="G10" s="821"/>
      <c r="H10" s="821"/>
      <c r="I10" s="821"/>
      <c r="J10" s="821"/>
      <c r="K10" s="821"/>
      <c r="L10" s="821"/>
      <c r="M10" s="821"/>
      <c r="N10" s="821"/>
      <c r="O10" s="821"/>
      <c r="P10" s="821"/>
      <c r="Q10" s="821"/>
      <c r="R10" s="821"/>
      <c r="S10" s="821"/>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68" t="s">
        <v>235</v>
      </c>
      <c r="C12" s="868"/>
      <c r="D12" s="181"/>
      <c r="E12" s="182" t="s">
        <v>236</v>
      </c>
      <c r="F12" s="51"/>
      <c r="G12" s="51"/>
      <c r="H12" s="44"/>
      <c r="I12" s="51"/>
      <c r="K12" s="592" t="s">
        <v>534</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471</v>
      </c>
      <c r="D14" s="203"/>
      <c r="E14" s="204" t="s">
        <v>62</v>
      </c>
      <c r="F14" s="204" t="s">
        <v>493</v>
      </c>
      <c r="G14" s="204" t="s">
        <v>63</v>
      </c>
      <c r="H14" s="204" t="s">
        <v>64</v>
      </c>
      <c r="I14" s="204" t="str">
        <f>'1.  LRAMVA Summary'!D52</f>
        <v>Residential</v>
      </c>
      <c r="J14" s="204" t="str">
        <f>'1.  LRAMVA Summary'!E52</f>
        <v>GS&lt;50 kW</v>
      </c>
      <c r="K14" s="204" t="str">
        <f>'1.  LRAMVA Summary'!F52</f>
        <v>GS 50 - 4,999 kW</v>
      </c>
      <c r="L14" s="204" t="str">
        <f>'1.  LRAMVA Summary'!G52</f>
        <v>Street Light</v>
      </c>
      <c r="M14" s="204" t="str">
        <f>'1.  LRAMVA Summary'!H52</f>
        <v>USL</v>
      </c>
      <c r="N14" s="204" t="str">
        <f>'1.  LRAMVA Summary'!I52</f>
        <v>Embedded Distributor</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460</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424</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30">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30">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30">
        <v>1.4999999999999999E-2</v>
      </c>
      <c r="D42" s="206"/>
      <c r="E42" s="216" t="s">
        <v>461</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30">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30">
        <v>1.89E-2</v>
      </c>
      <c r="D44" s="206"/>
      <c r="E44" s="225" t="s">
        <v>425</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30">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30">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7">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7">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47">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47">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47">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v>5.7000000000000002E-3</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v>5.7000000000000002E-3</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713</v>
      </c>
      <c r="C55" s="233">
        <v>5.7000000000000002E-3</v>
      </c>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714</v>
      </c>
      <c r="C56" s="233">
        <v>5.7000000000000002E-3</v>
      </c>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13" t="s">
        <v>715</v>
      </c>
      <c r="C57" s="233">
        <f>C56</f>
        <v>5.7000000000000002E-3</v>
      </c>
      <c r="D57" s="206"/>
      <c r="E57" s="216" t="s">
        <v>462</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B58" s="235" t="s">
        <v>716</v>
      </c>
      <c r="C58" s="771">
        <f>C57</f>
        <v>5.7000000000000002E-3</v>
      </c>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717</v>
      </c>
      <c r="C59" s="233"/>
      <c r="D59" s="206"/>
      <c r="E59" s="225" t="s">
        <v>426</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718</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719</v>
      </c>
      <c r="C61" s="233"/>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235" t="s">
        <v>720</v>
      </c>
      <c r="C62" s="23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213" t="s">
        <v>731</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213" t="s">
        <v>732</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213" t="s">
        <v>733</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235" t="s">
        <v>734</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213" t="s">
        <v>736</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213" t="s">
        <v>737</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213" t="s">
        <v>738</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235" t="s">
        <v>739</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213" t="s">
        <v>740</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213" t="s">
        <v>741</v>
      </c>
      <c r="C72" s="233"/>
      <c r="E72" s="216" t="s">
        <v>463</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213" t="s">
        <v>742</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743</v>
      </c>
      <c r="C74" s="236"/>
      <c r="E74" s="225" t="s">
        <v>427</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0.74980320272445411</v>
      </c>
      <c r="J76" s="230">
        <f>(SUM('1.  LRAMVA Summary'!E$54:E$65)+SUM('1.  LRAMVA Summary'!E$66:E$67)*(MONTH($E76)-1)/12)*$H76</f>
        <v>2.0197754307637852</v>
      </c>
      <c r="K76" s="230">
        <f>(SUM('1.  LRAMVA Summary'!F$54:F$65)+SUM('1.  LRAMVA Summary'!F$66:F$67)*(MONTH($E76)-1)/12)*$H76</f>
        <v>0.79441735648497436</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3.5639959899732139</v>
      </c>
    </row>
    <row r="77" spans="2:23" s="9" customFormat="1" ht="15.75">
      <c r="B77" s="183" t="s">
        <v>182</v>
      </c>
      <c r="E77" s="214">
        <v>42064</v>
      </c>
      <c r="F77" s="214" t="s">
        <v>181</v>
      </c>
      <c r="G77" s="215" t="s">
        <v>65</v>
      </c>
      <c r="H77" s="229">
        <f t="shared" si="19"/>
        <v>1.225E-3</v>
      </c>
      <c r="I77" s="230">
        <f>(SUM('1.  LRAMVA Summary'!D$54:D$65)+SUM('1.  LRAMVA Summary'!D$66:D$67)*(MONTH($E77)-1)/12)*$H77</f>
        <v>1.4996064054489082</v>
      </c>
      <c r="J77" s="230">
        <f>(SUM('1.  LRAMVA Summary'!E$54:E$65)+SUM('1.  LRAMVA Summary'!E$66:E$67)*(MONTH($E77)-1)/12)*$H77</f>
        <v>4.0395508615275704</v>
      </c>
      <c r="K77" s="230">
        <f>(SUM('1.  LRAMVA Summary'!F$54:F$65)+SUM('1.  LRAMVA Summary'!F$66:F$67)*(MONTH($E77)-1)/12)*$H77</f>
        <v>1.5888347129699487</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7.1279919799464277</v>
      </c>
    </row>
    <row r="78" spans="2:23" s="9" customFormat="1">
      <c r="B78" s="66"/>
      <c r="E78" s="214">
        <v>42095</v>
      </c>
      <c r="F78" s="214" t="s">
        <v>181</v>
      </c>
      <c r="G78" s="215" t="s">
        <v>66</v>
      </c>
      <c r="H78" s="229">
        <f>C$32/12</f>
        <v>9.1666666666666665E-4</v>
      </c>
      <c r="I78" s="230">
        <f>(SUM('1.  LRAMVA Summary'!D$54:D$65)+SUM('1.  LRAMVA Summary'!D$66:D$67)*(MONTH($E78)-1)/12)*$H78</f>
        <v>1.6832316795855091</v>
      </c>
      <c r="J78" s="230">
        <f>(SUM('1.  LRAMVA Summary'!E$54:E$65)+SUM('1.  LRAMVA Summary'!E$66:E$67)*(MONTH($E78)-1)/12)*$H78</f>
        <v>4.5341897425309465</v>
      </c>
      <c r="K78" s="230">
        <f>(SUM('1.  LRAMVA Summary'!F$54:F$65)+SUM('1.  LRAMVA Summary'!F$66:F$67)*(MONTH($E78)-1)/12)*$H78</f>
        <v>1.7833859023132075</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8.0008073244296636</v>
      </c>
    </row>
    <row r="79" spans="2:23" s="9" customFormat="1">
      <c r="B79" s="66"/>
      <c r="E79" s="214">
        <v>42125</v>
      </c>
      <c r="F79" s="214" t="s">
        <v>181</v>
      </c>
      <c r="G79" s="215" t="s">
        <v>66</v>
      </c>
      <c r="H79" s="229">
        <f t="shared" ref="H79:H80" si="21">C$32/12</f>
        <v>9.1666666666666665E-4</v>
      </c>
      <c r="I79" s="230">
        <f>(SUM('1.  LRAMVA Summary'!D$54:D$65)+SUM('1.  LRAMVA Summary'!D$66:D$67)*(MONTH($E79)-1)/12)*$H79</f>
        <v>2.2443089061140125</v>
      </c>
      <c r="J79" s="230">
        <f>(SUM('1.  LRAMVA Summary'!E$54:E$65)+SUM('1.  LRAMVA Summary'!E$66:E$67)*(MONTH($E79)-1)/12)*$H79</f>
        <v>6.0455863233745948</v>
      </c>
      <c r="K79" s="230">
        <f>(SUM('1.  LRAMVA Summary'!F$54:F$65)+SUM('1.  LRAMVA Summary'!F$66:F$67)*(MONTH($E79)-1)/12)*$H79</f>
        <v>2.3778478697509438</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10.667743099239551</v>
      </c>
    </row>
    <row r="80" spans="2:23" s="9" customFormat="1">
      <c r="B80" s="66"/>
      <c r="E80" s="214">
        <v>42156</v>
      </c>
      <c r="F80" s="214" t="s">
        <v>181</v>
      </c>
      <c r="G80" s="215" t="s">
        <v>66</v>
      </c>
      <c r="H80" s="229">
        <f t="shared" si="21"/>
        <v>9.1666666666666665E-4</v>
      </c>
      <c r="I80" s="230">
        <f>(SUM('1.  LRAMVA Summary'!D$54:D$65)+SUM('1.  LRAMVA Summary'!D$66:D$67)*(MONTH($E80)-1)/12)*$H80</f>
        <v>2.8053861326425151</v>
      </c>
      <c r="J80" s="230">
        <f>(SUM('1.  LRAMVA Summary'!E$54:E$65)+SUM('1.  LRAMVA Summary'!E$66:E$67)*(MONTH($E80)-1)/12)*$H80</f>
        <v>7.5569829042182448</v>
      </c>
      <c r="K80" s="230">
        <f>(SUM('1.  LRAMVA Summary'!F$54:F$65)+SUM('1.  LRAMVA Summary'!F$66:F$67)*(MONTH($E80)-1)/12)*$H80</f>
        <v>2.9723098371886794</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13.334678874049438</v>
      </c>
    </row>
    <row r="81" spans="2:23" s="9" customFormat="1">
      <c r="B81" s="66"/>
      <c r="E81" s="214">
        <v>42186</v>
      </c>
      <c r="F81" s="214" t="s">
        <v>181</v>
      </c>
      <c r="G81" s="215" t="s">
        <v>68</v>
      </c>
      <c r="H81" s="229">
        <f>C$33/12</f>
        <v>9.1666666666666665E-4</v>
      </c>
      <c r="I81" s="230">
        <f>(SUM('1.  LRAMVA Summary'!D$54:D$65)+SUM('1.  LRAMVA Summary'!D$66:D$67)*(MONTH($E81)-1)/12)*$H81</f>
        <v>3.3664633591710182</v>
      </c>
      <c r="J81" s="230">
        <f>(SUM('1.  LRAMVA Summary'!E$54:E$65)+SUM('1.  LRAMVA Summary'!E$66:E$67)*(MONTH($E81)-1)/12)*$H81</f>
        <v>9.0683794850618931</v>
      </c>
      <c r="K81" s="230">
        <f>(SUM('1.  LRAMVA Summary'!F$54:F$65)+SUM('1.  LRAMVA Summary'!F$66:F$67)*(MONTH($E81)-1)/12)*$H81</f>
        <v>3.566771804626415</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16.001614648859327</v>
      </c>
    </row>
    <row r="82" spans="2:23" s="9" customFormat="1">
      <c r="B82" s="66"/>
      <c r="E82" s="214">
        <v>42217</v>
      </c>
      <c r="F82" s="214" t="s">
        <v>181</v>
      </c>
      <c r="G82" s="215" t="s">
        <v>68</v>
      </c>
      <c r="H82" s="229">
        <f t="shared" ref="H82:H83" si="22">C$33/12</f>
        <v>9.1666666666666665E-4</v>
      </c>
      <c r="I82" s="230">
        <f>(SUM('1.  LRAMVA Summary'!D$54:D$65)+SUM('1.  LRAMVA Summary'!D$66:D$67)*(MONTH($E82)-1)/12)*$H82</f>
        <v>3.9275405856995209</v>
      </c>
      <c r="J82" s="230">
        <f>(SUM('1.  LRAMVA Summary'!E$54:E$65)+SUM('1.  LRAMVA Summary'!E$66:E$67)*(MONTH($E82)-1)/12)*$H82</f>
        <v>10.579776065905543</v>
      </c>
      <c r="K82" s="230">
        <f>(SUM('1.  LRAMVA Summary'!F$54:F$65)+SUM('1.  LRAMVA Summary'!F$66:F$67)*(MONTH($E82)-1)/12)*$H82</f>
        <v>4.1612337720641506</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18.668550423669217</v>
      </c>
    </row>
    <row r="83" spans="2:23" s="9" customFormat="1">
      <c r="B83" s="66"/>
      <c r="E83" s="214">
        <v>42248</v>
      </c>
      <c r="F83" s="214" t="s">
        <v>181</v>
      </c>
      <c r="G83" s="215" t="s">
        <v>68</v>
      </c>
      <c r="H83" s="229">
        <f t="shared" si="22"/>
        <v>9.1666666666666665E-4</v>
      </c>
      <c r="I83" s="230">
        <f>(SUM('1.  LRAMVA Summary'!D$54:D$65)+SUM('1.  LRAMVA Summary'!D$66:D$67)*(MONTH($E83)-1)/12)*$H83</f>
        <v>4.4886178122280249</v>
      </c>
      <c r="J83" s="230">
        <f>(SUM('1.  LRAMVA Summary'!E$54:E$65)+SUM('1.  LRAMVA Summary'!E$66:E$67)*(MONTH($E83)-1)/12)*$H83</f>
        <v>12.09117264674919</v>
      </c>
      <c r="K83" s="230">
        <f>(SUM('1.  LRAMVA Summary'!F$54:F$65)+SUM('1.  LRAMVA Summary'!F$66:F$67)*(MONTH($E83)-1)/12)*$H83</f>
        <v>4.7556957395018875</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21.335486198479103</v>
      </c>
    </row>
    <row r="84" spans="2:23" s="9" customFormat="1">
      <c r="B84" s="66"/>
      <c r="E84" s="214">
        <v>42278</v>
      </c>
      <c r="F84" s="214" t="s">
        <v>181</v>
      </c>
      <c r="G84" s="215" t="s">
        <v>69</v>
      </c>
      <c r="H84" s="229">
        <f>C$34/12</f>
        <v>9.1666666666666665E-4</v>
      </c>
      <c r="I84" s="230">
        <f>(SUM('1.  LRAMVA Summary'!D$54:D$65)+SUM('1.  LRAMVA Summary'!D$66:D$67)*(MONTH($E84)-1)/12)*$H84</f>
        <v>5.0496950387565276</v>
      </c>
      <c r="J84" s="230">
        <f>(SUM('1.  LRAMVA Summary'!E$54:E$65)+SUM('1.  LRAMVA Summary'!E$66:E$67)*(MONTH($E84)-1)/12)*$H84</f>
        <v>13.602569227592838</v>
      </c>
      <c r="K84" s="230">
        <f>(SUM('1.  LRAMVA Summary'!F$54:F$65)+SUM('1.  LRAMVA Summary'!F$66:F$67)*(MONTH($E84)-1)/12)*$H84</f>
        <v>5.3501577069396227</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24.002421973288989</v>
      </c>
    </row>
    <row r="85" spans="2:23" s="9" customFormat="1">
      <c r="B85" s="66"/>
      <c r="E85" s="214">
        <v>42309</v>
      </c>
      <c r="F85" s="214" t="s">
        <v>181</v>
      </c>
      <c r="G85" s="215" t="s">
        <v>69</v>
      </c>
      <c r="H85" s="229">
        <f t="shared" ref="H85:H86" si="23">C$34/12</f>
        <v>9.1666666666666665E-4</v>
      </c>
      <c r="I85" s="230">
        <f>(SUM('1.  LRAMVA Summary'!D$54:D$65)+SUM('1.  LRAMVA Summary'!D$66:D$67)*(MONTH($E85)-1)/12)*$H85</f>
        <v>5.6107722652850303</v>
      </c>
      <c r="J85" s="230">
        <f>(SUM('1.  LRAMVA Summary'!E$54:E$65)+SUM('1.  LRAMVA Summary'!E$66:E$67)*(MONTH($E85)-1)/12)*$H85</f>
        <v>15.11396580843649</v>
      </c>
      <c r="K85" s="230">
        <f>(SUM('1.  LRAMVA Summary'!F$54:F$65)+SUM('1.  LRAMVA Summary'!F$66:F$67)*(MONTH($E85)-1)/12)*$H85</f>
        <v>5.9446196743773587</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26.669357748098875</v>
      </c>
    </row>
    <row r="86" spans="2:23" s="9" customFormat="1">
      <c r="B86" s="66"/>
      <c r="E86" s="214">
        <v>42339</v>
      </c>
      <c r="F86" s="214" t="s">
        <v>181</v>
      </c>
      <c r="G86" s="215" t="s">
        <v>69</v>
      </c>
      <c r="H86" s="229">
        <f t="shared" si="23"/>
        <v>9.1666666666666665E-4</v>
      </c>
      <c r="I86" s="230">
        <f>(SUM('1.  LRAMVA Summary'!D$54:D$65)+SUM('1.  LRAMVA Summary'!D$66:D$67)*(MONTH($E86)-1)/12)*$H86</f>
        <v>6.1718494918135338</v>
      </c>
      <c r="J86" s="230">
        <f>(SUM('1.  LRAMVA Summary'!E$54:E$65)+SUM('1.  LRAMVA Summary'!E$66:E$67)*(MONTH($E86)-1)/12)*$H86</f>
        <v>16.625362389280134</v>
      </c>
      <c r="K86" s="230">
        <f>(SUM('1.  LRAMVA Summary'!F$54:F$65)+SUM('1.  LRAMVA Summary'!F$66:F$67)*(MONTH($E86)-1)/12)*$H86</f>
        <v>6.5390816418150939</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29.336293522908761</v>
      </c>
    </row>
    <row r="87" spans="2:23" s="9" customFormat="1" ht="15.75" thickBot="1">
      <c r="B87" s="66"/>
      <c r="E87" s="216" t="s">
        <v>464</v>
      </c>
      <c r="F87" s="216"/>
      <c r="G87" s="217"/>
      <c r="H87" s="218"/>
      <c r="I87" s="219">
        <f>SUM(I74:I86)</f>
        <v>37.597274879469055</v>
      </c>
      <c r="J87" s="219">
        <f>SUM(J74:J86)</f>
        <v>101.27731088544124</v>
      </c>
      <c r="K87" s="219">
        <f t="shared" ref="K87:O87" si="24">SUM(K74:K86)</f>
        <v>39.834356018032288</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178.70894178294256</v>
      </c>
    </row>
    <row r="88" spans="2:23" s="9" customFormat="1" ht="15.7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428</v>
      </c>
      <c r="F89" s="225"/>
      <c r="G89" s="226"/>
      <c r="H89" s="227"/>
      <c r="I89" s="228">
        <f>I87+I88</f>
        <v>37.597274879469055</v>
      </c>
      <c r="J89" s="228">
        <f t="shared" ref="J89" si="26">J87+J88</f>
        <v>101.27731088544124</v>
      </c>
      <c r="K89" s="228">
        <f t="shared" ref="K89" si="27">K87+K88</f>
        <v>39.834356018032288</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178.70894178294256</v>
      </c>
    </row>
    <row r="90" spans="2:23" s="9" customFormat="1">
      <c r="B90" s="66"/>
      <c r="E90" s="214">
        <v>42370</v>
      </c>
      <c r="F90" s="214" t="s">
        <v>183</v>
      </c>
      <c r="G90" s="215" t="s">
        <v>65</v>
      </c>
      <c r="H90" s="229">
        <f>$C$35/12</f>
        <v>9.1666666666666665E-4</v>
      </c>
      <c r="I90" s="230">
        <f>(SUM('1.  LRAMVA Summary'!D$54:D$68)+SUM('1.  LRAMVA Summary'!D$69:D$70)*(MONTH($E90)-1)/12)*$H90</f>
        <v>6.7329267183420365</v>
      </c>
      <c r="J90" s="230">
        <f>(SUM('1.  LRAMVA Summary'!E$54:E$68)+SUM('1.  LRAMVA Summary'!E$69:E$70)*(MONTH($E90)-1)/12)*$H90</f>
        <v>18.136758970123786</v>
      </c>
      <c r="K90" s="230">
        <f>(SUM('1.  LRAMVA Summary'!F$54:F$68)+SUM('1.  LRAMVA Summary'!F$69:F$70)*(MONTH($E90)-1)/12)*$H90</f>
        <v>7.1335436092528299</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32.003229297718654</v>
      </c>
    </row>
    <row r="91" spans="2:23" s="9" customFormat="1">
      <c r="B91" s="66"/>
      <c r="E91" s="214">
        <v>42401</v>
      </c>
      <c r="F91" s="214" t="s">
        <v>183</v>
      </c>
      <c r="G91" s="215" t="s">
        <v>65</v>
      </c>
      <c r="H91" s="229">
        <f t="shared" ref="H91:H92" si="34">$C$35/12</f>
        <v>9.1666666666666665E-4</v>
      </c>
      <c r="I91" s="230">
        <f>(SUM('1.  LRAMVA Summary'!D$54:D$68)+SUM('1.  LRAMVA Summary'!D$69:D$70)*(MONTH($E91)-1)/12)*$H91</f>
        <v>6.7654558266753702</v>
      </c>
      <c r="J91" s="230">
        <f>(SUM('1.  LRAMVA Summary'!E$54:E$68)+SUM('1.  LRAMVA Summary'!E$69:E$70)*(MONTH($E91)-1)/12)*$H91</f>
        <v>18.01607321161671</v>
      </c>
      <c r="K91" s="230">
        <f>(SUM('1.  LRAMVA Summary'!F$54:F$68)+SUM('1.  LRAMVA Summary'!F$69:F$70)*(MONTH($E91)-1)/12)*$H91</f>
        <v>7.2149589096930145</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31.996487947985095</v>
      </c>
    </row>
    <row r="92" spans="2:23" s="9" customFormat="1" ht="14.25" customHeight="1">
      <c r="B92" s="66"/>
      <c r="E92" s="214">
        <v>42430</v>
      </c>
      <c r="F92" s="214" t="s">
        <v>183</v>
      </c>
      <c r="G92" s="215" t="s">
        <v>65</v>
      </c>
      <c r="H92" s="229">
        <f t="shared" si="34"/>
        <v>9.1666666666666665E-4</v>
      </c>
      <c r="I92" s="230">
        <f>(SUM('1.  LRAMVA Summary'!D$54:D$68)+SUM('1.  LRAMVA Summary'!D$69:D$70)*(MONTH($E92)-1)/12)*$H92</f>
        <v>6.7979849350087029</v>
      </c>
      <c r="J92" s="230">
        <f>(SUM('1.  LRAMVA Summary'!E$54:E$68)+SUM('1.  LRAMVA Summary'!E$69:E$70)*(MONTH($E92)-1)/12)*$H92</f>
        <v>17.895387453109638</v>
      </c>
      <c r="K92" s="230">
        <f>(SUM('1.  LRAMVA Summary'!F$54:F$68)+SUM('1.  LRAMVA Summary'!F$69:F$70)*(MONTH($E92)-1)/12)*$H92</f>
        <v>7.296374210133199</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31.989746598251539</v>
      </c>
    </row>
    <row r="93" spans="2:23" s="8" customFormat="1">
      <c r="B93" s="239"/>
      <c r="D93" s="9"/>
      <c r="E93" s="214">
        <v>42461</v>
      </c>
      <c r="F93" s="214" t="s">
        <v>183</v>
      </c>
      <c r="G93" s="215" t="s">
        <v>66</v>
      </c>
      <c r="H93" s="229">
        <f>$C$36/12</f>
        <v>9.1666666666666665E-4</v>
      </c>
      <c r="I93" s="230">
        <f>(SUM('1.  LRAMVA Summary'!D$54:D$68)+SUM('1.  LRAMVA Summary'!D$69:D$70)*(MONTH($E93)-1)/12)*$H93</f>
        <v>6.8305140433420366</v>
      </c>
      <c r="J93" s="230">
        <f>(SUM('1.  LRAMVA Summary'!E$54:E$68)+SUM('1.  LRAMVA Summary'!E$69:E$70)*(MONTH($E93)-1)/12)*$H93</f>
        <v>17.774701694602562</v>
      </c>
      <c r="K93" s="230">
        <f>(SUM('1.  LRAMVA Summary'!F$54:F$68)+SUM('1.  LRAMVA Summary'!F$69:F$70)*(MONTH($E93)-1)/12)*$H93</f>
        <v>7.3777895105733826</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31.98300524851798</v>
      </c>
    </row>
    <row r="94" spans="2:23" s="9" customFormat="1">
      <c r="B94" s="66"/>
      <c r="E94" s="214">
        <v>42491</v>
      </c>
      <c r="F94" s="214" t="s">
        <v>183</v>
      </c>
      <c r="G94" s="215" t="s">
        <v>66</v>
      </c>
      <c r="H94" s="229">
        <f t="shared" ref="H94:H95" si="36">$C$36/12</f>
        <v>9.1666666666666665E-4</v>
      </c>
      <c r="I94" s="230">
        <f>(SUM('1.  LRAMVA Summary'!D$54:D$68)+SUM('1.  LRAMVA Summary'!D$69:D$70)*(MONTH($E94)-1)/12)*$H94</f>
        <v>6.8630431516753703</v>
      </c>
      <c r="J94" s="230">
        <f>(SUM('1.  LRAMVA Summary'!E$54:E$68)+SUM('1.  LRAMVA Summary'!E$69:E$70)*(MONTH($E94)-1)/12)*$H94</f>
        <v>17.65401593609549</v>
      </c>
      <c r="K94" s="230">
        <f>(SUM('1.  LRAMVA Summary'!F$54:F$68)+SUM('1.  LRAMVA Summary'!F$69:F$70)*(MONTH($E94)-1)/12)*$H94</f>
        <v>7.4592048110135671</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31.976263898784428</v>
      </c>
    </row>
    <row r="95" spans="2:23" s="238" customFormat="1">
      <c r="B95" s="237"/>
      <c r="D95" s="9"/>
      <c r="E95" s="214">
        <v>42522</v>
      </c>
      <c r="F95" s="214" t="s">
        <v>183</v>
      </c>
      <c r="G95" s="215" t="s">
        <v>66</v>
      </c>
      <c r="H95" s="229">
        <f t="shared" si="36"/>
        <v>9.1666666666666665E-4</v>
      </c>
      <c r="I95" s="230">
        <f>(SUM('1.  LRAMVA Summary'!D$54:D$68)+SUM('1.  LRAMVA Summary'!D$69:D$70)*(MONTH($E95)-1)/12)*$H95</f>
        <v>6.8955722600087039</v>
      </c>
      <c r="J95" s="230">
        <f>(SUM('1.  LRAMVA Summary'!E$54:E$68)+SUM('1.  LRAMVA Summary'!E$69:E$70)*(MONTH($E95)-1)/12)*$H95</f>
        <v>17.533330177588415</v>
      </c>
      <c r="K95" s="230">
        <f>(SUM('1.  LRAMVA Summary'!F$54:F$68)+SUM('1.  LRAMVA Summary'!F$69:F$70)*(MONTH($E95)-1)/12)*$H95</f>
        <v>7.5406201114537508</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31.969522549050868</v>
      </c>
    </row>
    <row r="96" spans="2:23" s="9" customFormat="1">
      <c r="B96" s="66"/>
      <c r="E96" s="214">
        <v>42552</v>
      </c>
      <c r="F96" s="214" t="s">
        <v>183</v>
      </c>
      <c r="G96" s="215" t="s">
        <v>68</v>
      </c>
      <c r="H96" s="229">
        <f>$C$37/12</f>
        <v>9.1666666666666665E-4</v>
      </c>
      <c r="I96" s="230">
        <f>(SUM('1.  LRAMVA Summary'!D$54:D$68)+SUM('1.  LRAMVA Summary'!D$69:D$70)*(MONTH($E96)-1)/12)*$H96</f>
        <v>6.9281013683420367</v>
      </c>
      <c r="J96" s="230">
        <f>(SUM('1.  LRAMVA Summary'!E$54:E$68)+SUM('1.  LRAMVA Summary'!E$69:E$70)*(MONTH($E96)-1)/12)*$H96</f>
        <v>17.412644419081342</v>
      </c>
      <c r="K96" s="230">
        <f>(SUM('1.  LRAMVA Summary'!F$54:F$68)+SUM('1.  LRAMVA Summary'!F$69:F$70)*(MONTH($E96)-1)/12)*$H96</f>
        <v>7.6220354118939362</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31.962781199317316</v>
      </c>
    </row>
    <row r="97" spans="2:23" s="9" customFormat="1">
      <c r="B97" s="66"/>
      <c r="E97" s="214">
        <v>42583</v>
      </c>
      <c r="F97" s="214" t="s">
        <v>183</v>
      </c>
      <c r="G97" s="215" t="s">
        <v>68</v>
      </c>
      <c r="H97" s="229">
        <f t="shared" ref="H97:H98" si="37">$C$37/12</f>
        <v>9.1666666666666665E-4</v>
      </c>
      <c r="I97" s="230">
        <f>(SUM('1.  LRAMVA Summary'!D$54:D$68)+SUM('1.  LRAMVA Summary'!D$69:D$70)*(MONTH($E97)-1)/12)*$H97</f>
        <v>6.9606304766753695</v>
      </c>
      <c r="J97" s="230">
        <f>(SUM('1.  LRAMVA Summary'!E$54:E$68)+SUM('1.  LRAMVA Summary'!E$69:E$70)*(MONTH($E97)-1)/12)*$H97</f>
        <v>17.29195866057427</v>
      </c>
      <c r="K97" s="230">
        <f>(SUM('1.  LRAMVA Summary'!F$54:F$68)+SUM('1.  LRAMVA Summary'!F$69:F$70)*(MONTH($E97)-1)/12)*$H97</f>
        <v>7.7034507123341189</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31.95603984958376</v>
      </c>
    </row>
    <row r="98" spans="2:23" s="9" customFormat="1">
      <c r="B98" s="66"/>
      <c r="E98" s="214">
        <v>42614</v>
      </c>
      <c r="F98" s="214" t="s">
        <v>183</v>
      </c>
      <c r="G98" s="215" t="s">
        <v>68</v>
      </c>
      <c r="H98" s="229">
        <f t="shared" si="37"/>
        <v>9.1666666666666665E-4</v>
      </c>
      <c r="I98" s="230">
        <f>(SUM('1.  LRAMVA Summary'!D$54:D$68)+SUM('1.  LRAMVA Summary'!D$69:D$70)*(MONTH($E98)-1)/12)*$H98</f>
        <v>6.9931595850087032</v>
      </c>
      <c r="J98" s="230">
        <f>(SUM('1.  LRAMVA Summary'!E$54:E$68)+SUM('1.  LRAMVA Summary'!E$69:E$70)*(MONTH($E98)-1)/12)*$H98</f>
        <v>17.171272902067198</v>
      </c>
      <c r="K98" s="230">
        <f>(SUM('1.  LRAMVA Summary'!F$54:F$68)+SUM('1.  LRAMVA Summary'!F$69:F$70)*(MONTH($E98)-1)/12)*$H98</f>
        <v>7.7848660127743043</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31.949298499850205</v>
      </c>
    </row>
    <row r="99" spans="2:23" s="9" customFormat="1">
      <c r="B99" s="66"/>
      <c r="E99" s="214">
        <v>42644</v>
      </c>
      <c r="F99" s="214" t="s">
        <v>183</v>
      </c>
      <c r="G99" s="215" t="s">
        <v>69</v>
      </c>
      <c r="H99" s="210">
        <f>$C$38/12</f>
        <v>9.1666666666666665E-4</v>
      </c>
      <c r="I99" s="230">
        <f>(SUM('1.  LRAMVA Summary'!D$54:D$68)+SUM('1.  LRAMVA Summary'!D$69:D$70)*(MONTH($E99)-1)/12)*$H99</f>
        <v>7.0256886933420368</v>
      </c>
      <c r="J99" s="230">
        <f>(SUM('1.  LRAMVA Summary'!E$54:E$68)+SUM('1.  LRAMVA Summary'!E$69:E$70)*(MONTH($E99)-1)/12)*$H99</f>
        <v>17.050587143560122</v>
      </c>
      <c r="K99" s="230">
        <f>(SUM('1.  LRAMVA Summary'!F$54:F$68)+SUM('1.  LRAMVA Summary'!F$69:F$70)*(MONTH($E99)-1)/12)*$H99</f>
        <v>7.866281313214488</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31.942557150116649</v>
      </c>
    </row>
    <row r="100" spans="2:23" s="9" customFormat="1">
      <c r="B100" s="66"/>
      <c r="E100" s="214">
        <v>42675</v>
      </c>
      <c r="F100" s="214" t="s">
        <v>183</v>
      </c>
      <c r="G100" s="215" t="s">
        <v>69</v>
      </c>
      <c r="H100" s="210">
        <f t="shared" ref="H100:H101" si="38">$C$38/12</f>
        <v>9.1666666666666665E-4</v>
      </c>
      <c r="I100" s="230">
        <f>(SUM('1.  LRAMVA Summary'!D$54:D$68)+SUM('1.  LRAMVA Summary'!D$69:D$70)*(MONTH($E100)-1)/12)*$H100</f>
        <v>7.0582178016753705</v>
      </c>
      <c r="J100" s="230">
        <f>(SUM('1.  LRAMVA Summary'!E$54:E$68)+SUM('1.  LRAMVA Summary'!E$69:E$70)*(MONTH($E100)-1)/12)*$H100</f>
        <v>16.92990138505305</v>
      </c>
      <c r="K100" s="230">
        <f>(SUM('1.  LRAMVA Summary'!F$54:F$68)+SUM('1.  LRAMVA Summary'!F$69:F$70)*(MONTH($E100)-1)/12)*$H100</f>
        <v>7.9476966136546716</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31.935815800383089</v>
      </c>
    </row>
    <row r="101" spans="2:23" s="9" customFormat="1">
      <c r="B101" s="66"/>
      <c r="E101" s="214">
        <v>42705</v>
      </c>
      <c r="F101" s="214" t="s">
        <v>183</v>
      </c>
      <c r="G101" s="215" t="s">
        <v>69</v>
      </c>
      <c r="H101" s="210">
        <f t="shared" si="38"/>
        <v>9.1666666666666665E-4</v>
      </c>
      <c r="I101" s="230">
        <f>(SUM('1.  LRAMVA Summary'!D$54:D$68)+SUM('1.  LRAMVA Summary'!D$69:D$70)*(MONTH($E101)-1)/12)*$H101</f>
        <v>7.0907469100087033</v>
      </c>
      <c r="J101" s="230">
        <f>(SUM('1.  LRAMVA Summary'!E$54:E$68)+SUM('1.  LRAMVA Summary'!E$69:E$70)*(MONTH($E101)-1)/12)*$H101</f>
        <v>16.809215626545974</v>
      </c>
      <c r="K101" s="230">
        <f>(SUM('1.  LRAMVA Summary'!F$54:F$68)+SUM('1.  LRAMVA Summary'!F$69:F$70)*(MONTH($E101)-1)/12)*$H101</f>
        <v>8.029111914094857</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31.929074450649537</v>
      </c>
    </row>
    <row r="102" spans="2:23" s="9" customFormat="1" ht="15.75" thickBot="1">
      <c r="B102" s="66"/>
      <c r="E102" s="216" t="s">
        <v>465</v>
      </c>
      <c r="F102" s="216"/>
      <c r="G102" s="217"/>
      <c r="H102" s="218"/>
      <c r="I102" s="219">
        <f>SUM(I89:I101)</f>
        <v>120.53931664957349</v>
      </c>
      <c r="J102" s="219">
        <f>SUM(J89:J101)</f>
        <v>310.95315846545975</v>
      </c>
      <c r="K102" s="219">
        <f t="shared" ref="K102:O102" si="39">SUM(K89:K101)</f>
        <v>130.81028915811839</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562.30276427315175</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429</v>
      </c>
      <c r="F104" s="225"/>
      <c r="G104" s="226"/>
      <c r="H104" s="227"/>
      <c r="I104" s="228">
        <f>I102+I103</f>
        <v>120.53931664957349</v>
      </c>
      <c r="J104" s="228">
        <f t="shared" ref="J104" si="41">J102+J103</f>
        <v>310.95315846545975</v>
      </c>
      <c r="K104" s="228">
        <f t="shared" ref="K104" si="42">K102+K103</f>
        <v>130.81028915811839</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562.30276427315175</v>
      </c>
    </row>
    <row r="105" spans="2:23" s="9" customFormat="1">
      <c r="B105" s="66"/>
      <c r="E105" s="214">
        <v>42736</v>
      </c>
      <c r="F105" s="214" t="s">
        <v>184</v>
      </c>
      <c r="G105" s="215" t="s">
        <v>65</v>
      </c>
      <c r="H105" s="240">
        <f>$C$39/12</f>
        <v>9.1666666666666665E-4</v>
      </c>
      <c r="I105" s="230">
        <f>(SUM('1.  LRAMVA Summary'!D$54:D$71)+SUM('1.  LRAMVA Summary'!D$72:D$73)*(MONTH($E105)-1)/12)*$H105</f>
        <v>7.1232760183420369</v>
      </c>
      <c r="J105" s="230">
        <f>(SUM('1.  LRAMVA Summary'!E$54:E$71)+SUM('1.  LRAMVA Summary'!E$72:E$73)*(MONTH($E105)-1)/12)*$H105</f>
        <v>16.688529868038902</v>
      </c>
      <c r="K105" s="230">
        <f>(SUM('1.  LRAMVA Summary'!F$54:F$71)+SUM('1.  LRAMVA Summary'!F$72:F$73)*(MONTH($E105)-1)/12)*$H105</f>
        <v>8.1105272145350398</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31.922333100915978</v>
      </c>
    </row>
    <row r="106" spans="2:23" s="9" customFormat="1">
      <c r="B106" s="66"/>
      <c r="E106" s="214">
        <v>42767</v>
      </c>
      <c r="F106" s="214" t="s">
        <v>184</v>
      </c>
      <c r="G106" s="215" t="s">
        <v>65</v>
      </c>
      <c r="H106" s="240">
        <f t="shared" ref="H106:H107" si="48">$C$39/12</f>
        <v>9.1666666666666665E-4</v>
      </c>
      <c r="I106" s="230">
        <f>(SUM('1.  LRAMVA Summary'!D$54:D$71)+SUM('1.  LRAMVA Summary'!D$72:D$73)*(MONTH($E106)-1)/12)*$H106</f>
        <v>8.1372989641753701</v>
      </c>
      <c r="J106" s="230">
        <f>(SUM('1.  LRAMVA Summary'!E$54:E$71)+SUM('1.  LRAMVA Summary'!E$72:E$73)*(MONTH($E106)-1)/12)*$H106</f>
        <v>16.91050423418114</v>
      </c>
      <c r="K106" s="230">
        <f>(SUM('1.  LRAMVA Summary'!F$54:F$71)+SUM('1.  LRAMVA Summary'!F$72:F$73)*(MONTH($E106)-1)/12)*$H106</f>
        <v>8.3495806939649562</v>
      </c>
      <c r="L106" s="230">
        <f>(SUM('1.  LRAMVA Summary'!G$54:G$71)+SUM('1.  LRAMVA Summary'!G$72:G$73)*(MONTH($E106)-1)/12)*$H106</f>
        <v>0</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33.397383892321471</v>
      </c>
    </row>
    <row r="107" spans="2:23" s="9" customFormat="1">
      <c r="B107" s="66"/>
      <c r="E107" s="214">
        <v>42795</v>
      </c>
      <c r="F107" s="214" t="s">
        <v>184</v>
      </c>
      <c r="G107" s="215" t="s">
        <v>65</v>
      </c>
      <c r="H107" s="240">
        <f t="shared" si="48"/>
        <v>9.1666666666666665E-4</v>
      </c>
      <c r="I107" s="230">
        <f>(SUM('1.  LRAMVA Summary'!D$54:D$71)+SUM('1.  LRAMVA Summary'!D$72:D$73)*(MONTH($E107)-1)/12)*$H107</f>
        <v>9.1513219100087024</v>
      </c>
      <c r="J107" s="230">
        <f>(SUM('1.  LRAMVA Summary'!E$54:E$71)+SUM('1.  LRAMVA Summary'!E$72:E$73)*(MONTH($E107)-1)/12)*$H107</f>
        <v>17.132478600323378</v>
      </c>
      <c r="K107" s="230">
        <f>(SUM('1.  LRAMVA Summary'!F$54:F$71)+SUM('1.  LRAMVA Summary'!F$72:F$73)*(MONTH($E107)-1)/12)*$H107</f>
        <v>8.5886341733948726</v>
      </c>
      <c r="L107" s="230">
        <f>(SUM('1.  LRAMVA Summary'!G$54:G$71)+SUM('1.  LRAMVA Summary'!G$72:G$73)*(MONTH($E107)-1)/12)*$H107</f>
        <v>0</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34.872434683726951</v>
      </c>
    </row>
    <row r="108" spans="2:23" s="8" customFormat="1">
      <c r="B108" s="239"/>
      <c r="E108" s="214">
        <v>42826</v>
      </c>
      <c r="F108" s="214" t="s">
        <v>184</v>
      </c>
      <c r="G108" s="215" t="s">
        <v>66</v>
      </c>
      <c r="H108" s="240">
        <f>$C$40/12</f>
        <v>9.1666666666666665E-4</v>
      </c>
      <c r="I108" s="230">
        <f>(SUM('1.  LRAMVA Summary'!D$54:D$71)+SUM('1.  LRAMVA Summary'!D$72:D$73)*(MONTH($E108)-1)/12)*$H108</f>
        <v>10.165344855842037</v>
      </c>
      <c r="J108" s="230">
        <f>(SUM('1.  LRAMVA Summary'!E$54:E$71)+SUM('1.  LRAMVA Summary'!E$72:E$73)*(MONTH($E108)-1)/12)*$H108</f>
        <v>17.354452966465615</v>
      </c>
      <c r="K108" s="230">
        <f>(SUM('1.  LRAMVA Summary'!F$54:F$71)+SUM('1.  LRAMVA Summary'!F$72:F$73)*(MONTH($E108)-1)/12)*$H108</f>
        <v>8.827687652824789</v>
      </c>
      <c r="L108" s="230">
        <f>(SUM('1.  LRAMVA Summary'!G$54:G$71)+SUM('1.  LRAMVA Summary'!G$72:G$73)*(MONTH($E108)-1)/12)*$H108</f>
        <v>0</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36.347485475132444</v>
      </c>
    </row>
    <row r="109" spans="2:23" s="9" customFormat="1">
      <c r="B109" s="66"/>
      <c r="E109" s="214">
        <v>42856</v>
      </c>
      <c r="F109" s="214" t="s">
        <v>184</v>
      </c>
      <c r="G109" s="215" t="s">
        <v>66</v>
      </c>
      <c r="H109" s="240">
        <f t="shared" ref="H109:H110" si="50">$C$40/12</f>
        <v>9.1666666666666665E-4</v>
      </c>
      <c r="I109" s="230">
        <f>(SUM('1.  LRAMVA Summary'!D$54:D$71)+SUM('1.  LRAMVA Summary'!D$72:D$73)*(MONTH($E109)-1)/12)*$H109</f>
        <v>11.179367801675371</v>
      </c>
      <c r="J109" s="230">
        <f>(SUM('1.  LRAMVA Summary'!E$54:E$71)+SUM('1.  LRAMVA Summary'!E$72:E$73)*(MONTH($E109)-1)/12)*$H109</f>
        <v>17.576427332607853</v>
      </c>
      <c r="K109" s="230">
        <f>(SUM('1.  LRAMVA Summary'!F$54:F$71)+SUM('1.  LRAMVA Summary'!F$72:F$73)*(MONTH($E109)-1)/12)*$H109</f>
        <v>9.0667411322547071</v>
      </c>
      <c r="L109" s="230">
        <f>(SUM('1.  LRAMVA Summary'!G$54:G$71)+SUM('1.  LRAMVA Summary'!G$72:G$73)*(MONTH($E109)-1)/12)*$H109</f>
        <v>0</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37.822536266537931</v>
      </c>
    </row>
    <row r="110" spans="2:23" s="238" customFormat="1">
      <c r="B110" s="237"/>
      <c r="E110" s="214">
        <v>42887</v>
      </c>
      <c r="F110" s="214" t="s">
        <v>184</v>
      </c>
      <c r="G110" s="215" t="s">
        <v>66</v>
      </c>
      <c r="H110" s="240">
        <f t="shared" si="50"/>
        <v>9.1666666666666665E-4</v>
      </c>
      <c r="I110" s="230">
        <f>(SUM('1.  LRAMVA Summary'!D$54:D$71)+SUM('1.  LRAMVA Summary'!D$72:D$73)*(MONTH($E110)-1)/12)*$H110</f>
        <v>12.193390747508705</v>
      </c>
      <c r="J110" s="230">
        <f>(SUM('1.  LRAMVA Summary'!E$54:E$71)+SUM('1.  LRAMVA Summary'!E$72:E$73)*(MONTH($E110)-1)/12)*$H110</f>
        <v>17.798401698750091</v>
      </c>
      <c r="K110" s="230">
        <f>(SUM('1.  LRAMVA Summary'!F$54:F$71)+SUM('1.  LRAMVA Summary'!F$72:F$73)*(MONTH($E110)-1)/12)*$H110</f>
        <v>9.3057946116846217</v>
      </c>
      <c r="L110" s="230">
        <f>(SUM('1.  LRAMVA Summary'!G$54:G$71)+SUM('1.  LRAMVA Summary'!G$72:G$73)*(MONTH($E110)-1)/12)*$H110</f>
        <v>0</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39.297587057943417</v>
      </c>
    </row>
    <row r="111" spans="2:23" s="9" customFormat="1">
      <c r="B111" s="66"/>
      <c r="E111" s="214">
        <v>42917</v>
      </c>
      <c r="F111" s="214" t="s">
        <v>184</v>
      </c>
      <c r="G111" s="215" t="s">
        <v>68</v>
      </c>
      <c r="H111" s="240">
        <f>$C$41/12</f>
        <v>9.1666666666666665E-4</v>
      </c>
      <c r="I111" s="230">
        <f>(SUM('1.  LRAMVA Summary'!D$54:D$71)+SUM('1.  LRAMVA Summary'!D$72:D$73)*(MONTH($E111)-1)/12)*$H111</f>
        <v>13.207413693342037</v>
      </c>
      <c r="J111" s="230">
        <f>(SUM('1.  LRAMVA Summary'!E$54:E$71)+SUM('1.  LRAMVA Summary'!E$72:E$73)*(MONTH($E111)-1)/12)*$H111</f>
        <v>18.020376064892329</v>
      </c>
      <c r="K111" s="230">
        <f>(SUM('1.  LRAMVA Summary'!F$54:F$71)+SUM('1.  LRAMVA Summary'!F$72:F$73)*(MONTH($E111)-1)/12)*$H111</f>
        <v>9.5448480911145381</v>
      </c>
      <c r="L111" s="230">
        <f>(SUM('1.  LRAMVA Summary'!G$54:G$71)+SUM('1.  LRAMVA Summary'!G$72:G$73)*(MONTH($E111)-1)/12)*$H111</f>
        <v>0</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40.772637849348904</v>
      </c>
    </row>
    <row r="112" spans="2:23" s="9" customFormat="1">
      <c r="B112" s="66"/>
      <c r="E112" s="214">
        <v>42948</v>
      </c>
      <c r="F112" s="214" t="s">
        <v>184</v>
      </c>
      <c r="G112" s="215" t="s">
        <v>68</v>
      </c>
      <c r="H112" s="240">
        <f t="shared" ref="H112:H113" si="51">$C$41/12</f>
        <v>9.1666666666666665E-4</v>
      </c>
      <c r="I112" s="230">
        <f>(SUM('1.  LRAMVA Summary'!D$54:D$71)+SUM('1.  LRAMVA Summary'!D$72:D$73)*(MONTH($E112)-1)/12)*$H112</f>
        <v>14.221436639175369</v>
      </c>
      <c r="J112" s="230">
        <f>(SUM('1.  LRAMVA Summary'!E$54:E$71)+SUM('1.  LRAMVA Summary'!E$72:E$73)*(MONTH($E112)-1)/12)*$H112</f>
        <v>18.242350431034566</v>
      </c>
      <c r="K112" s="230">
        <f>(SUM('1.  LRAMVA Summary'!F$54:F$71)+SUM('1.  LRAMVA Summary'!F$72:F$73)*(MONTH($E112)-1)/12)*$H112</f>
        <v>9.7839015705444563</v>
      </c>
      <c r="L112" s="230">
        <f>(SUM('1.  LRAMVA Summary'!G$54:G$71)+SUM('1.  LRAMVA Summary'!G$72:G$73)*(MONTH($E112)-1)/12)*$H112</f>
        <v>0</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42.24768864075439</v>
      </c>
    </row>
    <row r="113" spans="2:23" s="9" customFormat="1">
      <c r="B113" s="66"/>
      <c r="E113" s="214">
        <v>42979</v>
      </c>
      <c r="F113" s="214" t="s">
        <v>184</v>
      </c>
      <c r="G113" s="215" t="s">
        <v>68</v>
      </c>
      <c r="H113" s="240">
        <f t="shared" si="51"/>
        <v>9.1666666666666665E-4</v>
      </c>
      <c r="I113" s="230">
        <f>(SUM('1.  LRAMVA Summary'!D$54:D$71)+SUM('1.  LRAMVA Summary'!D$72:D$73)*(MONTH($E113)-1)/12)*$H113</f>
        <v>15.235459585008705</v>
      </c>
      <c r="J113" s="230">
        <f>(SUM('1.  LRAMVA Summary'!E$54:E$71)+SUM('1.  LRAMVA Summary'!E$72:E$73)*(MONTH($E113)-1)/12)*$H113</f>
        <v>18.464324797176808</v>
      </c>
      <c r="K113" s="230">
        <f>(SUM('1.  LRAMVA Summary'!F$54:F$71)+SUM('1.  LRAMVA Summary'!F$72:F$73)*(MONTH($E113)-1)/12)*$H113</f>
        <v>10.022955049974371</v>
      </c>
      <c r="L113" s="230">
        <f>(SUM('1.  LRAMVA Summary'!G$54:G$71)+SUM('1.  LRAMVA Summary'!G$72:G$73)*(MONTH($E113)-1)/12)*$H113</f>
        <v>0</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43.722739432159884</v>
      </c>
    </row>
    <row r="114" spans="2:23" s="9" customFormat="1">
      <c r="B114" s="66"/>
      <c r="E114" s="214">
        <v>43009</v>
      </c>
      <c r="F114" s="214" t="s">
        <v>184</v>
      </c>
      <c r="G114" s="215" t="s">
        <v>69</v>
      </c>
      <c r="H114" s="240">
        <f>$C$42/12</f>
        <v>1.25E-3</v>
      </c>
      <c r="I114" s="230">
        <f>(SUM('1.  LRAMVA Summary'!D$54:D$71)+SUM('1.  LRAMVA Summary'!D$72:D$73)*(MONTH($E114)-1)/12)*$H114</f>
        <v>22.158385269330051</v>
      </c>
      <c r="J114" s="230">
        <f>(SUM('1.  LRAMVA Summary'!E$54:E$71)+SUM('1.  LRAMVA Summary'!E$72:E$73)*(MONTH($E114)-1)/12)*$H114</f>
        <v>25.481317040889603</v>
      </c>
      <c r="K114" s="230">
        <f>(SUM('1.  LRAMVA Summary'!F$54:F$71)+SUM('1.  LRAMVA Summary'!F$72:F$73)*(MONTH($E114)-1)/12)*$H114</f>
        <v>13.993647994642211</v>
      </c>
      <c r="L114" s="230">
        <f>(SUM('1.  LRAMVA Summary'!G$54:G$71)+SUM('1.  LRAMVA Summary'!G$72:G$73)*(MONTH($E114)-1)/12)*$H114</f>
        <v>0</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61.633350304861864</v>
      </c>
    </row>
    <row r="115" spans="2:23" s="9" customFormat="1">
      <c r="B115" s="66"/>
      <c r="E115" s="214">
        <v>43040</v>
      </c>
      <c r="F115" s="214" t="s">
        <v>184</v>
      </c>
      <c r="G115" s="215" t="s">
        <v>69</v>
      </c>
      <c r="H115" s="240">
        <f t="shared" ref="H115:H116" si="52">$C$42/12</f>
        <v>1.25E-3</v>
      </c>
      <c r="I115" s="230">
        <f>(SUM('1.  LRAMVA Summary'!D$54:D$71)+SUM('1.  LRAMVA Summary'!D$72:D$73)*(MONTH($E115)-1)/12)*$H115</f>
        <v>23.541143831830052</v>
      </c>
      <c r="J115" s="230">
        <f>(SUM('1.  LRAMVA Summary'!E$54:E$71)+SUM('1.  LRAMVA Summary'!E$72:E$73)*(MONTH($E115)-1)/12)*$H115</f>
        <v>25.784009358356293</v>
      </c>
      <c r="K115" s="230">
        <f>(SUM('1.  LRAMVA Summary'!F$54:F$71)+SUM('1.  LRAMVA Summary'!F$72:F$73)*(MONTH($E115)-1)/12)*$H115</f>
        <v>14.319630012046645</v>
      </c>
      <c r="L115" s="230">
        <f>(SUM('1.  LRAMVA Summary'!G$54:G$71)+SUM('1.  LRAMVA Summary'!G$72:G$73)*(MONTH($E115)-1)/12)*$H115</f>
        <v>0</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63.644783202232986</v>
      </c>
    </row>
    <row r="116" spans="2:23" s="9" customFormat="1">
      <c r="B116" s="66"/>
      <c r="E116" s="214">
        <v>43070</v>
      </c>
      <c r="F116" s="214" t="s">
        <v>184</v>
      </c>
      <c r="G116" s="215" t="s">
        <v>69</v>
      </c>
      <c r="H116" s="240">
        <f t="shared" si="52"/>
        <v>1.25E-3</v>
      </c>
      <c r="I116" s="230">
        <f>(SUM('1.  LRAMVA Summary'!D$54:D$71)+SUM('1.  LRAMVA Summary'!D$72:D$73)*(MONTH($E116)-1)/12)*$H116</f>
        <v>24.923902394330053</v>
      </c>
      <c r="J116" s="230">
        <f>(SUM('1.  LRAMVA Summary'!E$54:E$71)+SUM('1.  LRAMVA Summary'!E$72:E$73)*(MONTH($E116)-1)/12)*$H116</f>
        <v>26.086701675822979</v>
      </c>
      <c r="K116" s="230">
        <f>(SUM('1.  LRAMVA Summary'!F$54:F$71)+SUM('1.  LRAMVA Summary'!F$72:F$73)*(MONTH($E116)-1)/12)*$H116</f>
        <v>14.645612029451074</v>
      </c>
      <c r="L116" s="230">
        <f>(SUM('1.  LRAMVA Summary'!G$54:G$71)+SUM('1.  LRAMVA Summary'!G$72:G$73)*(MONTH($E116)-1)/12)*$H116</f>
        <v>0</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65.656216099604109</v>
      </c>
    </row>
    <row r="117" spans="2:23" s="9" customFormat="1" ht="15.75" thickBot="1">
      <c r="B117" s="66"/>
      <c r="E117" s="216" t="s">
        <v>466</v>
      </c>
      <c r="F117" s="216"/>
      <c r="G117" s="217"/>
      <c r="H117" s="218"/>
      <c r="I117" s="219">
        <f>SUM(I104:I116)</f>
        <v>291.77705836014195</v>
      </c>
      <c r="J117" s="219">
        <f>SUM(J104:J116)</f>
        <v>546.49303253399933</v>
      </c>
      <c r="K117" s="219">
        <f t="shared" ref="K117:O117" si="53">SUM(K104:K116)</f>
        <v>255.36984938455069</v>
      </c>
      <c r="L117" s="219">
        <f t="shared" si="53"/>
        <v>0</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1093.6399402786922</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430</v>
      </c>
      <c r="F119" s="225"/>
      <c r="G119" s="226"/>
      <c r="H119" s="227"/>
      <c r="I119" s="228">
        <f>I117+I118</f>
        <v>291.77705836014195</v>
      </c>
      <c r="J119" s="228">
        <f t="shared" ref="J119" si="55">J117+J118</f>
        <v>546.49303253399933</v>
      </c>
      <c r="K119" s="228">
        <f t="shared" ref="K119" si="56">K117+K118</f>
        <v>255.36984938455069</v>
      </c>
      <c r="L119" s="228">
        <f t="shared" ref="L119" si="57">L117+L118</f>
        <v>0</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1093.6399402786922</v>
      </c>
    </row>
    <row r="120" spans="2:23" s="9" customFormat="1">
      <c r="B120" s="66"/>
      <c r="E120" s="214">
        <v>43101</v>
      </c>
      <c r="F120" s="214" t="s">
        <v>185</v>
      </c>
      <c r="G120" s="215" t="s">
        <v>65</v>
      </c>
      <c r="H120" s="240">
        <f>$C$43/12</f>
        <v>1.25E-3</v>
      </c>
      <c r="I120" s="230">
        <f>(SUM('1.  LRAMVA Summary'!D$54:D$74)+SUM('1.  LRAMVA Summary'!D$75:D$76)*(MONTH($E120)-1)/12)*$H120</f>
        <v>26.306660956830058</v>
      </c>
      <c r="J120" s="230">
        <f>(SUM('1.  LRAMVA Summary'!E$54:E$74)+SUM('1.  LRAMVA Summary'!E$75:E$76)*(MONTH($E120)-1)/12)*$H120</f>
        <v>26.389393993289669</v>
      </c>
      <c r="K120" s="230">
        <f>(SUM('1.  LRAMVA Summary'!F$54:F$74)+SUM('1.  LRAMVA Summary'!F$75:F$76)*(MONTH($E120)-1)/12)*$H120</f>
        <v>14.971594046855508</v>
      </c>
      <c r="L120" s="230">
        <f>(SUM('1.  LRAMVA Summary'!G$54:G$74)+SUM('1.  LRAMVA Summary'!G$75:G$76)*(MONTH($E120)-1)/12)*$H120</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67.667648996975231</v>
      </c>
    </row>
    <row r="121" spans="2:23" s="9" customFormat="1">
      <c r="B121" s="66"/>
      <c r="E121" s="214">
        <v>43132</v>
      </c>
      <c r="F121" s="214" t="s">
        <v>185</v>
      </c>
      <c r="G121" s="215" t="s">
        <v>65</v>
      </c>
      <c r="H121" s="240">
        <f t="shared" ref="H121:H122" si="62">$C$43/12</f>
        <v>1.25E-3</v>
      </c>
      <c r="I121" s="230">
        <f>(SUM('1.  LRAMVA Summary'!D$54:D$74)+SUM('1.  LRAMVA Summary'!D$75:D$76)*(MONTH($E121)-1)/12)*$H121</f>
        <v>27.019734963996722</v>
      </c>
      <c r="J121" s="230">
        <f>(SUM('1.  LRAMVA Summary'!E$54:E$74)+SUM('1.  LRAMVA Summary'!E$75:E$76)*(MONTH($E121)-1)/12)*$H121</f>
        <v>27.122816910342149</v>
      </c>
      <c r="K121" s="230">
        <f>(SUM('1.  LRAMVA Summary'!F$54:F$74)+SUM('1.  LRAMVA Summary'!F$75:F$76)*(MONTH($E121)-1)/12)*$H121</f>
        <v>15.448658646594112</v>
      </c>
      <c r="L121" s="230">
        <f>(SUM('1.  LRAMVA Summary'!G$54:G$74)+SUM('1.  LRAMVA Summary'!G$75:G$76)*(MONTH($E121)-1)/12)*$H121</f>
        <v>0</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69.591210520932975</v>
      </c>
    </row>
    <row r="122" spans="2:23" s="9" customFormat="1">
      <c r="B122" s="66"/>
      <c r="E122" s="214">
        <v>43160</v>
      </c>
      <c r="F122" s="214" t="s">
        <v>185</v>
      </c>
      <c r="G122" s="215" t="s">
        <v>65</v>
      </c>
      <c r="H122" s="240">
        <f t="shared" si="62"/>
        <v>1.25E-3</v>
      </c>
      <c r="I122" s="230">
        <f>(SUM('1.  LRAMVA Summary'!D$54:D$74)+SUM('1.  LRAMVA Summary'!D$75:D$76)*(MONTH($E122)-1)/12)*$H122</f>
        <v>27.73280897116339</v>
      </c>
      <c r="J122" s="230">
        <f>(SUM('1.  LRAMVA Summary'!E$54:E$74)+SUM('1.  LRAMVA Summary'!E$75:E$76)*(MONTH($E122)-1)/12)*$H122</f>
        <v>27.856239827394631</v>
      </c>
      <c r="K122" s="230">
        <f>(SUM('1.  LRAMVA Summary'!F$54:F$74)+SUM('1.  LRAMVA Summary'!F$75:F$76)*(MONTH($E122)-1)/12)*$H122</f>
        <v>15.925723246332714</v>
      </c>
      <c r="L122" s="230">
        <f>(SUM('1.  LRAMVA Summary'!G$54:G$74)+SUM('1.  LRAMVA Summary'!G$75:G$76)*(MONTH($E122)-1)/12)*$H122</f>
        <v>0</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71.514772044890734</v>
      </c>
    </row>
    <row r="123" spans="2:23" s="8" customFormat="1">
      <c r="B123" s="239"/>
      <c r="E123" s="214">
        <v>43191</v>
      </c>
      <c r="F123" s="214" t="s">
        <v>185</v>
      </c>
      <c r="G123" s="215" t="s">
        <v>66</v>
      </c>
      <c r="H123" s="240">
        <f>$C$44/12</f>
        <v>1.575E-3</v>
      </c>
      <c r="I123" s="230">
        <f>(SUM('1.  LRAMVA Summary'!D$54:D$74)+SUM('1.  LRAMVA Summary'!D$75:D$76)*(MONTH($E123)-1)/12)*$H123</f>
        <v>35.84181255269587</v>
      </c>
      <c r="J123" s="230">
        <f>(SUM('1.  LRAMVA Summary'!E$54:E$74)+SUM('1.  LRAMVA Summary'!E$75:E$76)*(MONTH($E123)-1)/12)*$H123</f>
        <v>36.022975058003361</v>
      </c>
      <c r="K123" s="230">
        <f>(SUM('1.  LRAMVA Summary'!F$54:F$74)+SUM('1.  LRAMVA Summary'!F$75:F$76)*(MONTH($E123)-1)/12)*$H123</f>
        <v>20.667512686049857</v>
      </c>
      <c r="L123" s="230">
        <f>(SUM('1.  LRAMVA Summary'!G$54:G$74)+SUM('1.  LRAMVA Summary'!G$75:G$76)*(MONTH($E123)-1)/12)*$H123</f>
        <v>0</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92.532300296749099</v>
      </c>
    </row>
    <row r="124" spans="2:23" s="9" customFormat="1">
      <c r="B124" s="66"/>
      <c r="E124" s="214">
        <v>43221</v>
      </c>
      <c r="F124" s="214" t="s">
        <v>185</v>
      </c>
      <c r="G124" s="215" t="s">
        <v>66</v>
      </c>
      <c r="H124" s="240">
        <f t="shared" ref="H124:H125" si="64">$C$44/12</f>
        <v>1.575E-3</v>
      </c>
      <c r="I124" s="230">
        <f>(SUM('1.  LRAMVA Summary'!D$54:D$74)+SUM('1.  LRAMVA Summary'!D$75:D$76)*(MONTH($E124)-1)/12)*$H124</f>
        <v>36.740285801725875</v>
      </c>
      <c r="J124" s="230">
        <f>(SUM('1.  LRAMVA Summary'!E$54:E$74)+SUM('1.  LRAMVA Summary'!E$75:E$76)*(MONTH($E124)-1)/12)*$H124</f>
        <v>36.947087933489492</v>
      </c>
      <c r="K124" s="230">
        <f>(SUM('1.  LRAMVA Summary'!F$54:F$74)+SUM('1.  LRAMVA Summary'!F$75:F$76)*(MONTH($E124)-1)/12)*$H124</f>
        <v>21.268614081720497</v>
      </c>
      <c r="L124" s="230">
        <f>(SUM('1.  LRAMVA Summary'!G$54:G$74)+SUM('1.  LRAMVA Summary'!G$75:G$76)*(MONTH($E124)-1)/12)*$H124</f>
        <v>0</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94.955987816935874</v>
      </c>
    </row>
    <row r="125" spans="2:23" s="238" customFormat="1">
      <c r="B125" s="237"/>
      <c r="E125" s="214">
        <v>43252</v>
      </c>
      <c r="F125" s="214" t="s">
        <v>185</v>
      </c>
      <c r="G125" s="215" t="s">
        <v>66</v>
      </c>
      <c r="H125" s="240">
        <f t="shared" si="64"/>
        <v>1.575E-3</v>
      </c>
      <c r="I125" s="230">
        <f>(SUM('1.  LRAMVA Summary'!D$54:D$74)+SUM('1.  LRAMVA Summary'!D$75:D$76)*(MONTH($E125)-1)/12)*$H125</f>
        <v>37.638759050755873</v>
      </c>
      <c r="J125" s="230">
        <f>(SUM('1.  LRAMVA Summary'!E$54:E$74)+SUM('1.  LRAMVA Summary'!E$75:E$76)*(MONTH($E125)-1)/12)*$H125</f>
        <v>37.871200808975615</v>
      </c>
      <c r="K125" s="230">
        <f>(SUM('1.  LRAMVA Summary'!F$54:F$74)+SUM('1.  LRAMVA Summary'!F$75:F$76)*(MONTH($E125)-1)/12)*$H125</f>
        <v>21.869715477391136</v>
      </c>
      <c r="L125" s="230">
        <f>(SUM('1.  LRAMVA Summary'!G$54:G$74)+SUM('1.  LRAMVA Summary'!G$75:G$76)*(MONTH($E125)-1)/12)*$H125</f>
        <v>0</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97.37967533712262</v>
      </c>
    </row>
    <row r="126" spans="2:23" s="9" customFormat="1">
      <c r="B126" s="66"/>
      <c r="E126" s="214">
        <v>43282</v>
      </c>
      <c r="F126" s="214" t="s">
        <v>185</v>
      </c>
      <c r="G126" s="215" t="s">
        <v>68</v>
      </c>
      <c r="H126" s="240">
        <f>$C$45/12</f>
        <v>1.575E-3</v>
      </c>
      <c r="I126" s="230">
        <f>(SUM('1.  LRAMVA Summary'!D$54:D$74)+SUM('1.  LRAMVA Summary'!D$75:D$76)*(MONTH($E126)-1)/12)*$H126</f>
        <v>38.53723229978587</v>
      </c>
      <c r="J126" s="230">
        <f>(SUM('1.  LRAMVA Summary'!E$54:E$74)+SUM('1.  LRAMVA Summary'!E$75:E$76)*(MONTH($E126)-1)/12)*$H126</f>
        <v>38.795313684461739</v>
      </c>
      <c r="K126" s="230">
        <f>(SUM('1.  LRAMVA Summary'!F$54:F$74)+SUM('1.  LRAMVA Summary'!F$75:F$76)*(MONTH($E126)-1)/12)*$H126</f>
        <v>22.470816873061775</v>
      </c>
      <c r="L126" s="230">
        <f>(SUM('1.  LRAMVA Summary'!G$54:G$74)+SUM('1.  LRAMVA Summary'!G$75:G$76)*(MONTH($E126)-1)/12)*$H126</f>
        <v>0</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99.803362857309395</v>
      </c>
    </row>
    <row r="127" spans="2:23" s="9" customFormat="1">
      <c r="B127" s="66"/>
      <c r="E127" s="214">
        <v>43313</v>
      </c>
      <c r="F127" s="214" t="s">
        <v>185</v>
      </c>
      <c r="G127" s="215" t="s">
        <v>68</v>
      </c>
      <c r="H127" s="240">
        <f t="shared" ref="H127:H128" si="65">$C$45/12</f>
        <v>1.575E-3</v>
      </c>
      <c r="I127" s="230">
        <f>(SUM('1.  LRAMVA Summary'!D$54:D$74)+SUM('1.  LRAMVA Summary'!D$75:D$76)*(MONTH($E127)-1)/12)*$H127</f>
        <v>39.435705548815875</v>
      </c>
      <c r="J127" s="230">
        <f>(SUM('1.  LRAMVA Summary'!E$54:E$74)+SUM('1.  LRAMVA Summary'!E$75:E$76)*(MONTH($E127)-1)/12)*$H127</f>
        <v>39.719426559947863</v>
      </c>
      <c r="K127" s="230">
        <f>(SUM('1.  LRAMVA Summary'!F$54:F$74)+SUM('1.  LRAMVA Summary'!F$75:F$76)*(MONTH($E127)-1)/12)*$H127</f>
        <v>23.071918268732418</v>
      </c>
      <c r="L127" s="230">
        <f>(SUM('1.  LRAMVA Summary'!G$54:G$74)+SUM('1.  LRAMVA Summary'!G$75:G$76)*(MONTH($E127)-1)/12)*$H127</f>
        <v>0</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102.22705037749616</v>
      </c>
    </row>
    <row r="128" spans="2:23" s="9" customFormat="1">
      <c r="B128" s="66"/>
      <c r="E128" s="214">
        <v>43344</v>
      </c>
      <c r="F128" s="214" t="s">
        <v>185</v>
      </c>
      <c r="G128" s="215" t="s">
        <v>68</v>
      </c>
      <c r="H128" s="240">
        <f t="shared" si="65"/>
        <v>1.575E-3</v>
      </c>
      <c r="I128" s="230">
        <f>(SUM('1.  LRAMVA Summary'!D$54:D$74)+SUM('1.  LRAMVA Summary'!D$75:D$76)*(MONTH($E128)-1)/12)*$H128</f>
        <v>40.334178797845873</v>
      </c>
      <c r="J128" s="230">
        <f>(SUM('1.  LRAMVA Summary'!E$54:E$74)+SUM('1.  LRAMVA Summary'!E$75:E$76)*(MONTH($E128)-1)/12)*$H128</f>
        <v>40.643539435433993</v>
      </c>
      <c r="K128" s="230">
        <f>(SUM('1.  LRAMVA Summary'!F$54:F$74)+SUM('1.  LRAMVA Summary'!F$75:F$76)*(MONTH($E128)-1)/12)*$H128</f>
        <v>23.673019664403057</v>
      </c>
      <c r="L128" s="230">
        <f>(SUM('1.  LRAMVA Summary'!G$54:G$74)+SUM('1.  LRAMVA Summary'!G$75:G$76)*(MONTH($E128)-1)/12)*$H128</f>
        <v>0</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104.65073789768292</v>
      </c>
    </row>
    <row r="129" spans="2:23" s="9" customFormat="1">
      <c r="B129" s="66"/>
      <c r="E129" s="214">
        <v>43374</v>
      </c>
      <c r="F129" s="214" t="s">
        <v>185</v>
      </c>
      <c r="G129" s="215" t="s">
        <v>69</v>
      </c>
      <c r="H129" s="240">
        <f>$C$46/12</f>
        <v>1.8083333333333335E-3</v>
      </c>
      <c r="I129" s="230">
        <f>(SUM('1.  LRAMVA Summary'!D$54:D$74)+SUM('1.  LRAMVA Summary'!D$75:D$76)*(MONTH($E129)-1)/12)*$H129</f>
        <v>47.34119309085748</v>
      </c>
      <c r="J129" s="230">
        <f>(SUM('1.  LRAMVA Summary'!E$54:E$74)+SUM('1.  LRAMVA Summary'!E$75:E$76)*(MONTH($E129)-1)/12)*$H129</f>
        <v>47.725823023649035</v>
      </c>
      <c r="K129" s="230">
        <f>(SUM('1.  LRAMVA Summary'!F$54:F$74)+SUM('1.  LRAMVA Summary'!F$75:F$76)*(MONTH($E129)-1)/12)*$H129</f>
        <v>27.870287143047577</v>
      </c>
      <c r="L129" s="230">
        <f>(SUM('1.  LRAMVA Summary'!G$54:G$74)+SUM('1.  LRAMVA Summary'!G$75:G$76)*(MONTH($E129)-1)/12)*$H129</f>
        <v>0</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122.93730325755409</v>
      </c>
    </row>
    <row r="130" spans="2:23" s="9" customFormat="1">
      <c r="B130" s="66"/>
      <c r="E130" s="214">
        <v>43405</v>
      </c>
      <c r="F130" s="214" t="s">
        <v>185</v>
      </c>
      <c r="G130" s="215" t="s">
        <v>69</v>
      </c>
      <c r="H130" s="240">
        <f t="shared" ref="H130:H131" si="66">$C$46/12</f>
        <v>1.8083333333333335E-3</v>
      </c>
      <c r="I130" s="230">
        <f>(SUM('1.  LRAMVA Summary'!D$54:D$74)+SUM('1.  LRAMVA Summary'!D$75:D$76)*(MONTH($E130)-1)/12)*$H130</f>
        <v>48.372773487891934</v>
      </c>
      <c r="J130" s="230">
        <f>(SUM('1.  LRAMVA Summary'!E$54:E$74)+SUM('1.  LRAMVA Summary'!E$75:E$76)*(MONTH($E130)-1)/12)*$H130</f>
        <v>48.78684151031829</v>
      </c>
      <c r="K130" s="230">
        <f>(SUM('1.  LRAMVA Summary'!F$54:F$74)+SUM('1.  LRAMVA Summary'!F$75:F$76)*(MONTH($E130)-1)/12)*$H130</f>
        <v>28.56044059733609</v>
      </c>
      <c r="L130" s="230">
        <f>(SUM('1.  LRAMVA Summary'!G$54:G$74)+SUM('1.  LRAMVA Summary'!G$75:G$76)*(MONTH($E130)-1)/12)*$H130</f>
        <v>0</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125.72005559554631</v>
      </c>
    </row>
    <row r="131" spans="2:23" s="9" customFormat="1">
      <c r="B131" s="66"/>
      <c r="E131" s="214">
        <v>43435</v>
      </c>
      <c r="F131" s="214" t="s">
        <v>185</v>
      </c>
      <c r="G131" s="215" t="s">
        <v>69</v>
      </c>
      <c r="H131" s="240">
        <f t="shared" si="66"/>
        <v>1.8083333333333335E-3</v>
      </c>
      <c r="I131" s="230">
        <f>(SUM('1.  LRAMVA Summary'!D$54:D$74)+SUM('1.  LRAMVA Summary'!D$75:D$76)*(MONTH($E131)-1)/12)*$H131</f>
        <v>49.404353884926373</v>
      </c>
      <c r="J131" s="230">
        <f>(SUM('1.  LRAMVA Summary'!E$54:E$74)+SUM('1.  LRAMVA Summary'!E$75:E$76)*(MONTH($E131)-1)/12)*$H131</f>
        <v>49.847859996987545</v>
      </c>
      <c r="K131" s="230">
        <f>(SUM('1.  LRAMVA Summary'!F$54:F$74)+SUM('1.  LRAMVA Summary'!F$75:F$76)*(MONTH($E131)-1)/12)*$H131</f>
        <v>29.250594051624603</v>
      </c>
      <c r="L131" s="230">
        <f>(SUM('1.  LRAMVA Summary'!G$54:G$74)+SUM('1.  LRAMVA Summary'!G$75:G$76)*(MONTH($E131)-1)/12)*$H131</f>
        <v>0</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128.50280793353852</v>
      </c>
    </row>
    <row r="132" spans="2:23" s="9" customFormat="1" ht="15.75" thickBot="1">
      <c r="B132" s="66"/>
      <c r="E132" s="216" t="s">
        <v>467</v>
      </c>
      <c r="F132" s="216"/>
      <c r="G132" s="217"/>
      <c r="H132" s="218"/>
      <c r="I132" s="219">
        <f>SUM(I119:I131)</f>
        <v>746.48255776743315</v>
      </c>
      <c r="J132" s="219">
        <f>SUM(J119:J131)</f>
        <v>1004.2215512762924</v>
      </c>
      <c r="K132" s="219">
        <f t="shared" ref="K132:O132" si="67">SUM(K119:K131)</f>
        <v>520.41874416770008</v>
      </c>
      <c r="L132" s="219">
        <f t="shared" si="67"/>
        <v>0</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2271.122853211426</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431</v>
      </c>
      <c r="F134" s="225"/>
      <c r="G134" s="226"/>
      <c r="H134" s="227"/>
      <c r="I134" s="228">
        <f>I132+I133</f>
        <v>746.48255776743315</v>
      </c>
      <c r="J134" s="228">
        <f t="shared" ref="J134" si="69">J132+J133</f>
        <v>1004.2215512762924</v>
      </c>
      <c r="K134" s="228">
        <f t="shared" ref="K134" si="70">K132+K133</f>
        <v>520.41874416770008</v>
      </c>
      <c r="L134" s="228">
        <f t="shared" ref="L134" si="71">L132+L133</f>
        <v>0</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2271.122853211426</v>
      </c>
    </row>
    <row r="135" spans="2:23" s="9" customFormat="1">
      <c r="B135" s="66"/>
      <c r="E135" s="214">
        <v>43466</v>
      </c>
      <c r="F135" s="214" t="s">
        <v>186</v>
      </c>
      <c r="G135" s="215" t="s">
        <v>65</v>
      </c>
      <c r="H135" s="240">
        <f>$C$47/12</f>
        <v>2.0416666666666669E-3</v>
      </c>
      <c r="I135" s="230">
        <f>(SUM('1.  LRAMVA Summary'!D$54:D$77)+SUM('1.  LRAMVA Summary'!D$78:D$79)*(MONTH($E135)-1)/12)*$H135</f>
        <v>56.94379676995576</v>
      </c>
      <c r="J135" s="230">
        <f>(SUM('1.  LRAMVA Summary'!E$54:E$77)+SUM('1.  LRAMVA Summary'!E$78:E$79)*(MONTH($E135)-1)/12)*$H135</f>
        <v>57.477766029935097</v>
      </c>
      <c r="K135" s="230">
        <f>(SUM('1.  LRAMVA Summary'!F$54:F$77)+SUM('1.  LRAMVA Summary'!F$78:F$79)*(MONTH($E135)-1)/12)*$H135</f>
        <v>33.804069764740611</v>
      </c>
      <c r="L135" s="230">
        <f>(SUM('1.  LRAMVA Summary'!G$54:G$77)+SUM('1.  LRAMVA Summary'!G$78:G$79)*(MONTH($E135)-1)/12)*$H135</f>
        <v>0</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148.22563256463147</v>
      </c>
    </row>
    <row r="136" spans="2:23" s="9" customFormat="1">
      <c r="B136" s="66"/>
      <c r="E136" s="214">
        <v>43497</v>
      </c>
      <c r="F136" s="214" t="s">
        <v>186</v>
      </c>
      <c r="G136" s="215" t="s">
        <v>65</v>
      </c>
      <c r="H136" s="240">
        <f t="shared" ref="H136:H137" si="75">$C$47/12</f>
        <v>2.0416666666666669E-3</v>
      </c>
      <c r="I136" s="230">
        <f>(SUM('1.  LRAMVA Summary'!D$54:D$77)+SUM('1.  LRAMVA Summary'!D$78:D$79)*(MONTH($E136)-1)/12)*$H136</f>
        <v>56.94379676995576</v>
      </c>
      <c r="J136" s="230">
        <f>(SUM('1.  LRAMVA Summary'!E$54:E$77)+SUM('1.  LRAMVA Summary'!E$78:E$79)*(MONTH($E136)-1)/12)*$H136</f>
        <v>59.033989353158773</v>
      </c>
      <c r="K136" s="230">
        <f>(SUM('1.  LRAMVA Summary'!F$54:F$77)+SUM('1.  LRAMVA Summary'!F$78:F$79)*(MONTH($E136)-1)/12)*$H136</f>
        <v>34.626920443319399</v>
      </c>
      <c r="L136" s="230">
        <f>(SUM('1.  LRAMVA Summary'!G$54:G$77)+SUM('1.  LRAMVA Summary'!G$78:G$79)*(MONTH($E136)-1)/12)*$H136</f>
        <v>0</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150.60470656643392</v>
      </c>
    </row>
    <row r="137" spans="2:23" s="9" customFormat="1">
      <c r="B137" s="66"/>
      <c r="E137" s="214">
        <v>43525</v>
      </c>
      <c r="F137" s="214" t="s">
        <v>186</v>
      </c>
      <c r="G137" s="215" t="s">
        <v>65</v>
      </c>
      <c r="H137" s="240">
        <f t="shared" si="75"/>
        <v>2.0416666666666669E-3</v>
      </c>
      <c r="I137" s="230">
        <f>(SUM('1.  LRAMVA Summary'!D$54:D$77)+SUM('1.  LRAMVA Summary'!D$78:D$79)*(MONTH($E137)-1)/12)*$H137</f>
        <v>56.94379676995576</v>
      </c>
      <c r="J137" s="230">
        <f>(SUM('1.  LRAMVA Summary'!E$54:E$77)+SUM('1.  LRAMVA Summary'!E$78:E$79)*(MONTH($E137)-1)/12)*$H137</f>
        <v>60.59021267638245</v>
      </c>
      <c r="K137" s="230">
        <f>(SUM('1.  LRAMVA Summary'!F$54:F$77)+SUM('1.  LRAMVA Summary'!F$78:F$79)*(MONTH($E137)-1)/12)*$H137</f>
        <v>35.449771121898181</v>
      </c>
      <c r="L137" s="230">
        <f>(SUM('1.  LRAMVA Summary'!G$54:G$77)+SUM('1.  LRAMVA Summary'!G$78:G$79)*(MONTH($E137)-1)/12)*$H137</f>
        <v>0</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152.9837805682364</v>
      </c>
    </row>
    <row r="138" spans="2:23" s="8" customFormat="1">
      <c r="B138" s="239"/>
      <c r="E138" s="214">
        <v>43556</v>
      </c>
      <c r="F138" s="214" t="s">
        <v>186</v>
      </c>
      <c r="G138" s="215" t="s">
        <v>66</v>
      </c>
      <c r="H138" s="240">
        <f>$C$48/12</f>
        <v>1.8166666666666667E-3</v>
      </c>
      <c r="I138" s="230">
        <f>(SUM('1.  LRAMVA Summary'!D$54:D$77)+SUM('1.  LRAMVA Summary'!D$78:D$79)*(MONTH($E138)-1)/12)*$H138</f>
        <v>50.668357942246345</v>
      </c>
      <c r="J138" s="230">
        <f>(SUM('1.  LRAMVA Summary'!E$54:E$77)+SUM('1.  LRAMVA Summary'!E$78:E$79)*(MONTH($E138)-1)/12)*$H138</f>
        <v>55.297645093527073</v>
      </c>
      <c r="K138" s="230">
        <f>(SUM('1.  LRAMVA Summary'!F$54:F$77)+SUM('1.  LRAMVA Summary'!F$78:F$79)*(MONTH($E138)-1)/12)*$H138</f>
        <v>32.275230826546839</v>
      </c>
      <c r="L138" s="230">
        <f>(SUM('1.  LRAMVA Summary'!G$54:G$77)+SUM('1.  LRAMVA Summary'!G$78:G$79)*(MONTH($E138)-1)/12)*$H138</f>
        <v>0</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138.24123386232026</v>
      </c>
    </row>
    <row r="139" spans="2:23" s="9" customFormat="1">
      <c r="B139" s="66"/>
      <c r="E139" s="214">
        <v>43586</v>
      </c>
      <c r="F139" s="214" t="s">
        <v>186</v>
      </c>
      <c r="G139" s="215" t="s">
        <v>66</v>
      </c>
      <c r="H139" s="240">
        <f>$C$48/12</f>
        <v>1.8166666666666667E-3</v>
      </c>
      <c r="I139" s="230">
        <f>(SUM('1.  LRAMVA Summary'!D$54:D$77)+SUM('1.  LRAMVA Summary'!D$78:D$79)*(MONTH($E139)-1)/12)*$H139</f>
        <v>50.668357942246345</v>
      </c>
      <c r="J139" s="230">
        <f>(SUM('1.  LRAMVA Summary'!E$54:E$77)+SUM('1.  LRAMVA Summary'!E$78:E$79)*(MONTH($E139)-1)/12)*$H139</f>
        <v>56.682366254599565</v>
      </c>
      <c r="K139" s="230">
        <f>(SUM('1.  LRAMVA Summary'!F$54:F$77)+SUM('1.  LRAMVA Summary'!F$78:F$79)*(MONTH($E139)-1)/12)*$H139</f>
        <v>33.007400001772041</v>
      </c>
      <c r="L139" s="230">
        <f>(SUM('1.  LRAMVA Summary'!G$54:G$77)+SUM('1.  LRAMVA Summary'!G$78:G$79)*(MONTH($E139)-1)/12)*$H139</f>
        <v>0</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140.35812419861793</v>
      </c>
    </row>
    <row r="140" spans="2:23" s="9" customFormat="1">
      <c r="B140" s="66"/>
      <c r="E140" s="214">
        <v>43617</v>
      </c>
      <c r="F140" s="214" t="s">
        <v>186</v>
      </c>
      <c r="G140" s="215" t="s">
        <v>66</v>
      </c>
      <c r="H140" s="240">
        <f t="shared" ref="H140" si="77">$C$48/12</f>
        <v>1.8166666666666667E-3</v>
      </c>
      <c r="I140" s="230">
        <f>(SUM('1.  LRAMVA Summary'!D$54:D$77)+SUM('1.  LRAMVA Summary'!D$78:D$79)*(MONTH($E140)-1)/12)*$H140</f>
        <v>50.668357942246345</v>
      </c>
      <c r="J140" s="230">
        <f>(SUM('1.  LRAMVA Summary'!E$54:E$77)+SUM('1.  LRAMVA Summary'!E$78:E$79)*(MONTH($E140)-1)/12)*$H140</f>
        <v>58.067087415672063</v>
      </c>
      <c r="K140" s="230">
        <f>(SUM('1.  LRAMVA Summary'!F$54:F$77)+SUM('1.  LRAMVA Summary'!F$78:F$79)*(MONTH($E140)-1)/12)*$H140</f>
        <v>33.739569176997243</v>
      </c>
      <c r="L140" s="230">
        <f>(SUM('1.  LRAMVA Summary'!G$54:G$77)+SUM('1.  LRAMVA Summary'!G$78:G$79)*(MONTH($E140)-1)/12)*$H140</f>
        <v>0</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142.47501453491566</v>
      </c>
    </row>
    <row r="141" spans="2:23" s="9" customFormat="1">
      <c r="B141" s="66"/>
      <c r="E141" s="214">
        <v>43647</v>
      </c>
      <c r="F141" s="214" t="s">
        <v>186</v>
      </c>
      <c r="G141" s="215" t="s">
        <v>68</v>
      </c>
      <c r="H141" s="240">
        <f>$C$49/12</f>
        <v>1.8166666666666667E-3</v>
      </c>
      <c r="I141" s="230">
        <f>(SUM('1.  LRAMVA Summary'!D$54:D$77)+SUM('1.  LRAMVA Summary'!D$78:D$79)*(MONTH($E141)-1)/12)*$H141</f>
        <v>50.668357942246345</v>
      </c>
      <c r="J141" s="230">
        <f>(SUM('1.  LRAMVA Summary'!E$54:E$77)+SUM('1.  LRAMVA Summary'!E$78:E$79)*(MONTH($E141)-1)/12)*$H141</f>
        <v>59.451808576744554</v>
      </c>
      <c r="K141" s="230">
        <f>(SUM('1.  LRAMVA Summary'!F$54:F$77)+SUM('1.  LRAMVA Summary'!F$78:F$79)*(MONTH($E141)-1)/12)*$H141</f>
        <v>34.471738352222445</v>
      </c>
      <c r="L141" s="230">
        <f>(SUM('1.  LRAMVA Summary'!G$54:G$77)+SUM('1.  LRAMVA Summary'!G$78:G$79)*(MONTH($E141)-1)/12)*$H141</f>
        <v>0</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144.59190487121333</v>
      </c>
    </row>
    <row r="142" spans="2:23" s="9" customFormat="1">
      <c r="B142" s="66"/>
      <c r="E142" s="214">
        <v>43678</v>
      </c>
      <c r="F142" s="214" t="s">
        <v>186</v>
      </c>
      <c r="G142" s="215" t="s">
        <v>68</v>
      </c>
      <c r="H142" s="240">
        <f t="shared" ref="H142" si="78">$C$49/12</f>
        <v>1.8166666666666667E-3</v>
      </c>
      <c r="I142" s="230">
        <f>(SUM('1.  LRAMVA Summary'!D$54:D$77)+SUM('1.  LRAMVA Summary'!D$78:D$79)*(MONTH($E142)-1)/12)*$H142</f>
        <v>50.668357942246345</v>
      </c>
      <c r="J142" s="230">
        <f>(SUM('1.  LRAMVA Summary'!E$54:E$77)+SUM('1.  LRAMVA Summary'!E$78:E$79)*(MONTH($E142)-1)/12)*$H142</f>
        <v>60.836529737817052</v>
      </c>
      <c r="K142" s="230">
        <f>(SUM('1.  LRAMVA Summary'!F$54:F$77)+SUM('1.  LRAMVA Summary'!F$78:F$79)*(MONTH($E142)-1)/12)*$H142</f>
        <v>35.203907527447647</v>
      </c>
      <c r="L142" s="230">
        <f>(SUM('1.  LRAMVA Summary'!G$54:G$77)+SUM('1.  LRAMVA Summary'!G$78:G$79)*(MONTH($E142)-1)/12)*$H142</f>
        <v>0</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146.70879520751106</v>
      </c>
    </row>
    <row r="143" spans="2:23" s="9" customFormat="1">
      <c r="B143" s="66"/>
      <c r="E143" s="214">
        <v>43709</v>
      </c>
      <c r="F143" s="214" t="s">
        <v>186</v>
      </c>
      <c r="G143" s="215" t="s">
        <v>68</v>
      </c>
      <c r="H143" s="240">
        <f>$C$49/12</f>
        <v>1.8166666666666667E-3</v>
      </c>
      <c r="I143" s="230">
        <f>(SUM('1.  LRAMVA Summary'!D$54:D$77)+SUM('1.  LRAMVA Summary'!D$78:D$79)*(MONTH($E143)-1)/12)*$H143</f>
        <v>50.668357942246345</v>
      </c>
      <c r="J143" s="230">
        <f>(SUM('1.  LRAMVA Summary'!E$54:E$77)+SUM('1.  LRAMVA Summary'!E$78:E$79)*(MONTH($E143)-1)/12)*$H143</f>
        <v>62.221250898889544</v>
      </c>
      <c r="K143" s="230">
        <f>(SUM('1.  LRAMVA Summary'!F$54:F$77)+SUM('1.  LRAMVA Summary'!F$78:F$79)*(MONTH($E143)-1)/12)*$H143</f>
        <v>35.93607670267285</v>
      </c>
      <c r="L143" s="230">
        <f>(SUM('1.  LRAMVA Summary'!G$54:G$77)+SUM('1.  LRAMVA Summary'!G$78:G$79)*(MONTH($E143)-1)/12)*$H143</f>
        <v>0</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148.82568554380873</v>
      </c>
    </row>
    <row r="144" spans="2:23" s="9" customFormat="1">
      <c r="B144" s="66"/>
      <c r="E144" s="214">
        <v>43739</v>
      </c>
      <c r="F144" s="214" t="s">
        <v>186</v>
      </c>
      <c r="G144" s="215" t="s">
        <v>69</v>
      </c>
      <c r="H144" s="240">
        <f>$C$50/12</f>
        <v>1.8166666666666667E-3</v>
      </c>
      <c r="I144" s="230">
        <f>(SUM('1.  LRAMVA Summary'!D$54:D$77)+SUM('1.  LRAMVA Summary'!D$78:D$79)*(MONTH($E144)-1)/12)*$H144</f>
        <v>50.668357942246345</v>
      </c>
      <c r="J144" s="230">
        <f>(SUM('1.  LRAMVA Summary'!E$54:E$77)+SUM('1.  LRAMVA Summary'!E$78:E$79)*(MONTH($E144)-1)/12)*$H144</f>
        <v>63.605972059962028</v>
      </c>
      <c r="K144" s="230">
        <f>(SUM('1.  LRAMVA Summary'!F$54:F$77)+SUM('1.  LRAMVA Summary'!F$78:F$79)*(MONTH($E144)-1)/12)*$H144</f>
        <v>36.668245877898052</v>
      </c>
      <c r="L144" s="230">
        <f>(SUM('1.  LRAMVA Summary'!G$54:G$77)+SUM('1.  LRAMVA Summary'!G$78:G$79)*(MONTH($E144)-1)/12)*$H144</f>
        <v>0</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150.94257588010643</v>
      </c>
    </row>
    <row r="145" spans="2:23" s="9" customFormat="1">
      <c r="B145" s="66"/>
      <c r="E145" s="214">
        <v>43770</v>
      </c>
      <c r="F145" s="214" t="s">
        <v>186</v>
      </c>
      <c r="G145" s="215" t="s">
        <v>69</v>
      </c>
      <c r="H145" s="240">
        <f t="shared" ref="H145:H146" si="79">$C$50/12</f>
        <v>1.8166666666666667E-3</v>
      </c>
      <c r="I145" s="230">
        <f>(SUM('1.  LRAMVA Summary'!D$54:D$77)+SUM('1.  LRAMVA Summary'!D$78:D$79)*(MONTH($E145)-1)/12)*$H145</f>
        <v>50.668357942246345</v>
      </c>
      <c r="J145" s="230">
        <f>(SUM('1.  LRAMVA Summary'!E$54:E$77)+SUM('1.  LRAMVA Summary'!E$78:E$79)*(MONTH($E145)-1)/12)*$H145</f>
        <v>64.990693221034533</v>
      </c>
      <c r="K145" s="230">
        <f>(SUM('1.  LRAMVA Summary'!F$54:F$77)+SUM('1.  LRAMVA Summary'!F$78:F$79)*(MONTH($E145)-1)/12)*$H145</f>
        <v>37.400415053123247</v>
      </c>
      <c r="L145" s="230">
        <f>(SUM('1.  LRAMVA Summary'!G$54:G$77)+SUM('1.  LRAMVA Summary'!G$78:G$79)*(MONTH($E145)-1)/12)*$H145</f>
        <v>0</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153.05946621640413</v>
      </c>
    </row>
    <row r="146" spans="2:23" s="9" customFormat="1">
      <c r="B146" s="66"/>
      <c r="E146" s="214">
        <v>43800</v>
      </c>
      <c r="F146" s="214" t="s">
        <v>186</v>
      </c>
      <c r="G146" s="215" t="s">
        <v>69</v>
      </c>
      <c r="H146" s="240">
        <f t="shared" si="79"/>
        <v>1.8166666666666667E-3</v>
      </c>
      <c r="I146" s="230">
        <f>(SUM('1.  LRAMVA Summary'!D$54:D$77)+SUM('1.  LRAMVA Summary'!D$78:D$79)*(MONTH($E146)-1)/12)*$H146</f>
        <v>50.668357942246345</v>
      </c>
      <c r="J146" s="230">
        <f>(SUM('1.  LRAMVA Summary'!E$54:E$77)+SUM('1.  LRAMVA Summary'!E$78:E$79)*(MONTH($E146)-1)/12)*$H146</f>
        <v>66.375414382107024</v>
      </c>
      <c r="K146" s="230">
        <f>(SUM('1.  LRAMVA Summary'!F$54:F$77)+SUM('1.  LRAMVA Summary'!F$78:F$79)*(MONTH($E146)-1)/12)*$H146</f>
        <v>38.132584228348449</v>
      </c>
      <c r="L146" s="230">
        <f>(SUM('1.  LRAMVA Summary'!G$54:G$77)+SUM('1.  LRAMVA Summary'!G$78:G$79)*(MONTH($E146)-1)/12)*$H146</f>
        <v>0</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155.1763565527018</v>
      </c>
    </row>
    <row r="147" spans="2:23" s="9" customFormat="1" ht="15.75" thickBot="1">
      <c r="B147" s="66"/>
      <c r="E147" s="216" t="s">
        <v>468</v>
      </c>
      <c r="F147" s="216"/>
      <c r="G147" s="217"/>
      <c r="H147" s="218"/>
      <c r="I147" s="219">
        <f>SUM(I134:I146)</f>
        <v>1373.3291695575172</v>
      </c>
      <c r="J147" s="219">
        <f>SUM(J134:J146)</f>
        <v>1728.8522869761225</v>
      </c>
      <c r="K147" s="219">
        <f t="shared" ref="K147:O147" si="80">SUM(K134:K146)</f>
        <v>941.13467324468695</v>
      </c>
      <c r="L147" s="219">
        <f t="shared" si="80"/>
        <v>0</v>
      </c>
      <c r="M147" s="219">
        <f t="shared" si="80"/>
        <v>0</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4043.3161297783272</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432</v>
      </c>
      <c r="F149" s="225"/>
      <c r="G149" s="226"/>
      <c r="H149" s="227"/>
      <c r="I149" s="228">
        <f>I147+I148</f>
        <v>1373.3291695575172</v>
      </c>
      <c r="J149" s="228">
        <f t="shared" ref="J149" si="82">J147+J148</f>
        <v>1728.8522869761225</v>
      </c>
      <c r="K149" s="228">
        <f t="shared" ref="K149" si="83">K147+K148</f>
        <v>941.13467324468695</v>
      </c>
      <c r="L149" s="228">
        <f t="shared" ref="L149" si="84">L147+L148</f>
        <v>0</v>
      </c>
      <c r="M149" s="228">
        <f t="shared" ref="M149" si="85">M147+M148</f>
        <v>0</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4043.3161297783272</v>
      </c>
    </row>
    <row r="150" spans="2:23" s="9" customFormat="1">
      <c r="B150" s="66"/>
      <c r="E150" s="214">
        <v>43831</v>
      </c>
      <c r="F150" s="214" t="s">
        <v>187</v>
      </c>
      <c r="G150" s="215" t="s">
        <v>65</v>
      </c>
      <c r="H150" s="240">
        <f>$C$51/12</f>
        <v>1.8166666666666667E-3</v>
      </c>
      <c r="I150" s="230">
        <f>(SUM('1.  LRAMVA Summary'!D$54:D$80)+SUM('1.  LRAMVA Summary'!D$81:D$82)*(MONTH($E150)-1)/12)*$H150</f>
        <v>50.668357942246345</v>
      </c>
      <c r="J150" s="230">
        <f>(SUM('1.  LRAMVA Summary'!E$54:E$80)+SUM('1.  LRAMVA Summary'!E$81:E$82)*(MONTH($E150)-1)/12)*$H150</f>
        <v>67.76013554317953</v>
      </c>
      <c r="K150" s="230">
        <f>(SUM('1.  LRAMVA Summary'!F$54:F$80)+SUM('1.  LRAMVA Summary'!F$81:F$82)*(MONTH($E150)-1)/12)*$H150</f>
        <v>38.864753403573644</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157.29324688899953</v>
      </c>
    </row>
    <row r="151" spans="2:23" s="9" customFormat="1">
      <c r="B151" s="66"/>
      <c r="E151" s="214">
        <v>43862</v>
      </c>
      <c r="F151" s="214" t="s">
        <v>187</v>
      </c>
      <c r="G151" s="215" t="s">
        <v>65</v>
      </c>
      <c r="H151" s="240">
        <f t="shared" ref="H151:H152" si="88">$C$51/12</f>
        <v>1.8166666666666667E-3</v>
      </c>
      <c r="I151" s="230">
        <f>(SUM('1.  LRAMVA Summary'!D$54:D$80)+SUM('1.  LRAMVA Summary'!D$81:D$82)*(MONTH($E151)-1)/12)*$H151</f>
        <v>50.668357942246345</v>
      </c>
      <c r="J151" s="230">
        <f>(SUM('1.  LRAMVA Summary'!E$54:E$80)+SUM('1.  LRAMVA Summary'!E$81:E$82)*(MONTH($E151)-1)/12)*$H151</f>
        <v>68.999906750664195</v>
      </c>
      <c r="K151" s="230">
        <f>(SUM('1.  LRAMVA Summary'!F$54:F$80)+SUM('1.  LRAMVA Summary'!F$81:F$82)*(MONTH($E151)-1)/12)*$H151</f>
        <v>39.608097813462656</v>
      </c>
      <c r="L151" s="230">
        <f>(SUM('1.  LRAMVA Summary'!G$54:G$80)+SUM('1.  LRAMVA Summary'!G$81:G$82)*(MONTH($E151)-1)/12)*$H151</f>
        <v>0</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159.2763625063732</v>
      </c>
    </row>
    <row r="152" spans="2:23" s="9" customFormat="1">
      <c r="B152" s="66"/>
      <c r="E152" s="214">
        <v>43891</v>
      </c>
      <c r="F152" s="214" t="s">
        <v>187</v>
      </c>
      <c r="G152" s="215" t="s">
        <v>65</v>
      </c>
      <c r="H152" s="240">
        <f t="shared" si="88"/>
        <v>1.8166666666666667E-3</v>
      </c>
      <c r="I152" s="230">
        <f>(SUM('1.  LRAMVA Summary'!D$54:D$80)+SUM('1.  LRAMVA Summary'!D$81:D$82)*(MONTH($E152)-1)/12)*$H152</f>
        <v>50.668357942246345</v>
      </c>
      <c r="J152" s="230">
        <f>(SUM('1.  LRAMVA Summary'!E$54:E$80)+SUM('1.  LRAMVA Summary'!E$81:E$82)*(MONTH($E152)-1)/12)*$H152</f>
        <v>70.23967795814886</v>
      </c>
      <c r="K152" s="230">
        <f>(SUM('1.  LRAMVA Summary'!F$54:F$80)+SUM('1.  LRAMVA Summary'!F$81:F$82)*(MONTH($E152)-1)/12)*$H152</f>
        <v>40.351442223351661</v>
      </c>
      <c r="L152" s="230">
        <f>(SUM('1.  LRAMVA Summary'!G$54:G$80)+SUM('1.  LRAMVA Summary'!G$81:G$82)*(MONTH($E152)-1)/12)*$H152</f>
        <v>0</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161.25947812374687</v>
      </c>
    </row>
    <row r="153" spans="2:23" s="9" customFormat="1">
      <c r="B153" s="66"/>
      <c r="E153" s="214">
        <v>43922</v>
      </c>
      <c r="F153" s="214" t="s">
        <v>187</v>
      </c>
      <c r="G153" s="215" t="s">
        <v>66</v>
      </c>
      <c r="H153" s="240">
        <f>$C$52/12</f>
        <v>1.8166666666666667E-3</v>
      </c>
      <c r="I153" s="230">
        <f>(SUM('1.  LRAMVA Summary'!D$54:D$80)+SUM('1.  LRAMVA Summary'!D$81:D$82)*(MONTH($E153)-1)/12)*$H153</f>
        <v>50.668357942246345</v>
      </c>
      <c r="J153" s="230">
        <f>(SUM('1.  LRAMVA Summary'!E$54:E$80)+SUM('1.  LRAMVA Summary'!E$81:E$82)*(MONTH($E153)-1)/12)*$H153</f>
        <v>71.47944916563354</v>
      </c>
      <c r="K153" s="230">
        <f>(SUM('1.  LRAMVA Summary'!F$54:F$80)+SUM('1.  LRAMVA Summary'!F$81:F$82)*(MONTH($E153)-1)/12)*$H153</f>
        <v>41.094786633240666</v>
      </c>
      <c r="L153" s="230">
        <f>(SUM('1.  LRAMVA Summary'!G$54:G$80)+SUM('1.  LRAMVA Summary'!G$81:G$82)*(MONTH($E153)-1)/12)*$H153</f>
        <v>0</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163.24259374112054</v>
      </c>
    </row>
    <row r="154" spans="2:23" s="9" customFormat="1">
      <c r="B154" s="66"/>
      <c r="E154" s="214">
        <v>43952</v>
      </c>
      <c r="F154" s="214" t="s">
        <v>187</v>
      </c>
      <c r="G154" s="215" t="s">
        <v>66</v>
      </c>
      <c r="H154" s="240">
        <f t="shared" ref="H154:H155" si="90">$C$52/12</f>
        <v>1.8166666666666667E-3</v>
      </c>
      <c r="I154" s="230">
        <f>(SUM('1.  LRAMVA Summary'!D$54:D$80)+SUM('1.  LRAMVA Summary'!D$81:D$82)*(MONTH($E154)-1)/12)*$H154</f>
        <v>50.668357942246345</v>
      </c>
      <c r="J154" s="230">
        <f>(SUM('1.  LRAMVA Summary'!E$54:E$80)+SUM('1.  LRAMVA Summary'!E$81:E$82)*(MONTH($E154)-1)/12)*$H154</f>
        <v>72.719220373118219</v>
      </c>
      <c r="K154" s="230">
        <f>(SUM('1.  LRAMVA Summary'!F$54:F$80)+SUM('1.  LRAMVA Summary'!F$81:F$82)*(MONTH($E154)-1)/12)*$H154</f>
        <v>41.838131043129664</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165.22570935849421</v>
      </c>
    </row>
    <row r="155" spans="2:23" s="9" customFormat="1">
      <c r="B155" s="66"/>
      <c r="E155" s="214">
        <v>43983</v>
      </c>
      <c r="F155" s="214" t="s">
        <v>187</v>
      </c>
      <c r="G155" s="215" t="s">
        <v>66</v>
      </c>
      <c r="H155" s="240">
        <f t="shared" si="90"/>
        <v>1.8166666666666667E-3</v>
      </c>
      <c r="I155" s="230">
        <f>(SUM('1.  LRAMVA Summary'!D$54:D$80)+SUM('1.  LRAMVA Summary'!D$81:D$82)*(MONTH($E155)-1)/12)*$H155</f>
        <v>50.668357942246345</v>
      </c>
      <c r="J155" s="230">
        <f>(SUM('1.  LRAMVA Summary'!E$54:E$80)+SUM('1.  LRAMVA Summary'!E$81:E$82)*(MONTH($E155)-1)/12)*$H155</f>
        <v>73.958991580602884</v>
      </c>
      <c r="K155" s="230">
        <f>(SUM('1.  LRAMVA Summary'!F$54:F$80)+SUM('1.  LRAMVA Summary'!F$81:F$82)*(MONTH($E155)-1)/12)*$H155</f>
        <v>42.581475453018669</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167.20882497586791</v>
      </c>
    </row>
    <row r="156" spans="2:23" s="9" customFormat="1">
      <c r="B156" s="66"/>
      <c r="E156" s="214">
        <v>44013</v>
      </c>
      <c r="F156" s="214" t="s">
        <v>187</v>
      </c>
      <c r="G156" s="215" t="s">
        <v>68</v>
      </c>
      <c r="H156" s="240">
        <f>$C$53/12</f>
        <v>4.75E-4</v>
      </c>
      <c r="I156" s="230">
        <f>(SUM('1.  LRAMVA Summary'!D$54:D$80)+SUM('1.  LRAMVA Summary'!D$81:D$82)*(MONTH($E156)-1)/12)*$H156</f>
        <v>13.24814863627542</v>
      </c>
      <c r="J156" s="230">
        <f>(SUM('1.  LRAMVA Summary'!E$54:E$80)+SUM('1.  LRAMVA Summary'!E$81:E$82)*(MONTH($E156)-1)/12)*$H156</f>
        <v>19.662061829912805</v>
      </c>
      <c r="K156" s="230">
        <f>(SUM('1.  LRAMVA Summary'!F$54:F$80)+SUM('1.  LRAMVA Summary'!F$81:F$82)*(MONTH($E156)-1)/12)*$H156</f>
        <v>11.328049230209805</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44.238259696398032</v>
      </c>
    </row>
    <row r="157" spans="2:23" s="9" customFormat="1">
      <c r="B157" s="66"/>
      <c r="E157" s="214">
        <v>44044</v>
      </c>
      <c r="F157" s="214" t="s">
        <v>187</v>
      </c>
      <c r="G157" s="215" t="s">
        <v>68</v>
      </c>
      <c r="H157" s="240">
        <f t="shared" ref="H157:H158" si="91">$C$53/12</f>
        <v>4.75E-4</v>
      </c>
      <c r="I157" s="230">
        <f>(SUM('1.  LRAMVA Summary'!D$54:D$80)+SUM('1.  LRAMVA Summary'!D$81:D$82)*(MONTH($E157)-1)/12)*$H157</f>
        <v>13.24814863627542</v>
      </c>
      <c r="J157" s="230">
        <f>(SUM('1.  LRAMVA Summary'!E$54:E$80)+SUM('1.  LRAMVA Summary'!E$81:E$82)*(MONTH($E157)-1)/12)*$H157</f>
        <v>19.986222191502829</v>
      </c>
      <c r="K157" s="230">
        <f>(SUM('1.  LRAMVA Summary'!F$54:F$80)+SUM('1.  LRAMVA Summary'!F$81:F$82)*(MONTH($E157)-1)/12)*$H157</f>
        <v>11.522409924538582</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44.756780752316828</v>
      </c>
    </row>
    <row r="158" spans="2:23" s="9" customFormat="1">
      <c r="B158" s="66"/>
      <c r="E158" s="214">
        <v>44075</v>
      </c>
      <c r="F158" s="214" t="s">
        <v>187</v>
      </c>
      <c r="G158" s="215" t="s">
        <v>68</v>
      </c>
      <c r="H158" s="240">
        <f t="shared" si="91"/>
        <v>4.75E-4</v>
      </c>
      <c r="I158" s="230">
        <f>(SUM('1.  LRAMVA Summary'!D$54:D$80)+SUM('1.  LRAMVA Summary'!D$81:D$82)*(MONTH($E158)-1)/12)*$H158</f>
        <v>13.24814863627542</v>
      </c>
      <c r="J158" s="230">
        <f>(SUM('1.  LRAMVA Summary'!E$54:E$80)+SUM('1.  LRAMVA Summary'!E$81:E$82)*(MONTH($E158)-1)/12)*$H158</f>
        <v>20.310382553092861</v>
      </c>
      <c r="K158" s="230">
        <f>(SUM('1.  LRAMVA Summary'!F$54:F$80)+SUM('1.  LRAMVA Summary'!F$81:F$82)*(MONTH($E158)-1)/12)*$H158</f>
        <v>11.716770618867359</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45.275301808235639</v>
      </c>
    </row>
    <row r="159" spans="2:23" s="9" customFormat="1">
      <c r="B159" s="66"/>
      <c r="E159" s="214">
        <v>44105</v>
      </c>
      <c r="F159" s="214" t="s">
        <v>187</v>
      </c>
      <c r="G159" s="215" t="s">
        <v>69</v>
      </c>
      <c r="H159" s="240">
        <f>$C$54/12</f>
        <v>4.75E-4</v>
      </c>
      <c r="I159" s="230">
        <f>(SUM('1.  LRAMVA Summary'!D$54:D$80)+SUM('1.  LRAMVA Summary'!D$81:D$82)*(MONTH($E159)-1)/12)*$H159</f>
        <v>13.24814863627542</v>
      </c>
      <c r="J159" s="230">
        <f>(SUM('1.  LRAMVA Summary'!E$54:E$80)+SUM('1.  LRAMVA Summary'!E$81:E$82)*(MONTH($E159)-1)/12)*$H159</f>
        <v>20.634542914682893</v>
      </c>
      <c r="K159" s="230">
        <f>(SUM('1.  LRAMVA Summary'!F$54:F$80)+SUM('1.  LRAMVA Summary'!F$81:F$82)*(MONTH($E159)-1)/12)*$H159</f>
        <v>11.911131313196137</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45.79382286415445</v>
      </c>
    </row>
    <row r="160" spans="2:23" s="9" customFormat="1">
      <c r="B160" s="66"/>
      <c r="E160" s="214">
        <v>44136</v>
      </c>
      <c r="F160" s="214" t="s">
        <v>187</v>
      </c>
      <c r="G160" s="215" t="s">
        <v>69</v>
      </c>
      <c r="H160" s="240">
        <f t="shared" ref="H160:H161" si="92">$C$54/12</f>
        <v>4.75E-4</v>
      </c>
      <c r="I160" s="230">
        <f>(SUM('1.  LRAMVA Summary'!D$54:D$80)+SUM('1.  LRAMVA Summary'!D$81:D$82)*(MONTH($E160)-1)/12)*$H160</f>
        <v>13.24814863627542</v>
      </c>
      <c r="J160" s="230">
        <f>(SUM('1.  LRAMVA Summary'!E$54:E$80)+SUM('1.  LRAMVA Summary'!E$81:E$82)*(MONTH($E160)-1)/12)*$H160</f>
        <v>20.958703276272917</v>
      </c>
      <c r="K160" s="230">
        <f>(SUM('1.  LRAMVA Summary'!F$54:F$80)+SUM('1.  LRAMVA Summary'!F$81:F$82)*(MONTH($E160)-1)/12)*$H160</f>
        <v>12.105492007524912</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46.312343920073246</v>
      </c>
    </row>
    <row r="161" spans="2:23" s="9" customFormat="1">
      <c r="B161" s="66"/>
      <c r="E161" s="214">
        <v>44166</v>
      </c>
      <c r="F161" s="214" t="s">
        <v>187</v>
      </c>
      <c r="G161" s="215" t="s">
        <v>69</v>
      </c>
      <c r="H161" s="240">
        <f t="shared" si="92"/>
        <v>4.75E-4</v>
      </c>
      <c r="I161" s="230">
        <f>(SUM('1.  LRAMVA Summary'!D$54:D$80)+SUM('1.  LRAMVA Summary'!D$81:D$82)*(MONTH($E161)-1)/12)*$H161</f>
        <v>13.24814863627542</v>
      </c>
      <c r="J161" s="230">
        <f>(SUM('1.  LRAMVA Summary'!E$54:E$80)+SUM('1.  LRAMVA Summary'!E$81:E$82)*(MONTH($E161)-1)/12)*$H161</f>
        <v>21.282863637862949</v>
      </c>
      <c r="K161" s="230">
        <f>(SUM('1.  LRAMVA Summary'!F$54:F$80)+SUM('1.  LRAMVA Summary'!F$81:F$82)*(MONTH($E161)-1)/12)*$H161</f>
        <v>12.299852701853689</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46.830864975992057</v>
      </c>
    </row>
    <row r="162" spans="2:23" s="9" customFormat="1" ht="15.75" thickBot="1">
      <c r="B162" s="66"/>
      <c r="E162" s="216" t="s">
        <v>469</v>
      </c>
      <c r="F162" s="216"/>
      <c r="G162" s="217"/>
      <c r="H162" s="218"/>
      <c r="I162" s="219">
        <f>SUM(I149:I161)</f>
        <v>1756.8282090286471</v>
      </c>
      <c r="J162" s="219">
        <f>SUM(J149:J161)</f>
        <v>2276.8444447507968</v>
      </c>
      <c r="K162" s="219">
        <f t="shared" ref="K162:O162" si="93">SUM(K149:K161)</f>
        <v>1256.3570656106542</v>
      </c>
      <c r="L162" s="219">
        <f t="shared" si="93"/>
        <v>0</v>
      </c>
      <c r="M162" s="219">
        <f t="shared" si="93"/>
        <v>0</v>
      </c>
      <c r="N162" s="219">
        <f t="shared" si="93"/>
        <v>0</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5290.0297193900997</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721</v>
      </c>
      <c r="F164" s="225"/>
      <c r="G164" s="226"/>
      <c r="H164" s="227"/>
      <c r="I164" s="228">
        <f>I162+I163</f>
        <v>1756.8282090286471</v>
      </c>
      <c r="J164" s="228">
        <f t="shared" ref="J164:U164" si="95">J162+J163</f>
        <v>2276.8444447507968</v>
      </c>
      <c r="K164" s="228">
        <f t="shared" si="95"/>
        <v>1256.3570656106542</v>
      </c>
      <c r="L164" s="228">
        <f t="shared" si="95"/>
        <v>0</v>
      </c>
      <c r="M164" s="228">
        <f t="shared" si="95"/>
        <v>0</v>
      </c>
      <c r="N164" s="228">
        <f t="shared" si="95"/>
        <v>0</v>
      </c>
      <c r="O164" s="228">
        <f t="shared" si="95"/>
        <v>0</v>
      </c>
      <c r="P164" s="228">
        <f t="shared" si="95"/>
        <v>0</v>
      </c>
      <c r="Q164" s="228">
        <f t="shared" si="95"/>
        <v>0</v>
      </c>
      <c r="R164" s="228">
        <f t="shared" si="95"/>
        <v>0</v>
      </c>
      <c r="S164" s="228">
        <f t="shared" si="95"/>
        <v>0</v>
      </c>
      <c r="T164" s="228">
        <f t="shared" si="95"/>
        <v>0</v>
      </c>
      <c r="U164" s="228">
        <f t="shared" si="95"/>
        <v>0</v>
      </c>
      <c r="V164" s="228">
        <f>V162+V163</f>
        <v>0</v>
      </c>
      <c r="W164" s="228">
        <f>W162+W163</f>
        <v>5290.0297193900997</v>
      </c>
    </row>
    <row r="165" spans="2:23">
      <c r="E165" s="214">
        <v>44197</v>
      </c>
      <c r="F165" s="214" t="s">
        <v>727</v>
      </c>
      <c r="G165" s="215" t="s">
        <v>65</v>
      </c>
      <c r="H165" s="240">
        <f>$C$55/12</f>
        <v>4.75E-4</v>
      </c>
      <c r="I165" s="230">
        <f>(SUM('1.  LRAMVA Summary'!D$54:D$80)+SUM('1.  LRAMVA Summary'!D$81:D$82)*(MONTH($E165)-1)/12)*$H165</f>
        <v>13.24814863627542</v>
      </c>
      <c r="J165" s="230">
        <f>(SUM('1.  LRAMVA Summary'!E$54:E$80)+SUM('1.  LRAMVA Summary'!E$81:E$82)*(MONTH($E165)-1)/12)*$H165</f>
        <v>17.717099660372629</v>
      </c>
      <c r="K165" s="230">
        <f>(SUM('1.  LRAMVA Summary'!F$54:F$80)+SUM('1.  LRAMVA Summary'!F$81:F$82)*(MONTH($E165)-1)/12)*$H165</f>
        <v>10.161885064237145</v>
      </c>
      <c r="L165" s="230">
        <f>(SUM('1.  LRAMVA Summary'!G$54:G$80)+SUM('1.  LRAMVA Summary'!G$81:G$82)*(MONTH($E165)-1)/12)*$H165</f>
        <v>0</v>
      </c>
      <c r="M165" s="230">
        <f>(SUM('1.  LRAMVA Summary'!H$54:H$80)+SUM('1.  LRAMVA Summary'!H$81:H$82)*(MONTH($E165)-1)/12)*$H165</f>
        <v>0</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41.127133360885196</v>
      </c>
    </row>
    <row r="166" spans="2:23">
      <c r="E166" s="214">
        <v>44228</v>
      </c>
      <c r="F166" s="214" t="s">
        <v>727</v>
      </c>
      <c r="G166" s="215" t="s">
        <v>65</v>
      </c>
      <c r="H166" s="240">
        <f t="shared" ref="H166:H167" si="96">$C$55/12</f>
        <v>4.75E-4</v>
      </c>
      <c r="I166" s="230">
        <f>(SUM('1.  LRAMVA Summary'!D$54:D$80)+SUM('1.  LRAMVA Summary'!D$81:D$82)*(MONTH($E166)-1)/12)*$H166</f>
        <v>13.24814863627542</v>
      </c>
      <c r="J166" s="230">
        <f>(SUM('1.  LRAMVA Summary'!E$54:E$80)+SUM('1.  LRAMVA Summary'!E$81:E$82)*(MONTH($E166)-1)/12)*$H166</f>
        <v>18.041260021962657</v>
      </c>
      <c r="K166" s="230">
        <f>(SUM('1.  LRAMVA Summary'!F$54:F$80)+SUM('1.  LRAMVA Summary'!F$81:F$82)*(MONTH($E166)-1)/12)*$H166</f>
        <v>10.356245758565922</v>
      </c>
      <c r="L166" s="230">
        <f>(SUM('1.  LRAMVA Summary'!G$54:G$80)+SUM('1.  LRAMVA Summary'!G$81:G$82)*(MONTH($E166)-1)/12)*$H166</f>
        <v>0</v>
      </c>
      <c r="M166" s="230">
        <f>(SUM('1.  LRAMVA Summary'!H$54:H$80)+SUM('1.  LRAMVA Summary'!H$81:H$82)*(MONTH($E166)-1)/12)*$H166</f>
        <v>0</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7">SUM(I166:V166)</f>
        <v>41.645654416804</v>
      </c>
    </row>
    <row r="167" spans="2:23">
      <c r="E167" s="214">
        <v>44256</v>
      </c>
      <c r="F167" s="214" t="s">
        <v>727</v>
      </c>
      <c r="G167" s="215" t="s">
        <v>65</v>
      </c>
      <c r="H167" s="240">
        <f t="shared" si="96"/>
        <v>4.75E-4</v>
      </c>
      <c r="I167" s="230">
        <f>(SUM('1.  LRAMVA Summary'!D$54:D$80)+SUM('1.  LRAMVA Summary'!D$81:D$82)*(MONTH($E167)-1)/12)*$H167</f>
        <v>13.24814863627542</v>
      </c>
      <c r="J167" s="230">
        <f>(SUM('1.  LRAMVA Summary'!E$54:E$80)+SUM('1.  LRAMVA Summary'!E$81:E$82)*(MONTH($E167)-1)/12)*$H167</f>
        <v>18.365420383552685</v>
      </c>
      <c r="K167" s="230">
        <f>(SUM('1.  LRAMVA Summary'!F$54:F$80)+SUM('1.  LRAMVA Summary'!F$81:F$82)*(MONTH($E167)-1)/12)*$H167</f>
        <v>10.5506064528947</v>
      </c>
      <c r="L167" s="230">
        <f>(SUM('1.  LRAMVA Summary'!G$54:G$80)+SUM('1.  LRAMVA Summary'!G$81:G$82)*(MONTH($E167)-1)/12)*$H167</f>
        <v>0</v>
      </c>
      <c r="M167" s="230">
        <f>(SUM('1.  LRAMVA Summary'!H$54:H$80)+SUM('1.  LRAMVA Summary'!H$81:H$82)*(MONTH($E167)-1)/12)*$H167</f>
        <v>0</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7"/>
        <v>42.164175472722803</v>
      </c>
    </row>
    <row r="168" spans="2:23">
      <c r="E168" s="214">
        <v>44287</v>
      </c>
      <c r="F168" s="214" t="s">
        <v>727</v>
      </c>
      <c r="G168" s="215" t="s">
        <v>66</v>
      </c>
      <c r="H168" s="240">
        <f>$C$56/12</f>
        <v>4.75E-4</v>
      </c>
      <c r="I168" s="230">
        <f>(SUM('1.  LRAMVA Summary'!D$54:D$80)+SUM('1.  LRAMVA Summary'!D$81:D$82)*(MONTH($E168)-1)/12)*$H168</f>
        <v>13.24814863627542</v>
      </c>
      <c r="J168" s="230">
        <f>(SUM('1.  LRAMVA Summary'!E$54:E$80)+SUM('1.  LRAMVA Summary'!E$81:E$82)*(MONTH($E168)-1)/12)*$H168</f>
        <v>18.689580745142717</v>
      </c>
      <c r="K168" s="230">
        <f>(SUM('1.  LRAMVA Summary'!F$54:F$80)+SUM('1.  LRAMVA Summary'!F$81:F$82)*(MONTH($E168)-1)/12)*$H168</f>
        <v>10.744967147223477</v>
      </c>
      <c r="L168" s="230">
        <f>(SUM('1.  LRAMVA Summary'!G$54:G$80)+SUM('1.  LRAMVA Summary'!G$81:G$82)*(MONTH($E168)-1)/12)*$H168</f>
        <v>0</v>
      </c>
      <c r="M168" s="230">
        <f>(SUM('1.  LRAMVA Summary'!H$54:H$80)+SUM('1.  LRAMVA Summary'!H$81:H$82)*(MONTH($E168)-1)/12)*$H168</f>
        <v>0</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7"/>
        <v>42.682696528641614</v>
      </c>
    </row>
    <row r="169" spans="2:23">
      <c r="E169" s="214">
        <v>44317</v>
      </c>
      <c r="F169" s="214" t="s">
        <v>727</v>
      </c>
      <c r="G169" s="215" t="s">
        <v>66</v>
      </c>
      <c r="H169" s="240">
        <f t="shared" ref="H169:H170" si="98">$C$56/12</f>
        <v>4.75E-4</v>
      </c>
      <c r="I169" s="230">
        <f>(SUM('1.  LRAMVA Summary'!D$54:D$80)+SUM('1.  LRAMVA Summary'!D$81:D$82)*(MONTH($E169)-1)/12)*$H169</f>
        <v>13.24814863627542</v>
      </c>
      <c r="J169" s="230">
        <f>(SUM('1.  LRAMVA Summary'!E$54:E$80)+SUM('1.  LRAMVA Summary'!E$81:E$82)*(MONTH($E169)-1)/12)*$H169</f>
        <v>19.013741106732745</v>
      </c>
      <c r="K169" s="230">
        <f>(SUM('1.  LRAMVA Summary'!F$54:F$80)+SUM('1.  LRAMVA Summary'!F$81:F$82)*(MONTH($E169)-1)/12)*$H169</f>
        <v>10.939327841552252</v>
      </c>
      <c r="L169" s="230">
        <f>(SUM('1.  LRAMVA Summary'!G$54:G$80)+SUM('1.  LRAMVA Summary'!G$81:G$82)*(MONTH($E169)-1)/12)*$H169</f>
        <v>0</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7"/>
        <v>43.201217584560425</v>
      </c>
    </row>
    <row r="170" spans="2:23">
      <c r="E170" s="214">
        <v>44348</v>
      </c>
      <c r="F170" s="214" t="s">
        <v>727</v>
      </c>
      <c r="G170" s="215" t="s">
        <v>66</v>
      </c>
      <c r="H170" s="240">
        <f t="shared" si="98"/>
        <v>4.75E-4</v>
      </c>
      <c r="I170" s="230">
        <f>(SUM('1.  LRAMVA Summary'!D$54:D$80)+SUM('1.  LRAMVA Summary'!D$81:D$82)*(MONTH($E170)-1)/12)*$H170</f>
        <v>13.24814863627542</v>
      </c>
      <c r="J170" s="230">
        <f>(SUM('1.  LRAMVA Summary'!E$54:E$80)+SUM('1.  LRAMVA Summary'!E$81:E$82)*(MONTH($E170)-1)/12)*$H170</f>
        <v>19.337901468322773</v>
      </c>
      <c r="K170" s="230">
        <f>(SUM('1.  LRAMVA Summary'!F$54:F$80)+SUM('1.  LRAMVA Summary'!F$81:F$82)*(MONTH($E170)-1)/12)*$H170</f>
        <v>11.133688535881028</v>
      </c>
      <c r="L170" s="230">
        <f>(SUM('1.  LRAMVA Summary'!G$54:G$80)+SUM('1.  LRAMVA Summary'!G$81:G$82)*(MONTH($E170)-1)/12)*$H170</f>
        <v>0</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7"/>
        <v>43.719738640479221</v>
      </c>
    </row>
    <row r="171" spans="2:23">
      <c r="E171" s="214">
        <v>44378</v>
      </c>
      <c r="F171" s="214" t="s">
        <v>727</v>
      </c>
      <c r="G171" s="215" t="s">
        <v>68</v>
      </c>
      <c r="H171" s="240">
        <f>$C$57/12</f>
        <v>4.75E-4</v>
      </c>
      <c r="I171" s="230">
        <f>(SUM('1.  LRAMVA Summary'!D$54:D$80)+SUM('1.  LRAMVA Summary'!D$81:D$82)*(MONTH($E171)-1)/12)*$H171</f>
        <v>13.24814863627542</v>
      </c>
      <c r="J171" s="230">
        <f>(SUM('1.  LRAMVA Summary'!E$54:E$80)+SUM('1.  LRAMVA Summary'!E$81:E$82)*(MONTH($E171)-1)/12)*$H171</f>
        <v>19.662061829912805</v>
      </c>
      <c r="K171" s="230">
        <f>(SUM('1.  LRAMVA Summary'!F$54:F$80)+SUM('1.  LRAMVA Summary'!F$81:F$82)*(MONTH($E171)-1)/12)*$H171</f>
        <v>11.328049230209805</v>
      </c>
      <c r="L171" s="230">
        <f>(SUM('1.  LRAMVA Summary'!G$54:G$80)+SUM('1.  LRAMVA Summary'!G$81:G$82)*(MONTH($E171)-1)/12)*$H171</f>
        <v>0</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7"/>
        <v>44.238259696398032</v>
      </c>
    </row>
    <row r="172" spans="2:23">
      <c r="E172" s="214">
        <v>44409</v>
      </c>
      <c r="F172" s="214" t="s">
        <v>727</v>
      </c>
      <c r="G172" s="215" t="s">
        <v>68</v>
      </c>
      <c r="H172" s="240">
        <f t="shared" ref="H172:H173" si="99">$C$57/12</f>
        <v>4.75E-4</v>
      </c>
      <c r="I172" s="230">
        <f>(SUM('1.  LRAMVA Summary'!D$54:D$80)+SUM('1.  LRAMVA Summary'!D$81:D$82)*(MONTH($E172)-1)/12)*$H172</f>
        <v>13.24814863627542</v>
      </c>
      <c r="J172" s="230">
        <f>(SUM('1.  LRAMVA Summary'!E$54:E$80)+SUM('1.  LRAMVA Summary'!E$81:E$82)*(MONTH($E172)-1)/12)*$H172</f>
        <v>19.986222191502829</v>
      </c>
      <c r="K172" s="230">
        <f>(SUM('1.  LRAMVA Summary'!F$54:F$80)+SUM('1.  LRAMVA Summary'!F$81:F$82)*(MONTH($E172)-1)/12)*$H172</f>
        <v>11.522409924538582</v>
      </c>
      <c r="L172" s="230">
        <f>(SUM('1.  LRAMVA Summary'!G$54:G$80)+SUM('1.  LRAMVA Summary'!G$81:G$82)*(MONTH($E172)-1)/12)*$H172</f>
        <v>0</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7"/>
        <v>44.756780752316828</v>
      </c>
    </row>
    <row r="173" spans="2:23">
      <c r="E173" s="214">
        <v>44440</v>
      </c>
      <c r="F173" s="214" t="s">
        <v>727</v>
      </c>
      <c r="G173" s="215" t="s">
        <v>68</v>
      </c>
      <c r="H173" s="240">
        <f t="shared" si="99"/>
        <v>4.75E-4</v>
      </c>
      <c r="I173" s="230">
        <f>(SUM('1.  LRAMVA Summary'!D$54:D$80)+SUM('1.  LRAMVA Summary'!D$81:D$82)*(MONTH($E173)-1)/12)*$H173</f>
        <v>13.24814863627542</v>
      </c>
      <c r="J173" s="230">
        <f>(SUM('1.  LRAMVA Summary'!E$54:E$80)+SUM('1.  LRAMVA Summary'!E$81:E$82)*(MONTH($E173)-1)/12)*$H173</f>
        <v>20.310382553092861</v>
      </c>
      <c r="K173" s="230">
        <f>(SUM('1.  LRAMVA Summary'!F$54:F$80)+SUM('1.  LRAMVA Summary'!F$81:F$82)*(MONTH($E173)-1)/12)*$H173</f>
        <v>11.716770618867359</v>
      </c>
      <c r="L173" s="230">
        <f>(SUM('1.  LRAMVA Summary'!G$54:G$80)+SUM('1.  LRAMVA Summary'!G$81:G$82)*(MONTH($E173)-1)/12)*$H173</f>
        <v>0</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7"/>
        <v>45.275301808235639</v>
      </c>
    </row>
    <row r="174" spans="2:23">
      <c r="E174" s="214">
        <v>44470</v>
      </c>
      <c r="F174" s="214" t="s">
        <v>727</v>
      </c>
      <c r="G174" s="215" t="s">
        <v>69</v>
      </c>
      <c r="H174" s="240">
        <f>$C$58/12</f>
        <v>4.75E-4</v>
      </c>
      <c r="I174" s="230">
        <f>(SUM('1.  LRAMVA Summary'!D$54:D$80)+SUM('1.  LRAMVA Summary'!D$81:D$82)*(MONTH($E174)-1)/12)*$H174</f>
        <v>13.24814863627542</v>
      </c>
      <c r="J174" s="230">
        <f>(SUM('1.  LRAMVA Summary'!E$54:E$80)+SUM('1.  LRAMVA Summary'!E$81:E$82)*(MONTH($E174)-1)/12)*$H174</f>
        <v>20.634542914682893</v>
      </c>
      <c r="K174" s="230">
        <f>(SUM('1.  LRAMVA Summary'!F$54:F$80)+SUM('1.  LRAMVA Summary'!F$81:F$82)*(MONTH($E174)-1)/12)*$H174</f>
        <v>11.911131313196137</v>
      </c>
      <c r="L174" s="230">
        <f>(SUM('1.  LRAMVA Summary'!G$54:G$80)+SUM('1.  LRAMVA Summary'!G$81:G$82)*(MONTH($E174)-1)/12)*$H174</f>
        <v>0</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7"/>
        <v>45.79382286415445</v>
      </c>
    </row>
    <row r="175" spans="2:23">
      <c r="E175" s="214">
        <v>44501</v>
      </c>
      <c r="F175" s="214" t="s">
        <v>727</v>
      </c>
      <c r="G175" s="215" t="s">
        <v>69</v>
      </c>
      <c r="H175" s="240">
        <f t="shared" ref="H175:H176" si="100">$C$58/12</f>
        <v>4.75E-4</v>
      </c>
      <c r="I175" s="230">
        <f>(SUM('1.  LRAMVA Summary'!D$54:D$80)+SUM('1.  LRAMVA Summary'!D$81:D$82)*(MONTH($E175)-1)/12)*$H175</f>
        <v>13.24814863627542</v>
      </c>
      <c r="J175" s="230">
        <f>(SUM('1.  LRAMVA Summary'!E$54:E$80)+SUM('1.  LRAMVA Summary'!E$81:E$82)*(MONTH($E175)-1)/12)*$H175</f>
        <v>20.958703276272917</v>
      </c>
      <c r="K175" s="230">
        <f>(SUM('1.  LRAMVA Summary'!F$54:F$80)+SUM('1.  LRAMVA Summary'!F$81:F$82)*(MONTH($E175)-1)/12)*$H175</f>
        <v>12.105492007524912</v>
      </c>
      <c r="L175" s="230">
        <f>(SUM('1.  LRAMVA Summary'!G$54:G$80)+SUM('1.  LRAMVA Summary'!G$81:G$82)*(MONTH($E175)-1)/12)*$H175</f>
        <v>0</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7"/>
        <v>46.312343920073246</v>
      </c>
    </row>
    <row r="176" spans="2:23">
      <c r="E176" s="214">
        <v>44531</v>
      </c>
      <c r="F176" s="214" t="s">
        <v>727</v>
      </c>
      <c r="G176" s="215" t="s">
        <v>69</v>
      </c>
      <c r="H176" s="240">
        <f t="shared" si="100"/>
        <v>4.75E-4</v>
      </c>
      <c r="I176" s="230">
        <f>(SUM('1.  LRAMVA Summary'!D$54:D$80)+SUM('1.  LRAMVA Summary'!D$81:D$82)*(MONTH($E176)-1)/12)*$H176</f>
        <v>13.24814863627542</v>
      </c>
      <c r="J176" s="230">
        <f>(SUM('1.  LRAMVA Summary'!E$54:E$80)+SUM('1.  LRAMVA Summary'!E$81:E$82)*(MONTH($E176)-1)/12)*$H176</f>
        <v>21.282863637862949</v>
      </c>
      <c r="K176" s="230">
        <f>(SUM('1.  LRAMVA Summary'!F$54:F$80)+SUM('1.  LRAMVA Summary'!F$81:F$82)*(MONTH($E176)-1)/12)*$H176</f>
        <v>12.299852701853689</v>
      </c>
      <c r="L176" s="230">
        <f>(SUM('1.  LRAMVA Summary'!G$54:G$80)+SUM('1.  LRAMVA Summary'!G$81:G$82)*(MONTH($E176)-1)/12)*$H176</f>
        <v>0</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46.830864975992057</v>
      </c>
    </row>
    <row r="177" spans="5:23" ht="15.75" thickBot="1">
      <c r="E177" s="216" t="s">
        <v>722</v>
      </c>
      <c r="F177" s="216"/>
      <c r="G177" s="217"/>
      <c r="H177" s="218"/>
      <c r="I177" s="219">
        <f>SUM(I164:I176)</f>
        <v>1915.8059926639512</v>
      </c>
      <c r="J177" s="219">
        <f>SUM(J164:J176)</f>
        <v>2510.8442245402102</v>
      </c>
      <c r="K177" s="219">
        <f t="shared" ref="K177:V177" si="101">SUM(K164:K176)</f>
        <v>1391.1274922071991</v>
      </c>
      <c r="L177" s="219">
        <f t="shared" si="101"/>
        <v>0</v>
      </c>
      <c r="M177" s="219">
        <f t="shared" si="101"/>
        <v>0</v>
      </c>
      <c r="N177" s="219">
        <f t="shared" si="101"/>
        <v>0</v>
      </c>
      <c r="O177" s="219">
        <f t="shared" si="101"/>
        <v>0</v>
      </c>
      <c r="P177" s="219">
        <f t="shared" si="101"/>
        <v>0</v>
      </c>
      <c r="Q177" s="219">
        <f t="shared" si="101"/>
        <v>0</v>
      </c>
      <c r="R177" s="219">
        <f t="shared" si="101"/>
        <v>0</v>
      </c>
      <c r="S177" s="219">
        <f t="shared" si="101"/>
        <v>0</v>
      </c>
      <c r="T177" s="219">
        <f t="shared" si="101"/>
        <v>0</v>
      </c>
      <c r="U177" s="219">
        <f t="shared" si="101"/>
        <v>0</v>
      </c>
      <c r="V177" s="219">
        <f t="shared" si="101"/>
        <v>0</v>
      </c>
      <c r="W177" s="219">
        <f>SUM(W164:W176)</f>
        <v>5817.7777094113635</v>
      </c>
    </row>
    <row r="178" spans="5:23" ht="15.7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723</v>
      </c>
      <c r="F179" s="225"/>
      <c r="G179" s="226"/>
      <c r="H179" s="227"/>
      <c r="I179" s="228">
        <f>I177+I178</f>
        <v>1915.8059926639512</v>
      </c>
      <c r="J179" s="228">
        <f t="shared" ref="J179:U179" si="102">J177+J178</f>
        <v>2510.8442245402102</v>
      </c>
      <c r="K179" s="228">
        <f t="shared" si="102"/>
        <v>1391.1274922071991</v>
      </c>
      <c r="L179" s="228">
        <f t="shared" si="102"/>
        <v>0</v>
      </c>
      <c r="M179" s="228">
        <f t="shared" si="102"/>
        <v>0</v>
      </c>
      <c r="N179" s="228">
        <f t="shared" si="102"/>
        <v>0</v>
      </c>
      <c r="O179" s="228">
        <f t="shared" si="102"/>
        <v>0</v>
      </c>
      <c r="P179" s="228">
        <f t="shared" si="102"/>
        <v>0</v>
      </c>
      <c r="Q179" s="228">
        <f t="shared" si="102"/>
        <v>0</v>
      </c>
      <c r="R179" s="228">
        <f t="shared" si="102"/>
        <v>0</v>
      </c>
      <c r="S179" s="228">
        <f t="shared" si="102"/>
        <v>0</v>
      </c>
      <c r="T179" s="228">
        <f t="shared" si="102"/>
        <v>0</v>
      </c>
      <c r="U179" s="228">
        <f t="shared" si="102"/>
        <v>0</v>
      </c>
      <c r="V179" s="228">
        <f>V177+V178</f>
        <v>0</v>
      </c>
      <c r="W179" s="228">
        <f>W177+W178</f>
        <v>5817.7777094113635</v>
      </c>
    </row>
    <row r="180" spans="5:23">
      <c r="E180" s="214">
        <v>44562</v>
      </c>
      <c r="F180" s="214" t="s">
        <v>728</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728</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103">SUM(I181:V181)</f>
        <v>0</v>
      </c>
    </row>
    <row r="182" spans="5:23">
      <c r="E182" s="214">
        <v>44621</v>
      </c>
      <c r="F182" s="214" t="s">
        <v>728</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103"/>
        <v>0</v>
      </c>
    </row>
    <row r="183" spans="5:23">
      <c r="E183" s="214">
        <v>44652</v>
      </c>
      <c r="F183" s="214" t="s">
        <v>728</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103"/>
        <v>0</v>
      </c>
    </row>
    <row r="184" spans="5:23">
      <c r="E184" s="214">
        <v>44682</v>
      </c>
      <c r="F184" s="214" t="s">
        <v>728</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103"/>
        <v>0</v>
      </c>
    </row>
    <row r="185" spans="5:23">
      <c r="E185" s="214">
        <v>44713</v>
      </c>
      <c r="F185" s="214" t="s">
        <v>728</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103"/>
        <v>0</v>
      </c>
    </row>
    <row r="186" spans="5:23">
      <c r="E186" s="214">
        <v>44743</v>
      </c>
      <c r="F186" s="214" t="s">
        <v>728</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103"/>
        <v>0</v>
      </c>
    </row>
    <row r="187" spans="5:23">
      <c r="E187" s="214">
        <v>44774</v>
      </c>
      <c r="F187" s="214" t="s">
        <v>728</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103"/>
        <v>0</v>
      </c>
    </row>
    <row r="188" spans="5:23">
      <c r="E188" s="214">
        <v>44805</v>
      </c>
      <c r="F188" s="214" t="s">
        <v>728</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103"/>
        <v>0</v>
      </c>
    </row>
    <row r="189" spans="5:23">
      <c r="E189" s="214">
        <v>44835</v>
      </c>
      <c r="F189" s="214" t="s">
        <v>728</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103"/>
        <v>0</v>
      </c>
    </row>
    <row r="190" spans="5:23">
      <c r="E190" s="214">
        <v>44866</v>
      </c>
      <c r="F190" s="214" t="s">
        <v>728</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103"/>
        <v>0</v>
      </c>
    </row>
    <row r="191" spans="5:23">
      <c r="E191" s="214">
        <v>44896</v>
      </c>
      <c r="F191" s="214" t="s">
        <v>728</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75" thickBot="1">
      <c r="E192" s="216" t="s">
        <v>724</v>
      </c>
      <c r="F192" s="216"/>
      <c r="G192" s="217"/>
      <c r="H192" s="218"/>
      <c r="I192" s="219">
        <f>SUM(I179:I191)</f>
        <v>1915.8059926639512</v>
      </c>
      <c r="J192" s="219">
        <f>SUM(J179:J191)</f>
        <v>2510.8442245402102</v>
      </c>
      <c r="K192" s="219">
        <f t="shared" ref="K192:V192" si="104">SUM(K179:K191)</f>
        <v>1391.1274922071991</v>
      </c>
      <c r="L192" s="219">
        <f t="shared" si="104"/>
        <v>0</v>
      </c>
      <c r="M192" s="219">
        <f t="shared" si="104"/>
        <v>0</v>
      </c>
      <c r="N192" s="219">
        <f t="shared" si="104"/>
        <v>0</v>
      </c>
      <c r="O192" s="219">
        <f t="shared" si="104"/>
        <v>0</v>
      </c>
      <c r="P192" s="219">
        <f t="shared" si="104"/>
        <v>0</v>
      </c>
      <c r="Q192" s="219">
        <f t="shared" si="104"/>
        <v>0</v>
      </c>
      <c r="R192" s="219">
        <f t="shared" si="104"/>
        <v>0</v>
      </c>
      <c r="S192" s="219">
        <f t="shared" si="104"/>
        <v>0</v>
      </c>
      <c r="T192" s="219">
        <f t="shared" si="104"/>
        <v>0</v>
      </c>
      <c r="U192" s="219">
        <f t="shared" si="104"/>
        <v>0</v>
      </c>
      <c r="V192" s="219">
        <f t="shared" si="104"/>
        <v>0</v>
      </c>
      <c r="W192" s="219">
        <f>SUM(W179:W191)</f>
        <v>5817.7777094113635</v>
      </c>
    </row>
    <row r="193" spans="5:23" ht="15.7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725</v>
      </c>
      <c r="F194" s="225"/>
      <c r="G194" s="226"/>
      <c r="H194" s="227"/>
      <c r="I194" s="228">
        <f>I192+I193</f>
        <v>1915.8059926639512</v>
      </c>
      <c r="J194" s="228">
        <f t="shared" ref="J194:U194" si="105">J192+J193</f>
        <v>2510.8442245402102</v>
      </c>
      <c r="K194" s="228">
        <f t="shared" si="105"/>
        <v>1391.1274922071991</v>
      </c>
      <c r="L194" s="228">
        <f t="shared" si="105"/>
        <v>0</v>
      </c>
      <c r="M194" s="228">
        <f t="shared" si="105"/>
        <v>0</v>
      </c>
      <c r="N194" s="228">
        <f t="shared" si="105"/>
        <v>0</v>
      </c>
      <c r="O194" s="228">
        <f t="shared" si="105"/>
        <v>0</v>
      </c>
      <c r="P194" s="228">
        <f t="shared" si="105"/>
        <v>0</v>
      </c>
      <c r="Q194" s="228">
        <f t="shared" si="105"/>
        <v>0</v>
      </c>
      <c r="R194" s="228">
        <f t="shared" si="105"/>
        <v>0</v>
      </c>
      <c r="S194" s="228">
        <f t="shared" si="105"/>
        <v>0</v>
      </c>
      <c r="T194" s="228">
        <f t="shared" si="105"/>
        <v>0</v>
      </c>
      <c r="U194" s="228">
        <f t="shared" si="105"/>
        <v>0</v>
      </c>
      <c r="V194" s="228">
        <f>V192+V193</f>
        <v>0</v>
      </c>
      <c r="W194" s="228">
        <f>W192+W193</f>
        <v>5817.7777094113635</v>
      </c>
    </row>
    <row r="195" spans="5:23">
      <c r="E195" s="214">
        <v>44927</v>
      </c>
      <c r="F195" s="214" t="s">
        <v>729</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729</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6">SUM(I196:V196)</f>
        <v>0</v>
      </c>
    </row>
    <row r="197" spans="5:23">
      <c r="E197" s="214">
        <v>44986</v>
      </c>
      <c r="F197" s="214" t="s">
        <v>729</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6"/>
        <v>0</v>
      </c>
    </row>
    <row r="198" spans="5:23">
      <c r="E198" s="214">
        <v>45017</v>
      </c>
      <c r="F198" s="214" t="s">
        <v>729</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6"/>
        <v>0</v>
      </c>
    </row>
    <row r="199" spans="5:23">
      <c r="E199" s="214">
        <v>45047</v>
      </c>
      <c r="F199" s="214" t="s">
        <v>729</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6"/>
        <v>0</v>
      </c>
    </row>
    <row r="200" spans="5:23">
      <c r="E200" s="214">
        <v>45078</v>
      </c>
      <c r="F200" s="214" t="s">
        <v>729</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6"/>
        <v>0</v>
      </c>
    </row>
    <row r="201" spans="5:23">
      <c r="E201" s="214">
        <v>45108</v>
      </c>
      <c r="F201" s="214" t="s">
        <v>729</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6"/>
        <v>0</v>
      </c>
    </row>
    <row r="202" spans="5:23">
      <c r="E202" s="214">
        <v>45139</v>
      </c>
      <c r="F202" s="214" t="s">
        <v>729</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6"/>
        <v>0</v>
      </c>
    </row>
    <row r="203" spans="5:23">
      <c r="E203" s="214">
        <v>45170</v>
      </c>
      <c r="F203" s="214" t="s">
        <v>729</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6"/>
        <v>0</v>
      </c>
    </row>
    <row r="204" spans="5:23">
      <c r="E204" s="214">
        <v>45200</v>
      </c>
      <c r="F204" s="214" t="s">
        <v>729</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6"/>
        <v>0</v>
      </c>
    </row>
    <row r="205" spans="5:23">
      <c r="E205" s="214">
        <v>45231</v>
      </c>
      <c r="F205" s="214" t="s">
        <v>729</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6"/>
        <v>0</v>
      </c>
    </row>
    <row r="206" spans="5:23">
      <c r="E206" s="214">
        <v>45261</v>
      </c>
      <c r="F206" s="214" t="s">
        <v>729</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75" thickBot="1">
      <c r="E207" s="216" t="s">
        <v>726</v>
      </c>
      <c r="F207" s="216"/>
      <c r="G207" s="217"/>
      <c r="H207" s="218"/>
      <c r="I207" s="219">
        <f>SUM(I194:I206)</f>
        <v>1915.8059926639512</v>
      </c>
      <c r="J207" s="219">
        <f>SUM(J194:J206)</f>
        <v>2510.8442245402102</v>
      </c>
      <c r="K207" s="219">
        <f t="shared" ref="K207:V207" si="107">SUM(K194:K206)</f>
        <v>1391.1274922071991</v>
      </c>
      <c r="L207" s="219">
        <f t="shared" si="107"/>
        <v>0</v>
      </c>
      <c r="M207" s="219">
        <f t="shared" si="107"/>
        <v>0</v>
      </c>
      <c r="N207" s="219">
        <f t="shared" si="107"/>
        <v>0</v>
      </c>
      <c r="O207" s="219">
        <f t="shared" si="107"/>
        <v>0</v>
      </c>
      <c r="P207" s="219">
        <f t="shared" si="107"/>
        <v>0</v>
      </c>
      <c r="Q207" s="219">
        <f t="shared" si="107"/>
        <v>0</v>
      </c>
      <c r="R207" s="219">
        <f t="shared" si="107"/>
        <v>0</v>
      </c>
      <c r="S207" s="219">
        <f t="shared" si="107"/>
        <v>0</v>
      </c>
      <c r="T207" s="219">
        <f t="shared" si="107"/>
        <v>0</v>
      </c>
      <c r="U207" s="219">
        <f t="shared" si="107"/>
        <v>0</v>
      </c>
      <c r="V207" s="219">
        <f t="shared" si="107"/>
        <v>0</v>
      </c>
      <c r="W207" s="219">
        <f>SUM(W194:W206)</f>
        <v>5817.7777094113635</v>
      </c>
    </row>
    <row r="208" spans="5:23" ht="15.7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744</v>
      </c>
      <c r="F209" s="225"/>
      <c r="G209" s="226"/>
      <c r="H209" s="227"/>
      <c r="I209" s="228">
        <f>I207+I208</f>
        <v>1915.8059926639512</v>
      </c>
      <c r="J209" s="228">
        <f t="shared" ref="J209:U209" si="108">J207+J208</f>
        <v>2510.8442245402102</v>
      </c>
      <c r="K209" s="228">
        <f t="shared" si="108"/>
        <v>1391.1274922071991</v>
      </c>
      <c r="L209" s="228">
        <f t="shared" si="108"/>
        <v>0</v>
      </c>
      <c r="M209" s="228">
        <f t="shared" si="108"/>
        <v>0</v>
      </c>
      <c r="N209" s="228">
        <f t="shared" si="108"/>
        <v>0</v>
      </c>
      <c r="O209" s="228">
        <f t="shared" si="108"/>
        <v>0</v>
      </c>
      <c r="P209" s="228">
        <f t="shared" si="108"/>
        <v>0</v>
      </c>
      <c r="Q209" s="228">
        <f t="shared" si="108"/>
        <v>0</v>
      </c>
      <c r="R209" s="228">
        <f t="shared" si="108"/>
        <v>0</v>
      </c>
      <c r="S209" s="228">
        <f t="shared" si="108"/>
        <v>0</v>
      </c>
      <c r="T209" s="228">
        <f t="shared" si="108"/>
        <v>0</v>
      </c>
      <c r="U209" s="228">
        <f t="shared" si="108"/>
        <v>0</v>
      </c>
      <c r="V209" s="228">
        <f>V207+V208</f>
        <v>0</v>
      </c>
      <c r="W209" s="228">
        <f>W207+W208</f>
        <v>5817.7777094113635</v>
      </c>
    </row>
    <row r="210" spans="5:23">
      <c r="E210" s="214">
        <v>45292</v>
      </c>
      <c r="F210" s="214" t="s">
        <v>748</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748</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9">SUM(I211:V211)</f>
        <v>0</v>
      </c>
    </row>
    <row r="212" spans="5:23">
      <c r="E212" s="214">
        <v>45352</v>
      </c>
      <c r="F212" s="214" t="s">
        <v>748</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9"/>
        <v>0</v>
      </c>
    </row>
    <row r="213" spans="5:23">
      <c r="E213" s="214">
        <v>45383</v>
      </c>
      <c r="F213" s="214" t="s">
        <v>748</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9"/>
        <v>0</v>
      </c>
    </row>
    <row r="214" spans="5:23">
      <c r="E214" s="214">
        <v>45413</v>
      </c>
      <c r="F214" s="214" t="s">
        <v>748</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9"/>
        <v>0</v>
      </c>
    </row>
    <row r="215" spans="5:23">
      <c r="E215" s="214">
        <v>45444</v>
      </c>
      <c r="F215" s="214" t="s">
        <v>748</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9"/>
        <v>0</v>
      </c>
    </row>
    <row r="216" spans="5:23">
      <c r="E216" s="214">
        <v>45474</v>
      </c>
      <c r="F216" s="214" t="s">
        <v>748</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9"/>
        <v>0</v>
      </c>
    </row>
    <row r="217" spans="5:23">
      <c r="E217" s="214">
        <v>45505</v>
      </c>
      <c r="F217" s="214" t="s">
        <v>748</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9"/>
        <v>0</v>
      </c>
    </row>
    <row r="218" spans="5:23">
      <c r="E218" s="214">
        <v>45536</v>
      </c>
      <c r="F218" s="214" t="s">
        <v>748</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9"/>
        <v>0</v>
      </c>
    </row>
    <row r="219" spans="5:23">
      <c r="E219" s="214">
        <v>45566</v>
      </c>
      <c r="F219" s="214" t="s">
        <v>748</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9"/>
        <v>0</v>
      </c>
    </row>
    <row r="220" spans="5:23">
      <c r="E220" s="214">
        <v>45597</v>
      </c>
      <c r="F220" s="214" t="s">
        <v>748</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9"/>
        <v>0</v>
      </c>
    </row>
    <row r="221" spans="5:23">
      <c r="E221" s="214">
        <v>45627</v>
      </c>
      <c r="F221" s="214" t="s">
        <v>748</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75" thickBot="1">
      <c r="E222" s="216" t="s">
        <v>746</v>
      </c>
      <c r="F222" s="216"/>
      <c r="G222" s="217"/>
      <c r="H222" s="218"/>
      <c r="I222" s="219">
        <f>SUM(I209:I221)</f>
        <v>1915.8059926639512</v>
      </c>
      <c r="J222" s="219">
        <f>SUM(J209:J221)</f>
        <v>2510.8442245402102</v>
      </c>
      <c r="K222" s="219">
        <f t="shared" ref="K222:V222" si="110">SUM(K209:K221)</f>
        <v>1391.1274922071991</v>
      </c>
      <c r="L222" s="219">
        <f t="shared" si="110"/>
        <v>0</v>
      </c>
      <c r="M222" s="219">
        <f t="shared" si="110"/>
        <v>0</v>
      </c>
      <c r="N222" s="219">
        <f t="shared" si="110"/>
        <v>0</v>
      </c>
      <c r="O222" s="219">
        <f t="shared" si="110"/>
        <v>0</v>
      </c>
      <c r="P222" s="219">
        <f t="shared" si="110"/>
        <v>0</v>
      </c>
      <c r="Q222" s="219">
        <f t="shared" si="110"/>
        <v>0</v>
      </c>
      <c r="R222" s="219">
        <f t="shared" si="110"/>
        <v>0</v>
      </c>
      <c r="S222" s="219">
        <f t="shared" si="110"/>
        <v>0</v>
      </c>
      <c r="T222" s="219">
        <f t="shared" si="110"/>
        <v>0</v>
      </c>
      <c r="U222" s="219">
        <f t="shared" si="110"/>
        <v>0</v>
      </c>
      <c r="V222" s="219">
        <f t="shared" si="110"/>
        <v>0</v>
      </c>
      <c r="W222" s="219">
        <f>SUM(W209:W221)</f>
        <v>5817.7777094113635</v>
      </c>
    </row>
    <row r="223" spans="5:23" ht="15.7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745</v>
      </c>
      <c r="F224" s="225"/>
      <c r="G224" s="226"/>
      <c r="H224" s="227"/>
      <c r="I224" s="228">
        <f>I222+I223</f>
        <v>1915.8059926639512</v>
      </c>
      <c r="J224" s="228">
        <f t="shared" ref="J224:U224" si="111">J222+J223</f>
        <v>2510.8442245402102</v>
      </c>
      <c r="K224" s="228">
        <f t="shared" si="111"/>
        <v>1391.1274922071991</v>
      </c>
      <c r="L224" s="228">
        <f t="shared" si="111"/>
        <v>0</v>
      </c>
      <c r="M224" s="228">
        <f t="shared" si="111"/>
        <v>0</v>
      </c>
      <c r="N224" s="228">
        <f t="shared" si="111"/>
        <v>0</v>
      </c>
      <c r="O224" s="228">
        <f t="shared" si="111"/>
        <v>0</v>
      </c>
      <c r="P224" s="228">
        <f t="shared" si="111"/>
        <v>0</v>
      </c>
      <c r="Q224" s="228">
        <f t="shared" si="111"/>
        <v>0</v>
      </c>
      <c r="R224" s="228">
        <f t="shared" si="111"/>
        <v>0</v>
      </c>
      <c r="S224" s="228">
        <f t="shared" si="111"/>
        <v>0</v>
      </c>
      <c r="T224" s="228">
        <f t="shared" si="111"/>
        <v>0</v>
      </c>
      <c r="U224" s="228">
        <f t="shared" si="111"/>
        <v>0</v>
      </c>
      <c r="V224" s="228">
        <f>V222+V223</f>
        <v>0</v>
      </c>
      <c r="W224" s="228">
        <f>W222+W223</f>
        <v>5817.7777094113635</v>
      </c>
    </row>
    <row r="225" spans="5:23">
      <c r="E225" s="214">
        <v>45658</v>
      </c>
      <c r="F225" s="214" t="s">
        <v>749</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749</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12">SUM(I226:V226)</f>
        <v>0</v>
      </c>
    </row>
    <row r="227" spans="5:23">
      <c r="E227" s="214">
        <v>45717</v>
      </c>
      <c r="F227" s="214" t="s">
        <v>749</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12"/>
        <v>0</v>
      </c>
    </row>
    <row r="228" spans="5:23">
      <c r="E228" s="214">
        <v>45748</v>
      </c>
      <c r="F228" s="214" t="s">
        <v>749</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12"/>
        <v>0</v>
      </c>
    </row>
    <row r="229" spans="5:23">
      <c r="E229" s="214">
        <v>45778</v>
      </c>
      <c r="F229" s="214" t="s">
        <v>749</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12"/>
        <v>0</v>
      </c>
    </row>
    <row r="230" spans="5:23">
      <c r="E230" s="214">
        <v>45809</v>
      </c>
      <c r="F230" s="214" t="s">
        <v>749</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12"/>
        <v>0</v>
      </c>
    </row>
    <row r="231" spans="5:23">
      <c r="E231" s="214">
        <v>45839</v>
      </c>
      <c r="F231" s="214" t="s">
        <v>749</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12"/>
        <v>0</v>
      </c>
    </row>
    <row r="232" spans="5:23">
      <c r="E232" s="214">
        <v>45870</v>
      </c>
      <c r="F232" s="214" t="s">
        <v>749</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12"/>
        <v>0</v>
      </c>
    </row>
    <row r="233" spans="5:23">
      <c r="E233" s="214">
        <v>45901</v>
      </c>
      <c r="F233" s="214" t="s">
        <v>749</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12"/>
        <v>0</v>
      </c>
    </row>
    <row r="234" spans="5:23">
      <c r="E234" s="214">
        <v>45931</v>
      </c>
      <c r="F234" s="214" t="s">
        <v>749</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12"/>
        <v>0</v>
      </c>
    </row>
    <row r="235" spans="5:23">
      <c r="E235" s="214">
        <v>45962</v>
      </c>
      <c r="F235" s="214" t="s">
        <v>749</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12"/>
        <v>0</v>
      </c>
    </row>
    <row r="236" spans="5:23">
      <c r="E236" s="214">
        <v>45992</v>
      </c>
      <c r="F236" s="214" t="s">
        <v>749</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75" thickBot="1">
      <c r="E237" s="216" t="s">
        <v>747</v>
      </c>
      <c r="F237" s="216"/>
      <c r="G237" s="217"/>
      <c r="H237" s="218"/>
      <c r="I237" s="219">
        <f>SUM(I224:I236)</f>
        <v>1915.8059926639512</v>
      </c>
      <c r="J237" s="219">
        <f>SUM(J224:J236)</f>
        <v>2510.8442245402102</v>
      </c>
      <c r="K237" s="219">
        <f t="shared" ref="K237:U237" si="113">SUM(K224:K236)</f>
        <v>1391.1274922071991</v>
      </c>
      <c r="L237" s="219">
        <f t="shared" si="113"/>
        <v>0</v>
      </c>
      <c r="M237" s="219">
        <f>SUM(M224:M236)</f>
        <v>0</v>
      </c>
      <c r="N237" s="219">
        <f t="shared" si="113"/>
        <v>0</v>
      </c>
      <c r="O237" s="219">
        <f t="shared" si="113"/>
        <v>0</v>
      </c>
      <c r="P237" s="219">
        <f t="shared" si="113"/>
        <v>0</v>
      </c>
      <c r="Q237" s="219">
        <f t="shared" si="113"/>
        <v>0</v>
      </c>
      <c r="R237" s="219">
        <f t="shared" si="113"/>
        <v>0</v>
      </c>
      <c r="S237" s="219">
        <f t="shared" si="113"/>
        <v>0</v>
      </c>
      <c r="T237" s="219">
        <f t="shared" si="113"/>
        <v>0</v>
      </c>
      <c r="U237" s="219">
        <f t="shared" si="113"/>
        <v>0</v>
      </c>
      <c r="V237" s="219">
        <f>SUM(V224:V236)</f>
        <v>0</v>
      </c>
      <c r="W237" s="219">
        <f>SUM(W224:W236)</f>
        <v>5817.7777094113635</v>
      </c>
    </row>
    <row r="238" spans="5:23" ht="15.7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BU138"/>
  <sheetViews>
    <sheetView topLeftCell="A109" zoomScale="90" zoomScaleNormal="90" workbookViewId="0">
      <selection activeCell="BA137" sqref="BA137"/>
    </sheetView>
  </sheetViews>
  <sheetFormatPr defaultColWidth="9" defaultRowHeight="15" outlineLevelRow="1"/>
  <cols>
    <col min="1" max="1" width="6" style="12" customWidth="1"/>
    <col min="2" max="2" width="24.28515625" style="12" customWidth="1"/>
    <col min="3" max="3" width="11.42578125" style="12" customWidth="1"/>
    <col min="4" max="4" width="44.42578125" style="12" customWidth="1"/>
    <col min="5" max="5" width="35" style="12" bestFit="1" customWidth="1"/>
    <col min="6" max="6" width="26.5703125" style="12" customWidth="1"/>
    <col min="7" max="7" width="17" style="12" customWidth="1"/>
    <col min="8" max="8" width="19.42578125" style="12" customWidth="1"/>
    <col min="9" max="10" width="23" style="635" customWidth="1"/>
    <col min="11" max="11" width="2" style="16" customWidth="1"/>
    <col min="12" max="18" width="9" style="12"/>
    <col min="19" max="19" width="11" style="12" bestFit="1" customWidth="1"/>
    <col min="20" max="41" width="9" style="12"/>
    <col min="42" max="42" width="2" style="12" customWidth="1"/>
    <col min="43" max="43" width="12.5703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7" t="s">
        <v>406</v>
      </c>
      <c r="E13" s="17"/>
      <c r="F13" s="177"/>
      <c r="G13" s="178"/>
      <c r="H13" s="179"/>
      <c r="K13" s="179"/>
      <c r="L13" s="177"/>
      <c r="M13" s="177"/>
      <c r="N13" s="177"/>
      <c r="O13" s="177"/>
      <c r="P13" s="177"/>
      <c r="Q13" s="180"/>
    </row>
    <row r="14" spans="2:73" ht="30" customHeight="1" outlineLevel="1" thickBot="1">
      <c r="B14" s="90"/>
      <c r="D14" s="610" t="s">
        <v>550</v>
      </c>
      <c r="I14" s="12"/>
      <c r="J14" s="12"/>
      <c r="BU14" s="12"/>
    </row>
    <row r="15" spans="2:73" ht="26.25" customHeight="1" outlineLevel="1">
      <c r="C15" s="90"/>
      <c r="I15" s="12"/>
      <c r="J15" s="12"/>
    </row>
    <row r="16" spans="2:73" ht="23.25" customHeight="1" outlineLevel="1">
      <c r="B16" s="116" t="s">
        <v>504</v>
      </c>
      <c r="C16" s="90"/>
      <c r="D16" s="615" t="s">
        <v>608</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602</v>
      </c>
      <c r="C17" s="90"/>
      <c r="D17" s="611" t="s">
        <v>580</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615</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614</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616</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3" t="s">
        <v>626</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75">
      <c r="B23" s="182" t="s">
        <v>585</v>
      </c>
      <c r="H23" s="10"/>
      <c r="I23" s="10"/>
      <c r="J23" s="10"/>
    </row>
    <row r="24" spans="2:73" s="670" customFormat="1" ht="21" customHeight="1">
      <c r="B24" s="702" t="s">
        <v>589</v>
      </c>
      <c r="C24" s="870" t="s">
        <v>590</v>
      </c>
      <c r="D24" s="870"/>
      <c r="E24" s="870"/>
      <c r="F24" s="870"/>
      <c r="G24" s="870"/>
      <c r="H24" s="678" t="s">
        <v>587</v>
      </c>
      <c r="I24" s="678" t="s">
        <v>586</v>
      </c>
      <c r="J24" s="678" t="s">
        <v>588</v>
      </c>
      <c r="K24" s="669"/>
      <c r="L24" s="670" t="s">
        <v>590</v>
      </c>
      <c r="AQ24" s="670" t="s">
        <v>590</v>
      </c>
      <c r="BU24" s="669"/>
    </row>
    <row r="25" spans="2:73" s="250" customFormat="1" ht="49.5" customHeight="1">
      <c r="B25" s="245" t="s">
        <v>472</v>
      </c>
      <c r="C25" s="245" t="s">
        <v>211</v>
      </c>
      <c r="D25" s="628" t="s">
        <v>473</v>
      </c>
      <c r="E25" s="245" t="s">
        <v>208</v>
      </c>
      <c r="F25" s="245" t="s">
        <v>474</v>
      </c>
      <c r="G25" s="245" t="s">
        <v>475</v>
      </c>
      <c r="H25" s="628" t="s">
        <v>476</v>
      </c>
      <c r="I25" s="636" t="s">
        <v>578</v>
      </c>
      <c r="J25" s="643" t="s">
        <v>579</v>
      </c>
      <c r="K25" s="641"/>
      <c r="L25" s="246" t="s">
        <v>477</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478</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1"/>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92" t="s">
        <v>752</v>
      </c>
      <c r="C27" s="692" t="s">
        <v>753</v>
      </c>
      <c r="D27" s="692" t="s">
        <v>2</v>
      </c>
      <c r="E27" s="692" t="s">
        <v>754</v>
      </c>
      <c r="F27" s="692" t="s">
        <v>29</v>
      </c>
      <c r="G27" s="692" t="s">
        <v>755</v>
      </c>
      <c r="H27" s="692">
        <v>2011</v>
      </c>
      <c r="I27" s="644" t="s">
        <v>566</v>
      </c>
      <c r="J27" s="644" t="s">
        <v>584</v>
      </c>
      <c r="K27" s="633"/>
      <c r="L27" s="696">
        <v>1.0989141385972014</v>
      </c>
      <c r="M27" s="697">
        <v>1.0989141385972014</v>
      </c>
      <c r="N27" s="697">
        <v>1.0989141385972014</v>
      </c>
      <c r="O27" s="697">
        <v>0.22132463774958833</v>
      </c>
      <c r="P27" s="697">
        <v>0</v>
      </c>
      <c r="Q27" s="697">
        <v>0</v>
      </c>
      <c r="R27" s="697">
        <v>0</v>
      </c>
      <c r="S27" s="697">
        <v>0</v>
      </c>
      <c r="T27" s="697">
        <v>0</v>
      </c>
      <c r="U27" s="697">
        <v>0</v>
      </c>
      <c r="V27" s="697">
        <v>0</v>
      </c>
      <c r="W27" s="697">
        <v>0</v>
      </c>
      <c r="X27" s="697">
        <v>0</v>
      </c>
      <c r="Y27" s="697">
        <v>0</v>
      </c>
      <c r="Z27" s="697">
        <v>0</v>
      </c>
      <c r="AA27" s="697">
        <v>0</v>
      </c>
      <c r="AB27" s="697">
        <v>0</v>
      </c>
      <c r="AC27" s="697">
        <v>0</v>
      </c>
      <c r="AD27" s="697">
        <v>0</v>
      </c>
      <c r="AE27" s="697">
        <v>0</v>
      </c>
      <c r="AF27" s="697">
        <v>0</v>
      </c>
      <c r="AG27" s="697">
        <v>0</v>
      </c>
      <c r="AH27" s="697">
        <v>0</v>
      </c>
      <c r="AI27" s="697">
        <v>0</v>
      </c>
      <c r="AJ27" s="697">
        <v>0</v>
      </c>
      <c r="AK27" s="697">
        <v>0</v>
      </c>
      <c r="AL27" s="697">
        <v>0</v>
      </c>
      <c r="AM27" s="697">
        <v>0</v>
      </c>
      <c r="AN27" s="697">
        <v>0</v>
      </c>
      <c r="AO27" s="698">
        <v>0</v>
      </c>
      <c r="AP27" s="633"/>
      <c r="AQ27" s="696">
        <v>1179.4237917478158</v>
      </c>
      <c r="AR27" s="697">
        <v>1179.4237917478158</v>
      </c>
      <c r="AS27" s="697">
        <v>1179.4237917478158</v>
      </c>
      <c r="AT27" s="697">
        <v>394.63550138826508</v>
      </c>
      <c r="AU27" s="697">
        <v>0</v>
      </c>
      <c r="AV27" s="697">
        <v>0</v>
      </c>
      <c r="AW27" s="697">
        <v>0</v>
      </c>
      <c r="AX27" s="697">
        <v>0</v>
      </c>
      <c r="AY27" s="697">
        <v>0</v>
      </c>
      <c r="AZ27" s="697">
        <v>0</v>
      </c>
      <c r="BA27" s="697">
        <v>0</v>
      </c>
      <c r="BB27" s="697">
        <v>0</v>
      </c>
      <c r="BC27" s="697">
        <v>0</v>
      </c>
      <c r="BD27" s="697">
        <v>0</v>
      </c>
      <c r="BE27" s="697">
        <v>0</v>
      </c>
      <c r="BF27" s="697">
        <v>0</v>
      </c>
      <c r="BG27" s="697">
        <v>0</v>
      </c>
      <c r="BH27" s="697">
        <v>0</v>
      </c>
      <c r="BI27" s="697">
        <v>0</v>
      </c>
      <c r="BJ27" s="697">
        <v>0</v>
      </c>
      <c r="BK27" s="697">
        <v>0</v>
      </c>
      <c r="BL27" s="697">
        <v>0</v>
      </c>
      <c r="BM27" s="697">
        <v>0</v>
      </c>
      <c r="BN27" s="697">
        <v>0</v>
      </c>
      <c r="BO27" s="697">
        <v>0</v>
      </c>
      <c r="BP27" s="697">
        <v>0</v>
      </c>
      <c r="BQ27" s="697">
        <v>0</v>
      </c>
      <c r="BR27" s="697">
        <v>0</v>
      </c>
      <c r="BS27" s="697">
        <v>0</v>
      </c>
      <c r="BT27" s="698">
        <v>0</v>
      </c>
      <c r="BU27" s="16"/>
    </row>
    <row r="28" spans="2:73" s="17" customFormat="1" ht="15.75">
      <c r="B28" s="692" t="s">
        <v>752</v>
      </c>
      <c r="C28" s="692" t="s">
        <v>753</v>
      </c>
      <c r="D28" s="692" t="s">
        <v>1</v>
      </c>
      <c r="E28" s="692" t="s">
        <v>754</v>
      </c>
      <c r="F28" s="692" t="s">
        <v>29</v>
      </c>
      <c r="G28" s="692" t="s">
        <v>755</v>
      </c>
      <c r="H28" s="692">
        <v>2011</v>
      </c>
      <c r="I28" s="644" t="s">
        <v>566</v>
      </c>
      <c r="J28" s="644" t="s">
        <v>584</v>
      </c>
      <c r="K28" s="633"/>
      <c r="L28" s="696">
        <v>9.6486581159934879</v>
      </c>
      <c r="M28" s="697">
        <v>9.6486581159934879</v>
      </c>
      <c r="N28" s="697">
        <v>9.6486581159934879</v>
      </c>
      <c r="O28" s="697">
        <v>9.4225267896019691</v>
      </c>
      <c r="P28" s="697">
        <v>6.3537858912670284</v>
      </c>
      <c r="Q28" s="697">
        <v>0</v>
      </c>
      <c r="R28" s="697">
        <v>0</v>
      </c>
      <c r="S28" s="697">
        <v>0</v>
      </c>
      <c r="T28" s="697">
        <v>0</v>
      </c>
      <c r="U28" s="697">
        <v>0</v>
      </c>
      <c r="V28" s="697">
        <v>0</v>
      </c>
      <c r="W28" s="697">
        <v>0</v>
      </c>
      <c r="X28" s="697">
        <v>0</v>
      </c>
      <c r="Y28" s="697">
        <v>0</v>
      </c>
      <c r="Z28" s="697">
        <v>0</v>
      </c>
      <c r="AA28" s="697">
        <v>0</v>
      </c>
      <c r="AB28" s="697">
        <v>0</v>
      </c>
      <c r="AC28" s="697">
        <v>0</v>
      </c>
      <c r="AD28" s="697">
        <v>0</v>
      </c>
      <c r="AE28" s="697">
        <v>0</v>
      </c>
      <c r="AF28" s="697">
        <v>0</v>
      </c>
      <c r="AG28" s="697">
        <v>0</v>
      </c>
      <c r="AH28" s="697">
        <v>0</v>
      </c>
      <c r="AI28" s="697">
        <v>0</v>
      </c>
      <c r="AJ28" s="697">
        <v>0</v>
      </c>
      <c r="AK28" s="697">
        <v>0</v>
      </c>
      <c r="AL28" s="697">
        <v>0</v>
      </c>
      <c r="AM28" s="697">
        <v>0</v>
      </c>
      <c r="AN28" s="697">
        <v>0</v>
      </c>
      <c r="AO28" s="698">
        <v>0</v>
      </c>
      <c r="AP28" s="633"/>
      <c r="AQ28" s="696">
        <v>67825.52381669551</v>
      </c>
      <c r="AR28" s="697">
        <v>67825.52381669551</v>
      </c>
      <c r="AS28" s="697">
        <v>67825.52381669551</v>
      </c>
      <c r="AT28" s="697">
        <v>67623.304878497031</v>
      </c>
      <c r="AU28" s="697">
        <v>48325.214941736747</v>
      </c>
      <c r="AV28" s="697">
        <v>0</v>
      </c>
      <c r="AW28" s="697">
        <v>0</v>
      </c>
      <c r="AX28" s="697">
        <v>0</v>
      </c>
      <c r="AY28" s="697">
        <v>0</v>
      </c>
      <c r="AZ28" s="697">
        <v>0</v>
      </c>
      <c r="BA28" s="697">
        <v>0</v>
      </c>
      <c r="BB28" s="697">
        <v>0</v>
      </c>
      <c r="BC28" s="697">
        <v>0</v>
      </c>
      <c r="BD28" s="697">
        <v>0</v>
      </c>
      <c r="BE28" s="697">
        <v>0</v>
      </c>
      <c r="BF28" s="697">
        <v>0</v>
      </c>
      <c r="BG28" s="697">
        <v>0</v>
      </c>
      <c r="BH28" s="697">
        <v>0</v>
      </c>
      <c r="BI28" s="697">
        <v>0</v>
      </c>
      <c r="BJ28" s="697">
        <v>0</v>
      </c>
      <c r="BK28" s="697">
        <v>0</v>
      </c>
      <c r="BL28" s="697">
        <v>0</v>
      </c>
      <c r="BM28" s="697">
        <v>0</v>
      </c>
      <c r="BN28" s="697">
        <v>0</v>
      </c>
      <c r="BO28" s="697">
        <v>0</v>
      </c>
      <c r="BP28" s="697">
        <v>0</v>
      </c>
      <c r="BQ28" s="697">
        <v>0</v>
      </c>
      <c r="BR28" s="697">
        <v>0</v>
      </c>
      <c r="BS28" s="697">
        <v>0</v>
      </c>
      <c r="BT28" s="698">
        <v>0</v>
      </c>
      <c r="BU28" s="16"/>
    </row>
    <row r="29" spans="2:73" s="17" customFormat="1" ht="16.5" customHeight="1">
      <c r="B29" s="692" t="s">
        <v>752</v>
      </c>
      <c r="C29" s="692" t="s">
        <v>753</v>
      </c>
      <c r="D29" s="692" t="s">
        <v>5</v>
      </c>
      <c r="E29" s="692" t="s">
        <v>754</v>
      </c>
      <c r="F29" s="692" t="s">
        <v>29</v>
      </c>
      <c r="G29" s="692" t="s">
        <v>755</v>
      </c>
      <c r="H29" s="692">
        <v>2011</v>
      </c>
      <c r="I29" s="644" t="s">
        <v>566</v>
      </c>
      <c r="J29" s="644" t="s">
        <v>584</v>
      </c>
      <c r="K29" s="633"/>
      <c r="L29" s="696">
        <v>3.8324155493702978</v>
      </c>
      <c r="M29" s="697">
        <v>3.8324155493702978</v>
      </c>
      <c r="N29" s="697">
        <v>3.8324155493702978</v>
      </c>
      <c r="O29" s="697">
        <v>3.8324155493702978</v>
      </c>
      <c r="P29" s="697">
        <v>3.5654701679860934</v>
      </c>
      <c r="Q29" s="697">
        <v>3.2738435833499353</v>
      </c>
      <c r="R29" s="697">
        <v>2.6481555645370412</v>
      </c>
      <c r="S29" s="697">
        <v>2.6309137838107119</v>
      </c>
      <c r="T29" s="697">
        <v>3.1894857498310745</v>
      </c>
      <c r="U29" s="697">
        <v>1.5129845056392617</v>
      </c>
      <c r="V29" s="697">
        <v>0.21516082253606195</v>
      </c>
      <c r="W29" s="697">
        <v>0.2150713260429479</v>
      </c>
      <c r="X29" s="697">
        <v>0.2150713260429479</v>
      </c>
      <c r="Y29" s="697">
        <v>0.19962429734156681</v>
      </c>
      <c r="Z29" s="697">
        <v>0.19962429734156681</v>
      </c>
      <c r="AA29" s="697">
        <v>0.16849030706682078</v>
      </c>
      <c r="AB29" s="697">
        <v>0</v>
      </c>
      <c r="AC29" s="697">
        <v>0</v>
      </c>
      <c r="AD29" s="697">
        <v>0</v>
      </c>
      <c r="AE29" s="697">
        <v>0</v>
      </c>
      <c r="AF29" s="697">
        <v>0</v>
      </c>
      <c r="AG29" s="697">
        <v>0</v>
      </c>
      <c r="AH29" s="697">
        <v>0</v>
      </c>
      <c r="AI29" s="697">
        <v>0</v>
      </c>
      <c r="AJ29" s="697">
        <v>0</v>
      </c>
      <c r="AK29" s="697">
        <v>0</v>
      </c>
      <c r="AL29" s="697">
        <v>0</v>
      </c>
      <c r="AM29" s="697">
        <v>0</v>
      </c>
      <c r="AN29" s="697">
        <v>0</v>
      </c>
      <c r="AO29" s="698">
        <v>0</v>
      </c>
      <c r="AP29" s="633"/>
      <c r="AQ29" s="696">
        <v>66979.755117844819</v>
      </c>
      <c r="AR29" s="697">
        <v>66979.755117844819</v>
      </c>
      <c r="AS29" s="697">
        <v>66979.755117844819</v>
      </c>
      <c r="AT29" s="697">
        <v>66979.755117844819</v>
      </c>
      <c r="AU29" s="697">
        <v>61214.563466114676</v>
      </c>
      <c r="AV29" s="697">
        <v>54916.33443346047</v>
      </c>
      <c r="AW29" s="697">
        <v>41403.415333894023</v>
      </c>
      <c r="AX29" s="697">
        <v>41252.377334731376</v>
      </c>
      <c r="AY29" s="697">
        <v>53315.798019115733</v>
      </c>
      <c r="AZ29" s="697">
        <v>17108.574927217196</v>
      </c>
      <c r="BA29" s="697">
        <v>6160.2443299863835</v>
      </c>
      <c r="BB29" s="697">
        <v>5422.6908459390206</v>
      </c>
      <c r="BC29" s="697">
        <v>5422.6908459390206</v>
      </c>
      <c r="BD29" s="697">
        <v>4004.8849518888974</v>
      </c>
      <c r="BE29" s="697">
        <v>4004.8849518888974</v>
      </c>
      <c r="BF29" s="697">
        <v>3638.8676464906257</v>
      </c>
      <c r="BG29" s="697">
        <v>0</v>
      </c>
      <c r="BH29" s="697">
        <v>0</v>
      </c>
      <c r="BI29" s="697">
        <v>0</v>
      </c>
      <c r="BJ29" s="697">
        <v>0</v>
      </c>
      <c r="BK29" s="697">
        <v>0</v>
      </c>
      <c r="BL29" s="697">
        <v>0</v>
      </c>
      <c r="BM29" s="697">
        <v>0</v>
      </c>
      <c r="BN29" s="697">
        <v>0</v>
      </c>
      <c r="BO29" s="697">
        <v>0</v>
      </c>
      <c r="BP29" s="697">
        <v>0</v>
      </c>
      <c r="BQ29" s="697">
        <v>0</v>
      </c>
      <c r="BR29" s="697">
        <v>0</v>
      </c>
      <c r="BS29" s="697">
        <v>0</v>
      </c>
      <c r="BT29" s="698">
        <v>0</v>
      </c>
      <c r="BU29" s="16"/>
    </row>
    <row r="30" spans="2:73" s="17" customFormat="1" ht="15.75">
      <c r="B30" s="692" t="s">
        <v>752</v>
      </c>
      <c r="C30" s="692" t="s">
        <v>753</v>
      </c>
      <c r="D30" s="692" t="s">
        <v>4</v>
      </c>
      <c r="E30" s="692" t="s">
        <v>754</v>
      </c>
      <c r="F30" s="692" t="s">
        <v>29</v>
      </c>
      <c r="G30" s="692" t="s">
        <v>755</v>
      </c>
      <c r="H30" s="692">
        <v>2011</v>
      </c>
      <c r="I30" s="644" t="s">
        <v>566</v>
      </c>
      <c r="J30" s="644" t="s">
        <v>584</v>
      </c>
      <c r="K30" s="633"/>
      <c r="L30" s="696">
        <v>2.6149429895522425</v>
      </c>
      <c r="M30" s="697">
        <v>2.6149429895522425</v>
      </c>
      <c r="N30" s="697">
        <v>2.6149429895522425</v>
      </c>
      <c r="O30" s="697">
        <v>2.6149429895522425</v>
      </c>
      <c r="P30" s="697">
        <v>2.457762261594401</v>
      </c>
      <c r="Q30" s="697">
        <v>2.2860489372158939</v>
      </c>
      <c r="R30" s="697">
        <v>1.9287120194838765</v>
      </c>
      <c r="S30" s="697">
        <v>1.9082955616714294</v>
      </c>
      <c r="T30" s="697">
        <v>2.2371896140077774</v>
      </c>
      <c r="U30" s="697">
        <v>1.2500450355255228</v>
      </c>
      <c r="V30" s="697">
        <v>0.15532350975644457</v>
      </c>
      <c r="W30" s="697">
        <v>0.15519989989412636</v>
      </c>
      <c r="X30" s="697">
        <v>0.15519989989412636</v>
      </c>
      <c r="Y30" s="697">
        <v>0.15231946640353805</v>
      </c>
      <c r="Z30" s="697">
        <v>0.15231946640353805</v>
      </c>
      <c r="AA30" s="697">
        <v>0.1446640814921796</v>
      </c>
      <c r="AB30" s="697">
        <v>0</v>
      </c>
      <c r="AC30" s="697">
        <v>0</v>
      </c>
      <c r="AD30" s="697">
        <v>0</v>
      </c>
      <c r="AE30" s="697">
        <v>0</v>
      </c>
      <c r="AF30" s="697">
        <v>0</v>
      </c>
      <c r="AG30" s="697">
        <v>0</v>
      </c>
      <c r="AH30" s="697">
        <v>0</v>
      </c>
      <c r="AI30" s="697">
        <v>0</v>
      </c>
      <c r="AJ30" s="697">
        <v>0</v>
      </c>
      <c r="AK30" s="697">
        <v>0</v>
      </c>
      <c r="AL30" s="697">
        <v>0</v>
      </c>
      <c r="AM30" s="697">
        <v>0</v>
      </c>
      <c r="AN30" s="697">
        <v>0</v>
      </c>
      <c r="AO30" s="698">
        <v>0</v>
      </c>
      <c r="AP30" s="633"/>
      <c r="AQ30" s="696">
        <v>42622.492232442448</v>
      </c>
      <c r="AR30" s="697">
        <v>42622.492232442448</v>
      </c>
      <c r="AS30" s="697">
        <v>42622.492232442448</v>
      </c>
      <c r="AT30" s="697">
        <v>42622.492232442448</v>
      </c>
      <c r="AU30" s="697">
        <v>39227.876390293124</v>
      </c>
      <c r="AV30" s="697">
        <v>35519.40157396737</v>
      </c>
      <c r="AW30" s="697">
        <v>27802.033308289963</v>
      </c>
      <c r="AX30" s="697">
        <v>27623.185137852928</v>
      </c>
      <c r="AY30" s="697">
        <v>34726.275796328016</v>
      </c>
      <c r="AZ30" s="697">
        <v>13407.016952416385</v>
      </c>
      <c r="BA30" s="697">
        <v>4497.3606650726815</v>
      </c>
      <c r="BB30" s="697">
        <v>3478.6739943084085</v>
      </c>
      <c r="BC30" s="697">
        <v>3478.6739943084085</v>
      </c>
      <c r="BD30" s="697">
        <v>3214.2933383696827</v>
      </c>
      <c r="BE30" s="697">
        <v>3214.2933383696827</v>
      </c>
      <c r="BF30" s="697">
        <v>3124.2951295851562</v>
      </c>
      <c r="BG30" s="697">
        <v>0</v>
      </c>
      <c r="BH30" s="697">
        <v>0</v>
      </c>
      <c r="BI30" s="697">
        <v>0</v>
      </c>
      <c r="BJ30" s="697">
        <v>0</v>
      </c>
      <c r="BK30" s="697">
        <v>0</v>
      </c>
      <c r="BL30" s="697">
        <v>0</v>
      </c>
      <c r="BM30" s="697">
        <v>0</v>
      </c>
      <c r="BN30" s="697">
        <v>0</v>
      </c>
      <c r="BO30" s="697">
        <v>0</v>
      </c>
      <c r="BP30" s="697">
        <v>0</v>
      </c>
      <c r="BQ30" s="697">
        <v>0</v>
      </c>
      <c r="BR30" s="697">
        <v>0</v>
      </c>
      <c r="BS30" s="697">
        <v>0</v>
      </c>
      <c r="BT30" s="698">
        <v>0</v>
      </c>
      <c r="BU30" s="16"/>
    </row>
    <row r="31" spans="2:73" s="17" customFormat="1" ht="15.75">
      <c r="B31" s="692" t="s">
        <v>752</v>
      </c>
      <c r="C31" s="692" t="s">
        <v>753</v>
      </c>
      <c r="D31" s="692" t="s">
        <v>3</v>
      </c>
      <c r="E31" s="692" t="s">
        <v>754</v>
      </c>
      <c r="F31" s="692" t="s">
        <v>29</v>
      </c>
      <c r="G31" s="692" t="s">
        <v>755</v>
      </c>
      <c r="H31" s="692">
        <v>2011</v>
      </c>
      <c r="I31" s="644" t="s">
        <v>566</v>
      </c>
      <c r="J31" s="644" t="s">
        <v>584</v>
      </c>
      <c r="K31" s="633"/>
      <c r="L31" s="696">
        <v>71.606686463603651</v>
      </c>
      <c r="M31" s="697">
        <v>71.606686463603651</v>
      </c>
      <c r="N31" s="697">
        <v>71.606686463603651</v>
      </c>
      <c r="O31" s="697">
        <v>71.606686463603651</v>
      </c>
      <c r="P31" s="697">
        <v>71.606686463603651</v>
      </c>
      <c r="Q31" s="697">
        <v>71.606686463603651</v>
      </c>
      <c r="R31" s="697">
        <v>71.606686463603651</v>
      </c>
      <c r="S31" s="697">
        <v>71.606686463603651</v>
      </c>
      <c r="T31" s="697">
        <v>71.606686463603651</v>
      </c>
      <c r="U31" s="697">
        <v>71.606686463603651</v>
      </c>
      <c r="V31" s="697">
        <v>71.606686463603651</v>
      </c>
      <c r="W31" s="697">
        <v>71.606686463603651</v>
      </c>
      <c r="X31" s="697">
        <v>71.606686463603651</v>
      </c>
      <c r="Y31" s="697">
        <v>71.606686463603651</v>
      </c>
      <c r="Z31" s="697">
        <v>71.606686463603651</v>
      </c>
      <c r="AA31" s="697">
        <v>71.606686463603651</v>
      </c>
      <c r="AB31" s="697">
        <v>71.606686463603651</v>
      </c>
      <c r="AC31" s="697">
        <v>71.606686463603651</v>
      </c>
      <c r="AD31" s="697">
        <v>54.400337756317668</v>
      </c>
      <c r="AE31" s="697">
        <v>0</v>
      </c>
      <c r="AF31" s="697">
        <v>0</v>
      </c>
      <c r="AG31" s="697">
        <v>0</v>
      </c>
      <c r="AH31" s="697">
        <v>0</v>
      </c>
      <c r="AI31" s="697">
        <v>0</v>
      </c>
      <c r="AJ31" s="697">
        <v>0</v>
      </c>
      <c r="AK31" s="697">
        <v>0</v>
      </c>
      <c r="AL31" s="697">
        <v>0</v>
      </c>
      <c r="AM31" s="697">
        <v>0</v>
      </c>
      <c r="AN31" s="697">
        <v>0</v>
      </c>
      <c r="AO31" s="698">
        <v>0</v>
      </c>
      <c r="AP31" s="633"/>
      <c r="AQ31" s="696">
        <v>127172.63356929056</v>
      </c>
      <c r="AR31" s="697">
        <v>127172.63356929056</v>
      </c>
      <c r="AS31" s="697">
        <v>127172.63356929056</v>
      </c>
      <c r="AT31" s="697">
        <v>127172.63356929056</v>
      </c>
      <c r="AU31" s="697">
        <v>127172.63356929056</v>
      </c>
      <c r="AV31" s="697">
        <v>127172.63356929056</v>
      </c>
      <c r="AW31" s="697">
        <v>127172.63356929056</v>
      </c>
      <c r="AX31" s="697">
        <v>127172.63356929056</v>
      </c>
      <c r="AY31" s="697">
        <v>127172.63356929056</v>
      </c>
      <c r="AZ31" s="697">
        <v>127172.63356929056</v>
      </c>
      <c r="BA31" s="697">
        <v>127172.63356929056</v>
      </c>
      <c r="BB31" s="697">
        <v>127172.63356929056</v>
      </c>
      <c r="BC31" s="697">
        <v>127172.63356929056</v>
      </c>
      <c r="BD31" s="697">
        <v>127172.63356929056</v>
      </c>
      <c r="BE31" s="697">
        <v>127172.63356929056</v>
      </c>
      <c r="BF31" s="697">
        <v>127172.63356929056</v>
      </c>
      <c r="BG31" s="697">
        <v>127172.63356929056</v>
      </c>
      <c r="BH31" s="697">
        <v>127172.63356929056</v>
      </c>
      <c r="BI31" s="697">
        <v>111786.20792358661</v>
      </c>
      <c r="BJ31" s="697">
        <v>0</v>
      </c>
      <c r="BK31" s="697">
        <v>0</v>
      </c>
      <c r="BL31" s="697">
        <v>0</v>
      </c>
      <c r="BM31" s="697">
        <v>0</v>
      </c>
      <c r="BN31" s="697">
        <v>0</v>
      </c>
      <c r="BO31" s="697">
        <v>0</v>
      </c>
      <c r="BP31" s="697">
        <v>0</v>
      </c>
      <c r="BQ31" s="697">
        <v>0</v>
      </c>
      <c r="BR31" s="697">
        <v>0</v>
      </c>
      <c r="BS31" s="697">
        <v>0</v>
      </c>
      <c r="BT31" s="698">
        <v>0</v>
      </c>
      <c r="BU31" s="16"/>
    </row>
    <row r="32" spans="2:73" s="17" customFormat="1" ht="15.75">
      <c r="B32" s="692" t="s">
        <v>752</v>
      </c>
      <c r="C32" s="692" t="s">
        <v>753</v>
      </c>
      <c r="D32" s="692" t="s">
        <v>42</v>
      </c>
      <c r="E32" s="692" t="s">
        <v>754</v>
      </c>
      <c r="F32" s="692" t="s">
        <v>29</v>
      </c>
      <c r="G32" s="692" t="s">
        <v>756</v>
      </c>
      <c r="H32" s="692">
        <v>2011</v>
      </c>
      <c r="I32" s="644" t="s">
        <v>566</v>
      </c>
      <c r="J32" s="644" t="s">
        <v>584</v>
      </c>
      <c r="K32" s="633"/>
      <c r="L32" s="696">
        <v>0</v>
      </c>
      <c r="M32" s="697">
        <v>0</v>
      </c>
      <c r="N32" s="697">
        <v>0</v>
      </c>
      <c r="O32" s="697">
        <v>0</v>
      </c>
      <c r="P32" s="697">
        <v>0</v>
      </c>
      <c r="Q32" s="697">
        <v>0</v>
      </c>
      <c r="R32" s="697">
        <v>0</v>
      </c>
      <c r="S32" s="697">
        <v>0</v>
      </c>
      <c r="T32" s="697">
        <v>0</v>
      </c>
      <c r="U32" s="697">
        <v>0</v>
      </c>
      <c r="V32" s="697">
        <v>0</v>
      </c>
      <c r="W32" s="697">
        <v>0</v>
      </c>
      <c r="X32" s="697">
        <v>0</v>
      </c>
      <c r="Y32" s="697">
        <v>0</v>
      </c>
      <c r="Z32" s="697">
        <v>0</v>
      </c>
      <c r="AA32" s="697">
        <v>0</v>
      </c>
      <c r="AB32" s="697">
        <v>0</v>
      </c>
      <c r="AC32" s="697">
        <v>0</v>
      </c>
      <c r="AD32" s="697">
        <v>0</v>
      </c>
      <c r="AE32" s="697">
        <v>0</v>
      </c>
      <c r="AF32" s="697">
        <v>0</v>
      </c>
      <c r="AG32" s="697">
        <v>0</v>
      </c>
      <c r="AH32" s="697">
        <v>0</v>
      </c>
      <c r="AI32" s="697">
        <v>0</v>
      </c>
      <c r="AJ32" s="697">
        <v>0</v>
      </c>
      <c r="AK32" s="697">
        <v>0</v>
      </c>
      <c r="AL32" s="697">
        <v>0</v>
      </c>
      <c r="AM32" s="697">
        <v>0</v>
      </c>
      <c r="AN32" s="697">
        <v>0</v>
      </c>
      <c r="AO32" s="698">
        <v>0</v>
      </c>
      <c r="AP32" s="633"/>
      <c r="AQ32" s="696">
        <v>0</v>
      </c>
      <c r="AR32" s="697">
        <v>0</v>
      </c>
      <c r="AS32" s="697">
        <v>0</v>
      </c>
      <c r="AT32" s="697">
        <v>0</v>
      </c>
      <c r="AU32" s="697">
        <v>0</v>
      </c>
      <c r="AV32" s="697">
        <v>0</v>
      </c>
      <c r="AW32" s="697">
        <v>0</v>
      </c>
      <c r="AX32" s="697">
        <v>0</v>
      </c>
      <c r="AY32" s="697">
        <v>0</v>
      </c>
      <c r="AZ32" s="697">
        <v>0</v>
      </c>
      <c r="BA32" s="697">
        <v>0</v>
      </c>
      <c r="BB32" s="697">
        <v>0</v>
      </c>
      <c r="BC32" s="697">
        <v>0</v>
      </c>
      <c r="BD32" s="697">
        <v>0</v>
      </c>
      <c r="BE32" s="697">
        <v>0</v>
      </c>
      <c r="BF32" s="697">
        <v>0</v>
      </c>
      <c r="BG32" s="697">
        <v>0</v>
      </c>
      <c r="BH32" s="697">
        <v>0</v>
      </c>
      <c r="BI32" s="697">
        <v>0</v>
      </c>
      <c r="BJ32" s="697">
        <v>0</v>
      </c>
      <c r="BK32" s="697">
        <v>0</v>
      </c>
      <c r="BL32" s="697">
        <v>0</v>
      </c>
      <c r="BM32" s="697">
        <v>0</v>
      </c>
      <c r="BN32" s="697">
        <v>0</v>
      </c>
      <c r="BO32" s="697">
        <v>0</v>
      </c>
      <c r="BP32" s="697">
        <v>0</v>
      </c>
      <c r="BQ32" s="697">
        <v>0</v>
      </c>
      <c r="BR32" s="697">
        <v>0</v>
      </c>
      <c r="BS32" s="697">
        <v>0</v>
      </c>
      <c r="BT32" s="698">
        <v>0</v>
      </c>
      <c r="BU32" s="16"/>
    </row>
    <row r="33" spans="2:73" s="17" customFormat="1" ht="15.75">
      <c r="B33" s="692" t="s">
        <v>752</v>
      </c>
      <c r="C33" s="692" t="s">
        <v>753</v>
      </c>
      <c r="D33" s="692" t="s">
        <v>6</v>
      </c>
      <c r="E33" s="692" t="s">
        <v>754</v>
      </c>
      <c r="F33" s="692" t="s">
        <v>29</v>
      </c>
      <c r="G33" s="692" t="s">
        <v>755</v>
      </c>
      <c r="H33" s="692">
        <v>2011</v>
      </c>
      <c r="I33" s="644" t="s">
        <v>566</v>
      </c>
      <c r="J33" s="644" t="s">
        <v>584</v>
      </c>
      <c r="K33" s="633"/>
      <c r="L33" s="696">
        <v>0</v>
      </c>
      <c r="M33" s="697">
        <v>0</v>
      </c>
      <c r="N33" s="697">
        <v>0</v>
      </c>
      <c r="O33" s="697">
        <v>0</v>
      </c>
      <c r="P33" s="697">
        <v>0</v>
      </c>
      <c r="Q33" s="697">
        <v>0</v>
      </c>
      <c r="R33" s="697">
        <v>0</v>
      </c>
      <c r="S33" s="697">
        <v>0</v>
      </c>
      <c r="T33" s="697">
        <v>0</v>
      </c>
      <c r="U33" s="697">
        <v>0</v>
      </c>
      <c r="V33" s="697">
        <v>0</v>
      </c>
      <c r="W33" s="697">
        <v>0</v>
      </c>
      <c r="X33" s="697">
        <v>0</v>
      </c>
      <c r="Y33" s="697">
        <v>0</v>
      </c>
      <c r="Z33" s="697">
        <v>0</v>
      </c>
      <c r="AA33" s="697">
        <v>0</v>
      </c>
      <c r="AB33" s="697">
        <v>0</v>
      </c>
      <c r="AC33" s="697">
        <v>0</v>
      </c>
      <c r="AD33" s="697">
        <v>0</v>
      </c>
      <c r="AE33" s="697">
        <v>0</v>
      </c>
      <c r="AF33" s="697">
        <v>0</v>
      </c>
      <c r="AG33" s="697">
        <v>0</v>
      </c>
      <c r="AH33" s="697">
        <v>0</v>
      </c>
      <c r="AI33" s="697">
        <v>0</v>
      </c>
      <c r="AJ33" s="697">
        <v>0</v>
      </c>
      <c r="AK33" s="697">
        <v>0</v>
      </c>
      <c r="AL33" s="697">
        <v>0</v>
      </c>
      <c r="AM33" s="697">
        <v>0</v>
      </c>
      <c r="AN33" s="697">
        <v>0</v>
      </c>
      <c r="AO33" s="698">
        <v>0</v>
      </c>
      <c r="AP33" s="633"/>
      <c r="AQ33" s="696">
        <v>0</v>
      </c>
      <c r="AR33" s="697">
        <v>0</v>
      </c>
      <c r="AS33" s="697">
        <v>0</v>
      </c>
      <c r="AT33" s="697">
        <v>0</v>
      </c>
      <c r="AU33" s="697">
        <v>0</v>
      </c>
      <c r="AV33" s="697">
        <v>0</v>
      </c>
      <c r="AW33" s="697">
        <v>0</v>
      </c>
      <c r="AX33" s="697">
        <v>0</v>
      </c>
      <c r="AY33" s="697">
        <v>0</v>
      </c>
      <c r="AZ33" s="697">
        <v>0</v>
      </c>
      <c r="BA33" s="697">
        <v>0</v>
      </c>
      <c r="BB33" s="697">
        <v>0</v>
      </c>
      <c r="BC33" s="697">
        <v>0</v>
      </c>
      <c r="BD33" s="697">
        <v>0</v>
      </c>
      <c r="BE33" s="697">
        <v>0</v>
      </c>
      <c r="BF33" s="697">
        <v>0</v>
      </c>
      <c r="BG33" s="697">
        <v>0</v>
      </c>
      <c r="BH33" s="697">
        <v>0</v>
      </c>
      <c r="BI33" s="697">
        <v>0</v>
      </c>
      <c r="BJ33" s="697">
        <v>0</v>
      </c>
      <c r="BK33" s="697">
        <v>0</v>
      </c>
      <c r="BL33" s="697">
        <v>0</v>
      </c>
      <c r="BM33" s="697">
        <v>0</v>
      </c>
      <c r="BN33" s="697">
        <v>0</v>
      </c>
      <c r="BO33" s="697">
        <v>0</v>
      </c>
      <c r="BP33" s="697">
        <v>0</v>
      </c>
      <c r="BQ33" s="697">
        <v>0</v>
      </c>
      <c r="BR33" s="697">
        <v>0</v>
      </c>
      <c r="BS33" s="697">
        <v>0</v>
      </c>
      <c r="BT33" s="698">
        <v>0</v>
      </c>
      <c r="BU33" s="16"/>
    </row>
    <row r="34" spans="2:73" s="17" customFormat="1" ht="15.75">
      <c r="B34" s="692" t="s">
        <v>752</v>
      </c>
      <c r="C34" s="692" t="s">
        <v>757</v>
      </c>
      <c r="D34" s="692" t="s">
        <v>758</v>
      </c>
      <c r="E34" s="692" t="s">
        <v>754</v>
      </c>
      <c r="F34" s="692" t="s">
        <v>759</v>
      </c>
      <c r="G34" s="692" t="s">
        <v>756</v>
      </c>
      <c r="H34" s="692">
        <v>2011</v>
      </c>
      <c r="I34" s="644" t="s">
        <v>566</v>
      </c>
      <c r="J34" s="644" t="s">
        <v>584</v>
      </c>
      <c r="K34" s="633"/>
      <c r="L34" s="696">
        <v>0</v>
      </c>
      <c r="M34" s="697">
        <v>0</v>
      </c>
      <c r="N34" s="697">
        <v>0</v>
      </c>
      <c r="O34" s="697">
        <v>0</v>
      </c>
      <c r="P34" s="697">
        <v>0</v>
      </c>
      <c r="Q34" s="697">
        <v>0</v>
      </c>
      <c r="R34" s="697">
        <v>0</v>
      </c>
      <c r="S34" s="697">
        <v>0</v>
      </c>
      <c r="T34" s="697">
        <v>0</v>
      </c>
      <c r="U34" s="697">
        <v>0</v>
      </c>
      <c r="V34" s="697">
        <v>0</v>
      </c>
      <c r="W34" s="697">
        <v>0</v>
      </c>
      <c r="X34" s="697">
        <v>0</v>
      </c>
      <c r="Y34" s="697">
        <v>0</v>
      </c>
      <c r="Z34" s="697">
        <v>0</v>
      </c>
      <c r="AA34" s="697">
        <v>0</v>
      </c>
      <c r="AB34" s="697">
        <v>0</v>
      </c>
      <c r="AC34" s="697">
        <v>0</v>
      </c>
      <c r="AD34" s="697">
        <v>0</v>
      </c>
      <c r="AE34" s="697">
        <v>0</v>
      </c>
      <c r="AF34" s="697">
        <v>0</v>
      </c>
      <c r="AG34" s="697">
        <v>0</v>
      </c>
      <c r="AH34" s="697">
        <v>0</v>
      </c>
      <c r="AI34" s="697">
        <v>0</v>
      </c>
      <c r="AJ34" s="697">
        <v>0</v>
      </c>
      <c r="AK34" s="697">
        <v>0</v>
      </c>
      <c r="AL34" s="697">
        <v>0</v>
      </c>
      <c r="AM34" s="697">
        <v>0</v>
      </c>
      <c r="AN34" s="697">
        <v>0</v>
      </c>
      <c r="AO34" s="698">
        <v>0</v>
      </c>
      <c r="AP34" s="633"/>
      <c r="AQ34" s="696">
        <v>0</v>
      </c>
      <c r="AR34" s="697">
        <v>0</v>
      </c>
      <c r="AS34" s="697">
        <v>0</v>
      </c>
      <c r="AT34" s="697">
        <v>0</v>
      </c>
      <c r="AU34" s="697">
        <v>0</v>
      </c>
      <c r="AV34" s="697">
        <v>0</v>
      </c>
      <c r="AW34" s="697">
        <v>0</v>
      </c>
      <c r="AX34" s="697">
        <v>0</v>
      </c>
      <c r="AY34" s="697">
        <v>0</v>
      </c>
      <c r="AZ34" s="697">
        <v>0</v>
      </c>
      <c r="BA34" s="697">
        <v>0</v>
      </c>
      <c r="BB34" s="697">
        <v>0</v>
      </c>
      <c r="BC34" s="697">
        <v>0</v>
      </c>
      <c r="BD34" s="697">
        <v>0</v>
      </c>
      <c r="BE34" s="697">
        <v>0</v>
      </c>
      <c r="BF34" s="697">
        <v>0</v>
      </c>
      <c r="BG34" s="697">
        <v>0</v>
      </c>
      <c r="BH34" s="697">
        <v>0</v>
      </c>
      <c r="BI34" s="697">
        <v>0</v>
      </c>
      <c r="BJ34" s="697">
        <v>0</v>
      </c>
      <c r="BK34" s="697">
        <v>0</v>
      </c>
      <c r="BL34" s="697">
        <v>0</v>
      </c>
      <c r="BM34" s="697">
        <v>0</v>
      </c>
      <c r="BN34" s="697">
        <v>0</v>
      </c>
      <c r="BO34" s="697">
        <v>0</v>
      </c>
      <c r="BP34" s="697">
        <v>0</v>
      </c>
      <c r="BQ34" s="697">
        <v>0</v>
      </c>
      <c r="BR34" s="697">
        <v>0</v>
      </c>
      <c r="BS34" s="697">
        <v>0</v>
      </c>
      <c r="BT34" s="698">
        <v>0</v>
      </c>
      <c r="BU34" s="16"/>
    </row>
    <row r="35" spans="2:73" s="17" customFormat="1" ht="15.75">
      <c r="B35" s="692" t="s">
        <v>752</v>
      </c>
      <c r="C35" s="692" t="s">
        <v>757</v>
      </c>
      <c r="D35" s="692" t="s">
        <v>760</v>
      </c>
      <c r="E35" s="692" t="s">
        <v>754</v>
      </c>
      <c r="F35" s="692" t="s">
        <v>759</v>
      </c>
      <c r="G35" s="692" t="s">
        <v>756</v>
      </c>
      <c r="H35" s="692">
        <v>2011</v>
      </c>
      <c r="I35" s="644" t="s">
        <v>566</v>
      </c>
      <c r="J35" s="644" t="s">
        <v>584</v>
      </c>
      <c r="K35" s="633"/>
      <c r="L35" s="696">
        <v>75.088499999999996</v>
      </c>
      <c r="M35" s="697">
        <v>0</v>
      </c>
      <c r="N35" s="697">
        <v>0</v>
      </c>
      <c r="O35" s="697">
        <v>0</v>
      </c>
      <c r="P35" s="697">
        <v>0</v>
      </c>
      <c r="Q35" s="697">
        <v>0</v>
      </c>
      <c r="R35" s="697">
        <v>0</v>
      </c>
      <c r="S35" s="697">
        <v>0</v>
      </c>
      <c r="T35" s="697">
        <v>0</v>
      </c>
      <c r="U35" s="697">
        <v>0</v>
      </c>
      <c r="V35" s="697">
        <v>0</v>
      </c>
      <c r="W35" s="697">
        <v>0</v>
      </c>
      <c r="X35" s="697">
        <v>0</v>
      </c>
      <c r="Y35" s="697">
        <v>0</v>
      </c>
      <c r="Z35" s="697">
        <v>0</v>
      </c>
      <c r="AA35" s="697">
        <v>0</v>
      </c>
      <c r="AB35" s="697">
        <v>0</v>
      </c>
      <c r="AC35" s="697">
        <v>0</v>
      </c>
      <c r="AD35" s="697">
        <v>0</v>
      </c>
      <c r="AE35" s="697">
        <v>0</v>
      </c>
      <c r="AF35" s="697">
        <v>0</v>
      </c>
      <c r="AG35" s="697">
        <v>0</v>
      </c>
      <c r="AH35" s="697">
        <v>0</v>
      </c>
      <c r="AI35" s="697">
        <v>0</v>
      </c>
      <c r="AJ35" s="697">
        <v>0</v>
      </c>
      <c r="AK35" s="697">
        <v>0</v>
      </c>
      <c r="AL35" s="697">
        <v>0</v>
      </c>
      <c r="AM35" s="697">
        <v>0</v>
      </c>
      <c r="AN35" s="697">
        <v>0</v>
      </c>
      <c r="AO35" s="698">
        <v>0</v>
      </c>
      <c r="AP35" s="633"/>
      <c r="AQ35" s="696">
        <v>2931.6800000000003</v>
      </c>
      <c r="AR35" s="697">
        <v>0</v>
      </c>
      <c r="AS35" s="697">
        <v>0</v>
      </c>
      <c r="AT35" s="697">
        <v>0</v>
      </c>
      <c r="AU35" s="697">
        <v>0</v>
      </c>
      <c r="AV35" s="697">
        <v>0</v>
      </c>
      <c r="AW35" s="697">
        <v>0</v>
      </c>
      <c r="AX35" s="697">
        <v>0</v>
      </c>
      <c r="AY35" s="697">
        <v>0</v>
      </c>
      <c r="AZ35" s="697">
        <v>0</v>
      </c>
      <c r="BA35" s="697">
        <v>0</v>
      </c>
      <c r="BB35" s="697">
        <v>0</v>
      </c>
      <c r="BC35" s="697">
        <v>0</v>
      </c>
      <c r="BD35" s="697">
        <v>0</v>
      </c>
      <c r="BE35" s="697">
        <v>0</v>
      </c>
      <c r="BF35" s="697">
        <v>0</v>
      </c>
      <c r="BG35" s="697">
        <v>0</v>
      </c>
      <c r="BH35" s="697">
        <v>0</v>
      </c>
      <c r="BI35" s="697">
        <v>0</v>
      </c>
      <c r="BJ35" s="697">
        <v>0</v>
      </c>
      <c r="BK35" s="697">
        <v>0</v>
      </c>
      <c r="BL35" s="697">
        <v>0</v>
      </c>
      <c r="BM35" s="697">
        <v>0</v>
      </c>
      <c r="BN35" s="697">
        <v>0</v>
      </c>
      <c r="BO35" s="697">
        <v>0</v>
      </c>
      <c r="BP35" s="697">
        <v>0</v>
      </c>
      <c r="BQ35" s="697">
        <v>0</v>
      </c>
      <c r="BR35" s="697">
        <v>0</v>
      </c>
      <c r="BS35" s="697">
        <v>0</v>
      </c>
      <c r="BT35" s="698">
        <v>0</v>
      </c>
      <c r="BU35" s="16"/>
    </row>
    <row r="36" spans="2:73" s="17" customFormat="1" ht="15.75">
      <c r="B36" s="692" t="s">
        <v>752</v>
      </c>
      <c r="C36" s="692" t="s">
        <v>757</v>
      </c>
      <c r="D36" s="692" t="s">
        <v>21</v>
      </c>
      <c r="E36" s="692" t="s">
        <v>754</v>
      </c>
      <c r="F36" s="692" t="s">
        <v>759</v>
      </c>
      <c r="G36" s="692" t="s">
        <v>755</v>
      </c>
      <c r="H36" s="692">
        <v>2011</v>
      </c>
      <c r="I36" s="644" t="s">
        <v>566</v>
      </c>
      <c r="J36" s="644" t="s">
        <v>584</v>
      </c>
      <c r="K36" s="633"/>
      <c r="L36" s="696">
        <v>31.639357056624537</v>
      </c>
      <c r="M36" s="697">
        <v>31.639357056624537</v>
      </c>
      <c r="N36" s="697">
        <v>31.639357056624537</v>
      </c>
      <c r="O36" s="697">
        <v>24.694160438244545</v>
      </c>
      <c r="P36" s="697">
        <v>24.694160438244545</v>
      </c>
      <c r="Q36" s="697">
        <v>24.636552636167735</v>
      </c>
      <c r="R36" s="697">
        <v>5.1685720023312207</v>
      </c>
      <c r="S36" s="697">
        <v>4.7607087636274192</v>
      </c>
      <c r="T36" s="697">
        <v>4.7607087636274192</v>
      </c>
      <c r="U36" s="697">
        <v>4.7607087636274192</v>
      </c>
      <c r="V36" s="697">
        <v>4.698492337384466</v>
      </c>
      <c r="W36" s="697">
        <v>4.698492337384466</v>
      </c>
      <c r="X36" s="697">
        <v>0.69129362492169677</v>
      </c>
      <c r="Y36" s="697">
        <v>0.69129362492169677</v>
      </c>
      <c r="Z36" s="697">
        <v>0.69129362492169677</v>
      </c>
      <c r="AA36" s="697">
        <v>0</v>
      </c>
      <c r="AB36" s="697">
        <v>0</v>
      </c>
      <c r="AC36" s="697">
        <v>0</v>
      </c>
      <c r="AD36" s="697">
        <v>0</v>
      </c>
      <c r="AE36" s="697">
        <v>0</v>
      </c>
      <c r="AF36" s="697">
        <v>0</v>
      </c>
      <c r="AG36" s="697">
        <v>0</v>
      </c>
      <c r="AH36" s="697">
        <v>0</v>
      </c>
      <c r="AI36" s="697">
        <v>0</v>
      </c>
      <c r="AJ36" s="697">
        <v>0</v>
      </c>
      <c r="AK36" s="697">
        <v>0</v>
      </c>
      <c r="AL36" s="697">
        <v>0</v>
      </c>
      <c r="AM36" s="697">
        <v>0</v>
      </c>
      <c r="AN36" s="697">
        <v>0</v>
      </c>
      <c r="AO36" s="698">
        <v>0</v>
      </c>
      <c r="AP36" s="633"/>
      <c r="AQ36" s="696">
        <v>79311.697156286915</v>
      </c>
      <c r="AR36" s="697">
        <v>79311.697156286915</v>
      </c>
      <c r="AS36" s="697">
        <v>79311.697156286915</v>
      </c>
      <c r="AT36" s="697">
        <v>60355.595475884329</v>
      </c>
      <c r="AU36" s="697">
        <v>60355.595475884329</v>
      </c>
      <c r="AV36" s="697">
        <v>60214.927627941375</v>
      </c>
      <c r="AW36" s="697">
        <v>11372.17952023955</v>
      </c>
      <c r="AX36" s="697">
        <v>11066.022630157735</v>
      </c>
      <c r="AY36" s="697">
        <v>11066.022630157735</v>
      </c>
      <c r="AZ36" s="697">
        <v>11066.022630157735</v>
      </c>
      <c r="BA36" s="697">
        <v>10656.913999411121</v>
      </c>
      <c r="BB36" s="697">
        <v>10656.913999411121</v>
      </c>
      <c r="BC36" s="697">
        <v>518.90998318951426</v>
      </c>
      <c r="BD36" s="697">
        <v>518.90998318951426</v>
      </c>
      <c r="BE36" s="697">
        <v>518.90998318951426</v>
      </c>
      <c r="BF36" s="697">
        <v>0</v>
      </c>
      <c r="BG36" s="697">
        <v>0</v>
      </c>
      <c r="BH36" s="697">
        <v>0</v>
      </c>
      <c r="BI36" s="697">
        <v>0</v>
      </c>
      <c r="BJ36" s="697">
        <v>0</v>
      </c>
      <c r="BK36" s="697">
        <v>0</v>
      </c>
      <c r="BL36" s="697">
        <v>0</v>
      </c>
      <c r="BM36" s="697">
        <v>0</v>
      </c>
      <c r="BN36" s="697">
        <v>0</v>
      </c>
      <c r="BO36" s="697">
        <v>0</v>
      </c>
      <c r="BP36" s="697">
        <v>0</v>
      </c>
      <c r="BQ36" s="697">
        <v>0</v>
      </c>
      <c r="BR36" s="697">
        <v>0</v>
      </c>
      <c r="BS36" s="697">
        <v>0</v>
      </c>
      <c r="BT36" s="698">
        <v>0</v>
      </c>
      <c r="BU36" s="16"/>
    </row>
    <row r="37" spans="2:73" s="17" customFormat="1" ht="15.75">
      <c r="B37" s="692" t="s">
        <v>752</v>
      </c>
      <c r="C37" s="692" t="s">
        <v>757</v>
      </c>
      <c r="D37" s="692" t="s">
        <v>22</v>
      </c>
      <c r="E37" s="692" t="s">
        <v>754</v>
      </c>
      <c r="F37" s="692" t="s">
        <v>759</v>
      </c>
      <c r="G37" s="692" t="s">
        <v>755</v>
      </c>
      <c r="H37" s="692">
        <v>2011</v>
      </c>
      <c r="I37" s="644" t="s">
        <v>566</v>
      </c>
      <c r="J37" s="644" t="s">
        <v>584</v>
      </c>
      <c r="K37" s="633"/>
      <c r="L37" s="696">
        <v>0</v>
      </c>
      <c r="M37" s="697">
        <v>0</v>
      </c>
      <c r="N37" s="697">
        <v>0</v>
      </c>
      <c r="O37" s="697">
        <v>0</v>
      </c>
      <c r="P37" s="697">
        <v>0</v>
      </c>
      <c r="Q37" s="697">
        <v>0</v>
      </c>
      <c r="R37" s="697">
        <v>0</v>
      </c>
      <c r="S37" s="697">
        <v>0</v>
      </c>
      <c r="T37" s="697">
        <v>0</v>
      </c>
      <c r="U37" s="697">
        <v>0</v>
      </c>
      <c r="V37" s="697">
        <v>0</v>
      </c>
      <c r="W37" s="697">
        <v>0</v>
      </c>
      <c r="X37" s="697">
        <v>0</v>
      </c>
      <c r="Y37" s="697">
        <v>0</v>
      </c>
      <c r="Z37" s="697">
        <v>0</v>
      </c>
      <c r="AA37" s="697">
        <v>0</v>
      </c>
      <c r="AB37" s="697">
        <v>0</v>
      </c>
      <c r="AC37" s="697">
        <v>0</v>
      </c>
      <c r="AD37" s="697">
        <v>0</v>
      </c>
      <c r="AE37" s="697">
        <v>0</v>
      </c>
      <c r="AF37" s="697">
        <v>0</v>
      </c>
      <c r="AG37" s="697">
        <v>0</v>
      </c>
      <c r="AH37" s="697">
        <v>0</v>
      </c>
      <c r="AI37" s="697">
        <v>0</v>
      </c>
      <c r="AJ37" s="697">
        <v>0</v>
      </c>
      <c r="AK37" s="697">
        <v>0</v>
      </c>
      <c r="AL37" s="697">
        <v>0</v>
      </c>
      <c r="AM37" s="697">
        <v>0</v>
      </c>
      <c r="AN37" s="697">
        <v>0</v>
      </c>
      <c r="AO37" s="698">
        <v>0</v>
      </c>
      <c r="AP37" s="633"/>
      <c r="AQ37" s="696">
        <v>33991.755665595745</v>
      </c>
      <c r="AR37" s="697">
        <v>33991.755665595745</v>
      </c>
      <c r="AS37" s="697">
        <v>33991.755665595745</v>
      </c>
      <c r="AT37" s="697">
        <v>33991.755665595745</v>
      </c>
      <c r="AU37" s="697">
        <v>33991.755665595745</v>
      </c>
      <c r="AV37" s="697">
        <v>33991.755665595745</v>
      </c>
      <c r="AW37" s="697">
        <v>33991.755665595745</v>
      </c>
      <c r="AX37" s="697">
        <v>33991.755665595745</v>
      </c>
      <c r="AY37" s="697">
        <v>33991.755665595745</v>
      </c>
      <c r="AZ37" s="697">
        <v>33991.755665595745</v>
      </c>
      <c r="BA37" s="697">
        <v>33991.755665595745</v>
      </c>
      <c r="BB37" s="697">
        <v>0</v>
      </c>
      <c r="BC37" s="697">
        <v>0</v>
      </c>
      <c r="BD37" s="697">
        <v>0</v>
      </c>
      <c r="BE37" s="697">
        <v>0</v>
      </c>
      <c r="BF37" s="697">
        <v>0</v>
      </c>
      <c r="BG37" s="697">
        <v>0</v>
      </c>
      <c r="BH37" s="697">
        <v>0</v>
      </c>
      <c r="BI37" s="697">
        <v>0</v>
      </c>
      <c r="BJ37" s="697">
        <v>0</v>
      </c>
      <c r="BK37" s="697">
        <v>0</v>
      </c>
      <c r="BL37" s="697">
        <v>0</v>
      </c>
      <c r="BM37" s="697">
        <v>0</v>
      </c>
      <c r="BN37" s="697">
        <v>0</v>
      </c>
      <c r="BO37" s="697">
        <v>0</v>
      </c>
      <c r="BP37" s="697">
        <v>0</v>
      </c>
      <c r="BQ37" s="697">
        <v>0</v>
      </c>
      <c r="BR37" s="697">
        <v>0</v>
      </c>
      <c r="BS37" s="697">
        <v>0</v>
      </c>
      <c r="BT37" s="698">
        <v>0</v>
      </c>
      <c r="BU37" s="16"/>
    </row>
    <row r="38" spans="2:73" s="17" customFormat="1" ht="15.75">
      <c r="B38" s="692" t="s">
        <v>752</v>
      </c>
      <c r="C38" s="692" t="s">
        <v>761</v>
      </c>
      <c r="D38" s="692" t="s">
        <v>9</v>
      </c>
      <c r="E38" s="692" t="s">
        <v>754</v>
      </c>
      <c r="F38" s="692" t="s">
        <v>761</v>
      </c>
      <c r="G38" s="692" t="s">
        <v>756</v>
      </c>
      <c r="H38" s="692">
        <v>2011</v>
      </c>
      <c r="I38" s="644" t="s">
        <v>566</v>
      </c>
      <c r="J38" s="644" t="s">
        <v>584</v>
      </c>
      <c r="K38" s="633"/>
      <c r="L38" s="696">
        <v>210.69</v>
      </c>
      <c r="M38" s="697">
        <v>0</v>
      </c>
      <c r="N38" s="697">
        <v>0</v>
      </c>
      <c r="O38" s="697">
        <v>0</v>
      </c>
      <c r="P38" s="697">
        <v>0</v>
      </c>
      <c r="Q38" s="697">
        <v>0</v>
      </c>
      <c r="R38" s="697">
        <v>0</v>
      </c>
      <c r="S38" s="697">
        <v>0</v>
      </c>
      <c r="T38" s="697">
        <v>0</v>
      </c>
      <c r="U38" s="697">
        <v>0</v>
      </c>
      <c r="V38" s="697">
        <v>0</v>
      </c>
      <c r="W38" s="697">
        <v>0</v>
      </c>
      <c r="X38" s="697">
        <v>0</v>
      </c>
      <c r="Y38" s="697">
        <v>0</v>
      </c>
      <c r="Z38" s="697">
        <v>0</v>
      </c>
      <c r="AA38" s="697">
        <v>0</v>
      </c>
      <c r="AB38" s="697">
        <v>0</v>
      </c>
      <c r="AC38" s="697">
        <v>0</v>
      </c>
      <c r="AD38" s="697">
        <v>0</v>
      </c>
      <c r="AE38" s="697">
        <v>0</v>
      </c>
      <c r="AF38" s="697">
        <v>0</v>
      </c>
      <c r="AG38" s="697">
        <v>0</v>
      </c>
      <c r="AH38" s="697">
        <v>0</v>
      </c>
      <c r="AI38" s="697">
        <v>0</v>
      </c>
      <c r="AJ38" s="697">
        <v>0</v>
      </c>
      <c r="AK38" s="697">
        <v>0</v>
      </c>
      <c r="AL38" s="697">
        <v>0</v>
      </c>
      <c r="AM38" s="697">
        <v>0</v>
      </c>
      <c r="AN38" s="697">
        <v>0</v>
      </c>
      <c r="AO38" s="698">
        <v>0</v>
      </c>
      <c r="AP38" s="633"/>
      <c r="AQ38" s="696">
        <v>12367.27</v>
      </c>
      <c r="AR38" s="697">
        <v>0</v>
      </c>
      <c r="AS38" s="697">
        <v>0</v>
      </c>
      <c r="AT38" s="697">
        <v>0</v>
      </c>
      <c r="AU38" s="697">
        <v>0</v>
      </c>
      <c r="AV38" s="697">
        <v>0</v>
      </c>
      <c r="AW38" s="697">
        <v>0</v>
      </c>
      <c r="AX38" s="697">
        <v>0</v>
      </c>
      <c r="AY38" s="697">
        <v>0</v>
      </c>
      <c r="AZ38" s="697">
        <v>0</v>
      </c>
      <c r="BA38" s="697">
        <v>0</v>
      </c>
      <c r="BB38" s="697">
        <v>0</v>
      </c>
      <c r="BC38" s="697">
        <v>0</v>
      </c>
      <c r="BD38" s="697">
        <v>0</v>
      </c>
      <c r="BE38" s="697">
        <v>0</v>
      </c>
      <c r="BF38" s="697">
        <v>0</v>
      </c>
      <c r="BG38" s="697">
        <v>0</v>
      </c>
      <c r="BH38" s="697">
        <v>0</v>
      </c>
      <c r="BI38" s="697">
        <v>0</v>
      </c>
      <c r="BJ38" s="697">
        <v>0</v>
      </c>
      <c r="BK38" s="697">
        <v>0</v>
      </c>
      <c r="BL38" s="697">
        <v>0</v>
      </c>
      <c r="BM38" s="697">
        <v>0</v>
      </c>
      <c r="BN38" s="697">
        <v>0</v>
      </c>
      <c r="BO38" s="697">
        <v>0</v>
      </c>
      <c r="BP38" s="697">
        <v>0</v>
      </c>
      <c r="BQ38" s="697">
        <v>0</v>
      </c>
      <c r="BR38" s="697">
        <v>0</v>
      </c>
      <c r="BS38" s="697">
        <v>0</v>
      </c>
      <c r="BT38" s="698">
        <v>0</v>
      </c>
      <c r="BU38" s="16"/>
    </row>
    <row r="39" spans="2:73" s="17" customFormat="1" ht="15.75">
      <c r="B39" s="692" t="s">
        <v>752</v>
      </c>
      <c r="C39" s="692" t="s">
        <v>762</v>
      </c>
      <c r="D39" s="692" t="s">
        <v>16</v>
      </c>
      <c r="E39" s="692" t="s">
        <v>754</v>
      </c>
      <c r="F39" s="692" t="s">
        <v>759</v>
      </c>
      <c r="G39" s="692" t="s">
        <v>755</v>
      </c>
      <c r="H39" s="692">
        <v>2011</v>
      </c>
      <c r="I39" s="644" t="s">
        <v>566</v>
      </c>
      <c r="J39" s="644" t="s">
        <v>584</v>
      </c>
      <c r="K39" s="633"/>
      <c r="L39" s="696">
        <v>88.024416480000014</v>
      </c>
      <c r="M39" s="697">
        <v>88.024416480000014</v>
      </c>
      <c r="N39" s="697">
        <v>88.024416480000014</v>
      </c>
      <c r="O39" s="697">
        <v>88.024416480000014</v>
      </c>
      <c r="P39" s="697">
        <v>88.024416480000014</v>
      </c>
      <c r="Q39" s="697">
        <v>88.024416480000014</v>
      </c>
      <c r="R39" s="697">
        <v>88.024416480000014</v>
      </c>
      <c r="S39" s="697">
        <v>88.024416480000014</v>
      </c>
      <c r="T39" s="697">
        <v>88.024416480000014</v>
      </c>
      <c r="U39" s="697">
        <v>88.024416480000014</v>
      </c>
      <c r="V39" s="697">
        <v>88.024416480000014</v>
      </c>
      <c r="W39" s="697">
        <v>88.024416480000014</v>
      </c>
      <c r="X39" s="697">
        <v>88.024416480000014</v>
      </c>
      <c r="Y39" s="697">
        <v>0</v>
      </c>
      <c r="Z39" s="697">
        <v>0</v>
      </c>
      <c r="AA39" s="697">
        <v>0</v>
      </c>
      <c r="AB39" s="697">
        <v>0</v>
      </c>
      <c r="AC39" s="697">
        <v>0</v>
      </c>
      <c r="AD39" s="697">
        <v>0</v>
      </c>
      <c r="AE39" s="697">
        <v>0</v>
      </c>
      <c r="AF39" s="697">
        <v>0</v>
      </c>
      <c r="AG39" s="697">
        <v>0</v>
      </c>
      <c r="AH39" s="697">
        <v>0</v>
      </c>
      <c r="AI39" s="697">
        <v>0</v>
      </c>
      <c r="AJ39" s="697">
        <v>0</v>
      </c>
      <c r="AK39" s="697">
        <v>0</v>
      </c>
      <c r="AL39" s="697">
        <v>0</v>
      </c>
      <c r="AM39" s="697">
        <v>0</v>
      </c>
      <c r="AN39" s="697">
        <v>0</v>
      </c>
      <c r="AO39" s="698">
        <v>0</v>
      </c>
      <c r="AP39" s="633"/>
      <c r="AQ39" s="696">
        <v>511483.47684033611</v>
      </c>
      <c r="AR39" s="697">
        <v>511483.47684033611</v>
      </c>
      <c r="AS39" s="697">
        <v>511483.47684033611</v>
      </c>
      <c r="AT39" s="697">
        <v>511483.47684033611</v>
      </c>
      <c r="AU39" s="697">
        <v>511483.47684033611</v>
      </c>
      <c r="AV39" s="697">
        <v>511483.47684033611</v>
      </c>
      <c r="AW39" s="697">
        <v>511483.47684033611</v>
      </c>
      <c r="AX39" s="697">
        <v>511483.47684033611</v>
      </c>
      <c r="AY39" s="697">
        <v>511483.47684033611</v>
      </c>
      <c r="AZ39" s="697">
        <v>511483.47684033611</v>
      </c>
      <c r="BA39" s="697">
        <v>511483.47684033611</v>
      </c>
      <c r="BB39" s="697">
        <v>511483.47684033611</v>
      </c>
      <c r="BC39" s="697">
        <v>511483.47684033611</v>
      </c>
      <c r="BD39" s="697">
        <v>0</v>
      </c>
      <c r="BE39" s="697">
        <v>0</v>
      </c>
      <c r="BF39" s="697">
        <v>0</v>
      </c>
      <c r="BG39" s="697">
        <v>0</v>
      </c>
      <c r="BH39" s="697">
        <v>0</v>
      </c>
      <c r="BI39" s="697">
        <v>0</v>
      </c>
      <c r="BJ39" s="697">
        <v>0</v>
      </c>
      <c r="BK39" s="697">
        <v>0</v>
      </c>
      <c r="BL39" s="697">
        <v>0</v>
      </c>
      <c r="BM39" s="697">
        <v>0</v>
      </c>
      <c r="BN39" s="697">
        <v>0</v>
      </c>
      <c r="BO39" s="697">
        <v>0</v>
      </c>
      <c r="BP39" s="697">
        <v>0</v>
      </c>
      <c r="BQ39" s="697">
        <v>0</v>
      </c>
      <c r="BR39" s="697">
        <v>0</v>
      </c>
      <c r="BS39" s="697">
        <v>0</v>
      </c>
      <c r="BT39" s="698">
        <v>0</v>
      </c>
      <c r="BU39" s="16"/>
    </row>
    <row r="40" spans="2:73" s="17" customFormat="1" ht="15.75">
      <c r="B40" s="692" t="s">
        <v>752</v>
      </c>
      <c r="C40" s="692" t="s">
        <v>762</v>
      </c>
      <c r="D40" s="692" t="s">
        <v>17</v>
      </c>
      <c r="E40" s="692" t="s">
        <v>754</v>
      </c>
      <c r="F40" s="692" t="s">
        <v>759</v>
      </c>
      <c r="G40" s="692" t="s">
        <v>755</v>
      </c>
      <c r="H40" s="692">
        <v>2011</v>
      </c>
      <c r="I40" s="644" t="s">
        <v>566</v>
      </c>
      <c r="J40" s="644" t="s">
        <v>584</v>
      </c>
      <c r="K40" s="633"/>
      <c r="L40" s="696">
        <v>21.498070600205818</v>
      </c>
      <c r="M40" s="697">
        <v>21.498070600205818</v>
      </c>
      <c r="N40" s="697">
        <v>21.498070600205818</v>
      </c>
      <c r="O40" s="697">
        <v>21.498070600205818</v>
      </c>
      <c r="P40" s="697">
        <v>21.498070600205818</v>
      </c>
      <c r="Q40" s="697">
        <v>21.498070600205818</v>
      </c>
      <c r="R40" s="697">
        <v>21.498070600205818</v>
      </c>
      <c r="S40" s="697">
        <v>21.498070600205818</v>
      </c>
      <c r="T40" s="697">
        <v>21.498070600205818</v>
      </c>
      <c r="U40" s="697">
        <v>21.498070600205818</v>
      </c>
      <c r="V40" s="697">
        <v>21.498070600205818</v>
      </c>
      <c r="W40" s="697">
        <v>21.498070600205818</v>
      </c>
      <c r="X40" s="697">
        <v>21.498070600205818</v>
      </c>
      <c r="Y40" s="697">
        <v>21.498070600205818</v>
      </c>
      <c r="Z40" s="697">
        <v>21.498070600205818</v>
      </c>
      <c r="AA40" s="697">
        <v>7.3070600205815822E-2</v>
      </c>
      <c r="AB40" s="697">
        <v>7.3070600205815822E-2</v>
      </c>
      <c r="AC40" s="697">
        <v>7.3070600205815822E-2</v>
      </c>
      <c r="AD40" s="697">
        <v>7.3070600205815822E-2</v>
      </c>
      <c r="AE40" s="697">
        <v>7.3070600205815822E-2</v>
      </c>
      <c r="AF40" s="697">
        <v>7.3070600205815822E-2</v>
      </c>
      <c r="AG40" s="697">
        <v>7.3070600205815822E-2</v>
      </c>
      <c r="AH40" s="697">
        <v>7.3070600205815822E-2</v>
      </c>
      <c r="AI40" s="697">
        <v>7.3070600205815822E-2</v>
      </c>
      <c r="AJ40" s="697">
        <v>7.3070600205815822E-2</v>
      </c>
      <c r="AK40" s="697">
        <v>7.3070600205815822E-2</v>
      </c>
      <c r="AL40" s="697">
        <v>0</v>
      </c>
      <c r="AM40" s="697">
        <v>0</v>
      </c>
      <c r="AN40" s="697">
        <v>0</v>
      </c>
      <c r="AO40" s="698">
        <v>0</v>
      </c>
      <c r="AP40" s="633"/>
      <c r="AQ40" s="696">
        <v>110414.09060265709</v>
      </c>
      <c r="AR40" s="697">
        <v>110414.09060265709</v>
      </c>
      <c r="AS40" s="697">
        <v>110414.09060265709</v>
      </c>
      <c r="AT40" s="697">
        <v>110414.09060265709</v>
      </c>
      <c r="AU40" s="697">
        <v>110414.09060265709</v>
      </c>
      <c r="AV40" s="697">
        <v>110414.09060265709</v>
      </c>
      <c r="AW40" s="697">
        <v>110414.09060265709</v>
      </c>
      <c r="AX40" s="697">
        <v>110414.09060265709</v>
      </c>
      <c r="AY40" s="697">
        <v>110414.09060265709</v>
      </c>
      <c r="AZ40" s="697">
        <v>110414.09060265709</v>
      </c>
      <c r="BA40" s="697">
        <v>110414.09060265709</v>
      </c>
      <c r="BB40" s="697">
        <v>110414.09060265709</v>
      </c>
      <c r="BC40" s="697">
        <v>110414.09060265709</v>
      </c>
      <c r="BD40" s="697">
        <v>110414.09060265709</v>
      </c>
      <c r="BE40" s="697">
        <v>110414.09060265709</v>
      </c>
      <c r="BF40" s="697">
        <v>375.29060265707005</v>
      </c>
      <c r="BG40" s="697">
        <v>375.29060265707005</v>
      </c>
      <c r="BH40" s="697">
        <v>375.29060265707005</v>
      </c>
      <c r="BI40" s="697">
        <v>375.29060265707005</v>
      </c>
      <c r="BJ40" s="697">
        <v>375.29060265707005</v>
      </c>
      <c r="BK40" s="697">
        <v>375.29060265707005</v>
      </c>
      <c r="BL40" s="697">
        <v>375.29060265707005</v>
      </c>
      <c r="BM40" s="697">
        <v>375.29060265707005</v>
      </c>
      <c r="BN40" s="697">
        <v>375.29060265707005</v>
      </c>
      <c r="BO40" s="697">
        <v>375.29060265707005</v>
      </c>
      <c r="BP40" s="697">
        <v>375.29060265707005</v>
      </c>
      <c r="BQ40" s="697">
        <v>0</v>
      </c>
      <c r="BR40" s="697">
        <v>0</v>
      </c>
      <c r="BS40" s="697">
        <v>0</v>
      </c>
      <c r="BT40" s="698">
        <v>0</v>
      </c>
      <c r="BU40" s="16"/>
    </row>
    <row r="41" spans="2:73" s="17" customFormat="1" ht="15.75">
      <c r="B41" s="692" t="s">
        <v>752</v>
      </c>
      <c r="C41" s="692" t="s">
        <v>757</v>
      </c>
      <c r="D41" s="692" t="s">
        <v>21</v>
      </c>
      <c r="E41" s="692" t="s">
        <v>754</v>
      </c>
      <c r="F41" s="692" t="s">
        <v>763</v>
      </c>
      <c r="G41" s="692" t="s">
        <v>755</v>
      </c>
      <c r="H41" s="692">
        <v>2012</v>
      </c>
      <c r="I41" s="644" t="s">
        <v>567</v>
      </c>
      <c r="J41" s="644" t="s">
        <v>584</v>
      </c>
      <c r="K41" s="633"/>
      <c r="L41" s="696">
        <v>0</v>
      </c>
      <c r="M41" s="697">
        <v>33.625511361085657</v>
      </c>
      <c r="N41" s="697">
        <v>33.625511361085657</v>
      </c>
      <c r="O41" s="697">
        <v>33.625511361085657</v>
      </c>
      <c r="P41" s="697">
        <v>26.277695559492606</v>
      </c>
      <c r="Q41" s="697">
        <v>26.277695559492606</v>
      </c>
      <c r="R41" s="697">
        <v>4.4738857252281639</v>
      </c>
      <c r="S41" s="697">
        <v>4.4738857252281639</v>
      </c>
      <c r="T41" s="697">
        <v>4.3314413213409635</v>
      </c>
      <c r="U41" s="697">
        <v>4.3314413213409635</v>
      </c>
      <c r="V41" s="697">
        <v>4.3314413213409635</v>
      </c>
      <c r="W41" s="697">
        <v>4.1303149764068472</v>
      </c>
      <c r="X41" s="697">
        <v>4.1303149764068472</v>
      </c>
      <c r="Y41" s="697">
        <v>0</v>
      </c>
      <c r="Z41" s="697">
        <v>0</v>
      </c>
      <c r="AA41" s="697">
        <v>0</v>
      </c>
      <c r="AB41" s="697">
        <v>0</v>
      </c>
      <c r="AC41" s="697">
        <v>0</v>
      </c>
      <c r="AD41" s="697">
        <v>0</v>
      </c>
      <c r="AE41" s="697">
        <v>0</v>
      </c>
      <c r="AF41" s="697">
        <v>0</v>
      </c>
      <c r="AG41" s="697">
        <v>0</v>
      </c>
      <c r="AH41" s="697">
        <v>0</v>
      </c>
      <c r="AI41" s="697">
        <v>0</v>
      </c>
      <c r="AJ41" s="697">
        <v>0</v>
      </c>
      <c r="AK41" s="697">
        <v>0</v>
      </c>
      <c r="AL41" s="697">
        <v>0</v>
      </c>
      <c r="AM41" s="697">
        <v>0</v>
      </c>
      <c r="AN41" s="697">
        <v>0</v>
      </c>
      <c r="AO41" s="698">
        <v>0</v>
      </c>
      <c r="AP41" s="633"/>
      <c r="AQ41" s="696">
        <v>0</v>
      </c>
      <c r="AR41" s="697">
        <v>123968.39219651751</v>
      </c>
      <c r="AS41" s="697">
        <v>123968.39219651754</v>
      </c>
      <c r="AT41" s="697">
        <v>123968.39219651754</v>
      </c>
      <c r="AU41" s="697">
        <v>93169.133517483977</v>
      </c>
      <c r="AV41" s="697">
        <v>93169.133517483977</v>
      </c>
      <c r="AW41" s="697">
        <v>16691.179508701152</v>
      </c>
      <c r="AX41" s="697">
        <v>16691.179508701152</v>
      </c>
      <c r="AY41" s="697">
        <v>16548.931644745899</v>
      </c>
      <c r="AZ41" s="697">
        <v>16548.931644745899</v>
      </c>
      <c r="BA41" s="697">
        <v>16548.931644745899</v>
      </c>
      <c r="BB41" s="697">
        <v>14580.954159528335</v>
      </c>
      <c r="BC41" s="697">
        <v>14580.954159528335</v>
      </c>
      <c r="BD41" s="697">
        <v>0</v>
      </c>
      <c r="BE41" s="697">
        <v>0</v>
      </c>
      <c r="BF41" s="697">
        <v>0</v>
      </c>
      <c r="BG41" s="697">
        <v>0</v>
      </c>
      <c r="BH41" s="697">
        <v>0</v>
      </c>
      <c r="BI41" s="697">
        <v>0</v>
      </c>
      <c r="BJ41" s="697">
        <v>0</v>
      </c>
      <c r="BK41" s="697">
        <v>0</v>
      </c>
      <c r="BL41" s="697">
        <v>0</v>
      </c>
      <c r="BM41" s="697">
        <v>0</v>
      </c>
      <c r="BN41" s="697">
        <v>0</v>
      </c>
      <c r="BO41" s="697">
        <v>0</v>
      </c>
      <c r="BP41" s="697">
        <v>0</v>
      </c>
      <c r="BQ41" s="697">
        <v>0</v>
      </c>
      <c r="BR41" s="697">
        <v>0</v>
      </c>
      <c r="BS41" s="697">
        <v>0</v>
      </c>
      <c r="BT41" s="698">
        <v>0</v>
      </c>
      <c r="BU41" s="16"/>
    </row>
    <row r="42" spans="2:73" s="17" customFormat="1" ht="15.75">
      <c r="B42" s="692" t="s">
        <v>752</v>
      </c>
      <c r="C42" s="692" t="s">
        <v>757</v>
      </c>
      <c r="D42" s="692" t="s">
        <v>22</v>
      </c>
      <c r="E42" s="692" t="s">
        <v>754</v>
      </c>
      <c r="F42" s="692" t="s">
        <v>763</v>
      </c>
      <c r="G42" s="692" t="s">
        <v>755</v>
      </c>
      <c r="H42" s="692">
        <v>2012</v>
      </c>
      <c r="I42" s="644" t="s">
        <v>567</v>
      </c>
      <c r="J42" s="644" t="s">
        <v>584</v>
      </c>
      <c r="K42" s="633"/>
      <c r="L42" s="696">
        <v>0</v>
      </c>
      <c r="M42" s="697">
        <v>129.27555456060517</v>
      </c>
      <c r="N42" s="697">
        <v>129.27555456060517</v>
      </c>
      <c r="O42" s="697">
        <v>129.27555456060517</v>
      </c>
      <c r="P42" s="697">
        <v>129.27555456060517</v>
      </c>
      <c r="Q42" s="697">
        <v>129.27555456060517</v>
      </c>
      <c r="R42" s="697">
        <v>118.18944956934764</v>
      </c>
      <c r="S42" s="697">
        <v>118.1298237927617</v>
      </c>
      <c r="T42" s="697">
        <v>118.1298237927617</v>
      </c>
      <c r="U42" s="697">
        <v>116.84919800718873</v>
      </c>
      <c r="V42" s="697">
        <v>116.04515169969298</v>
      </c>
      <c r="W42" s="697">
        <v>115.86659000416414</v>
      </c>
      <c r="X42" s="697">
        <v>115.86659000416414</v>
      </c>
      <c r="Y42" s="697">
        <v>20.902803794832248</v>
      </c>
      <c r="Z42" s="697">
        <v>20.902803794832248</v>
      </c>
      <c r="AA42" s="697">
        <v>20.902803794832248</v>
      </c>
      <c r="AB42" s="697">
        <v>0</v>
      </c>
      <c r="AC42" s="697">
        <v>0</v>
      </c>
      <c r="AD42" s="697">
        <v>0</v>
      </c>
      <c r="AE42" s="697">
        <v>0</v>
      </c>
      <c r="AF42" s="697">
        <v>0</v>
      </c>
      <c r="AG42" s="697">
        <v>0</v>
      </c>
      <c r="AH42" s="697">
        <v>0</v>
      </c>
      <c r="AI42" s="697">
        <v>0</v>
      </c>
      <c r="AJ42" s="697">
        <v>0</v>
      </c>
      <c r="AK42" s="697">
        <v>0</v>
      </c>
      <c r="AL42" s="697">
        <v>0</v>
      </c>
      <c r="AM42" s="697">
        <v>0</v>
      </c>
      <c r="AN42" s="697">
        <v>0</v>
      </c>
      <c r="AO42" s="698">
        <v>0</v>
      </c>
      <c r="AP42" s="633"/>
      <c r="AQ42" s="696">
        <v>0</v>
      </c>
      <c r="AR42" s="697">
        <v>633895.82072705775</v>
      </c>
      <c r="AS42" s="697">
        <v>633895.82072705775</v>
      </c>
      <c r="AT42" s="697">
        <v>633895.82072705775</v>
      </c>
      <c r="AU42" s="697">
        <v>633895.82072705775</v>
      </c>
      <c r="AV42" s="697">
        <v>633895.82072705775</v>
      </c>
      <c r="AW42" s="697">
        <v>597224.88668735768</v>
      </c>
      <c r="AX42" s="697">
        <v>597032.61114852596</v>
      </c>
      <c r="AY42" s="697">
        <v>597032.61114852596</v>
      </c>
      <c r="AZ42" s="697">
        <v>592515.86589625408</v>
      </c>
      <c r="BA42" s="697">
        <v>589923.05376245151</v>
      </c>
      <c r="BB42" s="697">
        <v>588193.10097435024</v>
      </c>
      <c r="BC42" s="697">
        <v>588193.10097435024</v>
      </c>
      <c r="BD42" s="697">
        <v>24231.527114420482</v>
      </c>
      <c r="BE42" s="697">
        <v>24231.527114420482</v>
      </c>
      <c r="BF42" s="697">
        <v>24231.527114420482</v>
      </c>
      <c r="BG42" s="697">
        <v>0</v>
      </c>
      <c r="BH42" s="697">
        <v>0</v>
      </c>
      <c r="BI42" s="697">
        <v>0</v>
      </c>
      <c r="BJ42" s="697">
        <v>0</v>
      </c>
      <c r="BK42" s="697">
        <v>0</v>
      </c>
      <c r="BL42" s="697">
        <v>0</v>
      </c>
      <c r="BM42" s="697">
        <v>0</v>
      </c>
      <c r="BN42" s="697">
        <v>0</v>
      </c>
      <c r="BO42" s="697">
        <v>0</v>
      </c>
      <c r="BP42" s="697">
        <v>0</v>
      </c>
      <c r="BQ42" s="697">
        <v>0</v>
      </c>
      <c r="BR42" s="697">
        <v>0</v>
      </c>
      <c r="BS42" s="697">
        <v>0</v>
      </c>
      <c r="BT42" s="698">
        <v>0</v>
      </c>
      <c r="BU42" s="16"/>
    </row>
    <row r="43" spans="2:73" s="17" customFormat="1" ht="15.75">
      <c r="B43" s="692" t="s">
        <v>752</v>
      </c>
      <c r="C43" s="692" t="s">
        <v>757</v>
      </c>
      <c r="D43" s="692" t="s">
        <v>20</v>
      </c>
      <c r="E43" s="692" t="s">
        <v>754</v>
      </c>
      <c r="F43" s="692" t="s">
        <v>763</v>
      </c>
      <c r="G43" s="692" t="s">
        <v>755</v>
      </c>
      <c r="H43" s="692">
        <v>2012</v>
      </c>
      <c r="I43" s="644" t="s">
        <v>567</v>
      </c>
      <c r="J43" s="644" t="s">
        <v>584</v>
      </c>
      <c r="K43" s="633"/>
      <c r="L43" s="696">
        <v>0</v>
      </c>
      <c r="M43" s="697">
        <v>10.354349259129565</v>
      </c>
      <c r="N43" s="697">
        <v>10.354349259129565</v>
      </c>
      <c r="O43" s="697">
        <v>10.354349259129565</v>
      </c>
      <c r="P43" s="697">
        <v>10.354349259129565</v>
      </c>
      <c r="Q43" s="697">
        <v>0</v>
      </c>
      <c r="R43" s="697">
        <v>0</v>
      </c>
      <c r="S43" s="697">
        <v>0</v>
      </c>
      <c r="T43" s="697">
        <v>0</v>
      </c>
      <c r="U43" s="697">
        <v>0</v>
      </c>
      <c r="V43" s="697">
        <v>0</v>
      </c>
      <c r="W43" s="697">
        <v>0</v>
      </c>
      <c r="X43" s="697">
        <v>0</v>
      </c>
      <c r="Y43" s="697">
        <v>0</v>
      </c>
      <c r="Z43" s="697">
        <v>0</v>
      </c>
      <c r="AA43" s="697">
        <v>0</v>
      </c>
      <c r="AB43" s="697">
        <v>0</v>
      </c>
      <c r="AC43" s="697">
        <v>0</v>
      </c>
      <c r="AD43" s="697">
        <v>0</v>
      </c>
      <c r="AE43" s="697">
        <v>0</v>
      </c>
      <c r="AF43" s="697">
        <v>0</v>
      </c>
      <c r="AG43" s="697">
        <v>0</v>
      </c>
      <c r="AH43" s="697">
        <v>0</v>
      </c>
      <c r="AI43" s="697">
        <v>0</v>
      </c>
      <c r="AJ43" s="697">
        <v>0</v>
      </c>
      <c r="AK43" s="697">
        <v>0</v>
      </c>
      <c r="AL43" s="697">
        <v>0</v>
      </c>
      <c r="AM43" s="697">
        <v>0</v>
      </c>
      <c r="AN43" s="697">
        <v>0</v>
      </c>
      <c r="AO43" s="698">
        <v>0</v>
      </c>
      <c r="AP43" s="633"/>
      <c r="AQ43" s="696">
        <v>0</v>
      </c>
      <c r="AR43" s="697">
        <v>50352.508925126152</v>
      </c>
      <c r="AS43" s="697">
        <v>50352.508925126152</v>
      </c>
      <c r="AT43" s="697">
        <v>50352.508925126152</v>
      </c>
      <c r="AU43" s="697">
        <v>50352.508925126152</v>
      </c>
      <c r="AV43" s="697">
        <v>0</v>
      </c>
      <c r="AW43" s="697">
        <v>0</v>
      </c>
      <c r="AX43" s="697">
        <v>0</v>
      </c>
      <c r="AY43" s="697">
        <v>0</v>
      </c>
      <c r="AZ43" s="697">
        <v>0</v>
      </c>
      <c r="BA43" s="697">
        <v>0</v>
      </c>
      <c r="BB43" s="697">
        <v>0</v>
      </c>
      <c r="BC43" s="697">
        <v>0</v>
      </c>
      <c r="BD43" s="697">
        <v>0</v>
      </c>
      <c r="BE43" s="697">
        <v>0</v>
      </c>
      <c r="BF43" s="697">
        <v>0</v>
      </c>
      <c r="BG43" s="697">
        <v>0</v>
      </c>
      <c r="BH43" s="697">
        <v>0</v>
      </c>
      <c r="BI43" s="697">
        <v>0</v>
      </c>
      <c r="BJ43" s="697">
        <v>0</v>
      </c>
      <c r="BK43" s="697">
        <v>0</v>
      </c>
      <c r="BL43" s="697">
        <v>0</v>
      </c>
      <c r="BM43" s="697">
        <v>0</v>
      </c>
      <c r="BN43" s="697">
        <v>0</v>
      </c>
      <c r="BO43" s="697">
        <v>0</v>
      </c>
      <c r="BP43" s="697">
        <v>0</v>
      </c>
      <c r="BQ43" s="697">
        <v>0</v>
      </c>
      <c r="BR43" s="697">
        <v>0</v>
      </c>
      <c r="BS43" s="697">
        <v>0</v>
      </c>
      <c r="BT43" s="698">
        <v>0</v>
      </c>
      <c r="BU43" s="16"/>
    </row>
    <row r="44" spans="2:73" s="17" customFormat="1" ht="15.75">
      <c r="B44" s="692" t="s">
        <v>752</v>
      </c>
      <c r="C44" s="692" t="s">
        <v>753</v>
      </c>
      <c r="D44" s="692" t="s">
        <v>2</v>
      </c>
      <c r="E44" s="692" t="s">
        <v>754</v>
      </c>
      <c r="F44" s="692" t="s">
        <v>29</v>
      </c>
      <c r="G44" s="692" t="s">
        <v>755</v>
      </c>
      <c r="H44" s="692">
        <v>2012</v>
      </c>
      <c r="I44" s="644" t="s">
        <v>567</v>
      </c>
      <c r="J44" s="644" t="s">
        <v>584</v>
      </c>
      <c r="K44" s="633"/>
      <c r="L44" s="696">
        <v>0</v>
      </c>
      <c r="M44" s="697">
        <v>4.879578468245561</v>
      </c>
      <c r="N44" s="697">
        <v>4.879578468245561</v>
      </c>
      <c r="O44" s="697">
        <v>4.879578468245561</v>
      </c>
      <c r="P44" s="697">
        <v>4.8747331327526116</v>
      </c>
      <c r="Q44" s="697">
        <v>0</v>
      </c>
      <c r="R44" s="697">
        <v>0</v>
      </c>
      <c r="S44" s="697">
        <v>0</v>
      </c>
      <c r="T44" s="697">
        <v>0</v>
      </c>
      <c r="U44" s="697">
        <v>0</v>
      </c>
      <c r="V44" s="697">
        <v>0</v>
      </c>
      <c r="W44" s="697">
        <v>0</v>
      </c>
      <c r="X44" s="697">
        <v>0</v>
      </c>
      <c r="Y44" s="697">
        <v>0</v>
      </c>
      <c r="Z44" s="697">
        <v>0</v>
      </c>
      <c r="AA44" s="697">
        <v>0</v>
      </c>
      <c r="AB44" s="697">
        <v>0</v>
      </c>
      <c r="AC44" s="697">
        <v>0</v>
      </c>
      <c r="AD44" s="697">
        <v>0</v>
      </c>
      <c r="AE44" s="697">
        <v>0</v>
      </c>
      <c r="AF44" s="697">
        <v>0</v>
      </c>
      <c r="AG44" s="697">
        <v>0</v>
      </c>
      <c r="AH44" s="697">
        <v>0</v>
      </c>
      <c r="AI44" s="697">
        <v>0</v>
      </c>
      <c r="AJ44" s="697">
        <v>0</v>
      </c>
      <c r="AK44" s="697">
        <v>0</v>
      </c>
      <c r="AL44" s="697">
        <v>0</v>
      </c>
      <c r="AM44" s="697">
        <v>0</v>
      </c>
      <c r="AN44" s="697">
        <v>0</v>
      </c>
      <c r="AO44" s="698">
        <v>0</v>
      </c>
      <c r="AP44" s="633"/>
      <c r="AQ44" s="696">
        <v>0</v>
      </c>
      <c r="AR44" s="697">
        <v>8696.2832739460046</v>
      </c>
      <c r="AS44" s="697">
        <v>8696.2832739460046</v>
      </c>
      <c r="AT44" s="697">
        <v>8696.2832739460046</v>
      </c>
      <c r="AU44" s="697">
        <v>8691.9503112635011</v>
      </c>
      <c r="AV44" s="697">
        <v>0</v>
      </c>
      <c r="AW44" s="697">
        <v>0</v>
      </c>
      <c r="AX44" s="697">
        <v>0</v>
      </c>
      <c r="AY44" s="697">
        <v>0</v>
      </c>
      <c r="AZ44" s="697">
        <v>0</v>
      </c>
      <c r="BA44" s="697">
        <v>0</v>
      </c>
      <c r="BB44" s="697">
        <v>0</v>
      </c>
      <c r="BC44" s="697">
        <v>0</v>
      </c>
      <c r="BD44" s="697">
        <v>0</v>
      </c>
      <c r="BE44" s="697">
        <v>0</v>
      </c>
      <c r="BF44" s="697">
        <v>0</v>
      </c>
      <c r="BG44" s="697">
        <v>0</v>
      </c>
      <c r="BH44" s="697">
        <v>0</v>
      </c>
      <c r="BI44" s="697">
        <v>0</v>
      </c>
      <c r="BJ44" s="697">
        <v>0</v>
      </c>
      <c r="BK44" s="697">
        <v>0</v>
      </c>
      <c r="BL44" s="697">
        <v>0</v>
      </c>
      <c r="BM44" s="697">
        <v>0</v>
      </c>
      <c r="BN44" s="697">
        <v>0</v>
      </c>
      <c r="BO44" s="697">
        <v>0</v>
      </c>
      <c r="BP44" s="697">
        <v>0</v>
      </c>
      <c r="BQ44" s="697">
        <v>0</v>
      </c>
      <c r="BR44" s="697">
        <v>0</v>
      </c>
      <c r="BS44" s="697">
        <v>0</v>
      </c>
      <c r="BT44" s="698">
        <v>0</v>
      </c>
      <c r="BU44" s="16"/>
    </row>
    <row r="45" spans="2:73" s="17" customFormat="1" ht="15.75">
      <c r="B45" s="692" t="s">
        <v>752</v>
      </c>
      <c r="C45" s="692" t="s">
        <v>753</v>
      </c>
      <c r="D45" s="692" t="s">
        <v>1</v>
      </c>
      <c r="E45" s="692" t="s">
        <v>754</v>
      </c>
      <c r="F45" s="692" t="s">
        <v>29</v>
      </c>
      <c r="G45" s="692" t="s">
        <v>755</v>
      </c>
      <c r="H45" s="692">
        <v>2012</v>
      </c>
      <c r="I45" s="644" t="s">
        <v>567</v>
      </c>
      <c r="J45" s="644" t="s">
        <v>584</v>
      </c>
      <c r="K45" s="633"/>
      <c r="L45" s="696">
        <v>0</v>
      </c>
      <c r="M45" s="697">
        <v>5.7295774927000052</v>
      </c>
      <c r="N45" s="697">
        <v>5.7295774927000052</v>
      </c>
      <c r="O45" s="697">
        <v>5.7295774927000052</v>
      </c>
      <c r="P45" s="697">
        <v>5.385765756337638</v>
      </c>
      <c r="Q45" s="697">
        <v>2.8147495574607895</v>
      </c>
      <c r="R45" s="697">
        <v>0</v>
      </c>
      <c r="S45" s="697">
        <v>0</v>
      </c>
      <c r="T45" s="697">
        <v>0</v>
      </c>
      <c r="U45" s="697">
        <v>0</v>
      </c>
      <c r="V45" s="697">
        <v>0</v>
      </c>
      <c r="W45" s="697">
        <v>0</v>
      </c>
      <c r="X45" s="697">
        <v>0</v>
      </c>
      <c r="Y45" s="697">
        <v>0</v>
      </c>
      <c r="Z45" s="697">
        <v>0</v>
      </c>
      <c r="AA45" s="697">
        <v>0</v>
      </c>
      <c r="AB45" s="697">
        <v>0</v>
      </c>
      <c r="AC45" s="697">
        <v>0</v>
      </c>
      <c r="AD45" s="697">
        <v>0</v>
      </c>
      <c r="AE45" s="697">
        <v>0</v>
      </c>
      <c r="AF45" s="697">
        <v>0</v>
      </c>
      <c r="AG45" s="697">
        <v>0</v>
      </c>
      <c r="AH45" s="697">
        <v>0</v>
      </c>
      <c r="AI45" s="697">
        <v>0</v>
      </c>
      <c r="AJ45" s="697">
        <v>0</v>
      </c>
      <c r="AK45" s="697">
        <v>0</v>
      </c>
      <c r="AL45" s="697">
        <v>0</v>
      </c>
      <c r="AM45" s="697">
        <v>0</v>
      </c>
      <c r="AN45" s="697">
        <v>0</v>
      </c>
      <c r="AO45" s="698">
        <v>0</v>
      </c>
      <c r="AP45" s="633"/>
      <c r="AQ45" s="696">
        <v>0</v>
      </c>
      <c r="AR45" s="697">
        <v>37883.032441619216</v>
      </c>
      <c r="AS45" s="697">
        <v>37883.032441619216</v>
      </c>
      <c r="AT45" s="697">
        <v>37883.032441619216</v>
      </c>
      <c r="AU45" s="697">
        <v>37575.577276619209</v>
      </c>
      <c r="AV45" s="697">
        <v>21408.240645692586</v>
      </c>
      <c r="AW45" s="697">
        <v>0</v>
      </c>
      <c r="AX45" s="697">
        <v>0</v>
      </c>
      <c r="AY45" s="697">
        <v>0</v>
      </c>
      <c r="AZ45" s="697">
        <v>0</v>
      </c>
      <c r="BA45" s="697">
        <v>0</v>
      </c>
      <c r="BB45" s="697">
        <v>0</v>
      </c>
      <c r="BC45" s="697">
        <v>0</v>
      </c>
      <c r="BD45" s="697">
        <v>0</v>
      </c>
      <c r="BE45" s="697">
        <v>0</v>
      </c>
      <c r="BF45" s="697">
        <v>0</v>
      </c>
      <c r="BG45" s="697">
        <v>0</v>
      </c>
      <c r="BH45" s="697">
        <v>0</v>
      </c>
      <c r="BI45" s="697">
        <v>0</v>
      </c>
      <c r="BJ45" s="697">
        <v>0</v>
      </c>
      <c r="BK45" s="697">
        <v>0</v>
      </c>
      <c r="BL45" s="697">
        <v>0</v>
      </c>
      <c r="BM45" s="697">
        <v>0</v>
      </c>
      <c r="BN45" s="697">
        <v>0</v>
      </c>
      <c r="BO45" s="697">
        <v>0</v>
      </c>
      <c r="BP45" s="697">
        <v>0</v>
      </c>
      <c r="BQ45" s="697">
        <v>0</v>
      </c>
      <c r="BR45" s="697">
        <v>0</v>
      </c>
      <c r="BS45" s="697">
        <v>0</v>
      </c>
      <c r="BT45" s="698">
        <v>0</v>
      </c>
      <c r="BU45" s="16"/>
    </row>
    <row r="46" spans="2:73" s="17" customFormat="1" ht="15.75">
      <c r="B46" s="692" t="s">
        <v>752</v>
      </c>
      <c r="C46" s="692" t="s">
        <v>753</v>
      </c>
      <c r="D46" s="692" t="s">
        <v>5</v>
      </c>
      <c r="E46" s="692" t="s">
        <v>754</v>
      </c>
      <c r="F46" s="692" t="s">
        <v>29</v>
      </c>
      <c r="G46" s="692" t="s">
        <v>755</v>
      </c>
      <c r="H46" s="692">
        <v>2012</v>
      </c>
      <c r="I46" s="644" t="s">
        <v>567</v>
      </c>
      <c r="J46" s="644" t="s">
        <v>584</v>
      </c>
      <c r="K46" s="633"/>
      <c r="L46" s="696">
        <v>0</v>
      </c>
      <c r="M46" s="697">
        <v>3.3731698983251817</v>
      </c>
      <c r="N46" s="697">
        <v>3.3731698983251817</v>
      </c>
      <c r="O46" s="697">
        <v>3.3731698983251817</v>
      </c>
      <c r="P46" s="697">
        <v>3.3731698983251817</v>
      </c>
      <c r="Q46" s="697">
        <v>3.0875275491056162</v>
      </c>
      <c r="R46" s="697">
        <v>2.6127759006747193</v>
      </c>
      <c r="S46" s="697">
        <v>1.956010010849162</v>
      </c>
      <c r="T46" s="697">
        <v>1.9487881540640211</v>
      </c>
      <c r="U46" s="697">
        <v>1.9487881540640211</v>
      </c>
      <c r="V46" s="697">
        <v>1.2567949749879075</v>
      </c>
      <c r="W46" s="697">
        <v>0.49170747073895504</v>
      </c>
      <c r="X46" s="697">
        <v>0.49166429792444188</v>
      </c>
      <c r="Y46" s="697">
        <v>0.49166429792444188</v>
      </c>
      <c r="Z46" s="697">
        <v>0.48322697540971615</v>
      </c>
      <c r="AA46" s="697">
        <v>0.48322697540971615</v>
      </c>
      <c r="AB46" s="697">
        <v>0.47122088957449965</v>
      </c>
      <c r="AC46" s="697">
        <v>0.13221549236645699</v>
      </c>
      <c r="AD46" s="697">
        <v>0.13221549236645699</v>
      </c>
      <c r="AE46" s="697">
        <v>0.13221549236645699</v>
      </c>
      <c r="AF46" s="697">
        <v>0.13221549236645699</v>
      </c>
      <c r="AG46" s="697">
        <v>0</v>
      </c>
      <c r="AH46" s="697">
        <v>0</v>
      </c>
      <c r="AI46" s="697">
        <v>0</v>
      </c>
      <c r="AJ46" s="697">
        <v>0</v>
      </c>
      <c r="AK46" s="697">
        <v>0</v>
      </c>
      <c r="AL46" s="697">
        <v>0</v>
      </c>
      <c r="AM46" s="697">
        <v>0</v>
      </c>
      <c r="AN46" s="697">
        <v>0</v>
      </c>
      <c r="AO46" s="698">
        <v>0</v>
      </c>
      <c r="AP46" s="633"/>
      <c r="AQ46" s="696">
        <v>0</v>
      </c>
      <c r="AR46" s="697">
        <v>61040.643446799695</v>
      </c>
      <c r="AS46" s="697">
        <v>61040.643446799695</v>
      </c>
      <c r="AT46" s="697">
        <v>61040.643446799695</v>
      </c>
      <c r="AU46" s="697">
        <v>61040.643446799695</v>
      </c>
      <c r="AV46" s="697">
        <v>54871.65532435276</v>
      </c>
      <c r="AW46" s="697">
        <v>44618.493325495721</v>
      </c>
      <c r="AX46" s="697">
        <v>30434.388676335999</v>
      </c>
      <c r="AY46" s="697">
        <v>30371.125210898164</v>
      </c>
      <c r="AZ46" s="697">
        <v>30371.125210898164</v>
      </c>
      <c r="BA46" s="697">
        <v>15426.220457809699</v>
      </c>
      <c r="BB46" s="697">
        <v>11448.267696294022</v>
      </c>
      <c r="BC46" s="697">
        <v>11092.474316549878</v>
      </c>
      <c r="BD46" s="697">
        <v>11092.474316549878</v>
      </c>
      <c r="BE46" s="697">
        <v>10318.054470336316</v>
      </c>
      <c r="BF46" s="697">
        <v>10318.054470336316</v>
      </c>
      <c r="BG46" s="697">
        <v>10176.908566871742</v>
      </c>
      <c r="BH46" s="697">
        <v>2855.4442443168305</v>
      </c>
      <c r="BI46" s="697">
        <v>2855.4442443168305</v>
      </c>
      <c r="BJ46" s="697">
        <v>2855.4442443168305</v>
      </c>
      <c r="BK46" s="697">
        <v>2855.4442443168305</v>
      </c>
      <c r="BL46" s="697">
        <v>0</v>
      </c>
      <c r="BM46" s="697">
        <v>0</v>
      </c>
      <c r="BN46" s="697">
        <v>0</v>
      </c>
      <c r="BO46" s="697">
        <v>0</v>
      </c>
      <c r="BP46" s="697">
        <v>0</v>
      </c>
      <c r="BQ46" s="697">
        <v>0</v>
      </c>
      <c r="BR46" s="697">
        <v>0</v>
      </c>
      <c r="BS46" s="697">
        <v>0</v>
      </c>
      <c r="BT46" s="698">
        <v>0</v>
      </c>
      <c r="BU46" s="16"/>
    </row>
    <row r="47" spans="2:73" s="17" customFormat="1" ht="15.75">
      <c r="B47" s="692" t="s">
        <v>752</v>
      </c>
      <c r="C47" s="692" t="s">
        <v>753</v>
      </c>
      <c r="D47" s="692" t="s">
        <v>4</v>
      </c>
      <c r="E47" s="692" t="s">
        <v>754</v>
      </c>
      <c r="F47" s="692" t="s">
        <v>29</v>
      </c>
      <c r="G47" s="692" t="s">
        <v>755</v>
      </c>
      <c r="H47" s="692">
        <v>2012</v>
      </c>
      <c r="I47" s="644" t="s">
        <v>567</v>
      </c>
      <c r="J47" s="644" t="s">
        <v>584</v>
      </c>
      <c r="K47" s="633"/>
      <c r="L47" s="696">
        <v>0</v>
      </c>
      <c r="M47" s="697">
        <v>0.52516187932928149</v>
      </c>
      <c r="N47" s="697">
        <v>0.52516187932928149</v>
      </c>
      <c r="O47" s="697">
        <v>0.52516187932928149</v>
      </c>
      <c r="P47" s="697">
        <v>0.52516187932928149</v>
      </c>
      <c r="Q47" s="697">
        <v>0.52294505779865275</v>
      </c>
      <c r="R47" s="697">
        <v>0.52294505779865275</v>
      </c>
      <c r="S47" s="697">
        <v>0.44604505766328528</v>
      </c>
      <c r="T47" s="697">
        <v>0.44511381823572754</v>
      </c>
      <c r="U47" s="697">
        <v>0.44511381823572754</v>
      </c>
      <c r="V47" s="697">
        <v>0.44511381823572754</v>
      </c>
      <c r="W47" s="697">
        <v>8.1877299921749337E-3</v>
      </c>
      <c r="X47" s="697">
        <v>8.1820912225303872E-3</v>
      </c>
      <c r="Y47" s="697">
        <v>8.1820912225303872E-3</v>
      </c>
      <c r="Z47" s="697">
        <v>7.8874614369840133E-3</v>
      </c>
      <c r="AA47" s="697">
        <v>7.8874614369840133E-3</v>
      </c>
      <c r="AB47" s="697">
        <v>7.3675128378210952E-3</v>
      </c>
      <c r="AC47" s="697">
        <v>0</v>
      </c>
      <c r="AD47" s="697">
        <v>0</v>
      </c>
      <c r="AE47" s="697">
        <v>0</v>
      </c>
      <c r="AF47" s="697">
        <v>0</v>
      </c>
      <c r="AG47" s="697">
        <v>0</v>
      </c>
      <c r="AH47" s="697">
        <v>0</v>
      </c>
      <c r="AI47" s="697">
        <v>0</v>
      </c>
      <c r="AJ47" s="697">
        <v>0</v>
      </c>
      <c r="AK47" s="697">
        <v>0</v>
      </c>
      <c r="AL47" s="697">
        <v>0</v>
      </c>
      <c r="AM47" s="697">
        <v>0</v>
      </c>
      <c r="AN47" s="697">
        <v>0</v>
      </c>
      <c r="AO47" s="698">
        <v>0</v>
      </c>
      <c r="AP47" s="633"/>
      <c r="AQ47" s="696">
        <v>0</v>
      </c>
      <c r="AR47" s="697">
        <v>3186.7739096980999</v>
      </c>
      <c r="AS47" s="697">
        <v>3186.7739096980999</v>
      </c>
      <c r="AT47" s="697">
        <v>3186.7739096980999</v>
      </c>
      <c r="AU47" s="697">
        <v>3186.7739096980999</v>
      </c>
      <c r="AV47" s="697">
        <v>3138.8974455484476</v>
      </c>
      <c r="AW47" s="697">
        <v>3138.8974455484476</v>
      </c>
      <c r="AX47" s="697">
        <v>1478.0961366830195</v>
      </c>
      <c r="AY47" s="697">
        <v>1469.9384792976141</v>
      </c>
      <c r="AZ47" s="697">
        <v>1469.9384792976141</v>
      </c>
      <c r="BA47" s="697">
        <v>1469.9384792976141</v>
      </c>
      <c r="BB47" s="697">
        <v>238.74054098727501</v>
      </c>
      <c r="BC47" s="697">
        <v>192.27062856538376</v>
      </c>
      <c r="BD47" s="697">
        <v>192.27062856538376</v>
      </c>
      <c r="BE47" s="697">
        <v>165.22802674300067</v>
      </c>
      <c r="BF47" s="697">
        <v>165.22802674300067</v>
      </c>
      <c r="BG47" s="697">
        <v>159.11540887642462</v>
      </c>
      <c r="BH47" s="697">
        <v>0</v>
      </c>
      <c r="BI47" s="697">
        <v>0</v>
      </c>
      <c r="BJ47" s="697">
        <v>0</v>
      </c>
      <c r="BK47" s="697">
        <v>0</v>
      </c>
      <c r="BL47" s="697">
        <v>0</v>
      </c>
      <c r="BM47" s="697">
        <v>0</v>
      </c>
      <c r="BN47" s="697">
        <v>0</v>
      </c>
      <c r="BO47" s="697">
        <v>0</v>
      </c>
      <c r="BP47" s="697">
        <v>0</v>
      </c>
      <c r="BQ47" s="697">
        <v>0</v>
      </c>
      <c r="BR47" s="697">
        <v>0</v>
      </c>
      <c r="BS47" s="697">
        <v>0</v>
      </c>
      <c r="BT47" s="698">
        <v>0</v>
      </c>
      <c r="BU47" s="16"/>
    </row>
    <row r="48" spans="2:73" s="17" customFormat="1" ht="15.75">
      <c r="B48" s="692" t="s">
        <v>752</v>
      </c>
      <c r="C48" s="692" t="s">
        <v>753</v>
      </c>
      <c r="D48" s="692" t="s">
        <v>3</v>
      </c>
      <c r="E48" s="692" t="s">
        <v>754</v>
      </c>
      <c r="F48" s="692" t="s">
        <v>29</v>
      </c>
      <c r="G48" s="692" t="s">
        <v>755</v>
      </c>
      <c r="H48" s="692">
        <v>2012</v>
      </c>
      <c r="I48" s="644" t="s">
        <v>567</v>
      </c>
      <c r="J48" s="644" t="s">
        <v>584</v>
      </c>
      <c r="K48" s="633"/>
      <c r="L48" s="696">
        <v>0</v>
      </c>
      <c r="M48" s="697">
        <v>47.814467127247454</v>
      </c>
      <c r="N48" s="697">
        <v>47.814467127247454</v>
      </c>
      <c r="O48" s="697">
        <v>47.814467127247454</v>
      </c>
      <c r="P48" s="697">
        <v>47.814467127247454</v>
      </c>
      <c r="Q48" s="697">
        <v>47.814467127247454</v>
      </c>
      <c r="R48" s="697">
        <v>47.814467127247454</v>
      </c>
      <c r="S48" s="697">
        <v>47.814467127247454</v>
      </c>
      <c r="T48" s="697">
        <v>47.814467127247454</v>
      </c>
      <c r="U48" s="697">
        <v>47.814467127247454</v>
      </c>
      <c r="V48" s="697">
        <v>47.814467127247454</v>
      </c>
      <c r="W48" s="697">
        <v>47.814467127247454</v>
      </c>
      <c r="X48" s="697">
        <v>47.814467127247454</v>
      </c>
      <c r="Y48" s="697">
        <v>47.814467127247454</v>
      </c>
      <c r="Z48" s="697">
        <v>47.814467127247454</v>
      </c>
      <c r="AA48" s="697">
        <v>47.814467127247454</v>
      </c>
      <c r="AB48" s="697">
        <v>47.814467127247454</v>
      </c>
      <c r="AC48" s="697">
        <v>47.814467127247454</v>
      </c>
      <c r="AD48" s="697">
        <v>47.814467127247454</v>
      </c>
      <c r="AE48" s="697">
        <v>35.782375197827399</v>
      </c>
      <c r="AF48" s="697">
        <v>0</v>
      </c>
      <c r="AG48" s="697">
        <v>0</v>
      </c>
      <c r="AH48" s="697">
        <v>0</v>
      </c>
      <c r="AI48" s="697">
        <v>0</v>
      </c>
      <c r="AJ48" s="697">
        <v>0</v>
      </c>
      <c r="AK48" s="697">
        <v>0</v>
      </c>
      <c r="AL48" s="697">
        <v>0</v>
      </c>
      <c r="AM48" s="697">
        <v>0</v>
      </c>
      <c r="AN48" s="697">
        <v>0</v>
      </c>
      <c r="AO48" s="698">
        <v>0</v>
      </c>
      <c r="AP48" s="633"/>
      <c r="AQ48" s="696">
        <v>0</v>
      </c>
      <c r="AR48" s="697">
        <v>79835.504029713469</v>
      </c>
      <c r="AS48" s="697">
        <v>79835.504029713469</v>
      </c>
      <c r="AT48" s="697">
        <v>79835.504029713469</v>
      </c>
      <c r="AU48" s="697">
        <v>79835.504029713469</v>
      </c>
      <c r="AV48" s="697">
        <v>79835.504029713469</v>
      </c>
      <c r="AW48" s="697">
        <v>79835.504029713469</v>
      </c>
      <c r="AX48" s="697">
        <v>79835.504029713469</v>
      </c>
      <c r="AY48" s="697">
        <v>79835.504029713469</v>
      </c>
      <c r="AZ48" s="697">
        <v>79835.504029713469</v>
      </c>
      <c r="BA48" s="697">
        <v>79835.504029713469</v>
      </c>
      <c r="BB48" s="697">
        <v>79835.504029713469</v>
      </c>
      <c r="BC48" s="697">
        <v>79835.504029713469</v>
      </c>
      <c r="BD48" s="697">
        <v>79835.504029713469</v>
      </c>
      <c r="BE48" s="697">
        <v>79835.504029713469</v>
      </c>
      <c r="BF48" s="697">
        <v>79835.504029713469</v>
      </c>
      <c r="BG48" s="697">
        <v>79835.504029713469</v>
      </c>
      <c r="BH48" s="697">
        <v>79835.504029713469</v>
      </c>
      <c r="BI48" s="697">
        <v>79835.504029713469</v>
      </c>
      <c r="BJ48" s="697">
        <v>69075.752636131248</v>
      </c>
      <c r="BK48" s="697">
        <v>0</v>
      </c>
      <c r="BL48" s="697">
        <v>0</v>
      </c>
      <c r="BM48" s="697">
        <v>0</v>
      </c>
      <c r="BN48" s="697">
        <v>0</v>
      </c>
      <c r="BO48" s="697">
        <v>0</v>
      </c>
      <c r="BP48" s="697">
        <v>0</v>
      </c>
      <c r="BQ48" s="697">
        <v>0</v>
      </c>
      <c r="BR48" s="697">
        <v>0</v>
      </c>
      <c r="BS48" s="697">
        <v>0</v>
      </c>
      <c r="BT48" s="698">
        <v>0</v>
      </c>
      <c r="BU48" s="16"/>
    </row>
    <row r="49" spans="2:73" s="17" customFormat="1" ht="15.75">
      <c r="B49" s="692" t="s">
        <v>752</v>
      </c>
      <c r="C49" s="692" t="s">
        <v>761</v>
      </c>
      <c r="D49" s="692" t="s">
        <v>9</v>
      </c>
      <c r="E49" s="692" t="s">
        <v>754</v>
      </c>
      <c r="F49" s="692" t="s">
        <v>761</v>
      </c>
      <c r="G49" s="692" t="s">
        <v>756</v>
      </c>
      <c r="H49" s="692">
        <v>2012</v>
      </c>
      <c r="I49" s="644" t="s">
        <v>567</v>
      </c>
      <c r="J49" s="644" t="s">
        <v>584</v>
      </c>
      <c r="K49" s="633"/>
      <c r="L49" s="696">
        <v>0</v>
      </c>
      <c r="M49" s="697">
        <v>305.55381499999999</v>
      </c>
      <c r="N49" s="697">
        <v>0</v>
      </c>
      <c r="O49" s="697">
        <v>0</v>
      </c>
      <c r="P49" s="697">
        <v>0</v>
      </c>
      <c r="Q49" s="697">
        <v>0</v>
      </c>
      <c r="R49" s="697">
        <v>0</v>
      </c>
      <c r="S49" s="697">
        <v>0</v>
      </c>
      <c r="T49" s="697">
        <v>0</v>
      </c>
      <c r="U49" s="697">
        <v>0</v>
      </c>
      <c r="V49" s="697">
        <v>0</v>
      </c>
      <c r="W49" s="697">
        <v>0</v>
      </c>
      <c r="X49" s="697">
        <v>0</v>
      </c>
      <c r="Y49" s="697">
        <v>0</v>
      </c>
      <c r="Z49" s="697">
        <v>0</v>
      </c>
      <c r="AA49" s="697">
        <v>0</v>
      </c>
      <c r="AB49" s="697">
        <v>0</v>
      </c>
      <c r="AC49" s="697">
        <v>0</v>
      </c>
      <c r="AD49" s="697">
        <v>0</v>
      </c>
      <c r="AE49" s="697">
        <v>0</v>
      </c>
      <c r="AF49" s="697">
        <v>0</v>
      </c>
      <c r="AG49" s="697">
        <v>0</v>
      </c>
      <c r="AH49" s="697">
        <v>0</v>
      </c>
      <c r="AI49" s="697">
        <v>0</v>
      </c>
      <c r="AJ49" s="697">
        <v>0</v>
      </c>
      <c r="AK49" s="697">
        <v>0</v>
      </c>
      <c r="AL49" s="697">
        <v>0</v>
      </c>
      <c r="AM49" s="697">
        <v>0</v>
      </c>
      <c r="AN49" s="697">
        <v>0</v>
      </c>
      <c r="AO49" s="698">
        <v>0</v>
      </c>
      <c r="AP49" s="633"/>
      <c r="AQ49" s="696">
        <v>0</v>
      </c>
      <c r="AR49" s="697">
        <v>7363.7139999999999</v>
      </c>
      <c r="AS49" s="697">
        <v>0</v>
      </c>
      <c r="AT49" s="697">
        <v>0</v>
      </c>
      <c r="AU49" s="697">
        <v>0</v>
      </c>
      <c r="AV49" s="697">
        <v>0</v>
      </c>
      <c r="AW49" s="697">
        <v>0</v>
      </c>
      <c r="AX49" s="697">
        <v>0</v>
      </c>
      <c r="AY49" s="697">
        <v>0</v>
      </c>
      <c r="AZ49" s="697">
        <v>0</v>
      </c>
      <c r="BA49" s="697">
        <v>0</v>
      </c>
      <c r="BB49" s="697">
        <v>0</v>
      </c>
      <c r="BC49" s="697">
        <v>0</v>
      </c>
      <c r="BD49" s="697">
        <v>0</v>
      </c>
      <c r="BE49" s="697">
        <v>0</v>
      </c>
      <c r="BF49" s="697">
        <v>0</v>
      </c>
      <c r="BG49" s="697">
        <v>0</v>
      </c>
      <c r="BH49" s="697">
        <v>0</v>
      </c>
      <c r="BI49" s="697">
        <v>0</v>
      </c>
      <c r="BJ49" s="697">
        <v>0</v>
      </c>
      <c r="BK49" s="697">
        <v>0</v>
      </c>
      <c r="BL49" s="697">
        <v>0</v>
      </c>
      <c r="BM49" s="697">
        <v>0</v>
      </c>
      <c r="BN49" s="697">
        <v>0</v>
      </c>
      <c r="BO49" s="697">
        <v>0</v>
      </c>
      <c r="BP49" s="697">
        <v>0</v>
      </c>
      <c r="BQ49" s="697">
        <v>0</v>
      </c>
      <c r="BR49" s="697">
        <v>0</v>
      </c>
      <c r="BS49" s="697">
        <v>0</v>
      </c>
      <c r="BT49" s="698">
        <v>0</v>
      </c>
      <c r="BU49" s="16"/>
    </row>
    <row r="50" spans="2:73" s="17" customFormat="1" ht="15.75">
      <c r="B50" s="692" t="s">
        <v>752</v>
      </c>
      <c r="C50" s="692" t="s">
        <v>762</v>
      </c>
      <c r="D50" s="692" t="s">
        <v>17</v>
      </c>
      <c r="E50" s="692" t="s">
        <v>754</v>
      </c>
      <c r="F50" s="692" t="s">
        <v>763</v>
      </c>
      <c r="G50" s="692" t="s">
        <v>755</v>
      </c>
      <c r="H50" s="692">
        <v>2012</v>
      </c>
      <c r="I50" s="644" t="s">
        <v>567</v>
      </c>
      <c r="J50" s="644" t="s">
        <v>584</v>
      </c>
      <c r="K50" s="633"/>
      <c r="L50" s="696">
        <v>0</v>
      </c>
      <c r="M50" s="697">
        <v>0.25754897302612006</v>
      </c>
      <c r="N50" s="697">
        <v>0.25754897302612006</v>
      </c>
      <c r="O50" s="697">
        <v>0.25754897302612006</v>
      </c>
      <c r="P50" s="697">
        <v>0.25754897302612006</v>
      </c>
      <c r="Q50" s="697">
        <v>0.25754897302612006</v>
      </c>
      <c r="R50" s="697">
        <v>0.25754897302612006</v>
      </c>
      <c r="S50" s="697">
        <v>0.25754897302612006</v>
      </c>
      <c r="T50" s="697">
        <v>0.25754897302612006</v>
      </c>
      <c r="U50" s="697">
        <v>0.25754897302612006</v>
      </c>
      <c r="V50" s="697">
        <v>0.25754897302612006</v>
      </c>
      <c r="W50" s="697">
        <v>0.25754897302612006</v>
      </c>
      <c r="X50" s="697">
        <v>0.25754897302612006</v>
      </c>
      <c r="Y50" s="697">
        <v>0</v>
      </c>
      <c r="Z50" s="697">
        <v>0</v>
      </c>
      <c r="AA50" s="697">
        <v>0</v>
      </c>
      <c r="AB50" s="697">
        <v>0</v>
      </c>
      <c r="AC50" s="697">
        <v>0</v>
      </c>
      <c r="AD50" s="697">
        <v>0</v>
      </c>
      <c r="AE50" s="697">
        <v>0</v>
      </c>
      <c r="AF50" s="697">
        <v>0</v>
      </c>
      <c r="AG50" s="697">
        <v>0</v>
      </c>
      <c r="AH50" s="697">
        <v>0</v>
      </c>
      <c r="AI50" s="697">
        <v>0</v>
      </c>
      <c r="AJ50" s="697">
        <v>0</v>
      </c>
      <c r="AK50" s="697">
        <v>0</v>
      </c>
      <c r="AL50" s="697">
        <v>0</v>
      </c>
      <c r="AM50" s="697">
        <v>0</v>
      </c>
      <c r="AN50" s="697">
        <v>0</v>
      </c>
      <c r="AO50" s="698">
        <v>0</v>
      </c>
      <c r="AP50" s="633"/>
      <c r="AQ50" s="696">
        <v>0</v>
      </c>
      <c r="AR50" s="697">
        <v>249.52278976495649</v>
      </c>
      <c r="AS50" s="697">
        <v>249.52278976495649</v>
      </c>
      <c r="AT50" s="697">
        <v>249.52278976495649</v>
      </c>
      <c r="AU50" s="697">
        <v>249.52278976495649</v>
      </c>
      <c r="AV50" s="697">
        <v>249.52278976495649</v>
      </c>
      <c r="AW50" s="697">
        <v>249.52278976495649</v>
      </c>
      <c r="AX50" s="697">
        <v>249.52278976495649</v>
      </c>
      <c r="AY50" s="697">
        <v>249.52278976495649</v>
      </c>
      <c r="AZ50" s="697">
        <v>249.52278976495649</v>
      </c>
      <c r="BA50" s="697">
        <v>249.52278976495649</v>
      </c>
      <c r="BB50" s="697">
        <v>249.52278976495649</v>
      </c>
      <c r="BC50" s="697">
        <v>249.52278976495649</v>
      </c>
      <c r="BD50" s="697">
        <v>0</v>
      </c>
      <c r="BE50" s="697">
        <v>0</v>
      </c>
      <c r="BF50" s="697">
        <v>0</v>
      </c>
      <c r="BG50" s="697">
        <v>0</v>
      </c>
      <c r="BH50" s="697">
        <v>0</v>
      </c>
      <c r="BI50" s="697">
        <v>0</v>
      </c>
      <c r="BJ50" s="697">
        <v>0</v>
      </c>
      <c r="BK50" s="697">
        <v>0</v>
      </c>
      <c r="BL50" s="697">
        <v>0</v>
      </c>
      <c r="BM50" s="697">
        <v>0</v>
      </c>
      <c r="BN50" s="697">
        <v>0</v>
      </c>
      <c r="BO50" s="697">
        <v>0</v>
      </c>
      <c r="BP50" s="697">
        <v>0</v>
      </c>
      <c r="BQ50" s="697">
        <v>0</v>
      </c>
      <c r="BR50" s="697">
        <v>0</v>
      </c>
      <c r="BS50" s="697">
        <v>0</v>
      </c>
      <c r="BT50" s="698">
        <v>0</v>
      </c>
      <c r="BU50" s="16"/>
    </row>
    <row r="51" spans="2:73" s="17" customFormat="1" ht="15.75">
      <c r="B51" s="692" t="s">
        <v>752</v>
      </c>
      <c r="C51" s="692" t="s">
        <v>757</v>
      </c>
      <c r="D51" s="692" t="s">
        <v>760</v>
      </c>
      <c r="E51" s="692" t="s">
        <v>754</v>
      </c>
      <c r="F51" s="692" t="s">
        <v>763</v>
      </c>
      <c r="G51" s="692" t="s">
        <v>756</v>
      </c>
      <c r="H51" s="692">
        <v>2012</v>
      </c>
      <c r="I51" s="644" t="s">
        <v>567</v>
      </c>
      <c r="J51" s="644" t="s">
        <v>584</v>
      </c>
      <c r="K51" s="633"/>
      <c r="L51" s="696">
        <v>0</v>
      </c>
      <c r="M51" s="697">
        <v>75.309844499999997</v>
      </c>
      <c r="N51" s="697">
        <v>0</v>
      </c>
      <c r="O51" s="697">
        <v>0</v>
      </c>
      <c r="P51" s="697">
        <v>0</v>
      </c>
      <c r="Q51" s="697">
        <v>0</v>
      </c>
      <c r="R51" s="697">
        <v>0</v>
      </c>
      <c r="S51" s="697">
        <v>0</v>
      </c>
      <c r="T51" s="697">
        <v>0</v>
      </c>
      <c r="U51" s="697">
        <v>0</v>
      </c>
      <c r="V51" s="697">
        <v>0</v>
      </c>
      <c r="W51" s="697">
        <v>0</v>
      </c>
      <c r="X51" s="697">
        <v>0</v>
      </c>
      <c r="Y51" s="697">
        <v>0</v>
      </c>
      <c r="Z51" s="697">
        <v>0</v>
      </c>
      <c r="AA51" s="697">
        <v>0</v>
      </c>
      <c r="AB51" s="697">
        <v>0</v>
      </c>
      <c r="AC51" s="697">
        <v>0</v>
      </c>
      <c r="AD51" s="697">
        <v>0</v>
      </c>
      <c r="AE51" s="697">
        <v>0</v>
      </c>
      <c r="AF51" s="697">
        <v>0</v>
      </c>
      <c r="AG51" s="697">
        <v>0</v>
      </c>
      <c r="AH51" s="697">
        <v>0</v>
      </c>
      <c r="AI51" s="697">
        <v>0</v>
      </c>
      <c r="AJ51" s="697">
        <v>0</v>
      </c>
      <c r="AK51" s="697">
        <v>0</v>
      </c>
      <c r="AL51" s="697">
        <v>0</v>
      </c>
      <c r="AM51" s="697">
        <v>0</v>
      </c>
      <c r="AN51" s="697">
        <v>0</v>
      </c>
      <c r="AO51" s="698">
        <v>0</v>
      </c>
      <c r="AP51" s="633"/>
      <c r="AQ51" s="696">
        <v>0</v>
      </c>
      <c r="AR51" s="697">
        <v>1094.653</v>
      </c>
      <c r="AS51" s="697">
        <v>0</v>
      </c>
      <c r="AT51" s="697">
        <v>0</v>
      </c>
      <c r="AU51" s="697">
        <v>0</v>
      </c>
      <c r="AV51" s="697">
        <v>0</v>
      </c>
      <c r="AW51" s="697">
        <v>0</v>
      </c>
      <c r="AX51" s="697">
        <v>0</v>
      </c>
      <c r="AY51" s="697">
        <v>0</v>
      </c>
      <c r="AZ51" s="697">
        <v>0</v>
      </c>
      <c r="BA51" s="697">
        <v>0</v>
      </c>
      <c r="BB51" s="697">
        <v>0</v>
      </c>
      <c r="BC51" s="697">
        <v>0</v>
      </c>
      <c r="BD51" s="697">
        <v>0</v>
      </c>
      <c r="BE51" s="697">
        <v>0</v>
      </c>
      <c r="BF51" s="697">
        <v>0</v>
      </c>
      <c r="BG51" s="697">
        <v>0</v>
      </c>
      <c r="BH51" s="697">
        <v>0</v>
      </c>
      <c r="BI51" s="697">
        <v>0</v>
      </c>
      <c r="BJ51" s="697">
        <v>0</v>
      </c>
      <c r="BK51" s="697">
        <v>0</v>
      </c>
      <c r="BL51" s="697">
        <v>0</v>
      </c>
      <c r="BM51" s="697">
        <v>0</v>
      </c>
      <c r="BN51" s="697">
        <v>0</v>
      </c>
      <c r="BO51" s="697">
        <v>0</v>
      </c>
      <c r="BP51" s="697">
        <v>0</v>
      </c>
      <c r="BQ51" s="697">
        <v>0</v>
      </c>
      <c r="BR51" s="697">
        <v>0</v>
      </c>
      <c r="BS51" s="697">
        <v>0</v>
      </c>
      <c r="BT51" s="698">
        <v>0</v>
      </c>
      <c r="BU51" s="16"/>
    </row>
    <row r="52" spans="2:73" s="17" customFormat="1" ht="15.75">
      <c r="B52" s="692" t="s">
        <v>764</v>
      </c>
      <c r="C52" s="692" t="s">
        <v>762</v>
      </c>
      <c r="D52" s="692" t="s">
        <v>17</v>
      </c>
      <c r="E52" s="692" t="s">
        <v>754</v>
      </c>
      <c r="F52" s="692" t="s">
        <v>763</v>
      </c>
      <c r="G52" s="692" t="s">
        <v>755</v>
      </c>
      <c r="H52" s="692">
        <v>2011</v>
      </c>
      <c r="I52" s="644" t="s">
        <v>567</v>
      </c>
      <c r="J52" s="644" t="s">
        <v>577</v>
      </c>
      <c r="K52" s="633"/>
      <c r="L52" s="696">
        <v>-7.3070600205817071E-2</v>
      </c>
      <c r="M52" s="697">
        <v>-7.3070600205817071E-2</v>
      </c>
      <c r="N52" s="697">
        <v>-7.3070600205817071E-2</v>
      </c>
      <c r="O52" s="697">
        <v>-7.3070600205817071E-2</v>
      </c>
      <c r="P52" s="697">
        <v>-7.3070600205817099E-2</v>
      </c>
      <c r="Q52" s="697">
        <v>-7.3070600205817099E-2</v>
      </c>
      <c r="R52" s="697">
        <v>-7.3070600205817099E-2</v>
      </c>
      <c r="S52" s="697">
        <v>-7.3070600205817099E-2</v>
      </c>
      <c r="T52" s="697">
        <v>-7.3070600205817099E-2</v>
      </c>
      <c r="U52" s="697">
        <v>-7.3070600205817099E-2</v>
      </c>
      <c r="V52" s="697">
        <v>-7.3070600205817099E-2</v>
      </c>
      <c r="W52" s="697">
        <v>-7.3070600205817099E-2</v>
      </c>
      <c r="X52" s="697">
        <v>-7.3070600205817099E-2</v>
      </c>
      <c r="Y52" s="697">
        <v>-7.3070600205817099E-2</v>
      </c>
      <c r="Z52" s="697">
        <v>-7.3070600205817099E-2</v>
      </c>
      <c r="AA52" s="697">
        <v>0</v>
      </c>
      <c r="AB52" s="697">
        <v>0</v>
      </c>
      <c r="AC52" s="697">
        <v>0</v>
      </c>
      <c r="AD52" s="697">
        <v>0</v>
      </c>
      <c r="AE52" s="697">
        <v>0</v>
      </c>
      <c r="AF52" s="697">
        <v>0</v>
      </c>
      <c r="AG52" s="697">
        <v>0</v>
      </c>
      <c r="AH52" s="697">
        <v>0</v>
      </c>
      <c r="AI52" s="697">
        <v>0</v>
      </c>
      <c r="AJ52" s="697">
        <v>0</v>
      </c>
      <c r="AK52" s="697">
        <v>0</v>
      </c>
      <c r="AL52" s="697">
        <v>0</v>
      </c>
      <c r="AM52" s="697">
        <v>0</v>
      </c>
      <c r="AN52" s="697">
        <v>0</v>
      </c>
      <c r="AO52" s="698">
        <v>0</v>
      </c>
      <c r="AP52" s="633"/>
      <c r="AQ52" s="696">
        <v>-375.29060265707415</v>
      </c>
      <c r="AR52" s="697">
        <v>-375.29060265707415</v>
      </c>
      <c r="AS52" s="697">
        <v>-375.29060265707415</v>
      </c>
      <c r="AT52" s="697">
        <v>-375.29060265707415</v>
      </c>
      <c r="AU52" s="697">
        <v>-375.29060265707398</v>
      </c>
      <c r="AV52" s="697">
        <v>-375.29060265707398</v>
      </c>
      <c r="AW52" s="697">
        <v>-375.29060265707398</v>
      </c>
      <c r="AX52" s="697">
        <v>-375.29060265707398</v>
      </c>
      <c r="AY52" s="697">
        <v>-375.29060265707398</v>
      </c>
      <c r="AZ52" s="697">
        <v>-375.29060265707398</v>
      </c>
      <c r="BA52" s="697">
        <v>-375.29060265707398</v>
      </c>
      <c r="BB52" s="697">
        <v>-375.29060265707398</v>
      </c>
      <c r="BC52" s="697">
        <v>-375.29060265707398</v>
      </c>
      <c r="BD52" s="697">
        <v>-375.29060265707398</v>
      </c>
      <c r="BE52" s="697">
        <v>-375.29060265707398</v>
      </c>
      <c r="BF52" s="697">
        <v>0</v>
      </c>
      <c r="BG52" s="697">
        <v>0</v>
      </c>
      <c r="BH52" s="697">
        <v>0</v>
      </c>
      <c r="BI52" s="697">
        <v>0</v>
      </c>
      <c r="BJ52" s="697">
        <v>0</v>
      </c>
      <c r="BK52" s="697">
        <v>0</v>
      </c>
      <c r="BL52" s="697">
        <v>0</v>
      </c>
      <c r="BM52" s="697">
        <v>0</v>
      </c>
      <c r="BN52" s="697">
        <v>0</v>
      </c>
      <c r="BO52" s="697">
        <v>0</v>
      </c>
      <c r="BP52" s="697">
        <v>0</v>
      </c>
      <c r="BQ52" s="697">
        <v>0</v>
      </c>
      <c r="BR52" s="697">
        <v>0</v>
      </c>
      <c r="BS52" s="697">
        <v>0</v>
      </c>
      <c r="BT52" s="698">
        <v>0</v>
      </c>
      <c r="BU52" s="16"/>
    </row>
    <row r="53" spans="2:73">
      <c r="B53" s="692" t="s">
        <v>764</v>
      </c>
      <c r="C53" s="692" t="s">
        <v>753</v>
      </c>
      <c r="D53" s="692" t="s">
        <v>3</v>
      </c>
      <c r="E53" s="692" t="s">
        <v>754</v>
      </c>
      <c r="F53" s="692" t="s">
        <v>29</v>
      </c>
      <c r="G53" s="692" t="s">
        <v>755</v>
      </c>
      <c r="H53" s="692">
        <v>2011</v>
      </c>
      <c r="I53" s="644" t="s">
        <v>567</v>
      </c>
      <c r="J53" s="644" t="s">
        <v>577</v>
      </c>
      <c r="K53" s="633"/>
      <c r="L53" s="696">
        <v>-10.942016877649834</v>
      </c>
      <c r="M53" s="697">
        <v>-10.942016877649834</v>
      </c>
      <c r="N53" s="697">
        <v>-10.942016877649834</v>
      </c>
      <c r="O53" s="697">
        <v>-10.942016877649834</v>
      </c>
      <c r="P53" s="697">
        <v>-10.942016877649834</v>
      </c>
      <c r="Q53" s="697">
        <v>-10.942016877649834</v>
      </c>
      <c r="R53" s="697">
        <v>-10.942016877649834</v>
      </c>
      <c r="S53" s="697">
        <v>-10.942016877649834</v>
      </c>
      <c r="T53" s="697">
        <v>-10.942016877649834</v>
      </c>
      <c r="U53" s="697">
        <v>-10.942016877649834</v>
      </c>
      <c r="V53" s="697">
        <v>-10.942016877649834</v>
      </c>
      <c r="W53" s="697">
        <v>-10.942016877649834</v>
      </c>
      <c r="X53" s="697">
        <v>-10.942016877649834</v>
      </c>
      <c r="Y53" s="697">
        <v>-10.942016877649834</v>
      </c>
      <c r="Z53" s="697">
        <v>-10.942016877649834</v>
      </c>
      <c r="AA53" s="697">
        <v>-10.942016877649834</v>
      </c>
      <c r="AB53" s="697">
        <v>-10.942016877649834</v>
      </c>
      <c r="AC53" s="697">
        <v>-10.942016877649834</v>
      </c>
      <c r="AD53" s="697">
        <v>-8.6737606878663396</v>
      </c>
      <c r="AE53" s="697">
        <v>0</v>
      </c>
      <c r="AF53" s="697">
        <v>0</v>
      </c>
      <c r="AG53" s="697">
        <v>0</v>
      </c>
      <c r="AH53" s="697">
        <v>0</v>
      </c>
      <c r="AI53" s="697">
        <v>0</v>
      </c>
      <c r="AJ53" s="697">
        <v>0</v>
      </c>
      <c r="AK53" s="697">
        <v>0</v>
      </c>
      <c r="AL53" s="697">
        <v>0</v>
      </c>
      <c r="AM53" s="697">
        <v>0</v>
      </c>
      <c r="AN53" s="697">
        <v>0</v>
      </c>
      <c r="AO53" s="698">
        <v>0</v>
      </c>
      <c r="AP53" s="633"/>
      <c r="AQ53" s="696">
        <v>-19860.510089357191</v>
      </c>
      <c r="AR53" s="697">
        <v>-19860.510089357191</v>
      </c>
      <c r="AS53" s="697">
        <v>-19860.510089357191</v>
      </c>
      <c r="AT53" s="697">
        <v>-19860.510089357191</v>
      </c>
      <c r="AU53" s="697">
        <v>-19860.510089357191</v>
      </c>
      <c r="AV53" s="697">
        <v>-19860.510089357191</v>
      </c>
      <c r="AW53" s="697">
        <v>-19860.510089357191</v>
      </c>
      <c r="AX53" s="697">
        <v>-19860.510089357191</v>
      </c>
      <c r="AY53" s="697">
        <v>-19860.510089357191</v>
      </c>
      <c r="AZ53" s="697">
        <v>-19860.510089357191</v>
      </c>
      <c r="BA53" s="697">
        <v>-19860.510089357191</v>
      </c>
      <c r="BB53" s="697">
        <v>-19860.510089357191</v>
      </c>
      <c r="BC53" s="697">
        <v>-19860.510089357191</v>
      </c>
      <c r="BD53" s="697">
        <v>-19860.510089357191</v>
      </c>
      <c r="BE53" s="697">
        <v>-19860.510089357191</v>
      </c>
      <c r="BF53" s="697">
        <v>-19860.510089357191</v>
      </c>
      <c r="BG53" s="697">
        <v>-19860.510089357191</v>
      </c>
      <c r="BH53" s="697">
        <v>-19860.510089357191</v>
      </c>
      <c r="BI53" s="697">
        <v>-17835.594726336109</v>
      </c>
      <c r="BJ53" s="697">
        <v>0</v>
      </c>
      <c r="BK53" s="697">
        <v>0</v>
      </c>
      <c r="BL53" s="697">
        <v>0</v>
      </c>
      <c r="BM53" s="697">
        <v>0</v>
      </c>
      <c r="BN53" s="697">
        <v>0</v>
      </c>
      <c r="BO53" s="697">
        <v>0</v>
      </c>
      <c r="BP53" s="697">
        <v>0</v>
      </c>
      <c r="BQ53" s="697">
        <v>0</v>
      </c>
      <c r="BR53" s="697">
        <v>0</v>
      </c>
      <c r="BS53" s="697">
        <v>0</v>
      </c>
      <c r="BT53" s="698">
        <v>0</v>
      </c>
    </row>
    <row r="54" spans="2:73">
      <c r="B54" s="692" t="s">
        <v>764</v>
      </c>
      <c r="C54" s="692" t="s">
        <v>753</v>
      </c>
      <c r="D54" s="692" t="s">
        <v>5</v>
      </c>
      <c r="E54" s="692" t="s">
        <v>754</v>
      </c>
      <c r="F54" s="692" t="s">
        <v>29</v>
      </c>
      <c r="G54" s="692" t="s">
        <v>755</v>
      </c>
      <c r="H54" s="692">
        <v>2011</v>
      </c>
      <c r="I54" s="644" t="s">
        <v>567</v>
      </c>
      <c r="J54" s="644" t="s">
        <v>577</v>
      </c>
      <c r="K54" s="633"/>
      <c r="L54" s="696">
        <v>0.24584319297710769</v>
      </c>
      <c r="M54" s="697">
        <v>0.24584319297710769</v>
      </c>
      <c r="N54" s="697">
        <v>0.24584319297710769</v>
      </c>
      <c r="O54" s="697">
        <v>0.24584319297710769</v>
      </c>
      <c r="P54" s="697">
        <v>0.24584319297710769</v>
      </c>
      <c r="Q54" s="697">
        <v>0.22480886142114398</v>
      </c>
      <c r="R54" s="697">
        <v>0.12846791761742365</v>
      </c>
      <c r="S54" s="697">
        <v>0.12841113910594426</v>
      </c>
      <c r="T54" s="697">
        <v>0.12841113910594426</v>
      </c>
      <c r="U54" s="697">
        <v>4.0322351162715729E-2</v>
      </c>
      <c r="V54" s="697">
        <v>1.6753437128431751E-2</v>
      </c>
      <c r="W54" s="697">
        <v>1.6748952382569352E-2</v>
      </c>
      <c r="X54" s="697">
        <v>1.6748952382569352E-2</v>
      </c>
      <c r="Y54" s="697">
        <v>1.5978840595552612E-2</v>
      </c>
      <c r="Z54" s="697">
        <v>1.5978840595552612E-2</v>
      </c>
      <c r="AA54" s="697">
        <v>1.5943578175949095E-2</v>
      </c>
      <c r="AB54" s="697">
        <v>0</v>
      </c>
      <c r="AC54" s="697">
        <v>0</v>
      </c>
      <c r="AD54" s="697">
        <v>0</v>
      </c>
      <c r="AE54" s="697">
        <v>0</v>
      </c>
      <c r="AF54" s="697">
        <v>0</v>
      </c>
      <c r="AG54" s="697">
        <v>0</v>
      </c>
      <c r="AH54" s="697">
        <v>0</v>
      </c>
      <c r="AI54" s="697">
        <v>0</v>
      </c>
      <c r="AJ54" s="697">
        <v>0</v>
      </c>
      <c r="AK54" s="697">
        <v>0</v>
      </c>
      <c r="AL54" s="697">
        <v>0</v>
      </c>
      <c r="AM54" s="697">
        <v>0</v>
      </c>
      <c r="AN54" s="697">
        <v>0</v>
      </c>
      <c r="AO54" s="698">
        <v>0</v>
      </c>
      <c r="AP54" s="633"/>
      <c r="AQ54" s="696">
        <v>4976.3721382382209</v>
      </c>
      <c r="AR54" s="697">
        <v>4976.3721382382209</v>
      </c>
      <c r="AS54" s="697">
        <v>4976.3721382382209</v>
      </c>
      <c r="AT54" s="697">
        <v>4976.3721382382209</v>
      </c>
      <c r="AU54" s="697">
        <v>4976.3721382382209</v>
      </c>
      <c r="AV54" s="697">
        <v>4522.0958662257417</v>
      </c>
      <c r="AW54" s="697">
        <v>2441.4305179176195</v>
      </c>
      <c r="AX54" s="697">
        <v>2440.9331381570596</v>
      </c>
      <c r="AY54" s="697">
        <v>2440.9331381570596</v>
      </c>
      <c r="AZ54" s="697">
        <v>538.48874212385067</v>
      </c>
      <c r="BA54" s="697">
        <v>452.39051724791392</v>
      </c>
      <c r="BB54" s="697">
        <v>415.43108095287459</v>
      </c>
      <c r="BC54" s="697">
        <v>415.43108095287459</v>
      </c>
      <c r="BD54" s="697">
        <v>344.74635239972673</v>
      </c>
      <c r="BE54" s="697">
        <v>344.74635239972673</v>
      </c>
      <c r="BF54" s="697">
        <v>344.33180046818165</v>
      </c>
      <c r="BG54" s="697">
        <v>0</v>
      </c>
      <c r="BH54" s="697">
        <v>0</v>
      </c>
      <c r="BI54" s="697">
        <v>0</v>
      </c>
      <c r="BJ54" s="697">
        <v>0</v>
      </c>
      <c r="BK54" s="697">
        <v>0</v>
      </c>
      <c r="BL54" s="697">
        <v>0</v>
      </c>
      <c r="BM54" s="697">
        <v>0</v>
      </c>
      <c r="BN54" s="697">
        <v>0</v>
      </c>
      <c r="BO54" s="697">
        <v>0</v>
      </c>
      <c r="BP54" s="697">
        <v>0</v>
      </c>
      <c r="BQ54" s="697">
        <v>0</v>
      </c>
      <c r="BR54" s="697">
        <v>0</v>
      </c>
      <c r="BS54" s="697">
        <v>0</v>
      </c>
      <c r="BT54" s="698">
        <v>0</v>
      </c>
    </row>
    <row r="55" spans="2:73">
      <c r="B55" s="692" t="s">
        <v>764</v>
      </c>
      <c r="C55" s="692" t="s">
        <v>753</v>
      </c>
      <c r="D55" s="692" t="s">
        <v>4</v>
      </c>
      <c r="E55" s="692" t="s">
        <v>754</v>
      </c>
      <c r="F55" s="692" t="s">
        <v>29</v>
      </c>
      <c r="G55" s="692" t="s">
        <v>755</v>
      </c>
      <c r="H55" s="692">
        <v>2011</v>
      </c>
      <c r="I55" s="644" t="s">
        <v>567</v>
      </c>
      <c r="J55" s="644" t="s">
        <v>577</v>
      </c>
      <c r="K55" s="633"/>
      <c r="L55" s="696">
        <v>3.6692732632003212E-2</v>
      </c>
      <c r="M55" s="697">
        <v>3.6692732632003212E-2</v>
      </c>
      <c r="N55" s="697">
        <v>3.6692732632003212E-2</v>
      </c>
      <c r="O55" s="697">
        <v>3.6692732632003212E-2</v>
      </c>
      <c r="P55" s="697">
        <v>3.6692732632003212E-2</v>
      </c>
      <c r="Q55" s="697">
        <v>3.4181634743874242E-2</v>
      </c>
      <c r="R55" s="697">
        <v>2.3908338047530155E-2</v>
      </c>
      <c r="S55" s="697">
        <v>2.3853602235700537E-2</v>
      </c>
      <c r="T55" s="697">
        <v>2.3853602235700537E-2</v>
      </c>
      <c r="U55" s="697">
        <v>1.3337481541132224E-2</v>
      </c>
      <c r="V55" s="697">
        <v>1.7630340611462672E-3</v>
      </c>
      <c r="W55" s="697">
        <v>1.7611743937568849E-3</v>
      </c>
      <c r="X55" s="697">
        <v>1.7611743937568849E-3</v>
      </c>
      <c r="Y55" s="697">
        <v>1.7154468906532786E-3</v>
      </c>
      <c r="Z55" s="697">
        <v>1.7154468906532786E-3</v>
      </c>
      <c r="AA55" s="697">
        <v>1.6840723623280391E-3</v>
      </c>
      <c r="AB55" s="697">
        <v>0</v>
      </c>
      <c r="AC55" s="697">
        <v>0</v>
      </c>
      <c r="AD55" s="697">
        <v>0</v>
      </c>
      <c r="AE55" s="697">
        <v>0</v>
      </c>
      <c r="AF55" s="697">
        <v>0</v>
      </c>
      <c r="AG55" s="697">
        <v>0</v>
      </c>
      <c r="AH55" s="697">
        <v>0</v>
      </c>
      <c r="AI55" s="697">
        <v>0</v>
      </c>
      <c r="AJ55" s="697">
        <v>0</v>
      </c>
      <c r="AK55" s="697">
        <v>0</v>
      </c>
      <c r="AL55" s="697">
        <v>0</v>
      </c>
      <c r="AM55" s="697">
        <v>0</v>
      </c>
      <c r="AN55" s="697">
        <v>0</v>
      </c>
      <c r="AO55" s="698">
        <v>0</v>
      </c>
      <c r="AP55" s="633"/>
      <c r="AQ55" s="696">
        <v>628.27165709389078</v>
      </c>
      <c r="AR55" s="697">
        <v>628.27165709389078</v>
      </c>
      <c r="AS55" s="697">
        <v>628.27165709389078</v>
      </c>
      <c r="AT55" s="697">
        <v>628.27165709389078</v>
      </c>
      <c r="AU55" s="697">
        <v>628.27165709389078</v>
      </c>
      <c r="AV55" s="697">
        <v>574.03973704249211</v>
      </c>
      <c r="AW55" s="697">
        <v>352.16841624123106</v>
      </c>
      <c r="AX55" s="697">
        <v>351.68893052960357</v>
      </c>
      <c r="AY55" s="697">
        <v>351.68893052960357</v>
      </c>
      <c r="AZ55" s="697">
        <v>124.57336508120605</v>
      </c>
      <c r="BA55" s="697">
        <v>56.262467494671313</v>
      </c>
      <c r="BB55" s="697">
        <v>40.936680813168202</v>
      </c>
      <c r="BC55" s="697">
        <v>40.936680813168202</v>
      </c>
      <c r="BD55" s="697">
        <v>36.73958086120841</v>
      </c>
      <c r="BE55" s="697">
        <v>36.73958086120841</v>
      </c>
      <c r="BF55" s="697">
        <v>36.370735743239038</v>
      </c>
      <c r="BG55" s="697">
        <v>0</v>
      </c>
      <c r="BH55" s="697">
        <v>0</v>
      </c>
      <c r="BI55" s="697">
        <v>0</v>
      </c>
      <c r="BJ55" s="697">
        <v>0</v>
      </c>
      <c r="BK55" s="697">
        <v>0</v>
      </c>
      <c r="BL55" s="697">
        <v>0</v>
      </c>
      <c r="BM55" s="697">
        <v>0</v>
      </c>
      <c r="BN55" s="697">
        <v>0</v>
      </c>
      <c r="BO55" s="697">
        <v>0</v>
      </c>
      <c r="BP55" s="697">
        <v>0</v>
      </c>
      <c r="BQ55" s="697">
        <v>0</v>
      </c>
      <c r="BR55" s="697">
        <v>0</v>
      </c>
      <c r="BS55" s="697">
        <v>0</v>
      </c>
      <c r="BT55" s="698">
        <v>0</v>
      </c>
    </row>
    <row r="56" spans="2:73">
      <c r="B56" s="692" t="s">
        <v>208</v>
      </c>
      <c r="C56" s="692" t="s">
        <v>757</v>
      </c>
      <c r="D56" s="692" t="s">
        <v>765</v>
      </c>
      <c r="E56" s="692" t="s">
        <v>754</v>
      </c>
      <c r="F56" s="692" t="s">
        <v>759</v>
      </c>
      <c r="G56" s="692" t="s">
        <v>756</v>
      </c>
      <c r="H56" s="692">
        <v>2013</v>
      </c>
      <c r="I56" s="644" t="s">
        <v>568</v>
      </c>
      <c r="J56" s="644" t="s">
        <v>584</v>
      </c>
      <c r="K56" s="633"/>
      <c r="L56" s="696">
        <v>0</v>
      </c>
      <c r="M56" s="697">
        <v>0</v>
      </c>
      <c r="N56" s="697">
        <v>76.37697</v>
      </c>
      <c r="O56" s="697">
        <v>0</v>
      </c>
      <c r="P56" s="697">
        <v>0</v>
      </c>
      <c r="Q56" s="697">
        <v>0</v>
      </c>
      <c r="R56" s="697">
        <v>0</v>
      </c>
      <c r="S56" s="697">
        <v>0</v>
      </c>
      <c r="T56" s="697">
        <v>0</v>
      </c>
      <c r="U56" s="697">
        <v>0</v>
      </c>
      <c r="V56" s="697">
        <v>0</v>
      </c>
      <c r="W56" s="697">
        <v>0</v>
      </c>
      <c r="X56" s="697">
        <v>0</v>
      </c>
      <c r="Y56" s="697">
        <v>0</v>
      </c>
      <c r="Z56" s="697">
        <v>0</v>
      </c>
      <c r="AA56" s="697">
        <v>0</v>
      </c>
      <c r="AB56" s="697">
        <v>0</v>
      </c>
      <c r="AC56" s="697">
        <v>0</v>
      </c>
      <c r="AD56" s="697">
        <v>0</v>
      </c>
      <c r="AE56" s="697">
        <v>0</v>
      </c>
      <c r="AF56" s="697">
        <v>0</v>
      </c>
      <c r="AG56" s="697">
        <v>0</v>
      </c>
      <c r="AH56" s="697">
        <v>0</v>
      </c>
      <c r="AI56" s="697">
        <v>0</v>
      </c>
      <c r="AJ56" s="697">
        <v>0</v>
      </c>
      <c r="AK56" s="697">
        <v>0</v>
      </c>
      <c r="AL56" s="697">
        <v>0</v>
      </c>
      <c r="AM56" s="697">
        <v>0</v>
      </c>
      <c r="AN56" s="697">
        <v>0</v>
      </c>
      <c r="AO56" s="698">
        <v>0</v>
      </c>
      <c r="AP56" s="633"/>
      <c r="AQ56" s="696">
        <v>0</v>
      </c>
      <c r="AR56" s="697">
        <v>0</v>
      </c>
      <c r="AS56" s="697">
        <v>1019.846</v>
      </c>
      <c r="AT56" s="697">
        <v>0</v>
      </c>
      <c r="AU56" s="697">
        <v>0</v>
      </c>
      <c r="AV56" s="697">
        <v>0</v>
      </c>
      <c r="AW56" s="697">
        <v>0</v>
      </c>
      <c r="AX56" s="697">
        <v>0</v>
      </c>
      <c r="AY56" s="697">
        <v>0</v>
      </c>
      <c r="AZ56" s="697">
        <v>0</v>
      </c>
      <c r="BA56" s="697">
        <v>0</v>
      </c>
      <c r="BB56" s="697">
        <v>0</v>
      </c>
      <c r="BC56" s="697">
        <v>0</v>
      </c>
      <c r="BD56" s="697">
        <v>0</v>
      </c>
      <c r="BE56" s="697">
        <v>0</v>
      </c>
      <c r="BF56" s="697">
        <v>0</v>
      </c>
      <c r="BG56" s="697">
        <v>0</v>
      </c>
      <c r="BH56" s="697">
        <v>0</v>
      </c>
      <c r="BI56" s="697">
        <v>0</v>
      </c>
      <c r="BJ56" s="697">
        <v>0</v>
      </c>
      <c r="BK56" s="697">
        <v>0</v>
      </c>
      <c r="BL56" s="697">
        <v>0</v>
      </c>
      <c r="BM56" s="697">
        <v>0</v>
      </c>
      <c r="BN56" s="697">
        <v>0</v>
      </c>
      <c r="BO56" s="697">
        <v>0</v>
      </c>
      <c r="BP56" s="697">
        <v>0</v>
      </c>
      <c r="BQ56" s="697">
        <v>0</v>
      </c>
      <c r="BR56" s="697">
        <v>0</v>
      </c>
      <c r="BS56" s="697">
        <v>0</v>
      </c>
      <c r="BT56" s="698">
        <v>0</v>
      </c>
    </row>
    <row r="57" spans="2:73">
      <c r="B57" s="692" t="s">
        <v>208</v>
      </c>
      <c r="C57" s="692" t="s">
        <v>757</v>
      </c>
      <c r="D57" s="692" t="s">
        <v>22</v>
      </c>
      <c r="E57" s="692" t="s">
        <v>754</v>
      </c>
      <c r="F57" s="692" t="s">
        <v>759</v>
      </c>
      <c r="G57" s="692" t="s">
        <v>755</v>
      </c>
      <c r="H57" s="692">
        <v>2013</v>
      </c>
      <c r="I57" s="644" t="s">
        <v>568</v>
      </c>
      <c r="J57" s="644" t="s">
        <v>584</v>
      </c>
      <c r="K57" s="633"/>
      <c r="L57" s="696">
        <v>0</v>
      </c>
      <c r="M57" s="697">
        <v>0</v>
      </c>
      <c r="N57" s="697">
        <v>119.810687633</v>
      </c>
      <c r="O57" s="697">
        <v>119.810687633</v>
      </c>
      <c r="P57" s="697">
        <v>119.810687633</v>
      </c>
      <c r="Q57" s="697">
        <v>119.810687633</v>
      </c>
      <c r="R57" s="697">
        <v>115.886966714</v>
      </c>
      <c r="S57" s="697">
        <v>112.883988973</v>
      </c>
      <c r="T57" s="697">
        <v>112.883988973</v>
      </c>
      <c r="U57" s="697">
        <v>112.883988973</v>
      </c>
      <c r="V57" s="697">
        <v>110.569867855</v>
      </c>
      <c r="W57" s="697">
        <v>88.678893467999998</v>
      </c>
      <c r="X57" s="697">
        <v>63.473779376999993</v>
      </c>
      <c r="Y57" s="697">
        <v>63.473779376999993</v>
      </c>
      <c r="Z57" s="697">
        <v>5.1219214089999996</v>
      </c>
      <c r="AA57" s="697">
        <v>5.1219214089999996</v>
      </c>
      <c r="AB57" s="697">
        <v>5.1219214089999996</v>
      </c>
      <c r="AC57" s="697">
        <v>5.1219214089999996</v>
      </c>
      <c r="AD57" s="697">
        <v>5.1219214089999996</v>
      </c>
      <c r="AE57" s="697">
        <v>5.1219214089999996</v>
      </c>
      <c r="AF57" s="697">
        <v>5.1219214089999996</v>
      </c>
      <c r="AG57" s="697">
        <v>5.1219214089999996</v>
      </c>
      <c r="AH57" s="697">
        <v>0</v>
      </c>
      <c r="AI57" s="697">
        <v>0</v>
      </c>
      <c r="AJ57" s="697">
        <v>0</v>
      </c>
      <c r="AK57" s="697">
        <v>0</v>
      </c>
      <c r="AL57" s="697">
        <v>0</v>
      </c>
      <c r="AM57" s="697">
        <v>0</v>
      </c>
      <c r="AN57" s="697">
        <v>0</v>
      </c>
      <c r="AO57" s="698">
        <v>0</v>
      </c>
      <c r="AP57" s="633"/>
      <c r="AQ57" s="696">
        <v>0</v>
      </c>
      <c r="AR57" s="697">
        <v>0</v>
      </c>
      <c r="AS57" s="697">
        <v>882770.99154525995</v>
      </c>
      <c r="AT57" s="697">
        <v>882770.99154525995</v>
      </c>
      <c r="AU57" s="697">
        <v>882770.99154525995</v>
      </c>
      <c r="AV57" s="697">
        <v>882770.99154525995</v>
      </c>
      <c r="AW57" s="697">
        <v>870478.94714025804</v>
      </c>
      <c r="AX57" s="697">
        <v>853338.86731519096</v>
      </c>
      <c r="AY57" s="697">
        <v>853338.86731519096</v>
      </c>
      <c r="AZ57" s="697">
        <v>844299.36169195396</v>
      </c>
      <c r="BA57" s="697">
        <v>832052.50358621404</v>
      </c>
      <c r="BB57" s="697">
        <v>707105.50739288202</v>
      </c>
      <c r="BC57" s="697">
        <v>477424.28986378602</v>
      </c>
      <c r="BD57" s="697">
        <v>402473.56284797302</v>
      </c>
      <c r="BE57" s="697">
        <v>22411.233183208999</v>
      </c>
      <c r="BF57" s="697">
        <v>22411.233183208999</v>
      </c>
      <c r="BG57" s="697">
        <v>22411.233183208999</v>
      </c>
      <c r="BH57" s="697">
        <v>21164.952036262999</v>
      </c>
      <c r="BI57" s="697">
        <v>16045.709341262</v>
      </c>
      <c r="BJ57" s="697">
        <v>16045.709341262</v>
      </c>
      <c r="BK57" s="697">
        <v>16045.709341262</v>
      </c>
      <c r="BL57" s="697">
        <v>16045.709341262</v>
      </c>
      <c r="BM57" s="697">
        <v>0</v>
      </c>
      <c r="BN57" s="697">
        <v>0</v>
      </c>
      <c r="BO57" s="697">
        <v>0</v>
      </c>
      <c r="BP57" s="697">
        <v>0</v>
      </c>
      <c r="BQ57" s="697">
        <v>0</v>
      </c>
      <c r="BR57" s="697">
        <v>0</v>
      </c>
      <c r="BS57" s="697">
        <v>0</v>
      </c>
      <c r="BT57" s="698">
        <v>0</v>
      </c>
    </row>
    <row r="58" spans="2:73">
      <c r="B58" s="692" t="s">
        <v>208</v>
      </c>
      <c r="C58" s="692" t="s">
        <v>757</v>
      </c>
      <c r="D58" s="692" t="s">
        <v>766</v>
      </c>
      <c r="E58" s="692" t="s">
        <v>754</v>
      </c>
      <c r="F58" s="692" t="s">
        <v>759</v>
      </c>
      <c r="G58" s="692" t="s">
        <v>755</v>
      </c>
      <c r="H58" s="692">
        <v>2012</v>
      </c>
      <c r="I58" s="644" t="s">
        <v>568</v>
      </c>
      <c r="J58" s="644" t="s">
        <v>584</v>
      </c>
      <c r="K58" s="633"/>
      <c r="L58" s="696">
        <v>0</v>
      </c>
      <c r="M58" s="697">
        <v>0.24433126300000002</v>
      </c>
      <c r="N58" s="697">
        <v>0.24433126300000002</v>
      </c>
      <c r="O58" s="697">
        <v>0.24433126300000002</v>
      </c>
      <c r="P58" s="697">
        <v>0.24433126300000002</v>
      </c>
      <c r="Q58" s="697">
        <v>0.24433126300000002</v>
      </c>
      <c r="R58" s="697">
        <v>6.5480779000000003E-2</v>
      </c>
      <c r="S58" s="697">
        <v>6.5480779000000003E-2</v>
      </c>
      <c r="T58" s="697">
        <v>6.5480779000000003E-2</v>
      </c>
      <c r="U58" s="697">
        <v>6.5480779000000003E-2</v>
      </c>
      <c r="V58" s="697">
        <v>6.5480779000000003E-2</v>
      </c>
      <c r="W58" s="697">
        <v>6.5480779000000003E-2</v>
      </c>
      <c r="X58" s="697">
        <v>6.5480779000000003E-2</v>
      </c>
      <c r="Y58" s="697">
        <v>0</v>
      </c>
      <c r="Z58" s="697">
        <v>0</v>
      </c>
      <c r="AA58" s="697">
        <v>0</v>
      </c>
      <c r="AB58" s="697">
        <v>0</v>
      </c>
      <c r="AC58" s="697">
        <v>0</v>
      </c>
      <c r="AD58" s="697">
        <v>0</v>
      </c>
      <c r="AE58" s="697">
        <v>0</v>
      </c>
      <c r="AF58" s="697">
        <v>0</v>
      </c>
      <c r="AG58" s="697">
        <v>0</v>
      </c>
      <c r="AH58" s="697">
        <v>0</v>
      </c>
      <c r="AI58" s="697">
        <v>0</v>
      </c>
      <c r="AJ58" s="697">
        <v>0</v>
      </c>
      <c r="AK58" s="697">
        <v>0</v>
      </c>
      <c r="AL58" s="697">
        <v>0</v>
      </c>
      <c r="AM58" s="697">
        <v>0</v>
      </c>
      <c r="AN58" s="697">
        <v>0</v>
      </c>
      <c r="AO58" s="698">
        <v>0</v>
      </c>
      <c r="AP58" s="633"/>
      <c r="AQ58" s="696">
        <v>0</v>
      </c>
      <c r="AR58" s="697">
        <v>887.78982288500004</v>
      </c>
      <c r="AS58" s="697">
        <v>887.78982288500004</v>
      </c>
      <c r="AT58" s="697">
        <v>887.78982288500004</v>
      </c>
      <c r="AU58" s="697">
        <v>887.78982288500004</v>
      </c>
      <c r="AV58" s="697">
        <v>887.78982288500004</v>
      </c>
      <c r="AW58" s="697">
        <v>237.92767253299999</v>
      </c>
      <c r="AX58" s="697">
        <v>237.92767253299999</v>
      </c>
      <c r="AY58" s="697">
        <v>237.92767253299999</v>
      </c>
      <c r="AZ58" s="697">
        <v>237.92767253299999</v>
      </c>
      <c r="BA58" s="697">
        <v>237.92767253299999</v>
      </c>
      <c r="BB58" s="697">
        <v>237.92767253299999</v>
      </c>
      <c r="BC58" s="697">
        <v>237.92767253299999</v>
      </c>
      <c r="BD58" s="697">
        <v>0</v>
      </c>
      <c r="BE58" s="697">
        <v>0</v>
      </c>
      <c r="BF58" s="697">
        <v>0</v>
      </c>
      <c r="BG58" s="697">
        <v>0</v>
      </c>
      <c r="BH58" s="697">
        <v>0</v>
      </c>
      <c r="BI58" s="697">
        <v>0</v>
      </c>
      <c r="BJ58" s="697">
        <v>0</v>
      </c>
      <c r="BK58" s="697">
        <v>0</v>
      </c>
      <c r="BL58" s="697">
        <v>0</v>
      </c>
      <c r="BM58" s="697">
        <v>0</v>
      </c>
      <c r="BN58" s="697">
        <v>0</v>
      </c>
      <c r="BO58" s="697">
        <v>0</v>
      </c>
      <c r="BP58" s="697">
        <v>0</v>
      </c>
      <c r="BQ58" s="697">
        <v>0</v>
      </c>
      <c r="BR58" s="697">
        <v>0</v>
      </c>
      <c r="BS58" s="697">
        <v>0</v>
      </c>
      <c r="BT58" s="698">
        <v>0</v>
      </c>
    </row>
    <row r="59" spans="2:73">
      <c r="B59" s="692" t="s">
        <v>208</v>
      </c>
      <c r="C59" s="692" t="s">
        <v>757</v>
      </c>
      <c r="D59" s="692" t="s">
        <v>766</v>
      </c>
      <c r="E59" s="692" t="s">
        <v>754</v>
      </c>
      <c r="F59" s="692" t="s">
        <v>759</v>
      </c>
      <c r="G59" s="692" t="s">
        <v>755</v>
      </c>
      <c r="H59" s="692">
        <v>2013</v>
      </c>
      <c r="I59" s="644" t="s">
        <v>568</v>
      </c>
      <c r="J59" s="644" t="s">
        <v>584</v>
      </c>
      <c r="K59" s="633"/>
      <c r="L59" s="696">
        <v>0</v>
      </c>
      <c r="M59" s="697">
        <v>0</v>
      </c>
      <c r="N59" s="697">
        <v>52.318886319000001</v>
      </c>
      <c r="O59" s="697">
        <v>52.318886319000001</v>
      </c>
      <c r="P59" s="697">
        <v>46.123599056000003</v>
      </c>
      <c r="Q59" s="697">
        <v>34.144241260999998</v>
      </c>
      <c r="R59" s="697">
        <v>10.804612437999999</v>
      </c>
      <c r="S59" s="697">
        <v>10.804612437999999</v>
      </c>
      <c r="T59" s="697">
        <v>10.804612437999999</v>
      </c>
      <c r="U59" s="697">
        <v>10.804612437999999</v>
      </c>
      <c r="V59" s="697">
        <v>10.804612437999999</v>
      </c>
      <c r="W59" s="697">
        <v>10.804612437999999</v>
      </c>
      <c r="X59" s="697">
        <v>9.9535363090000004</v>
      </c>
      <c r="Y59" s="697">
        <v>9.677819607</v>
      </c>
      <c r="Z59" s="697">
        <v>0</v>
      </c>
      <c r="AA59" s="697">
        <v>0</v>
      </c>
      <c r="AB59" s="697">
        <v>0</v>
      </c>
      <c r="AC59" s="697">
        <v>0</v>
      </c>
      <c r="AD59" s="697">
        <v>0</v>
      </c>
      <c r="AE59" s="697">
        <v>0</v>
      </c>
      <c r="AF59" s="697">
        <v>0</v>
      </c>
      <c r="AG59" s="697">
        <v>0</v>
      </c>
      <c r="AH59" s="697">
        <v>0</v>
      </c>
      <c r="AI59" s="697">
        <v>0</v>
      </c>
      <c r="AJ59" s="697">
        <v>0</v>
      </c>
      <c r="AK59" s="697">
        <v>0</v>
      </c>
      <c r="AL59" s="697">
        <v>0</v>
      </c>
      <c r="AM59" s="697">
        <v>0</v>
      </c>
      <c r="AN59" s="697">
        <v>0</v>
      </c>
      <c r="AO59" s="698">
        <v>0</v>
      </c>
      <c r="AP59" s="633"/>
      <c r="AQ59" s="696">
        <v>0</v>
      </c>
      <c r="AR59" s="697">
        <v>0</v>
      </c>
      <c r="AS59" s="697">
        <v>187834.72316582</v>
      </c>
      <c r="AT59" s="697">
        <v>187834.72316582</v>
      </c>
      <c r="AU59" s="697">
        <v>163853.08325175001</v>
      </c>
      <c r="AV59" s="697">
        <v>117904.602214296</v>
      </c>
      <c r="AW59" s="697">
        <v>40973.837364366002</v>
      </c>
      <c r="AX59" s="697">
        <v>40973.837364366002</v>
      </c>
      <c r="AY59" s="697">
        <v>40973.837364366002</v>
      </c>
      <c r="AZ59" s="697">
        <v>40973.837364366002</v>
      </c>
      <c r="BA59" s="697">
        <v>40973.837364366002</v>
      </c>
      <c r="BB59" s="697">
        <v>40973.837364366002</v>
      </c>
      <c r="BC59" s="697">
        <v>33252.981204962998</v>
      </c>
      <c r="BD59" s="697">
        <v>32190.513613661005</v>
      </c>
      <c r="BE59" s="697">
        <v>0</v>
      </c>
      <c r="BF59" s="697">
        <v>0</v>
      </c>
      <c r="BG59" s="697">
        <v>0</v>
      </c>
      <c r="BH59" s="697">
        <v>0</v>
      </c>
      <c r="BI59" s="697">
        <v>0</v>
      </c>
      <c r="BJ59" s="697">
        <v>0</v>
      </c>
      <c r="BK59" s="697">
        <v>0</v>
      </c>
      <c r="BL59" s="697">
        <v>0</v>
      </c>
      <c r="BM59" s="697">
        <v>0</v>
      </c>
      <c r="BN59" s="697">
        <v>0</v>
      </c>
      <c r="BO59" s="697">
        <v>0</v>
      </c>
      <c r="BP59" s="697">
        <v>0</v>
      </c>
      <c r="BQ59" s="697">
        <v>0</v>
      </c>
      <c r="BR59" s="697">
        <v>0</v>
      </c>
      <c r="BS59" s="697">
        <v>0</v>
      </c>
      <c r="BT59" s="698">
        <v>0</v>
      </c>
    </row>
    <row r="60" spans="2:73" ht="15.75">
      <c r="B60" s="692" t="s">
        <v>208</v>
      </c>
      <c r="C60" s="692" t="s">
        <v>753</v>
      </c>
      <c r="D60" s="692" t="s">
        <v>767</v>
      </c>
      <c r="E60" s="692" t="s">
        <v>754</v>
      </c>
      <c r="F60" s="692" t="s">
        <v>29</v>
      </c>
      <c r="G60" s="692" t="s">
        <v>755</v>
      </c>
      <c r="H60" s="692">
        <v>2013</v>
      </c>
      <c r="I60" s="644" t="s">
        <v>568</v>
      </c>
      <c r="J60" s="644" t="s">
        <v>584</v>
      </c>
      <c r="K60" s="633"/>
      <c r="L60" s="696">
        <v>0</v>
      </c>
      <c r="M60" s="697">
        <v>0</v>
      </c>
      <c r="N60" s="697">
        <v>1.1773995669999999</v>
      </c>
      <c r="O60" s="697">
        <v>1.1773995669999999</v>
      </c>
      <c r="P60" s="697">
        <v>1.1349017219999999</v>
      </c>
      <c r="Q60" s="697">
        <v>0.97289239900000002</v>
      </c>
      <c r="R60" s="697">
        <v>0.97289239900000002</v>
      </c>
      <c r="S60" s="697">
        <v>0.97289239900000002</v>
      </c>
      <c r="T60" s="697">
        <v>0.97289239900000002</v>
      </c>
      <c r="U60" s="697">
        <v>0.97153105500000003</v>
      </c>
      <c r="V60" s="697">
        <v>0.72664896300000004</v>
      </c>
      <c r="W60" s="697">
        <v>0.72664896300000004</v>
      </c>
      <c r="X60" s="697">
        <v>0.58369232999999998</v>
      </c>
      <c r="Y60" s="697">
        <v>0.583675995</v>
      </c>
      <c r="Z60" s="697">
        <v>0.583675995</v>
      </c>
      <c r="AA60" s="697">
        <v>0.58280584700000004</v>
      </c>
      <c r="AB60" s="697">
        <v>0.58280584700000004</v>
      </c>
      <c r="AC60" s="697">
        <v>0.58209302900000004</v>
      </c>
      <c r="AD60" s="697">
        <v>0.56410560499999995</v>
      </c>
      <c r="AE60" s="697">
        <v>0.33111747400000002</v>
      </c>
      <c r="AF60" s="697">
        <v>0.33111747400000002</v>
      </c>
      <c r="AG60" s="697">
        <v>0.33111747400000002</v>
      </c>
      <c r="AH60" s="697">
        <v>0</v>
      </c>
      <c r="AI60" s="697">
        <v>0</v>
      </c>
      <c r="AJ60" s="697">
        <v>0</v>
      </c>
      <c r="AK60" s="697">
        <v>0</v>
      </c>
      <c r="AL60" s="697">
        <v>0</v>
      </c>
      <c r="AM60" s="697">
        <v>0</v>
      </c>
      <c r="AN60" s="697">
        <v>0</v>
      </c>
      <c r="AO60" s="698">
        <v>0</v>
      </c>
      <c r="AP60" s="633"/>
      <c r="AQ60" s="696">
        <v>0</v>
      </c>
      <c r="AR60" s="697">
        <v>0</v>
      </c>
      <c r="AS60" s="697">
        <v>17567.057494744</v>
      </c>
      <c r="AT60" s="697">
        <v>17567.057494744</v>
      </c>
      <c r="AU60" s="697">
        <v>16890.095516915</v>
      </c>
      <c r="AV60" s="697">
        <v>14309.396359901</v>
      </c>
      <c r="AW60" s="697">
        <v>14309.396359901</v>
      </c>
      <c r="AX60" s="697">
        <v>14309.396359901</v>
      </c>
      <c r="AY60" s="697">
        <v>14309.396359901</v>
      </c>
      <c r="AZ60" s="697">
        <v>14297.470979887999</v>
      </c>
      <c r="BA60" s="697">
        <v>10396.664550222</v>
      </c>
      <c r="BB60" s="697">
        <v>10396.664550222</v>
      </c>
      <c r="BC60" s="697">
        <v>9453.1269583680005</v>
      </c>
      <c r="BD60" s="697">
        <v>9318.5102726280002</v>
      </c>
      <c r="BE60" s="697">
        <v>9318.5102726280002</v>
      </c>
      <c r="BF60" s="697">
        <v>9280.2032891060007</v>
      </c>
      <c r="BG60" s="697">
        <v>9280.2032891060007</v>
      </c>
      <c r="BH60" s="697">
        <v>9272.3490452320002</v>
      </c>
      <c r="BI60" s="697">
        <v>8985.8215223179996</v>
      </c>
      <c r="BJ60" s="697">
        <v>5274.4778593990004</v>
      </c>
      <c r="BK60" s="697">
        <v>5274.4778593990004</v>
      </c>
      <c r="BL60" s="697">
        <v>5274.4778593990004</v>
      </c>
      <c r="BM60" s="697">
        <v>0</v>
      </c>
      <c r="BN60" s="697">
        <v>0</v>
      </c>
      <c r="BO60" s="697">
        <v>0</v>
      </c>
      <c r="BP60" s="697">
        <v>0</v>
      </c>
      <c r="BQ60" s="697">
        <v>0</v>
      </c>
      <c r="BR60" s="697">
        <v>0</v>
      </c>
      <c r="BS60" s="697">
        <v>0</v>
      </c>
      <c r="BT60" s="698">
        <v>0</v>
      </c>
      <c r="BU60" s="163"/>
    </row>
    <row r="61" spans="2:73">
      <c r="B61" s="692" t="s">
        <v>208</v>
      </c>
      <c r="C61" s="692" t="s">
        <v>753</v>
      </c>
      <c r="D61" s="692" t="s">
        <v>2</v>
      </c>
      <c r="E61" s="692" t="s">
        <v>754</v>
      </c>
      <c r="F61" s="692" t="s">
        <v>29</v>
      </c>
      <c r="G61" s="692" t="s">
        <v>755</v>
      </c>
      <c r="H61" s="692">
        <v>2013</v>
      </c>
      <c r="I61" s="644" t="s">
        <v>568</v>
      </c>
      <c r="J61" s="644" t="s">
        <v>584</v>
      </c>
      <c r="K61" s="633"/>
      <c r="L61" s="696">
        <v>0</v>
      </c>
      <c r="M61" s="697">
        <v>0</v>
      </c>
      <c r="N61" s="697">
        <v>3.315105585</v>
      </c>
      <c r="O61" s="697">
        <v>3.315105585</v>
      </c>
      <c r="P61" s="697">
        <v>3.315105585</v>
      </c>
      <c r="Q61" s="697">
        <v>3.315105585</v>
      </c>
      <c r="R61" s="697">
        <v>0</v>
      </c>
      <c r="S61" s="697">
        <v>0</v>
      </c>
      <c r="T61" s="697">
        <v>0</v>
      </c>
      <c r="U61" s="697">
        <v>0</v>
      </c>
      <c r="V61" s="697">
        <v>0</v>
      </c>
      <c r="W61" s="697">
        <v>0</v>
      </c>
      <c r="X61" s="697">
        <v>0</v>
      </c>
      <c r="Y61" s="697">
        <v>0</v>
      </c>
      <c r="Z61" s="697">
        <v>0</v>
      </c>
      <c r="AA61" s="697">
        <v>0</v>
      </c>
      <c r="AB61" s="697">
        <v>0</v>
      </c>
      <c r="AC61" s="697">
        <v>0</v>
      </c>
      <c r="AD61" s="697">
        <v>0</v>
      </c>
      <c r="AE61" s="697">
        <v>0</v>
      </c>
      <c r="AF61" s="697">
        <v>0</v>
      </c>
      <c r="AG61" s="697">
        <v>0</v>
      </c>
      <c r="AH61" s="697">
        <v>0</v>
      </c>
      <c r="AI61" s="697">
        <v>0</v>
      </c>
      <c r="AJ61" s="697">
        <v>0</v>
      </c>
      <c r="AK61" s="697">
        <v>0</v>
      </c>
      <c r="AL61" s="697">
        <v>0</v>
      </c>
      <c r="AM61" s="697">
        <v>0</v>
      </c>
      <c r="AN61" s="697">
        <v>0</v>
      </c>
      <c r="AO61" s="698">
        <v>0</v>
      </c>
      <c r="AP61" s="633"/>
      <c r="AQ61" s="696">
        <v>0</v>
      </c>
      <c r="AR61" s="697">
        <v>0</v>
      </c>
      <c r="AS61" s="697">
        <v>5911.038047</v>
      </c>
      <c r="AT61" s="697">
        <v>5911.038047</v>
      </c>
      <c r="AU61" s="697">
        <v>5911.038047</v>
      </c>
      <c r="AV61" s="697">
        <v>5911.038047</v>
      </c>
      <c r="AW61" s="697">
        <v>0</v>
      </c>
      <c r="AX61" s="697">
        <v>0</v>
      </c>
      <c r="AY61" s="697">
        <v>0</v>
      </c>
      <c r="AZ61" s="697">
        <v>0</v>
      </c>
      <c r="BA61" s="697">
        <v>0</v>
      </c>
      <c r="BB61" s="697">
        <v>0</v>
      </c>
      <c r="BC61" s="697">
        <v>0</v>
      </c>
      <c r="BD61" s="697">
        <v>0</v>
      </c>
      <c r="BE61" s="697">
        <v>0</v>
      </c>
      <c r="BF61" s="697">
        <v>0</v>
      </c>
      <c r="BG61" s="697">
        <v>0</v>
      </c>
      <c r="BH61" s="697">
        <v>0</v>
      </c>
      <c r="BI61" s="697">
        <v>0</v>
      </c>
      <c r="BJ61" s="697">
        <v>0</v>
      </c>
      <c r="BK61" s="697">
        <v>0</v>
      </c>
      <c r="BL61" s="697">
        <v>0</v>
      </c>
      <c r="BM61" s="697">
        <v>0</v>
      </c>
      <c r="BN61" s="697">
        <v>0</v>
      </c>
      <c r="BO61" s="697">
        <v>0</v>
      </c>
      <c r="BP61" s="697">
        <v>0</v>
      </c>
      <c r="BQ61" s="697">
        <v>0</v>
      </c>
      <c r="BR61" s="697">
        <v>0</v>
      </c>
      <c r="BS61" s="697">
        <v>0</v>
      </c>
      <c r="BT61" s="698">
        <v>0</v>
      </c>
    </row>
    <row r="62" spans="2:73">
      <c r="B62" s="692" t="s">
        <v>208</v>
      </c>
      <c r="C62" s="692" t="s">
        <v>753</v>
      </c>
      <c r="D62" s="692" t="s">
        <v>1</v>
      </c>
      <c r="E62" s="692" t="s">
        <v>754</v>
      </c>
      <c r="F62" s="692" t="s">
        <v>29</v>
      </c>
      <c r="G62" s="692" t="s">
        <v>755</v>
      </c>
      <c r="H62" s="692">
        <v>2013</v>
      </c>
      <c r="I62" s="644" t="s">
        <v>568</v>
      </c>
      <c r="J62" s="644" t="s">
        <v>584</v>
      </c>
      <c r="K62" s="633"/>
      <c r="L62" s="696">
        <v>0</v>
      </c>
      <c r="M62" s="697">
        <v>0</v>
      </c>
      <c r="N62" s="697">
        <v>1.9783531079999999</v>
      </c>
      <c r="O62" s="697">
        <v>1.9783531079999999</v>
      </c>
      <c r="P62" s="697">
        <v>1.9783531079999999</v>
      </c>
      <c r="Q62" s="697">
        <v>1.9783531079999999</v>
      </c>
      <c r="R62" s="697">
        <v>1.395783942</v>
      </c>
      <c r="S62" s="697">
        <v>0</v>
      </c>
      <c r="T62" s="697">
        <v>0</v>
      </c>
      <c r="U62" s="697">
        <v>0</v>
      </c>
      <c r="V62" s="697">
        <v>0</v>
      </c>
      <c r="W62" s="697">
        <v>0</v>
      </c>
      <c r="X62" s="697">
        <v>0</v>
      </c>
      <c r="Y62" s="697">
        <v>0</v>
      </c>
      <c r="Z62" s="697">
        <v>0</v>
      </c>
      <c r="AA62" s="697">
        <v>0</v>
      </c>
      <c r="AB62" s="697">
        <v>0</v>
      </c>
      <c r="AC62" s="697">
        <v>0</v>
      </c>
      <c r="AD62" s="697">
        <v>0</v>
      </c>
      <c r="AE62" s="697">
        <v>0</v>
      </c>
      <c r="AF62" s="697">
        <v>0</v>
      </c>
      <c r="AG62" s="697">
        <v>0</v>
      </c>
      <c r="AH62" s="697">
        <v>0</v>
      </c>
      <c r="AI62" s="697">
        <v>0</v>
      </c>
      <c r="AJ62" s="697">
        <v>0</v>
      </c>
      <c r="AK62" s="697">
        <v>0</v>
      </c>
      <c r="AL62" s="697">
        <v>0</v>
      </c>
      <c r="AM62" s="697">
        <v>0</v>
      </c>
      <c r="AN62" s="697">
        <v>0</v>
      </c>
      <c r="AO62" s="698">
        <v>0</v>
      </c>
      <c r="AP62" s="633"/>
      <c r="AQ62" s="696">
        <v>0</v>
      </c>
      <c r="AR62" s="697">
        <v>0</v>
      </c>
      <c r="AS62" s="697">
        <v>13715.276536986999</v>
      </c>
      <c r="AT62" s="697">
        <v>13715.276536986999</v>
      </c>
      <c r="AU62" s="697">
        <v>13715.276536986999</v>
      </c>
      <c r="AV62" s="697">
        <v>13715.276536986999</v>
      </c>
      <c r="AW62" s="697">
        <v>9497.1445488059999</v>
      </c>
      <c r="AX62" s="697">
        <v>0</v>
      </c>
      <c r="AY62" s="697">
        <v>0</v>
      </c>
      <c r="AZ62" s="697">
        <v>0</v>
      </c>
      <c r="BA62" s="697">
        <v>0</v>
      </c>
      <c r="BB62" s="697">
        <v>0</v>
      </c>
      <c r="BC62" s="697">
        <v>0</v>
      </c>
      <c r="BD62" s="697">
        <v>0</v>
      </c>
      <c r="BE62" s="697">
        <v>0</v>
      </c>
      <c r="BF62" s="697">
        <v>0</v>
      </c>
      <c r="BG62" s="697">
        <v>0</v>
      </c>
      <c r="BH62" s="697">
        <v>0</v>
      </c>
      <c r="BI62" s="697">
        <v>0</v>
      </c>
      <c r="BJ62" s="697">
        <v>0</v>
      </c>
      <c r="BK62" s="697">
        <v>0</v>
      </c>
      <c r="BL62" s="697">
        <v>0</v>
      </c>
      <c r="BM62" s="697">
        <v>0</v>
      </c>
      <c r="BN62" s="697">
        <v>0</v>
      </c>
      <c r="BO62" s="697">
        <v>0</v>
      </c>
      <c r="BP62" s="697">
        <v>0</v>
      </c>
      <c r="BQ62" s="697">
        <v>0</v>
      </c>
      <c r="BR62" s="697">
        <v>0</v>
      </c>
      <c r="BS62" s="697">
        <v>0</v>
      </c>
      <c r="BT62" s="698">
        <v>0</v>
      </c>
    </row>
    <row r="63" spans="2:73">
      <c r="B63" s="692" t="s">
        <v>208</v>
      </c>
      <c r="C63" s="692" t="s">
        <v>753</v>
      </c>
      <c r="D63" s="692" t="s">
        <v>768</v>
      </c>
      <c r="E63" s="692" t="s">
        <v>754</v>
      </c>
      <c r="F63" s="692" t="s">
        <v>29</v>
      </c>
      <c r="G63" s="692" t="s">
        <v>755</v>
      </c>
      <c r="H63" s="692">
        <v>2013</v>
      </c>
      <c r="I63" s="644" t="s">
        <v>568</v>
      </c>
      <c r="J63" s="644" t="s">
        <v>584</v>
      </c>
      <c r="K63" s="633"/>
      <c r="L63" s="696">
        <v>0</v>
      </c>
      <c r="M63" s="697">
        <v>0</v>
      </c>
      <c r="N63" s="697">
        <v>2.6977948719999998</v>
      </c>
      <c r="O63" s="697">
        <v>2.6977948719999998</v>
      </c>
      <c r="P63" s="697">
        <v>2.5496872019999999</v>
      </c>
      <c r="Q63" s="697">
        <v>2.0442333170000002</v>
      </c>
      <c r="R63" s="697">
        <v>2.0442333170000002</v>
      </c>
      <c r="S63" s="697">
        <v>2.0442333170000002</v>
      </c>
      <c r="T63" s="697">
        <v>2.0442333170000002</v>
      </c>
      <c r="U63" s="697">
        <v>2.0403663079999999</v>
      </c>
      <c r="V63" s="697">
        <v>1.7536748639999999</v>
      </c>
      <c r="W63" s="697">
        <v>1.7536748639999999</v>
      </c>
      <c r="X63" s="697">
        <v>1.2725170779999999</v>
      </c>
      <c r="Y63" s="697">
        <v>0.82195387900000005</v>
      </c>
      <c r="Z63" s="697">
        <v>0.82195387900000005</v>
      </c>
      <c r="AA63" s="697">
        <v>0.80576196899999997</v>
      </c>
      <c r="AB63" s="697">
        <v>0.80576196899999997</v>
      </c>
      <c r="AC63" s="697">
        <v>0.79745507900000001</v>
      </c>
      <c r="AD63" s="697">
        <v>0.68833772400000004</v>
      </c>
      <c r="AE63" s="697">
        <v>0.404038699</v>
      </c>
      <c r="AF63" s="697">
        <v>0.404038699</v>
      </c>
      <c r="AG63" s="697">
        <v>0.404038699</v>
      </c>
      <c r="AH63" s="697">
        <v>0</v>
      </c>
      <c r="AI63" s="697">
        <v>0</v>
      </c>
      <c r="AJ63" s="697">
        <v>0</v>
      </c>
      <c r="AK63" s="697">
        <v>0</v>
      </c>
      <c r="AL63" s="697">
        <v>0</v>
      </c>
      <c r="AM63" s="697">
        <v>0</v>
      </c>
      <c r="AN63" s="697">
        <v>0</v>
      </c>
      <c r="AO63" s="698">
        <v>0</v>
      </c>
      <c r="AP63" s="633"/>
      <c r="AQ63" s="696">
        <v>0</v>
      </c>
      <c r="AR63" s="697">
        <v>0</v>
      </c>
      <c r="AS63" s="697">
        <v>39156.198184936002</v>
      </c>
      <c r="AT63" s="697">
        <v>39156.198184936002</v>
      </c>
      <c r="AU63" s="697">
        <v>36796.942964039998</v>
      </c>
      <c r="AV63" s="697">
        <v>28745.403746389002</v>
      </c>
      <c r="AW63" s="697">
        <v>28745.403746389002</v>
      </c>
      <c r="AX63" s="697">
        <v>28745.403746389002</v>
      </c>
      <c r="AY63" s="697">
        <v>28745.403746389002</v>
      </c>
      <c r="AZ63" s="697">
        <v>28711.528753887</v>
      </c>
      <c r="BA63" s="697">
        <v>24144.727566698999</v>
      </c>
      <c r="BB63" s="697">
        <v>24144.727566698999</v>
      </c>
      <c r="BC63" s="697">
        <v>21009.807951063001</v>
      </c>
      <c r="BD63" s="697">
        <v>13507.27599568</v>
      </c>
      <c r="BE63" s="697">
        <v>13507.27599568</v>
      </c>
      <c r="BF63" s="697">
        <v>12794.451313756001</v>
      </c>
      <c r="BG63" s="697">
        <v>12794.451313756001</v>
      </c>
      <c r="BH63" s="697">
        <v>12702.921138416001</v>
      </c>
      <c r="BI63" s="697">
        <v>10964.755320773</v>
      </c>
      <c r="BJ63" s="697">
        <v>6436.063750151</v>
      </c>
      <c r="BK63" s="697">
        <v>6436.063750151</v>
      </c>
      <c r="BL63" s="697">
        <v>6436.063750151</v>
      </c>
      <c r="BM63" s="697">
        <v>0</v>
      </c>
      <c r="BN63" s="697">
        <v>0</v>
      </c>
      <c r="BO63" s="697">
        <v>0</v>
      </c>
      <c r="BP63" s="697">
        <v>0</v>
      </c>
      <c r="BQ63" s="697">
        <v>0</v>
      </c>
      <c r="BR63" s="697">
        <v>0</v>
      </c>
      <c r="BS63" s="697">
        <v>0</v>
      </c>
      <c r="BT63" s="698">
        <v>0</v>
      </c>
    </row>
    <row r="64" spans="2:73">
      <c r="B64" s="692" t="s">
        <v>208</v>
      </c>
      <c r="C64" s="692" t="s">
        <v>753</v>
      </c>
      <c r="D64" s="692" t="s">
        <v>769</v>
      </c>
      <c r="E64" s="692" t="s">
        <v>754</v>
      </c>
      <c r="F64" s="692" t="s">
        <v>29</v>
      </c>
      <c r="G64" s="692" t="s">
        <v>755</v>
      </c>
      <c r="H64" s="692">
        <v>2013</v>
      </c>
      <c r="I64" s="644" t="s">
        <v>568</v>
      </c>
      <c r="J64" s="644" t="s">
        <v>584</v>
      </c>
      <c r="K64" s="633"/>
      <c r="L64" s="696">
        <v>0</v>
      </c>
      <c r="M64" s="697">
        <v>0</v>
      </c>
      <c r="N64" s="697">
        <v>38.877597268999999</v>
      </c>
      <c r="O64" s="697">
        <v>38.877597268999999</v>
      </c>
      <c r="P64" s="697">
        <v>38.877597268999999</v>
      </c>
      <c r="Q64" s="697">
        <v>38.877597268999999</v>
      </c>
      <c r="R64" s="697">
        <v>38.877597268999999</v>
      </c>
      <c r="S64" s="697">
        <v>38.877597268999999</v>
      </c>
      <c r="T64" s="697">
        <v>38.877597268999999</v>
      </c>
      <c r="U64" s="697">
        <v>38.877597268999999</v>
      </c>
      <c r="V64" s="697">
        <v>38.877597268999999</v>
      </c>
      <c r="W64" s="697">
        <v>38.877597268999999</v>
      </c>
      <c r="X64" s="697">
        <v>38.877597268999999</v>
      </c>
      <c r="Y64" s="697">
        <v>38.877597268999999</v>
      </c>
      <c r="Z64" s="697">
        <v>38.877597268999999</v>
      </c>
      <c r="AA64" s="697">
        <v>38.877597268999999</v>
      </c>
      <c r="AB64" s="697">
        <v>38.877597268999999</v>
      </c>
      <c r="AC64" s="697">
        <v>38.877597268999999</v>
      </c>
      <c r="AD64" s="697">
        <v>38.877597268999999</v>
      </c>
      <c r="AE64" s="697">
        <v>38.877597268999999</v>
      </c>
      <c r="AF64" s="697">
        <v>30.763626446</v>
      </c>
      <c r="AG64" s="697">
        <v>0</v>
      </c>
      <c r="AH64" s="697">
        <v>0</v>
      </c>
      <c r="AI64" s="697">
        <v>0</v>
      </c>
      <c r="AJ64" s="697">
        <v>0</v>
      </c>
      <c r="AK64" s="697">
        <v>0</v>
      </c>
      <c r="AL64" s="697">
        <v>0</v>
      </c>
      <c r="AM64" s="697">
        <v>0</v>
      </c>
      <c r="AN64" s="697">
        <v>0</v>
      </c>
      <c r="AO64" s="698">
        <v>0</v>
      </c>
      <c r="AP64" s="633"/>
      <c r="AQ64" s="696">
        <v>0</v>
      </c>
      <c r="AR64" s="697">
        <v>0</v>
      </c>
      <c r="AS64" s="697">
        <v>66990.575928988997</v>
      </c>
      <c r="AT64" s="697">
        <v>66990.575928988997</v>
      </c>
      <c r="AU64" s="697">
        <v>66990.575928988997</v>
      </c>
      <c r="AV64" s="697">
        <v>66990.575928988997</v>
      </c>
      <c r="AW64" s="697">
        <v>66990.575928988997</v>
      </c>
      <c r="AX64" s="697">
        <v>66990.575928988997</v>
      </c>
      <c r="AY64" s="697">
        <v>66990.575928988997</v>
      </c>
      <c r="AZ64" s="697">
        <v>66990.575928988997</v>
      </c>
      <c r="BA64" s="697">
        <v>66990.575928988997</v>
      </c>
      <c r="BB64" s="697">
        <v>66990.575928988997</v>
      </c>
      <c r="BC64" s="697">
        <v>66990.575928988997</v>
      </c>
      <c r="BD64" s="697">
        <v>66990.575928988997</v>
      </c>
      <c r="BE64" s="697">
        <v>66990.575928988997</v>
      </c>
      <c r="BF64" s="697">
        <v>66990.575928988997</v>
      </c>
      <c r="BG64" s="697">
        <v>66990.575928988997</v>
      </c>
      <c r="BH64" s="697">
        <v>66990.575928988997</v>
      </c>
      <c r="BI64" s="697">
        <v>66990.575928988997</v>
      </c>
      <c r="BJ64" s="697">
        <v>66990.575928988997</v>
      </c>
      <c r="BK64" s="697">
        <v>59734.621654119001</v>
      </c>
      <c r="BL64" s="697">
        <v>0</v>
      </c>
      <c r="BM64" s="697">
        <v>0</v>
      </c>
      <c r="BN64" s="697">
        <v>0</v>
      </c>
      <c r="BO64" s="697">
        <v>0</v>
      </c>
      <c r="BP64" s="697">
        <v>0</v>
      </c>
      <c r="BQ64" s="697">
        <v>0</v>
      </c>
      <c r="BR64" s="697">
        <v>0</v>
      </c>
      <c r="BS64" s="697">
        <v>0</v>
      </c>
      <c r="BT64" s="698">
        <v>0</v>
      </c>
    </row>
    <row r="65" spans="2:73">
      <c r="B65" s="692" t="s">
        <v>208</v>
      </c>
      <c r="C65" s="692" t="s">
        <v>753</v>
      </c>
      <c r="D65" s="692" t="s">
        <v>769</v>
      </c>
      <c r="E65" s="692" t="s">
        <v>754</v>
      </c>
      <c r="F65" s="692" t="s">
        <v>29</v>
      </c>
      <c r="G65" s="692" t="s">
        <v>755</v>
      </c>
      <c r="H65" s="692">
        <v>2012</v>
      </c>
      <c r="I65" s="644" t="s">
        <v>568</v>
      </c>
      <c r="J65" s="644" t="s">
        <v>577</v>
      </c>
      <c r="K65" s="633"/>
      <c r="L65" s="696">
        <v>0</v>
      </c>
      <c r="M65" s="697">
        <v>1.3652929309999999</v>
      </c>
      <c r="N65" s="697">
        <v>1.3652929309999999</v>
      </c>
      <c r="O65" s="697">
        <v>1.3652929309999999</v>
      </c>
      <c r="P65" s="697">
        <v>1.3652929309999999</v>
      </c>
      <c r="Q65" s="697">
        <v>1.3652929309999999</v>
      </c>
      <c r="R65" s="697">
        <v>1.3652929309999999</v>
      </c>
      <c r="S65" s="697">
        <v>1.3652929309999999</v>
      </c>
      <c r="T65" s="697">
        <v>1.3652929309999999</v>
      </c>
      <c r="U65" s="697">
        <v>1.3652929309999999</v>
      </c>
      <c r="V65" s="697">
        <v>1.3652929309999999</v>
      </c>
      <c r="W65" s="697">
        <v>1.3652929309999999</v>
      </c>
      <c r="X65" s="697">
        <v>1.3652929309999999</v>
      </c>
      <c r="Y65" s="697">
        <v>1.3652929309999999</v>
      </c>
      <c r="Z65" s="697">
        <v>1.3652929309999999</v>
      </c>
      <c r="AA65" s="697">
        <v>1.3652929309999999</v>
      </c>
      <c r="AB65" s="697">
        <v>1.3652929309999999</v>
      </c>
      <c r="AC65" s="697">
        <v>1.3652929309999999</v>
      </c>
      <c r="AD65" s="697">
        <v>1.3652929309999999</v>
      </c>
      <c r="AE65" s="697">
        <v>1.3652929309999999</v>
      </c>
      <c r="AF65" s="697">
        <v>1.002525581</v>
      </c>
      <c r="AG65" s="697">
        <v>0</v>
      </c>
      <c r="AH65" s="697">
        <v>0</v>
      </c>
      <c r="AI65" s="697">
        <v>0</v>
      </c>
      <c r="AJ65" s="697">
        <v>0</v>
      </c>
      <c r="AK65" s="697">
        <v>0</v>
      </c>
      <c r="AL65" s="697">
        <v>0</v>
      </c>
      <c r="AM65" s="697">
        <v>0</v>
      </c>
      <c r="AN65" s="697">
        <v>0</v>
      </c>
      <c r="AO65" s="698">
        <v>0</v>
      </c>
      <c r="AP65" s="633"/>
      <c r="AQ65" s="696">
        <v>0</v>
      </c>
      <c r="AR65" s="697">
        <v>2567.928056063</v>
      </c>
      <c r="AS65" s="697">
        <v>2567.928056063</v>
      </c>
      <c r="AT65" s="697">
        <v>2567.928056063</v>
      </c>
      <c r="AU65" s="697">
        <v>2567.928056063</v>
      </c>
      <c r="AV65" s="697">
        <v>2567.928056063</v>
      </c>
      <c r="AW65" s="697">
        <v>2567.928056063</v>
      </c>
      <c r="AX65" s="697">
        <v>2567.928056063</v>
      </c>
      <c r="AY65" s="697">
        <v>2567.928056063</v>
      </c>
      <c r="AZ65" s="697">
        <v>2567.928056063</v>
      </c>
      <c r="BA65" s="697">
        <v>2567.928056063</v>
      </c>
      <c r="BB65" s="697">
        <v>2567.928056063</v>
      </c>
      <c r="BC65" s="697">
        <v>2567.928056063</v>
      </c>
      <c r="BD65" s="697">
        <v>2567.928056063</v>
      </c>
      <c r="BE65" s="697">
        <v>2567.928056063</v>
      </c>
      <c r="BF65" s="697">
        <v>2567.928056063</v>
      </c>
      <c r="BG65" s="697">
        <v>2567.928056063</v>
      </c>
      <c r="BH65" s="697">
        <v>2567.928056063</v>
      </c>
      <c r="BI65" s="697">
        <v>2567.928056063</v>
      </c>
      <c r="BJ65" s="697">
        <v>2207.173498181</v>
      </c>
      <c r="BK65" s="697">
        <v>0</v>
      </c>
      <c r="BL65" s="697">
        <v>0</v>
      </c>
      <c r="BM65" s="697">
        <v>0</v>
      </c>
      <c r="BN65" s="697">
        <v>0</v>
      </c>
      <c r="BO65" s="697">
        <v>0</v>
      </c>
      <c r="BP65" s="697">
        <v>0</v>
      </c>
      <c r="BQ65" s="697">
        <v>0</v>
      </c>
      <c r="BR65" s="697">
        <v>0</v>
      </c>
      <c r="BS65" s="697">
        <v>0</v>
      </c>
      <c r="BT65" s="698">
        <v>0</v>
      </c>
    </row>
    <row r="66" spans="2:73">
      <c r="B66" s="692" t="s">
        <v>208</v>
      </c>
      <c r="C66" s="692" t="s">
        <v>753</v>
      </c>
      <c r="D66" s="692" t="s">
        <v>770</v>
      </c>
      <c r="E66" s="692" t="s">
        <v>754</v>
      </c>
      <c r="F66" s="692" t="s">
        <v>29</v>
      </c>
      <c r="G66" s="692" t="s">
        <v>756</v>
      </c>
      <c r="H66" s="692">
        <v>2013</v>
      </c>
      <c r="I66" s="644" t="s">
        <v>568</v>
      </c>
      <c r="J66" s="644" t="s">
        <v>584</v>
      </c>
      <c r="K66" s="633"/>
      <c r="L66" s="696">
        <v>0</v>
      </c>
      <c r="M66" s="697">
        <v>0</v>
      </c>
      <c r="N66" s="697">
        <v>10.12496</v>
      </c>
      <c r="O66" s="697">
        <v>0</v>
      </c>
      <c r="P66" s="697">
        <v>0</v>
      </c>
      <c r="Q66" s="697">
        <v>0</v>
      </c>
      <c r="R66" s="697">
        <v>0</v>
      </c>
      <c r="S66" s="697">
        <v>0</v>
      </c>
      <c r="T66" s="697">
        <v>0</v>
      </c>
      <c r="U66" s="697">
        <v>0</v>
      </c>
      <c r="V66" s="697">
        <v>0</v>
      </c>
      <c r="W66" s="697">
        <v>0</v>
      </c>
      <c r="X66" s="697">
        <v>0</v>
      </c>
      <c r="Y66" s="697">
        <v>0</v>
      </c>
      <c r="Z66" s="697">
        <v>0</v>
      </c>
      <c r="AA66" s="697">
        <v>0</v>
      </c>
      <c r="AB66" s="697">
        <v>0</v>
      </c>
      <c r="AC66" s="697">
        <v>0</v>
      </c>
      <c r="AD66" s="697">
        <v>0</v>
      </c>
      <c r="AE66" s="697">
        <v>0</v>
      </c>
      <c r="AF66" s="697">
        <v>0</v>
      </c>
      <c r="AG66" s="697">
        <v>0</v>
      </c>
      <c r="AH66" s="697">
        <v>0</v>
      </c>
      <c r="AI66" s="697">
        <v>0</v>
      </c>
      <c r="AJ66" s="697">
        <v>0</v>
      </c>
      <c r="AK66" s="697">
        <v>0</v>
      </c>
      <c r="AL66" s="697">
        <v>0</v>
      </c>
      <c r="AM66" s="697">
        <v>0</v>
      </c>
      <c r="AN66" s="697">
        <v>0</v>
      </c>
      <c r="AO66" s="698">
        <v>0</v>
      </c>
      <c r="AP66" s="633"/>
      <c r="AQ66" s="696">
        <v>0</v>
      </c>
      <c r="AR66" s="697">
        <v>0</v>
      </c>
      <c r="AS66" s="697">
        <v>0.72623150000000003</v>
      </c>
      <c r="AT66" s="697">
        <v>0</v>
      </c>
      <c r="AU66" s="697">
        <v>0</v>
      </c>
      <c r="AV66" s="697">
        <v>0</v>
      </c>
      <c r="AW66" s="697">
        <v>0</v>
      </c>
      <c r="AX66" s="697">
        <v>0</v>
      </c>
      <c r="AY66" s="697">
        <v>0</v>
      </c>
      <c r="AZ66" s="697">
        <v>0</v>
      </c>
      <c r="BA66" s="697">
        <v>0</v>
      </c>
      <c r="BB66" s="697">
        <v>0</v>
      </c>
      <c r="BC66" s="697">
        <v>0</v>
      </c>
      <c r="BD66" s="697">
        <v>0</v>
      </c>
      <c r="BE66" s="697">
        <v>0</v>
      </c>
      <c r="BF66" s="697">
        <v>0</v>
      </c>
      <c r="BG66" s="697">
        <v>0</v>
      </c>
      <c r="BH66" s="697">
        <v>0</v>
      </c>
      <c r="BI66" s="697">
        <v>0</v>
      </c>
      <c r="BJ66" s="697">
        <v>0</v>
      </c>
      <c r="BK66" s="697">
        <v>0</v>
      </c>
      <c r="BL66" s="697">
        <v>0</v>
      </c>
      <c r="BM66" s="697">
        <v>0</v>
      </c>
      <c r="BN66" s="697">
        <v>0</v>
      </c>
      <c r="BO66" s="697">
        <v>0</v>
      </c>
      <c r="BP66" s="697">
        <v>0</v>
      </c>
      <c r="BQ66" s="697">
        <v>0</v>
      </c>
      <c r="BR66" s="697">
        <v>0</v>
      </c>
      <c r="BS66" s="697">
        <v>0</v>
      </c>
      <c r="BT66" s="698">
        <v>0</v>
      </c>
    </row>
    <row r="67" spans="2:73">
      <c r="B67" s="692" t="s">
        <v>208</v>
      </c>
      <c r="C67" s="692" t="s">
        <v>753</v>
      </c>
      <c r="D67" s="692" t="s">
        <v>771</v>
      </c>
      <c r="E67" s="692" t="s">
        <v>754</v>
      </c>
      <c r="F67" s="692" t="s">
        <v>29</v>
      </c>
      <c r="G67" s="692" t="s">
        <v>756</v>
      </c>
      <c r="H67" s="692">
        <v>2013</v>
      </c>
      <c r="I67" s="644" t="s">
        <v>568</v>
      </c>
      <c r="J67" s="644" t="s">
        <v>584</v>
      </c>
      <c r="K67" s="633"/>
      <c r="L67" s="696">
        <v>0</v>
      </c>
      <c r="M67" s="697">
        <v>0</v>
      </c>
      <c r="N67" s="697">
        <v>0</v>
      </c>
      <c r="O67" s="697">
        <v>0</v>
      </c>
      <c r="P67" s="697">
        <v>0</v>
      </c>
      <c r="Q67" s="697">
        <v>0</v>
      </c>
      <c r="R67" s="697">
        <v>0</v>
      </c>
      <c r="S67" s="697">
        <v>0</v>
      </c>
      <c r="T67" s="697">
        <v>0</v>
      </c>
      <c r="U67" s="697">
        <v>0</v>
      </c>
      <c r="V67" s="697">
        <v>0</v>
      </c>
      <c r="W67" s="697">
        <v>0</v>
      </c>
      <c r="X67" s="697">
        <v>0</v>
      </c>
      <c r="Y67" s="697">
        <v>0</v>
      </c>
      <c r="Z67" s="697">
        <v>0</v>
      </c>
      <c r="AA67" s="697">
        <v>0</v>
      </c>
      <c r="AB67" s="697">
        <v>0</v>
      </c>
      <c r="AC67" s="697">
        <v>0</v>
      </c>
      <c r="AD67" s="697">
        <v>0</v>
      </c>
      <c r="AE67" s="697">
        <v>0</v>
      </c>
      <c r="AF67" s="697">
        <v>0</v>
      </c>
      <c r="AG67" s="697">
        <v>0</v>
      </c>
      <c r="AH67" s="697">
        <v>0</v>
      </c>
      <c r="AI67" s="697">
        <v>0</v>
      </c>
      <c r="AJ67" s="697">
        <v>0</v>
      </c>
      <c r="AK67" s="697">
        <v>0</v>
      </c>
      <c r="AL67" s="697">
        <v>0</v>
      </c>
      <c r="AM67" s="697">
        <v>0</v>
      </c>
      <c r="AN67" s="697">
        <v>0</v>
      </c>
      <c r="AO67" s="698">
        <v>0</v>
      </c>
      <c r="AP67" s="633"/>
      <c r="AQ67" s="696">
        <v>0</v>
      </c>
      <c r="AR67" s="697">
        <v>0</v>
      </c>
      <c r="AS67" s="697">
        <v>0</v>
      </c>
      <c r="AT67" s="697">
        <v>0</v>
      </c>
      <c r="AU67" s="697">
        <v>0</v>
      </c>
      <c r="AV67" s="697">
        <v>0</v>
      </c>
      <c r="AW67" s="697">
        <v>0</v>
      </c>
      <c r="AX67" s="697">
        <v>0</v>
      </c>
      <c r="AY67" s="697">
        <v>0</v>
      </c>
      <c r="AZ67" s="697">
        <v>0</v>
      </c>
      <c r="BA67" s="697">
        <v>0</v>
      </c>
      <c r="BB67" s="697">
        <v>0</v>
      </c>
      <c r="BC67" s="697">
        <v>0</v>
      </c>
      <c r="BD67" s="697">
        <v>0</v>
      </c>
      <c r="BE67" s="697">
        <v>0</v>
      </c>
      <c r="BF67" s="697">
        <v>0</v>
      </c>
      <c r="BG67" s="697">
        <v>0</v>
      </c>
      <c r="BH67" s="697">
        <v>0</v>
      </c>
      <c r="BI67" s="697">
        <v>0</v>
      </c>
      <c r="BJ67" s="697">
        <v>0</v>
      </c>
      <c r="BK67" s="697">
        <v>0</v>
      </c>
      <c r="BL67" s="697">
        <v>0</v>
      </c>
      <c r="BM67" s="697">
        <v>0</v>
      </c>
      <c r="BN67" s="697">
        <v>0</v>
      </c>
      <c r="BO67" s="697">
        <v>0</v>
      </c>
      <c r="BP67" s="697">
        <v>0</v>
      </c>
      <c r="BQ67" s="697">
        <v>0</v>
      </c>
      <c r="BR67" s="697">
        <v>0</v>
      </c>
      <c r="BS67" s="697">
        <v>0</v>
      </c>
      <c r="BT67" s="698">
        <v>0</v>
      </c>
    </row>
    <row r="68" spans="2:73">
      <c r="B68" s="692" t="s">
        <v>208</v>
      </c>
      <c r="C68" s="692" t="s">
        <v>761</v>
      </c>
      <c r="D68" s="692" t="s">
        <v>765</v>
      </c>
      <c r="E68" s="692" t="s">
        <v>754</v>
      </c>
      <c r="F68" s="692" t="s">
        <v>761</v>
      </c>
      <c r="G68" s="692" t="s">
        <v>756</v>
      </c>
      <c r="H68" s="692">
        <v>2013</v>
      </c>
      <c r="I68" s="644" t="s">
        <v>568</v>
      </c>
      <c r="J68" s="644" t="s">
        <v>584</v>
      </c>
      <c r="K68" s="633"/>
      <c r="L68" s="696">
        <v>0</v>
      </c>
      <c r="M68" s="697">
        <v>0</v>
      </c>
      <c r="N68" s="697">
        <v>284.8168</v>
      </c>
      <c r="O68" s="697">
        <v>0</v>
      </c>
      <c r="P68" s="697">
        <v>0</v>
      </c>
      <c r="Q68" s="697">
        <v>0</v>
      </c>
      <c r="R68" s="697">
        <v>0</v>
      </c>
      <c r="S68" s="697">
        <v>0</v>
      </c>
      <c r="T68" s="697">
        <v>0</v>
      </c>
      <c r="U68" s="697">
        <v>0</v>
      </c>
      <c r="V68" s="697">
        <v>0</v>
      </c>
      <c r="W68" s="697">
        <v>0</v>
      </c>
      <c r="X68" s="697">
        <v>0</v>
      </c>
      <c r="Y68" s="697">
        <v>0</v>
      </c>
      <c r="Z68" s="697">
        <v>0</v>
      </c>
      <c r="AA68" s="697">
        <v>0</v>
      </c>
      <c r="AB68" s="697">
        <v>0</v>
      </c>
      <c r="AC68" s="697">
        <v>0</v>
      </c>
      <c r="AD68" s="697">
        <v>0</v>
      </c>
      <c r="AE68" s="697">
        <v>0</v>
      </c>
      <c r="AF68" s="697">
        <v>0</v>
      </c>
      <c r="AG68" s="697">
        <v>0</v>
      </c>
      <c r="AH68" s="697">
        <v>0</v>
      </c>
      <c r="AI68" s="697">
        <v>0</v>
      </c>
      <c r="AJ68" s="697">
        <v>0</v>
      </c>
      <c r="AK68" s="697">
        <v>0</v>
      </c>
      <c r="AL68" s="697">
        <v>0</v>
      </c>
      <c r="AM68" s="697">
        <v>0</v>
      </c>
      <c r="AN68" s="697">
        <v>0</v>
      </c>
      <c r="AO68" s="698">
        <v>0</v>
      </c>
      <c r="AP68" s="633"/>
      <c r="AQ68" s="696">
        <v>0</v>
      </c>
      <c r="AR68" s="697">
        <v>0</v>
      </c>
      <c r="AS68" s="697">
        <v>6485.4530000000004</v>
      </c>
      <c r="AT68" s="697">
        <v>0</v>
      </c>
      <c r="AU68" s="697">
        <v>0</v>
      </c>
      <c r="AV68" s="697">
        <v>0</v>
      </c>
      <c r="AW68" s="697">
        <v>0</v>
      </c>
      <c r="AX68" s="697">
        <v>0</v>
      </c>
      <c r="AY68" s="697">
        <v>0</v>
      </c>
      <c r="AZ68" s="697">
        <v>0</v>
      </c>
      <c r="BA68" s="697">
        <v>0</v>
      </c>
      <c r="BB68" s="697">
        <v>0</v>
      </c>
      <c r="BC68" s="697">
        <v>0</v>
      </c>
      <c r="BD68" s="697">
        <v>0</v>
      </c>
      <c r="BE68" s="697">
        <v>0</v>
      </c>
      <c r="BF68" s="697">
        <v>0</v>
      </c>
      <c r="BG68" s="697">
        <v>0</v>
      </c>
      <c r="BH68" s="697">
        <v>0</v>
      </c>
      <c r="BI68" s="697">
        <v>0</v>
      </c>
      <c r="BJ68" s="697">
        <v>0</v>
      </c>
      <c r="BK68" s="697">
        <v>0</v>
      </c>
      <c r="BL68" s="697">
        <v>0</v>
      </c>
      <c r="BM68" s="697">
        <v>0</v>
      </c>
      <c r="BN68" s="697">
        <v>0</v>
      </c>
      <c r="BO68" s="697">
        <v>0</v>
      </c>
      <c r="BP68" s="697">
        <v>0</v>
      </c>
      <c r="BQ68" s="697">
        <v>0</v>
      </c>
      <c r="BR68" s="697">
        <v>0</v>
      </c>
      <c r="BS68" s="697">
        <v>0</v>
      </c>
      <c r="BT68" s="698">
        <v>0</v>
      </c>
    </row>
    <row r="69" spans="2:73">
      <c r="B69" s="692" t="s">
        <v>208</v>
      </c>
      <c r="C69" s="692" t="s">
        <v>753</v>
      </c>
      <c r="D69" s="692" t="s">
        <v>1</v>
      </c>
      <c r="E69" s="692" t="s">
        <v>754</v>
      </c>
      <c r="F69" s="692" t="s">
        <v>29</v>
      </c>
      <c r="G69" s="692" t="s">
        <v>755</v>
      </c>
      <c r="H69" s="692">
        <v>2013</v>
      </c>
      <c r="I69" s="644" t="s">
        <v>568</v>
      </c>
      <c r="J69" s="644" t="s">
        <v>584</v>
      </c>
      <c r="K69" s="633"/>
      <c r="L69" s="696">
        <v>0</v>
      </c>
      <c r="M69" s="697">
        <v>0</v>
      </c>
      <c r="N69" s="697">
        <v>1.9917185408574135E-3</v>
      </c>
      <c r="O69" s="697">
        <v>1.9917185408574135E-3</v>
      </c>
      <c r="P69" s="697">
        <v>1.9917185408574135E-3</v>
      </c>
      <c r="Q69" s="697">
        <v>1.9917185408574135E-3</v>
      </c>
      <c r="R69" s="697">
        <v>1.1065262669932056E-3</v>
      </c>
      <c r="S69" s="697">
        <v>0</v>
      </c>
      <c r="T69" s="697">
        <v>0</v>
      </c>
      <c r="U69" s="697">
        <v>0</v>
      </c>
      <c r="V69" s="697">
        <v>0</v>
      </c>
      <c r="W69" s="697">
        <v>0</v>
      </c>
      <c r="X69" s="697">
        <v>0</v>
      </c>
      <c r="Y69" s="697">
        <v>0</v>
      </c>
      <c r="Z69" s="697">
        <v>0</v>
      </c>
      <c r="AA69" s="697">
        <v>0</v>
      </c>
      <c r="AB69" s="697">
        <v>0</v>
      </c>
      <c r="AC69" s="697">
        <v>0</v>
      </c>
      <c r="AD69" s="697">
        <v>0</v>
      </c>
      <c r="AE69" s="697">
        <v>0</v>
      </c>
      <c r="AF69" s="697">
        <v>0</v>
      </c>
      <c r="AG69" s="697">
        <v>0</v>
      </c>
      <c r="AH69" s="697">
        <v>0</v>
      </c>
      <c r="AI69" s="697">
        <v>0</v>
      </c>
      <c r="AJ69" s="697">
        <v>0</v>
      </c>
      <c r="AK69" s="697">
        <v>0</v>
      </c>
      <c r="AL69" s="697">
        <v>0</v>
      </c>
      <c r="AM69" s="697">
        <v>0</v>
      </c>
      <c r="AN69" s="697">
        <v>0</v>
      </c>
      <c r="AO69" s="698">
        <v>0</v>
      </c>
      <c r="AP69" s="633"/>
      <c r="AQ69" s="696">
        <v>0</v>
      </c>
      <c r="AR69" s="697">
        <v>0</v>
      </c>
      <c r="AS69" s="697">
        <v>13.93828288329871</v>
      </c>
      <c r="AT69" s="697">
        <v>13.93828288329871</v>
      </c>
      <c r="AU69" s="697">
        <v>13.93828288329871</v>
      </c>
      <c r="AV69" s="697">
        <v>13.93828288329871</v>
      </c>
      <c r="AW69" s="697">
        <v>7.528987534362007</v>
      </c>
      <c r="AX69" s="697">
        <v>0</v>
      </c>
      <c r="AY69" s="697">
        <v>0</v>
      </c>
      <c r="AZ69" s="697">
        <v>0</v>
      </c>
      <c r="BA69" s="697">
        <v>0</v>
      </c>
      <c r="BB69" s="697">
        <v>0</v>
      </c>
      <c r="BC69" s="697">
        <v>0</v>
      </c>
      <c r="BD69" s="697">
        <v>0</v>
      </c>
      <c r="BE69" s="697">
        <v>0</v>
      </c>
      <c r="BF69" s="697">
        <v>0</v>
      </c>
      <c r="BG69" s="697">
        <v>0</v>
      </c>
      <c r="BH69" s="697">
        <v>0</v>
      </c>
      <c r="BI69" s="697">
        <v>0</v>
      </c>
      <c r="BJ69" s="697">
        <v>0</v>
      </c>
      <c r="BK69" s="697">
        <v>0</v>
      </c>
      <c r="BL69" s="697">
        <v>0</v>
      </c>
      <c r="BM69" s="697">
        <v>0</v>
      </c>
      <c r="BN69" s="697">
        <v>0</v>
      </c>
      <c r="BO69" s="697">
        <v>0</v>
      </c>
      <c r="BP69" s="697">
        <v>0</v>
      </c>
      <c r="BQ69" s="697">
        <v>0</v>
      </c>
      <c r="BR69" s="697">
        <v>0</v>
      </c>
      <c r="BS69" s="697">
        <v>0</v>
      </c>
      <c r="BT69" s="698">
        <v>0</v>
      </c>
    </row>
    <row r="70" spans="2:73">
      <c r="B70" s="692" t="s">
        <v>208</v>
      </c>
      <c r="C70" s="692" t="s">
        <v>753</v>
      </c>
      <c r="D70" s="692" t="s">
        <v>769</v>
      </c>
      <c r="E70" s="692" t="s">
        <v>754</v>
      </c>
      <c r="F70" s="692" t="s">
        <v>29</v>
      </c>
      <c r="G70" s="692" t="s">
        <v>755</v>
      </c>
      <c r="H70" s="692">
        <v>2012</v>
      </c>
      <c r="I70" s="644" t="s">
        <v>568</v>
      </c>
      <c r="J70" s="644" t="s">
        <v>577</v>
      </c>
      <c r="K70" s="633"/>
      <c r="L70" s="696">
        <v>0</v>
      </c>
      <c r="M70" s="697">
        <v>9.3044581348861784E-3</v>
      </c>
      <c r="N70" s="697">
        <v>9.3044581348861784E-3</v>
      </c>
      <c r="O70" s="697">
        <v>9.3044581348861784E-3</v>
      </c>
      <c r="P70" s="697">
        <v>9.3044581348861784E-3</v>
      </c>
      <c r="Q70" s="697">
        <v>9.3044581348861784E-3</v>
      </c>
      <c r="R70" s="697">
        <v>9.3044581348861784E-3</v>
      </c>
      <c r="S70" s="697">
        <v>9.3044581348861784E-3</v>
      </c>
      <c r="T70" s="697">
        <v>9.3044581348861784E-3</v>
      </c>
      <c r="U70" s="697">
        <v>9.3044581348861784E-3</v>
      </c>
      <c r="V70" s="697">
        <v>9.3044581348861784E-3</v>
      </c>
      <c r="W70" s="697">
        <v>9.3044581348861784E-3</v>
      </c>
      <c r="X70" s="697">
        <v>9.3044581348861784E-3</v>
      </c>
      <c r="Y70" s="697">
        <v>9.3044581348861784E-3</v>
      </c>
      <c r="Z70" s="697">
        <v>9.3044581348861784E-3</v>
      </c>
      <c r="AA70" s="697">
        <v>9.3044581348861784E-3</v>
      </c>
      <c r="AB70" s="697">
        <v>9.3044581348861784E-3</v>
      </c>
      <c r="AC70" s="697">
        <v>9.3044581348861784E-3</v>
      </c>
      <c r="AD70" s="697">
        <v>9.3044581348861784E-3</v>
      </c>
      <c r="AE70" s="697">
        <v>9.3044581348861784E-3</v>
      </c>
      <c r="AF70" s="697">
        <v>7.9973275995814021E-3</v>
      </c>
      <c r="AG70" s="697">
        <v>0</v>
      </c>
      <c r="AH70" s="697">
        <v>0</v>
      </c>
      <c r="AI70" s="697">
        <v>0</v>
      </c>
      <c r="AJ70" s="697">
        <v>0</v>
      </c>
      <c r="AK70" s="697">
        <v>0</v>
      </c>
      <c r="AL70" s="697">
        <v>0</v>
      </c>
      <c r="AM70" s="697">
        <v>0</v>
      </c>
      <c r="AN70" s="697">
        <v>0</v>
      </c>
      <c r="AO70" s="698">
        <v>0</v>
      </c>
      <c r="AP70" s="633"/>
      <c r="AQ70" s="696">
        <v>0</v>
      </c>
      <c r="AR70" s="697">
        <v>18.917188579072228</v>
      </c>
      <c r="AS70" s="697">
        <v>18.917188579072228</v>
      </c>
      <c r="AT70" s="697">
        <v>18.917188579072228</v>
      </c>
      <c r="AU70" s="697">
        <v>18.917188579072228</v>
      </c>
      <c r="AV70" s="697">
        <v>18.917188579072228</v>
      </c>
      <c r="AW70" s="697">
        <v>18.917188579072228</v>
      </c>
      <c r="AX70" s="697">
        <v>18.917188579072228</v>
      </c>
      <c r="AY70" s="697">
        <v>18.917188579072228</v>
      </c>
      <c r="AZ70" s="697">
        <v>18.917188579072228</v>
      </c>
      <c r="BA70" s="697">
        <v>18.917188579072228</v>
      </c>
      <c r="BB70" s="697">
        <v>18.917188579072228</v>
      </c>
      <c r="BC70" s="697">
        <v>18.917188579072228</v>
      </c>
      <c r="BD70" s="697">
        <v>18.917188579072228</v>
      </c>
      <c r="BE70" s="697">
        <v>18.917188579072228</v>
      </c>
      <c r="BF70" s="697">
        <v>18.917188579072228</v>
      </c>
      <c r="BG70" s="697">
        <v>18.917188579072228</v>
      </c>
      <c r="BH70" s="697">
        <v>18.917188579072228</v>
      </c>
      <c r="BI70" s="697">
        <v>18.917188579072228</v>
      </c>
      <c r="BJ70" s="697">
        <v>17.607021567385644</v>
      </c>
      <c r="BK70" s="697">
        <v>0</v>
      </c>
      <c r="BL70" s="697">
        <v>0</v>
      </c>
      <c r="BM70" s="697">
        <v>0</v>
      </c>
      <c r="BN70" s="697">
        <v>0</v>
      </c>
      <c r="BO70" s="697">
        <v>0</v>
      </c>
      <c r="BP70" s="697">
        <v>0</v>
      </c>
      <c r="BQ70" s="697">
        <v>0</v>
      </c>
      <c r="BR70" s="697">
        <v>0</v>
      </c>
      <c r="BS70" s="697">
        <v>0</v>
      </c>
      <c r="BT70" s="698">
        <v>0</v>
      </c>
    </row>
    <row r="71" spans="2:73">
      <c r="B71" s="692" t="s">
        <v>208</v>
      </c>
      <c r="C71" s="692" t="s">
        <v>757</v>
      </c>
      <c r="D71" s="692" t="s">
        <v>21</v>
      </c>
      <c r="E71" s="692" t="s">
        <v>754</v>
      </c>
      <c r="F71" s="692" t="s">
        <v>772</v>
      </c>
      <c r="G71" s="692" t="s">
        <v>755</v>
      </c>
      <c r="H71" s="692">
        <v>2014</v>
      </c>
      <c r="I71" s="644" t="s">
        <v>569</v>
      </c>
      <c r="J71" s="644" t="s">
        <v>584</v>
      </c>
      <c r="K71" s="633"/>
      <c r="L71" s="696">
        <v>0</v>
      </c>
      <c r="M71" s="697">
        <v>0</v>
      </c>
      <c r="N71" s="697">
        <v>0</v>
      </c>
      <c r="O71" s="697">
        <v>44.110739789999997</v>
      </c>
      <c r="P71" s="697">
        <v>44.110739789999997</v>
      </c>
      <c r="Q71" s="697">
        <v>33.737076100000003</v>
      </c>
      <c r="R71" s="697">
        <v>27.542377999999999</v>
      </c>
      <c r="S71" s="697">
        <v>27.542377999999999</v>
      </c>
      <c r="T71" s="697">
        <v>27.542377999999999</v>
      </c>
      <c r="U71" s="697">
        <v>27.542377999999999</v>
      </c>
      <c r="V71" s="697">
        <v>27.542377999999999</v>
      </c>
      <c r="W71" s="697">
        <v>27.542377999999999</v>
      </c>
      <c r="X71" s="697">
        <v>27.542377999999999</v>
      </c>
      <c r="Y71" s="697">
        <v>27.402363900000001</v>
      </c>
      <c r="Z71" s="697">
        <v>3.232918261</v>
      </c>
      <c r="AA71" s="697">
        <v>0</v>
      </c>
      <c r="AB71" s="697">
        <v>0</v>
      </c>
      <c r="AC71" s="697">
        <v>0</v>
      </c>
      <c r="AD71" s="697">
        <v>0</v>
      </c>
      <c r="AE71" s="697">
        <v>0</v>
      </c>
      <c r="AF71" s="697">
        <v>0</v>
      </c>
      <c r="AG71" s="697">
        <v>0</v>
      </c>
      <c r="AH71" s="697">
        <v>0</v>
      </c>
      <c r="AI71" s="697">
        <v>0</v>
      </c>
      <c r="AJ71" s="697">
        <v>0</v>
      </c>
      <c r="AK71" s="697">
        <v>0</v>
      </c>
      <c r="AL71" s="697">
        <v>0</v>
      </c>
      <c r="AM71" s="697">
        <v>0</v>
      </c>
      <c r="AN71" s="697">
        <v>0</v>
      </c>
      <c r="AO71" s="698">
        <v>0</v>
      </c>
      <c r="AP71" s="633"/>
      <c r="AQ71" s="699">
        <v>0</v>
      </c>
      <c r="AR71" s="700">
        <v>0</v>
      </c>
      <c r="AS71" s="700">
        <v>0</v>
      </c>
      <c r="AT71" s="700">
        <v>179966.2776</v>
      </c>
      <c r="AU71" s="700">
        <v>179966.2776</v>
      </c>
      <c r="AV71" s="700">
        <v>136092.2034</v>
      </c>
      <c r="AW71" s="700">
        <v>113728.2166</v>
      </c>
      <c r="AX71" s="700">
        <v>113728.2166</v>
      </c>
      <c r="AY71" s="700">
        <v>113728.2166</v>
      </c>
      <c r="AZ71" s="700">
        <v>113728.2166</v>
      </c>
      <c r="BA71" s="700">
        <v>113728.2166</v>
      </c>
      <c r="BB71" s="700">
        <v>113728.2166</v>
      </c>
      <c r="BC71" s="700">
        <v>113728.2166</v>
      </c>
      <c r="BD71" s="700">
        <v>112437.14200000001</v>
      </c>
      <c r="BE71" s="700">
        <v>11703.865100000001</v>
      </c>
      <c r="BF71" s="700">
        <v>0</v>
      </c>
      <c r="BG71" s="700">
        <v>0</v>
      </c>
      <c r="BH71" s="700">
        <v>0</v>
      </c>
      <c r="BI71" s="700">
        <v>0</v>
      </c>
      <c r="BJ71" s="700">
        <v>0</v>
      </c>
      <c r="BK71" s="700">
        <v>0</v>
      </c>
      <c r="BL71" s="700">
        <v>0</v>
      </c>
      <c r="BM71" s="700">
        <v>0</v>
      </c>
      <c r="BN71" s="700">
        <v>0</v>
      </c>
      <c r="BO71" s="700">
        <v>0</v>
      </c>
      <c r="BP71" s="700">
        <v>0</v>
      </c>
      <c r="BQ71" s="700">
        <v>0</v>
      </c>
      <c r="BR71" s="700">
        <v>0</v>
      </c>
      <c r="BS71" s="700">
        <v>0</v>
      </c>
      <c r="BT71" s="701">
        <v>0</v>
      </c>
    </row>
    <row r="72" spans="2:73">
      <c r="B72" s="692" t="s">
        <v>208</v>
      </c>
      <c r="C72" s="692" t="s">
        <v>757</v>
      </c>
      <c r="D72" s="692" t="s">
        <v>20</v>
      </c>
      <c r="E72" s="692" t="s">
        <v>754</v>
      </c>
      <c r="F72" s="692" t="s">
        <v>772</v>
      </c>
      <c r="G72" s="692" t="s">
        <v>755</v>
      </c>
      <c r="H72" s="692">
        <v>2012</v>
      </c>
      <c r="I72" s="644" t="s">
        <v>569</v>
      </c>
      <c r="J72" s="644" t="s">
        <v>577</v>
      </c>
      <c r="K72" s="633"/>
      <c r="L72" s="696">
        <v>0</v>
      </c>
      <c r="M72" s="697">
        <v>0.34493254499999998</v>
      </c>
      <c r="N72" s="697">
        <v>0.34493254499999998</v>
      </c>
      <c r="O72" s="697">
        <v>0.34493254499999998</v>
      </c>
      <c r="P72" s="697">
        <v>0.34493254499999998</v>
      </c>
      <c r="Q72" s="697">
        <v>0</v>
      </c>
      <c r="R72" s="697">
        <v>0</v>
      </c>
      <c r="S72" s="697">
        <v>0</v>
      </c>
      <c r="T72" s="697">
        <v>0</v>
      </c>
      <c r="U72" s="697">
        <v>0</v>
      </c>
      <c r="V72" s="697">
        <v>0</v>
      </c>
      <c r="W72" s="697">
        <v>0</v>
      </c>
      <c r="X72" s="697">
        <v>0</v>
      </c>
      <c r="Y72" s="697">
        <v>0</v>
      </c>
      <c r="Z72" s="697">
        <v>0</v>
      </c>
      <c r="AA72" s="697">
        <v>0</v>
      </c>
      <c r="AB72" s="697">
        <v>0</v>
      </c>
      <c r="AC72" s="697">
        <v>0</v>
      </c>
      <c r="AD72" s="697">
        <v>0</v>
      </c>
      <c r="AE72" s="697">
        <v>0</v>
      </c>
      <c r="AF72" s="697">
        <v>0</v>
      </c>
      <c r="AG72" s="697">
        <v>0</v>
      </c>
      <c r="AH72" s="697">
        <v>0</v>
      </c>
      <c r="AI72" s="697">
        <v>0</v>
      </c>
      <c r="AJ72" s="697">
        <v>0</v>
      </c>
      <c r="AK72" s="697">
        <v>0</v>
      </c>
      <c r="AL72" s="697">
        <v>0</v>
      </c>
      <c r="AM72" s="697">
        <v>0</v>
      </c>
      <c r="AN72" s="697">
        <v>0</v>
      </c>
      <c r="AO72" s="698">
        <v>0</v>
      </c>
      <c r="AP72" s="633"/>
      <c r="AQ72" s="693">
        <v>0</v>
      </c>
      <c r="AR72" s="694">
        <v>1708.1195250000001</v>
      </c>
      <c r="AS72" s="694">
        <v>1708.1195250000001</v>
      </c>
      <c r="AT72" s="694">
        <v>1708.1195250000001</v>
      </c>
      <c r="AU72" s="694">
        <v>1708.1195250000001</v>
      </c>
      <c r="AV72" s="694">
        <v>0</v>
      </c>
      <c r="AW72" s="694">
        <v>0</v>
      </c>
      <c r="AX72" s="694">
        <v>0</v>
      </c>
      <c r="AY72" s="694">
        <v>0</v>
      </c>
      <c r="AZ72" s="694">
        <v>0</v>
      </c>
      <c r="BA72" s="694">
        <v>0</v>
      </c>
      <c r="BB72" s="694">
        <v>0</v>
      </c>
      <c r="BC72" s="694">
        <v>0</v>
      </c>
      <c r="BD72" s="694">
        <v>0</v>
      </c>
      <c r="BE72" s="694">
        <v>0</v>
      </c>
      <c r="BF72" s="694">
        <v>0</v>
      </c>
      <c r="BG72" s="694">
        <v>0</v>
      </c>
      <c r="BH72" s="694">
        <v>0</v>
      </c>
      <c r="BI72" s="694">
        <v>0</v>
      </c>
      <c r="BJ72" s="694">
        <v>0</v>
      </c>
      <c r="BK72" s="694">
        <v>0</v>
      </c>
      <c r="BL72" s="694">
        <v>0</v>
      </c>
      <c r="BM72" s="694">
        <v>0</v>
      </c>
      <c r="BN72" s="694">
        <v>0</v>
      </c>
      <c r="BO72" s="694">
        <v>0</v>
      </c>
      <c r="BP72" s="694">
        <v>0</v>
      </c>
      <c r="BQ72" s="694">
        <v>0</v>
      </c>
      <c r="BR72" s="694">
        <v>0</v>
      </c>
      <c r="BS72" s="694">
        <v>0</v>
      </c>
      <c r="BT72" s="695">
        <v>0</v>
      </c>
    </row>
    <row r="73" spans="2:73">
      <c r="B73" s="692" t="s">
        <v>208</v>
      </c>
      <c r="C73" s="692" t="s">
        <v>757</v>
      </c>
      <c r="D73" s="692" t="s">
        <v>20</v>
      </c>
      <c r="E73" s="692" t="s">
        <v>754</v>
      </c>
      <c r="F73" s="692" t="s">
        <v>772</v>
      </c>
      <c r="G73" s="692" t="s">
        <v>755</v>
      </c>
      <c r="H73" s="692">
        <v>2014</v>
      </c>
      <c r="I73" s="644" t="s">
        <v>569</v>
      </c>
      <c r="J73" s="644" t="s">
        <v>584</v>
      </c>
      <c r="K73" s="633"/>
      <c r="L73" s="696">
        <v>0</v>
      </c>
      <c r="M73" s="697">
        <v>0</v>
      </c>
      <c r="N73" s="697">
        <v>0</v>
      </c>
      <c r="O73" s="697">
        <v>13.36693052</v>
      </c>
      <c r="P73" s="697">
        <v>13.36693052</v>
      </c>
      <c r="Q73" s="697">
        <v>13.36693052</v>
      </c>
      <c r="R73" s="697">
        <v>13.36693052</v>
      </c>
      <c r="S73" s="697">
        <v>0</v>
      </c>
      <c r="T73" s="697">
        <v>0</v>
      </c>
      <c r="U73" s="697">
        <v>0</v>
      </c>
      <c r="V73" s="697">
        <v>0</v>
      </c>
      <c r="W73" s="697">
        <v>0</v>
      </c>
      <c r="X73" s="697">
        <v>0</v>
      </c>
      <c r="Y73" s="697">
        <v>0</v>
      </c>
      <c r="Z73" s="697">
        <v>0</v>
      </c>
      <c r="AA73" s="697">
        <v>0</v>
      </c>
      <c r="AB73" s="697">
        <v>0</v>
      </c>
      <c r="AC73" s="697">
        <v>0</v>
      </c>
      <c r="AD73" s="697">
        <v>0</v>
      </c>
      <c r="AE73" s="697">
        <v>0</v>
      </c>
      <c r="AF73" s="697">
        <v>0</v>
      </c>
      <c r="AG73" s="697">
        <v>0</v>
      </c>
      <c r="AH73" s="697">
        <v>0</v>
      </c>
      <c r="AI73" s="697">
        <v>0</v>
      </c>
      <c r="AJ73" s="697">
        <v>0</v>
      </c>
      <c r="AK73" s="697">
        <v>0</v>
      </c>
      <c r="AL73" s="697">
        <v>0</v>
      </c>
      <c r="AM73" s="697">
        <v>0</v>
      </c>
      <c r="AN73" s="697">
        <v>0</v>
      </c>
      <c r="AO73" s="698">
        <v>0</v>
      </c>
      <c r="AP73" s="633"/>
      <c r="AQ73" s="696">
        <v>0</v>
      </c>
      <c r="AR73" s="697">
        <v>0</v>
      </c>
      <c r="AS73" s="697">
        <v>0</v>
      </c>
      <c r="AT73" s="697">
        <v>65273.570059999998</v>
      </c>
      <c r="AU73" s="697">
        <v>65273.570059999998</v>
      </c>
      <c r="AV73" s="697">
        <v>65273.570059999998</v>
      </c>
      <c r="AW73" s="697">
        <v>65273.570059999998</v>
      </c>
      <c r="AX73" s="697">
        <v>0</v>
      </c>
      <c r="AY73" s="697">
        <v>0</v>
      </c>
      <c r="AZ73" s="697">
        <v>0</v>
      </c>
      <c r="BA73" s="697">
        <v>0</v>
      </c>
      <c r="BB73" s="697">
        <v>0</v>
      </c>
      <c r="BC73" s="697">
        <v>0</v>
      </c>
      <c r="BD73" s="697">
        <v>0</v>
      </c>
      <c r="BE73" s="697">
        <v>0</v>
      </c>
      <c r="BF73" s="697">
        <v>0</v>
      </c>
      <c r="BG73" s="697">
        <v>0</v>
      </c>
      <c r="BH73" s="697">
        <v>0</v>
      </c>
      <c r="BI73" s="697">
        <v>0</v>
      </c>
      <c r="BJ73" s="697">
        <v>0</v>
      </c>
      <c r="BK73" s="697">
        <v>0</v>
      </c>
      <c r="BL73" s="697">
        <v>0</v>
      </c>
      <c r="BM73" s="697">
        <v>0</v>
      </c>
      <c r="BN73" s="697">
        <v>0</v>
      </c>
      <c r="BO73" s="697">
        <v>0</v>
      </c>
      <c r="BP73" s="697">
        <v>0</v>
      </c>
      <c r="BQ73" s="697">
        <v>0</v>
      </c>
      <c r="BR73" s="697">
        <v>0</v>
      </c>
      <c r="BS73" s="697">
        <v>0</v>
      </c>
      <c r="BT73" s="698">
        <v>0</v>
      </c>
    </row>
    <row r="74" spans="2:73">
      <c r="B74" s="692" t="s">
        <v>208</v>
      </c>
      <c r="C74" s="692" t="s">
        <v>757</v>
      </c>
      <c r="D74" s="692" t="s">
        <v>22</v>
      </c>
      <c r="E74" s="692" t="s">
        <v>754</v>
      </c>
      <c r="F74" s="692" t="s">
        <v>772</v>
      </c>
      <c r="G74" s="692" t="s">
        <v>755</v>
      </c>
      <c r="H74" s="692">
        <v>2012</v>
      </c>
      <c r="I74" s="644" t="s">
        <v>569</v>
      </c>
      <c r="J74" s="644" t="s">
        <v>577</v>
      </c>
      <c r="K74" s="633"/>
      <c r="L74" s="696">
        <v>0</v>
      </c>
      <c r="M74" s="697">
        <v>0</v>
      </c>
      <c r="N74" s="697">
        <v>0</v>
      </c>
      <c r="O74" s="697">
        <v>0</v>
      </c>
      <c r="P74" s="697">
        <v>0</v>
      </c>
      <c r="Q74" s="697">
        <v>0</v>
      </c>
      <c r="R74" s="697">
        <v>0</v>
      </c>
      <c r="S74" s="697">
        <v>0</v>
      </c>
      <c r="T74" s="697">
        <v>0</v>
      </c>
      <c r="U74" s="697">
        <v>0</v>
      </c>
      <c r="V74" s="697">
        <v>0</v>
      </c>
      <c r="W74" s="697">
        <v>0</v>
      </c>
      <c r="X74" s="697">
        <v>0</v>
      </c>
      <c r="Y74" s="697">
        <v>0</v>
      </c>
      <c r="Z74" s="697">
        <v>0</v>
      </c>
      <c r="AA74" s="697">
        <v>0</v>
      </c>
      <c r="AB74" s="697">
        <v>0</v>
      </c>
      <c r="AC74" s="697">
        <v>0</v>
      </c>
      <c r="AD74" s="697">
        <v>0</v>
      </c>
      <c r="AE74" s="697">
        <v>0</v>
      </c>
      <c r="AF74" s="697">
        <v>0</v>
      </c>
      <c r="AG74" s="697">
        <v>0</v>
      </c>
      <c r="AH74" s="697">
        <v>0</v>
      </c>
      <c r="AI74" s="697">
        <v>0</v>
      </c>
      <c r="AJ74" s="697">
        <v>0</v>
      </c>
      <c r="AK74" s="697">
        <v>0</v>
      </c>
      <c r="AL74" s="697">
        <v>0</v>
      </c>
      <c r="AM74" s="697">
        <v>0</v>
      </c>
      <c r="AN74" s="697">
        <v>0</v>
      </c>
      <c r="AO74" s="698">
        <v>0</v>
      </c>
      <c r="AP74" s="633"/>
      <c r="AQ74" s="696">
        <v>0</v>
      </c>
      <c r="AR74" s="697">
        <v>0</v>
      </c>
      <c r="AS74" s="697">
        <v>0</v>
      </c>
      <c r="AT74" s="697">
        <v>0</v>
      </c>
      <c r="AU74" s="697">
        <v>0</v>
      </c>
      <c r="AV74" s="697">
        <v>0</v>
      </c>
      <c r="AW74" s="697">
        <v>0</v>
      </c>
      <c r="AX74" s="697">
        <v>0</v>
      </c>
      <c r="AY74" s="697">
        <v>0</v>
      </c>
      <c r="AZ74" s="697">
        <v>0</v>
      </c>
      <c r="BA74" s="697">
        <v>0</v>
      </c>
      <c r="BB74" s="697">
        <v>0</v>
      </c>
      <c r="BC74" s="697">
        <v>0</v>
      </c>
      <c r="BD74" s="697">
        <v>0</v>
      </c>
      <c r="BE74" s="697">
        <v>0</v>
      </c>
      <c r="BF74" s="697">
        <v>0</v>
      </c>
      <c r="BG74" s="697">
        <v>0</v>
      </c>
      <c r="BH74" s="697">
        <v>0</v>
      </c>
      <c r="BI74" s="697">
        <v>0</v>
      </c>
      <c r="BJ74" s="697">
        <v>0</v>
      </c>
      <c r="BK74" s="697">
        <v>0</v>
      </c>
      <c r="BL74" s="697">
        <v>0</v>
      </c>
      <c r="BM74" s="697">
        <v>0</v>
      </c>
      <c r="BN74" s="697">
        <v>0</v>
      </c>
      <c r="BO74" s="697">
        <v>0</v>
      </c>
      <c r="BP74" s="697">
        <v>0</v>
      </c>
      <c r="BQ74" s="697">
        <v>0</v>
      </c>
      <c r="BR74" s="697">
        <v>0</v>
      </c>
      <c r="BS74" s="697">
        <v>0</v>
      </c>
      <c r="BT74" s="698">
        <v>0</v>
      </c>
    </row>
    <row r="75" spans="2:73">
      <c r="B75" s="692" t="s">
        <v>208</v>
      </c>
      <c r="C75" s="692" t="s">
        <v>757</v>
      </c>
      <c r="D75" s="692" t="s">
        <v>22</v>
      </c>
      <c r="E75" s="692" t="s">
        <v>754</v>
      </c>
      <c r="F75" s="692" t="s">
        <v>772</v>
      </c>
      <c r="G75" s="692" t="s">
        <v>755</v>
      </c>
      <c r="H75" s="692">
        <v>2013</v>
      </c>
      <c r="I75" s="644" t="s">
        <v>569</v>
      </c>
      <c r="J75" s="644" t="s">
        <v>577</v>
      </c>
      <c r="K75" s="633"/>
      <c r="L75" s="696">
        <v>0</v>
      </c>
      <c r="M75" s="697">
        <v>0</v>
      </c>
      <c r="N75" s="697">
        <v>2.5740025740000001</v>
      </c>
      <c r="O75" s="697">
        <v>2.5740025740000001</v>
      </c>
      <c r="P75" s="697">
        <v>2.5740025740000001</v>
      </c>
      <c r="Q75" s="697">
        <v>2.5740025740000001</v>
      </c>
      <c r="R75" s="697">
        <v>2.5740025740000001</v>
      </c>
      <c r="S75" s="697">
        <v>2.4194201400000002</v>
      </c>
      <c r="T75" s="697">
        <v>2.4194201400000002</v>
      </c>
      <c r="U75" s="697">
        <v>2.4194201400000002</v>
      </c>
      <c r="V75" s="697">
        <v>2.4194201400000002</v>
      </c>
      <c r="W75" s="697">
        <v>1.2925519480000001</v>
      </c>
      <c r="X75" s="697">
        <v>0</v>
      </c>
      <c r="Y75" s="697">
        <v>0</v>
      </c>
      <c r="Z75" s="697">
        <v>0</v>
      </c>
      <c r="AA75" s="697">
        <v>0</v>
      </c>
      <c r="AB75" s="697">
        <v>0</v>
      </c>
      <c r="AC75" s="697">
        <v>0</v>
      </c>
      <c r="AD75" s="697">
        <v>0</v>
      </c>
      <c r="AE75" s="697">
        <v>0</v>
      </c>
      <c r="AF75" s="697">
        <v>0</v>
      </c>
      <c r="AG75" s="697">
        <v>0</v>
      </c>
      <c r="AH75" s="697">
        <v>0</v>
      </c>
      <c r="AI75" s="697">
        <v>0</v>
      </c>
      <c r="AJ75" s="697">
        <v>0</v>
      </c>
      <c r="AK75" s="697">
        <v>0</v>
      </c>
      <c r="AL75" s="697">
        <v>0</v>
      </c>
      <c r="AM75" s="697">
        <v>0</v>
      </c>
      <c r="AN75" s="697">
        <v>0</v>
      </c>
      <c r="AO75" s="698">
        <v>0</v>
      </c>
      <c r="AP75" s="633"/>
      <c r="AQ75" s="696">
        <v>0</v>
      </c>
      <c r="AR75" s="697">
        <v>0</v>
      </c>
      <c r="AS75" s="697">
        <v>16934.80256</v>
      </c>
      <c r="AT75" s="697">
        <v>16934.80256</v>
      </c>
      <c r="AU75" s="697">
        <v>16934.80256</v>
      </c>
      <c r="AV75" s="697">
        <v>16934.80256</v>
      </c>
      <c r="AW75" s="697">
        <v>16934.80256</v>
      </c>
      <c r="AX75" s="697">
        <v>15917.778329999999</v>
      </c>
      <c r="AY75" s="697">
        <v>15917.778329999999</v>
      </c>
      <c r="AZ75" s="697">
        <v>15917.778329999999</v>
      </c>
      <c r="BA75" s="697">
        <v>15917.778329999999</v>
      </c>
      <c r="BB75" s="697">
        <v>8503.9200290000008</v>
      </c>
      <c r="BC75" s="697">
        <v>0</v>
      </c>
      <c r="BD75" s="697">
        <v>0</v>
      </c>
      <c r="BE75" s="697">
        <v>0</v>
      </c>
      <c r="BF75" s="697">
        <v>0</v>
      </c>
      <c r="BG75" s="697">
        <v>0</v>
      </c>
      <c r="BH75" s="697">
        <v>0</v>
      </c>
      <c r="BI75" s="697">
        <v>0</v>
      </c>
      <c r="BJ75" s="697">
        <v>0</v>
      </c>
      <c r="BK75" s="697">
        <v>0</v>
      </c>
      <c r="BL75" s="697">
        <v>0</v>
      </c>
      <c r="BM75" s="697">
        <v>0</v>
      </c>
      <c r="BN75" s="697">
        <v>0</v>
      </c>
      <c r="BO75" s="697">
        <v>0</v>
      </c>
      <c r="BP75" s="697">
        <v>0</v>
      </c>
      <c r="BQ75" s="697">
        <v>0</v>
      </c>
      <c r="BR75" s="697">
        <v>0</v>
      </c>
      <c r="BS75" s="697">
        <v>0</v>
      </c>
      <c r="BT75" s="698">
        <v>0</v>
      </c>
    </row>
    <row r="76" spans="2:73">
      <c r="B76" s="692" t="s">
        <v>208</v>
      </c>
      <c r="C76" s="692" t="s">
        <v>757</v>
      </c>
      <c r="D76" s="692" t="s">
        <v>22</v>
      </c>
      <c r="E76" s="692" t="s">
        <v>754</v>
      </c>
      <c r="F76" s="692" t="s">
        <v>772</v>
      </c>
      <c r="G76" s="692" t="s">
        <v>755</v>
      </c>
      <c r="H76" s="692">
        <v>2014</v>
      </c>
      <c r="I76" s="644" t="s">
        <v>569</v>
      </c>
      <c r="J76" s="644" t="s">
        <v>584</v>
      </c>
      <c r="K76" s="633"/>
      <c r="L76" s="696">
        <v>0</v>
      </c>
      <c r="M76" s="697">
        <v>0</v>
      </c>
      <c r="N76" s="697">
        <v>0</v>
      </c>
      <c r="O76" s="697">
        <v>56.519007979999998</v>
      </c>
      <c r="P76" s="697">
        <v>56.519007979999998</v>
      </c>
      <c r="Q76" s="697">
        <v>56.519007979999998</v>
      </c>
      <c r="R76" s="697">
        <v>56.519007979999998</v>
      </c>
      <c r="S76" s="697">
        <v>56.519007979999998</v>
      </c>
      <c r="T76" s="697">
        <v>56.519007979999998</v>
      </c>
      <c r="U76" s="697">
        <v>56.448666209999999</v>
      </c>
      <c r="V76" s="697">
        <v>56.448666209999999</v>
      </c>
      <c r="W76" s="697">
        <v>53.410619560000001</v>
      </c>
      <c r="X76" s="697">
        <v>53.11261768</v>
      </c>
      <c r="Y76" s="697">
        <v>51.092878859999999</v>
      </c>
      <c r="Z76" s="697">
        <v>48.791838849999998</v>
      </c>
      <c r="AA76" s="697">
        <v>27.002928709999999</v>
      </c>
      <c r="AB76" s="697">
        <v>27.002928709999999</v>
      </c>
      <c r="AC76" s="697">
        <v>27.002928709999999</v>
      </c>
      <c r="AD76" s="697">
        <v>21.598646930000001</v>
      </c>
      <c r="AE76" s="697">
        <v>2.5268990589999998</v>
      </c>
      <c r="AF76" s="697">
        <v>2.5268990589999998</v>
      </c>
      <c r="AG76" s="697">
        <v>2.5268990589999998</v>
      </c>
      <c r="AH76" s="697">
        <v>2.5268990589999998</v>
      </c>
      <c r="AI76" s="697">
        <v>0</v>
      </c>
      <c r="AJ76" s="697">
        <v>0</v>
      </c>
      <c r="AK76" s="697">
        <v>0</v>
      </c>
      <c r="AL76" s="697">
        <v>0</v>
      </c>
      <c r="AM76" s="697">
        <v>0</v>
      </c>
      <c r="AN76" s="697">
        <v>0</v>
      </c>
      <c r="AO76" s="698">
        <v>0</v>
      </c>
      <c r="AP76" s="633"/>
      <c r="AQ76" s="696">
        <v>0</v>
      </c>
      <c r="AR76" s="697">
        <v>0</v>
      </c>
      <c r="AS76" s="697">
        <v>0</v>
      </c>
      <c r="AT76" s="697">
        <v>314416.90100000001</v>
      </c>
      <c r="AU76" s="697">
        <v>314416.90100000001</v>
      </c>
      <c r="AV76" s="697">
        <v>314416.90100000001</v>
      </c>
      <c r="AW76" s="697">
        <v>314416.90100000001</v>
      </c>
      <c r="AX76" s="697">
        <v>314416.90100000001</v>
      </c>
      <c r="AY76" s="697">
        <v>314416.90100000001</v>
      </c>
      <c r="AZ76" s="697">
        <v>310353.42489999998</v>
      </c>
      <c r="BA76" s="697">
        <v>310353.42489999998</v>
      </c>
      <c r="BB76" s="697">
        <v>286207.26760000002</v>
      </c>
      <c r="BC76" s="697">
        <v>262348.28769999999</v>
      </c>
      <c r="BD76" s="697">
        <v>227986.0324</v>
      </c>
      <c r="BE76" s="697">
        <v>204665.2372</v>
      </c>
      <c r="BF76" s="697">
        <v>63522.154670000004</v>
      </c>
      <c r="BG76" s="697">
        <v>63522.154670000004</v>
      </c>
      <c r="BH76" s="697">
        <v>63522.154670000004</v>
      </c>
      <c r="BI76" s="697">
        <v>50415.539299999997</v>
      </c>
      <c r="BJ76" s="697">
        <v>2945.5017590000002</v>
      </c>
      <c r="BK76" s="697">
        <v>2945.5017590000002</v>
      </c>
      <c r="BL76" s="697">
        <v>2945.5017590000002</v>
      </c>
      <c r="BM76" s="697">
        <v>2945.5017590000002</v>
      </c>
      <c r="BN76" s="697">
        <v>0</v>
      </c>
      <c r="BO76" s="697">
        <v>0</v>
      </c>
      <c r="BP76" s="697">
        <v>0</v>
      </c>
      <c r="BQ76" s="697">
        <v>0</v>
      </c>
      <c r="BR76" s="697">
        <v>0</v>
      </c>
      <c r="BS76" s="697">
        <v>0</v>
      </c>
      <c r="BT76" s="698">
        <v>0</v>
      </c>
    </row>
    <row r="77" spans="2:73">
      <c r="B77" s="692" t="s">
        <v>208</v>
      </c>
      <c r="C77" s="692" t="s">
        <v>753</v>
      </c>
      <c r="D77" s="692" t="s">
        <v>2</v>
      </c>
      <c r="E77" s="692" t="s">
        <v>754</v>
      </c>
      <c r="F77" s="692" t="s">
        <v>29</v>
      </c>
      <c r="G77" s="692" t="s">
        <v>755</v>
      </c>
      <c r="H77" s="692">
        <v>2014</v>
      </c>
      <c r="I77" s="644" t="s">
        <v>569</v>
      </c>
      <c r="J77" s="644" t="s">
        <v>584</v>
      </c>
      <c r="K77" s="633"/>
      <c r="L77" s="696">
        <v>0</v>
      </c>
      <c r="M77" s="697">
        <v>0</v>
      </c>
      <c r="N77" s="697">
        <v>0</v>
      </c>
      <c r="O77" s="697">
        <v>2.0719409899999999</v>
      </c>
      <c r="P77" s="697">
        <v>2.0719409899999999</v>
      </c>
      <c r="Q77" s="697">
        <v>2.0719409899999999</v>
      </c>
      <c r="R77" s="697">
        <v>2.0719409899999999</v>
      </c>
      <c r="S77" s="697">
        <v>0</v>
      </c>
      <c r="T77" s="697">
        <v>0</v>
      </c>
      <c r="U77" s="697">
        <v>0</v>
      </c>
      <c r="V77" s="697">
        <v>0</v>
      </c>
      <c r="W77" s="697">
        <v>0</v>
      </c>
      <c r="X77" s="697">
        <v>0</v>
      </c>
      <c r="Y77" s="697">
        <v>0</v>
      </c>
      <c r="Z77" s="697">
        <v>0</v>
      </c>
      <c r="AA77" s="697">
        <v>0</v>
      </c>
      <c r="AB77" s="697">
        <v>0</v>
      </c>
      <c r="AC77" s="697">
        <v>0</v>
      </c>
      <c r="AD77" s="697">
        <v>0</v>
      </c>
      <c r="AE77" s="697">
        <v>0</v>
      </c>
      <c r="AF77" s="697">
        <v>0</v>
      </c>
      <c r="AG77" s="697">
        <v>0</v>
      </c>
      <c r="AH77" s="697">
        <v>0</v>
      </c>
      <c r="AI77" s="697">
        <v>0</v>
      </c>
      <c r="AJ77" s="697">
        <v>0</v>
      </c>
      <c r="AK77" s="697">
        <v>0</v>
      </c>
      <c r="AL77" s="697">
        <v>0</v>
      </c>
      <c r="AM77" s="697">
        <v>0</v>
      </c>
      <c r="AN77" s="697">
        <v>0</v>
      </c>
      <c r="AO77" s="698">
        <v>0</v>
      </c>
      <c r="AP77" s="633"/>
      <c r="AQ77" s="696">
        <v>0</v>
      </c>
      <c r="AR77" s="697">
        <v>0</v>
      </c>
      <c r="AS77" s="697">
        <v>0</v>
      </c>
      <c r="AT77" s="697">
        <v>3694.39878</v>
      </c>
      <c r="AU77" s="697">
        <v>3694.39878</v>
      </c>
      <c r="AV77" s="697">
        <v>3694.39878</v>
      </c>
      <c r="AW77" s="697">
        <v>3694.39878</v>
      </c>
      <c r="AX77" s="697">
        <v>0</v>
      </c>
      <c r="AY77" s="697">
        <v>0</v>
      </c>
      <c r="AZ77" s="697">
        <v>0</v>
      </c>
      <c r="BA77" s="697">
        <v>0</v>
      </c>
      <c r="BB77" s="697">
        <v>0</v>
      </c>
      <c r="BC77" s="697">
        <v>0</v>
      </c>
      <c r="BD77" s="697">
        <v>0</v>
      </c>
      <c r="BE77" s="697">
        <v>0</v>
      </c>
      <c r="BF77" s="697">
        <v>0</v>
      </c>
      <c r="BG77" s="697">
        <v>0</v>
      </c>
      <c r="BH77" s="697">
        <v>0</v>
      </c>
      <c r="BI77" s="697">
        <v>0</v>
      </c>
      <c r="BJ77" s="697">
        <v>0</v>
      </c>
      <c r="BK77" s="697">
        <v>0</v>
      </c>
      <c r="BL77" s="697">
        <v>0</v>
      </c>
      <c r="BM77" s="697">
        <v>0</v>
      </c>
      <c r="BN77" s="697">
        <v>0</v>
      </c>
      <c r="BO77" s="697">
        <v>0</v>
      </c>
      <c r="BP77" s="697">
        <v>0</v>
      </c>
      <c r="BQ77" s="697">
        <v>0</v>
      </c>
      <c r="BR77" s="697">
        <v>0</v>
      </c>
      <c r="BS77" s="697">
        <v>0</v>
      </c>
      <c r="BT77" s="698">
        <v>0</v>
      </c>
    </row>
    <row r="78" spans="2:73">
      <c r="B78" s="692" t="s">
        <v>208</v>
      </c>
      <c r="C78" s="692" t="s">
        <v>753</v>
      </c>
      <c r="D78" s="692" t="s">
        <v>1</v>
      </c>
      <c r="E78" s="692" t="s">
        <v>754</v>
      </c>
      <c r="F78" s="692" t="s">
        <v>29</v>
      </c>
      <c r="G78" s="692" t="s">
        <v>755</v>
      </c>
      <c r="H78" s="692">
        <v>2014</v>
      </c>
      <c r="I78" s="644" t="s">
        <v>569</v>
      </c>
      <c r="J78" s="644" t="s">
        <v>584</v>
      </c>
      <c r="K78" s="633"/>
      <c r="L78" s="696">
        <v>0</v>
      </c>
      <c r="M78" s="697">
        <v>0</v>
      </c>
      <c r="N78" s="697">
        <v>0</v>
      </c>
      <c r="O78" s="697">
        <v>0.23350859500000001</v>
      </c>
      <c r="P78" s="697">
        <v>0.23350859500000001</v>
      </c>
      <c r="Q78" s="697">
        <v>0.23350859500000001</v>
      </c>
      <c r="R78" s="697">
        <v>0</v>
      </c>
      <c r="S78" s="697">
        <v>0</v>
      </c>
      <c r="T78" s="697">
        <v>0</v>
      </c>
      <c r="U78" s="697">
        <v>0</v>
      </c>
      <c r="V78" s="697">
        <v>0</v>
      </c>
      <c r="W78" s="697">
        <v>0</v>
      </c>
      <c r="X78" s="697">
        <v>0</v>
      </c>
      <c r="Y78" s="697">
        <v>0</v>
      </c>
      <c r="Z78" s="697">
        <v>0</v>
      </c>
      <c r="AA78" s="697">
        <v>0</v>
      </c>
      <c r="AB78" s="697">
        <v>0</v>
      </c>
      <c r="AC78" s="697">
        <v>0</v>
      </c>
      <c r="AD78" s="697">
        <v>0</v>
      </c>
      <c r="AE78" s="697">
        <v>0</v>
      </c>
      <c r="AF78" s="697">
        <v>0</v>
      </c>
      <c r="AG78" s="697">
        <v>0</v>
      </c>
      <c r="AH78" s="697">
        <v>0</v>
      </c>
      <c r="AI78" s="697">
        <v>0</v>
      </c>
      <c r="AJ78" s="697">
        <v>0</v>
      </c>
      <c r="AK78" s="697">
        <v>0</v>
      </c>
      <c r="AL78" s="697">
        <v>0</v>
      </c>
      <c r="AM78" s="697">
        <v>0</v>
      </c>
      <c r="AN78" s="697">
        <v>0</v>
      </c>
      <c r="AO78" s="698">
        <v>0</v>
      </c>
      <c r="AP78" s="633"/>
      <c r="AQ78" s="696">
        <v>0</v>
      </c>
      <c r="AR78" s="697">
        <v>0</v>
      </c>
      <c r="AS78" s="697">
        <v>0</v>
      </c>
      <c r="AT78" s="697">
        <v>208.81609320000001</v>
      </c>
      <c r="AU78" s="697">
        <v>208.81609320000001</v>
      </c>
      <c r="AV78" s="697">
        <v>208.81609320000001</v>
      </c>
      <c r="AW78" s="697">
        <v>0</v>
      </c>
      <c r="AX78" s="697">
        <v>0</v>
      </c>
      <c r="AY78" s="697">
        <v>0</v>
      </c>
      <c r="AZ78" s="697">
        <v>0</v>
      </c>
      <c r="BA78" s="697">
        <v>0</v>
      </c>
      <c r="BB78" s="697">
        <v>0</v>
      </c>
      <c r="BC78" s="697">
        <v>0</v>
      </c>
      <c r="BD78" s="697">
        <v>0</v>
      </c>
      <c r="BE78" s="697">
        <v>0</v>
      </c>
      <c r="BF78" s="697">
        <v>0</v>
      </c>
      <c r="BG78" s="697">
        <v>0</v>
      </c>
      <c r="BH78" s="697">
        <v>0</v>
      </c>
      <c r="BI78" s="697">
        <v>0</v>
      </c>
      <c r="BJ78" s="697">
        <v>0</v>
      </c>
      <c r="BK78" s="697">
        <v>0</v>
      </c>
      <c r="BL78" s="697">
        <v>0</v>
      </c>
      <c r="BM78" s="697">
        <v>0</v>
      </c>
      <c r="BN78" s="697">
        <v>0</v>
      </c>
      <c r="BO78" s="697">
        <v>0</v>
      </c>
      <c r="BP78" s="697">
        <v>0</v>
      </c>
      <c r="BQ78" s="697">
        <v>0</v>
      </c>
      <c r="BR78" s="697">
        <v>0</v>
      </c>
      <c r="BS78" s="697">
        <v>0</v>
      </c>
      <c r="BT78" s="698">
        <v>0</v>
      </c>
    </row>
    <row r="79" spans="2:73" ht="15.75">
      <c r="B79" s="692" t="s">
        <v>208</v>
      </c>
      <c r="C79" s="692" t="s">
        <v>753</v>
      </c>
      <c r="D79" s="692" t="s">
        <v>1</v>
      </c>
      <c r="E79" s="692" t="s">
        <v>754</v>
      </c>
      <c r="F79" s="692" t="s">
        <v>29</v>
      </c>
      <c r="G79" s="692" t="s">
        <v>755</v>
      </c>
      <c r="H79" s="692">
        <v>2014</v>
      </c>
      <c r="I79" s="644" t="s">
        <v>569</v>
      </c>
      <c r="J79" s="644" t="s">
        <v>584</v>
      </c>
      <c r="K79" s="633"/>
      <c r="L79" s="696">
        <v>0</v>
      </c>
      <c r="M79" s="697">
        <v>0</v>
      </c>
      <c r="N79" s="697">
        <v>0</v>
      </c>
      <c r="O79" s="697">
        <v>0.17698983400000001</v>
      </c>
      <c r="P79" s="697">
        <v>0.17698983400000001</v>
      </c>
      <c r="Q79" s="697">
        <v>0.17698983400000001</v>
      </c>
      <c r="R79" s="697">
        <v>0.17698983400000001</v>
      </c>
      <c r="S79" s="697">
        <v>0</v>
      </c>
      <c r="T79" s="697">
        <v>0</v>
      </c>
      <c r="U79" s="697">
        <v>0</v>
      </c>
      <c r="V79" s="697">
        <v>0</v>
      </c>
      <c r="W79" s="697">
        <v>0</v>
      </c>
      <c r="X79" s="697">
        <v>0</v>
      </c>
      <c r="Y79" s="697">
        <v>0</v>
      </c>
      <c r="Z79" s="697">
        <v>0</v>
      </c>
      <c r="AA79" s="697">
        <v>0</v>
      </c>
      <c r="AB79" s="697">
        <v>0</v>
      </c>
      <c r="AC79" s="697">
        <v>0</v>
      </c>
      <c r="AD79" s="697">
        <v>0</v>
      </c>
      <c r="AE79" s="697">
        <v>0</v>
      </c>
      <c r="AF79" s="697">
        <v>0</v>
      </c>
      <c r="AG79" s="697">
        <v>0</v>
      </c>
      <c r="AH79" s="697">
        <v>0</v>
      </c>
      <c r="AI79" s="697">
        <v>0</v>
      </c>
      <c r="AJ79" s="697">
        <v>0</v>
      </c>
      <c r="AK79" s="697">
        <v>0</v>
      </c>
      <c r="AL79" s="697">
        <v>0</v>
      </c>
      <c r="AM79" s="697">
        <v>0</v>
      </c>
      <c r="AN79" s="697">
        <v>0</v>
      </c>
      <c r="AO79" s="698">
        <v>0</v>
      </c>
      <c r="AP79" s="633"/>
      <c r="AQ79" s="696">
        <v>0</v>
      </c>
      <c r="AR79" s="697">
        <v>0</v>
      </c>
      <c r="AS79" s="697">
        <v>0</v>
      </c>
      <c r="AT79" s="697">
        <v>315.58380820000002</v>
      </c>
      <c r="AU79" s="697">
        <v>315.58380820000002</v>
      </c>
      <c r="AV79" s="697">
        <v>315.58380820000002</v>
      </c>
      <c r="AW79" s="697">
        <v>315.58380820000002</v>
      </c>
      <c r="AX79" s="697">
        <v>0</v>
      </c>
      <c r="AY79" s="697">
        <v>0</v>
      </c>
      <c r="AZ79" s="697">
        <v>0</v>
      </c>
      <c r="BA79" s="697">
        <v>0</v>
      </c>
      <c r="BB79" s="697">
        <v>0</v>
      </c>
      <c r="BC79" s="697">
        <v>0</v>
      </c>
      <c r="BD79" s="697">
        <v>0</v>
      </c>
      <c r="BE79" s="697">
        <v>0</v>
      </c>
      <c r="BF79" s="697">
        <v>0</v>
      </c>
      <c r="BG79" s="697">
        <v>0</v>
      </c>
      <c r="BH79" s="697">
        <v>0</v>
      </c>
      <c r="BI79" s="697">
        <v>0</v>
      </c>
      <c r="BJ79" s="697">
        <v>0</v>
      </c>
      <c r="BK79" s="697">
        <v>0</v>
      </c>
      <c r="BL79" s="697">
        <v>0</v>
      </c>
      <c r="BM79" s="697">
        <v>0</v>
      </c>
      <c r="BN79" s="697">
        <v>0</v>
      </c>
      <c r="BO79" s="697">
        <v>0</v>
      </c>
      <c r="BP79" s="697">
        <v>0</v>
      </c>
      <c r="BQ79" s="697">
        <v>0</v>
      </c>
      <c r="BR79" s="697">
        <v>0</v>
      </c>
      <c r="BS79" s="697">
        <v>0</v>
      </c>
      <c r="BT79" s="698">
        <v>0</v>
      </c>
      <c r="BU79" s="163"/>
    </row>
    <row r="80" spans="2:73" ht="15.75">
      <c r="B80" s="692" t="s">
        <v>208</v>
      </c>
      <c r="C80" s="692" t="s">
        <v>753</v>
      </c>
      <c r="D80" s="692" t="s">
        <v>1</v>
      </c>
      <c r="E80" s="692" t="s">
        <v>754</v>
      </c>
      <c r="F80" s="692" t="s">
        <v>29</v>
      </c>
      <c r="G80" s="692" t="s">
        <v>755</v>
      </c>
      <c r="H80" s="692">
        <v>2014</v>
      </c>
      <c r="I80" s="644" t="s">
        <v>569</v>
      </c>
      <c r="J80" s="644" t="s">
        <v>584</v>
      </c>
      <c r="K80" s="633"/>
      <c r="L80" s="696">
        <v>0</v>
      </c>
      <c r="M80" s="697">
        <v>0</v>
      </c>
      <c r="N80" s="697">
        <v>0</v>
      </c>
      <c r="O80" s="697">
        <v>0.55773381341334616</v>
      </c>
      <c r="P80" s="697">
        <v>0.55773381341334616</v>
      </c>
      <c r="Q80" s="697">
        <v>0.55773381341334616</v>
      </c>
      <c r="R80" s="697">
        <v>0.55773381341334616</v>
      </c>
      <c r="S80" s="697">
        <v>0</v>
      </c>
      <c r="T80" s="697">
        <v>0</v>
      </c>
      <c r="U80" s="697">
        <v>0</v>
      </c>
      <c r="V80" s="697">
        <v>0</v>
      </c>
      <c r="W80" s="697">
        <v>0</v>
      </c>
      <c r="X80" s="697">
        <v>0</v>
      </c>
      <c r="Y80" s="697">
        <v>0</v>
      </c>
      <c r="Z80" s="697">
        <v>0</v>
      </c>
      <c r="AA80" s="697">
        <v>0</v>
      </c>
      <c r="AB80" s="697">
        <v>0</v>
      </c>
      <c r="AC80" s="697">
        <v>0</v>
      </c>
      <c r="AD80" s="697">
        <v>0</v>
      </c>
      <c r="AE80" s="697">
        <v>0</v>
      </c>
      <c r="AF80" s="697">
        <v>0</v>
      </c>
      <c r="AG80" s="697">
        <v>0</v>
      </c>
      <c r="AH80" s="697">
        <v>0</v>
      </c>
      <c r="AI80" s="697">
        <v>0</v>
      </c>
      <c r="AJ80" s="697">
        <v>0</v>
      </c>
      <c r="AK80" s="697">
        <v>0</v>
      </c>
      <c r="AL80" s="697">
        <v>0</v>
      </c>
      <c r="AM80" s="697">
        <v>0</v>
      </c>
      <c r="AN80" s="697">
        <v>0</v>
      </c>
      <c r="AO80" s="698">
        <v>0</v>
      </c>
      <c r="AP80" s="633"/>
      <c r="AQ80" s="696">
        <v>0</v>
      </c>
      <c r="AR80" s="697">
        <v>0</v>
      </c>
      <c r="AS80" s="697">
        <v>0</v>
      </c>
      <c r="AT80" s="697">
        <v>4038.3099172697453</v>
      </c>
      <c r="AU80" s="697">
        <v>4038.3099172697453</v>
      </c>
      <c r="AV80" s="697">
        <v>4038.3099172697453</v>
      </c>
      <c r="AW80" s="697">
        <v>4038.3099172697453</v>
      </c>
      <c r="AX80" s="697">
        <v>0</v>
      </c>
      <c r="AY80" s="697">
        <v>0</v>
      </c>
      <c r="AZ80" s="697">
        <v>0</v>
      </c>
      <c r="BA80" s="697">
        <v>0</v>
      </c>
      <c r="BB80" s="697">
        <v>0</v>
      </c>
      <c r="BC80" s="697">
        <v>0</v>
      </c>
      <c r="BD80" s="697">
        <v>0</v>
      </c>
      <c r="BE80" s="697">
        <v>0</v>
      </c>
      <c r="BF80" s="697">
        <v>0</v>
      </c>
      <c r="BG80" s="697">
        <v>0</v>
      </c>
      <c r="BH80" s="697">
        <v>0</v>
      </c>
      <c r="BI80" s="697">
        <v>0</v>
      </c>
      <c r="BJ80" s="697">
        <v>0</v>
      </c>
      <c r="BK80" s="697">
        <v>0</v>
      </c>
      <c r="BL80" s="697">
        <v>0</v>
      </c>
      <c r="BM80" s="697">
        <v>0</v>
      </c>
      <c r="BN80" s="697">
        <v>0</v>
      </c>
      <c r="BO80" s="697">
        <v>0</v>
      </c>
      <c r="BP80" s="697">
        <v>0</v>
      </c>
      <c r="BQ80" s="697">
        <v>0</v>
      </c>
      <c r="BR80" s="697">
        <v>0</v>
      </c>
      <c r="BS80" s="697">
        <v>0</v>
      </c>
      <c r="BT80" s="698">
        <v>0</v>
      </c>
      <c r="BU80" s="163"/>
    </row>
    <row r="81" spans="2:73">
      <c r="B81" s="692" t="s">
        <v>208</v>
      </c>
      <c r="C81" s="692" t="s">
        <v>753</v>
      </c>
      <c r="D81" s="692" t="s">
        <v>1</v>
      </c>
      <c r="E81" s="692" t="s">
        <v>754</v>
      </c>
      <c r="F81" s="692" t="s">
        <v>29</v>
      </c>
      <c r="G81" s="692" t="s">
        <v>755</v>
      </c>
      <c r="H81" s="692">
        <v>2014</v>
      </c>
      <c r="I81" s="644" t="s">
        <v>569</v>
      </c>
      <c r="J81" s="644" t="s">
        <v>584</v>
      </c>
      <c r="K81" s="633"/>
      <c r="L81" s="696">
        <v>0</v>
      </c>
      <c r="M81" s="697">
        <v>0</v>
      </c>
      <c r="N81" s="697">
        <v>0</v>
      </c>
      <c r="O81" s="697">
        <v>1.2011981729057852</v>
      </c>
      <c r="P81" s="697">
        <v>1.2011981729057852</v>
      </c>
      <c r="Q81" s="697">
        <v>1.2011981729057852</v>
      </c>
      <c r="R81" s="697">
        <v>1.2011981729057852</v>
      </c>
      <c r="S81" s="697">
        <v>1.2011981729057852</v>
      </c>
      <c r="T81" s="697">
        <v>0</v>
      </c>
      <c r="U81" s="697">
        <v>0</v>
      </c>
      <c r="V81" s="697">
        <v>0</v>
      </c>
      <c r="W81" s="697">
        <v>0</v>
      </c>
      <c r="X81" s="697">
        <v>0</v>
      </c>
      <c r="Y81" s="697">
        <v>0</v>
      </c>
      <c r="Z81" s="697">
        <v>0</v>
      </c>
      <c r="AA81" s="697">
        <v>0</v>
      </c>
      <c r="AB81" s="697">
        <v>0</v>
      </c>
      <c r="AC81" s="697">
        <v>0</v>
      </c>
      <c r="AD81" s="697">
        <v>0</v>
      </c>
      <c r="AE81" s="697">
        <v>0</v>
      </c>
      <c r="AF81" s="697">
        <v>0</v>
      </c>
      <c r="AG81" s="697">
        <v>0</v>
      </c>
      <c r="AH81" s="697">
        <v>0</v>
      </c>
      <c r="AI81" s="697">
        <v>0</v>
      </c>
      <c r="AJ81" s="697">
        <v>0</v>
      </c>
      <c r="AK81" s="697">
        <v>0</v>
      </c>
      <c r="AL81" s="697">
        <v>0</v>
      </c>
      <c r="AM81" s="697">
        <v>0</v>
      </c>
      <c r="AN81" s="697">
        <v>0</v>
      </c>
      <c r="AO81" s="698">
        <v>0</v>
      </c>
      <c r="AP81" s="633"/>
      <c r="AQ81" s="696">
        <v>0</v>
      </c>
      <c r="AR81" s="697">
        <v>0</v>
      </c>
      <c r="AS81" s="697">
        <v>0</v>
      </c>
      <c r="AT81" s="697">
        <v>8173.4093079970035</v>
      </c>
      <c r="AU81" s="697">
        <v>8173.4093079970035</v>
      </c>
      <c r="AV81" s="697">
        <v>8173.4093079970035</v>
      </c>
      <c r="AW81" s="697">
        <v>8173.4093079970035</v>
      </c>
      <c r="AX81" s="697">
        <v>8173.4093079970035</v>
      </c>
      <c r="AY81" s="697">
        <v>0</v>
      </c>
      <c r="AZ81" s="697">
        <v>0</v>
      </c>
      <c r="BA81" s="697">
        <v>0</v>
      </c>
      <c r="BB81" s="697">
        <v>0</v>
      </c>
      <c r="BC81" s="697">
        <v>0</v>
      </c>
      <c r="BD81" s="697">
        <v>0</v>
      </c>
      <c r="BE81" s="697">
        <v>0</v>
      </c>
      <c r="BF81" s="697">
        <v>0</v>
      </c>
      <c r="BG81" s="697">
        <v>0</v>
      </c>
      <c r="BH81" s="697">
        <v>0</v>
      </c>
      <c r="BI81" s="697">
        <v>0</v>
      </c>
      <c r="BJ81" s="697">
        <v>0</v>
      </c>
      <c r="BK81" s="697">
        <v>0</v>
      </c>
      <c r="BL81" s="697">
        <v>0</v>
      </c>
      <c r="BM81" s="697">
        <v>0</v>
      </c>
      <c r="BN81" s="697">
        <v>0</v>
      </c>
      <c r="BO81" s="697">
        <v>0</v>
      </c>
      <c r="BP81" s="697">
        <v>0</v>
      </c>
      <c r="BQ81" s="697">
        <v>0</v>
      </c>
      <c r="BR81" s="697">
        <v>0</v>
      </c>
      <c r="BS81" s="697">
        <v>0</v>
      </c>
      <c r="BT81" s="698">
        <v>0</v>
      </c>
    </row>
    <row r="82" spans="2:73" ht="15.75">
      <c r="B82" s="692" t="s">
        <v>208</v>
      </c>
      <c r="C82" s="692" t="s">
        <v>753</v>
      </c>
      <c r="D82" s="692" t="s">
        <v>5</v>
      </c>
      <c r="E82" s="692" t="s">
        <v>754</v>
      </c>
      <c r="F82" s="692" t="s">
        <v>29</v>
      </c>
      <c r="G82" s="692" t="s">
        <v>755</v>
      </c>
      <c r="H82" s="692">
        <v>2014</v>
      </c>
      <c r="I82" s="644" t="s">
        <v>569</v>
      </c>
      <c r="J82" s="644" t="s">
        <v>584</v>
      </c>
      <c r="K82" s="633"/>
      <c r="L82" s="696">
        <v>0</v>
      </c>
      <c r="M82" s="697">
        <v>0</v>
      </c>
      <c r="N82" s="697">
        <v>0</v>
      </c>
      <c r="O82" s="697">
        <v>18.332490790000001</v>
      </c>
      <c r="P82" s="697">
        <v>16.00227482</v>
      </c>
      <c r="Q82" s="697">
        <v>14.787895280000001</v>
      </c>
      <c r="R82" s="697">
        <v>14.787895280000001</v>
      </c>
      <c r="S82" s="697">
        <v>14.787895280000001</v>
      </c>
      <c r="T82" s="697">
        <v>14.787895280000001</v>
      </c>
      <c r="U82" s="697">
        <v>14.787895280000001</v>
      </c>
      <c r="V82" s="697">
        <v>14.77683541</v>
      </c>
      <c r="W82" s="697">
        <v>14.77683541</v>
      </c>
      <c r="X82" s="697">
        <v>13.795203190000001</v>
      </c>
      <c r="Y82" s="697">
        <v>12.55448209</v>
      </c>
      <c r="Z82" s="697">
        <v>10.6348039</v>
      </c>
      <c r="AA82" s="697">
        <v>10.6348039</v>
      </c>
      <c r="AB82" s="697">
        <v>10.583629439999999</v>
      </c>
      <c r="AC82" s="697">
        <v>10.583629439999999</v>
      </c>
      <c r="AD82" s="697">
        <v>10.562011650000001</v>
      </c>
      <c r="AE82" s="697">
        <v>8.5862215630000005</v>
      </c>
      <c r="AF82" s="697">
        <v>8.5862215630000005</v>
      </c>
      <c r="AG82" s="697">
        <v>8.5862215630000005</v>
      </c>
      <c r="AH82" s="697">
        <v>8.5862215630000005</v>
      </c>
      <c r="AI82" s="697">
        <v>0</v>
      </c>
      <c r="AJ82" s="697">
        <v>0</v>
      </c>
      <c r="AK82" s="697">
        <v>0</v>
      </c>
      <c r="AL82" s="697">
        <v>0</v>
      </c>
      <c r="AM82" s="697">
        <v>0</v>
      </c>
      <c r="AN82" s="697">
        <v>0</v>
      </c>
      <c r="AO82" s="698">
        <v>0</v>
      </c>
      <c r="AP82" s="633"/>
      <c r="AQ82" s="696">
        <v>0</v>
      </c>
      <c r="AR82" s="697">
        <v>0</v>
      </c>
      <c r="AS82" s="697">
        <v>0</v>
      </c>
      <c r="AT82" s="697">
        <v>280119.30940000003</v>
      </c>
      <c r="AU82" s="697">
        <v>243000.54190000001</v>
      </c>
      <c r="AV82" s="697">
        <v>223656.29550000001</v>
      </c>
      <c r="AW82" s="697">
        <v>223656.29550000001</v>
      </c>
      <c r="AX82" s="697">
        <v>223656.29550000001</v>
      </c>
      <c r="AY82" s="697">
        <v>223656.29550000001</v>
      </c>
      <c r="AZ82" s="697">
        <v>223656.29550000001</v>
      </c>
      <c r="BA82" s="697">
        <v>223559.41099999999</v>
      </c>
      <c r="BB82" s="697">
        <v>223559.41099999999</v>
      </c>
      <c r="BC82" s="697">
        <v>207922.67249999999</v>
      </c>
      <c r="BD82" s="697">
        <v>202140.43299999999</v>
      </c>
      <c r="BE82" s="697">
        <v>170931.64019999999</v>
      </c>
      <c r="BF82" s="697">
        <v>170931.64019999999</v>
      </c>
      <c r="BG82" s="697">
        <v>168483.91390000001</v>
      </c>
      <c r="BH82" s="697">
        <v>168483.91390000001</v>
      </c>
      <c r="BI82" s="697">
        <v>168245.7163</v>
      </c>
      <c r="BJ82" s="697">
        <v>136772.7139</v>
      </c>
      <c r="BK82" s="697">
        <v>136772.7139</v>
      </c>
      <c r="BL82" s="697">
        <v>136772.7139</v>
      </c>
      <c r="BM82" s="697">
        <v>136772.7139</v>
      </c>
      <c r="BN82" s="697">
        <v>0</v>
      </c>
      <c r="BO82" s="697">
        <v>0</v>
      </c>
      <c r="BP82" s="697">
        <v>0</v>
      </c>
      <c r="BQ82" s="697">
        <v>0</v>
      </c>
      <c r="BR82" s="697">
        <v>0</v>
      </c>
      <c r="BS82" s="697">
        <v>0</v>
      </c>
      <c r="BT82" s="698">
        <v>0</v>
      </c>
      <c r="BU82" s="163"/>
    </row>
    <row r="83" spans="2:73" ht="15.75">
      <c r="B83" s="692" t="s">
        <v>208</v>
      </c>
      <c r="C83" s="692" t="s">
        <v>753</v>
      </c>
      <c r="D83" s="692" t="s">
        <v>4</v>
      </c>
      <c r="E83" s="692" t="s">
        <v>754</v>
      </c>
      <c r="F83" s="692" t="s">
        <v>29</v>
      </c>
      <c r="G83" s="692" t="s">
        <v>755</v>
      </c>
      <c r="H83" s="692">
        <v>2013</v>
      </c>
      <c r="I83" s="644" t="s">
        <v>569</v>
      </c>
      <c r="J83" s="644" t="s">
        <v>577</v>
      </c>
      <c r="K83" s="633"/>
      <c r="L83" s="696">
        <v>0</v>
      </c>
      <c r="M83" s="697">
        <v>0</v>
      </c>
      <c r="N83" s="697">
        <v>4.0000000000000001E-3</v>
      </c>
      <c r="O83" s="697">
        <v>4.0000000000000001E-3</v>
      </c>
      <c r="P83" s="697">
        <v>4.0000000000000001E-3</v>
      </c>
      <c r="Q83" s="697">
        <v>3.0000000000000001E-3</v>
      </c>
      <c r="R83" s="697">
        <v>3.0000000000000001E-3</v>
      </c>
      <c r="S83" s="697">
        <v>3.0000000000000001E-3</v>
      </c>
      <c r="T83" s="697">
        <v>3.0000000000000001E-3</v>
      </c>
      <c r="U83" s="697">
        <v>3.0000000000000001E-3</v>
      </c>
      <c r="V83" s="697">
        <v>3.0000000000000001E-3</v>
      </c>
      <c r="W83" s="697">
        <v>3.0000000000000001E-3</v>
      </c>
      <c r="X83" s="697">
        <v>2E-3</v>
      </c>
      <c r="Y83" s="697">
        <v>2E-3</v>
      </c>
      <c r="Z83" s="697">
        <v>2E-3</v>
      </c>
      <c r="AA83" s="697">
        <v>2E-3</v>
      </c>
      <c r="AB83" s="697">
        <v>2E-3</v>
      </c>
      <c r="AC83" s="697">
        <v>2E-3</v>
      </c>
      <c r="AD83" s="697">
        <v>1E-3</v>
      </c>
      <c r="AE83" s="697">
        <v>1E-3</v>
      </c>
      <c r="AF83" s="697">
        <v>1E-3</v>
      </c>
      <c r="AG83" s="697">
        <v>1E-3</v>
      </c>
      <c r="AH83" s="697">
        <v>0</v>
      </c>
      <c r="AI83" s="697">
        <v>0</v>
      </c>
      <c r="AJ83" s="697">
        <v>0</v>
      </c>
      <c r="AK83" s="697">
        <v>0</v>
      </c>
      <c r="AL83" s="697">
        <v>0</v>
      </c>
      <c r="AM83" s="697">
        <v>0</v>
      </c>
      <c r="AN83" s="697">
        <v>0</v>
      </c>
      <c r="AO83" s="698">
        <v>0</v>
      </c>
      <c r="AP83" s="633"/>
      <c r="AQ83" s="696">
        <v>0</v>
      </c>
      <c r="AR83" s="697">
        <v>0</v>
      </c>
      <c r="AS83" s="697">
        <v>54</v>
      </c>
      <c r="AT83" s="697">
        <v>54</v>
      </c>
      <c r="AU83" s="697">
        <v>51</v>
      </c>
      <c r="AV83" s="697">
        <v>44</v>
      </c>
      <c r="AW83" s="697">
        <v>44</v>
      </c>
      <c r="AX83" s="697">
        <v>44</v>
      </c>
      <c r="AY83" s="697">
        <v>44</v>
      </c>
      <c r="AZ83" s="697">
        <v>44</v>
      </c>
      <c r="BA83" s="697">
        <v>37</v>
      </c>
      <c r="BB83" s="697">
        <v>37</v>
      </c>
      <c r="BC83" s="697">
        <v>35</v>
      </c>
      <c r="BD83" s="697">
        <v>35</v>
      </c>
      <c r="BE83" s="697">
        <v>35</v>
      </c>
      <c r="BF83" s="697">
        <v>35</v>
      </c>
      <c r="BG83" s="697">
        <v>35</v>
      </c>
      <c r="BH83" s="697">
        <v>35</v>
      </c>
      <c r="BI83" s="697">
        <v>19</v>
      </c>
      <c r="BJ83" s="697">
        <v>19</v>
      </c>
      <c r="BK83" s="697">
        <v>19</v>
      </c>
      <c r="BL83" s="697">
        <v>19</v>
      </c>
      <c r="BM83" s="697">
        <v>0</v>
      </c>
      <c r="BN83" s="697">
        <v>0</v>
      </c>
      <c r="BO83" s="697">
        <v>0</v>
      </c>
      <c r="BP83" s="697">
        <v>0</v>
      </c>
      <c r="BQ83" s="697">
        <v>0</v>
      </c>
      <c r="BR83" s="697">
        <v>0</v>
      </c>
      <c r="BS83" s="697">
        <v>0</v>
      </c>
      <c r="BT83" s="698">
        <v>0</v>
      </c>
      <c r="BU83" s="163"/>
    </row>
    <row r="84" spans="2:73" ht="15.75">
      <c r="B84" s="692" t="s">
        <v>208</v>
      </c>
      <c r="C84" s="692" t="s">
        <v>753</v>
      </c>
      <c r="D84" s="692" t="s">
        <v>4</v>
      </c>
      <c r="E84" s="692" t="s">
        <v>754</v>
      </c>
      <c r="F84" s="692" t="s">
        <v>29</v>
      </c>
      <c r="G84" s="692" t="s">
        <v>755</v>
      </c>
      <c r="H84" s="692">
        <v>2014</v>
      </c>
      <c r="I84" s="644" t="s">
        <v>569</v>
      </c>
      <c r="J84" s="644" t="s">
        <v>584</v>
      </c>
      <c r="K84" s="633"/>
      <c r="L84" s="696">
        <v>0</v>
      </c>
      <c r="M84" s="697">
        <v>0</v>
      </c>
      <c r="N84" s="697">
        <v>0</v>
      </c>
      <c r="O84" s="697">
        <v>4.8729019009999996</v>
      </c>
      <c r="P84" s="697">
        <v>4.594478895</v>
      </c>
      <c r="Q84" s="697">
        <v>4.4600410070000001</v>
      </c>
      <c r="R84" s="697">
        <v>4.4600410070000001</v>
      </c>
      <c r="S84" s="697">
        <v>4.4600410070000001</v>
      </c>
      <c r="T84" s="697">
        <v>4.4600410070000001</v>
      </c>
      <c r="U84" s="697">
        <v>4.4600410070000001</v>
      </c>
      <c r="V84" s="697">
        <v>4.4472530260000003</v>
      </c>
      <c r="W84" s="697">
        <v>4.4472530260000003</v>
      </c>
      <c r="X84" s="697">
        <v>3.9161571520000003</v>
      </c>
      <c r="Y84" s="697">
        <v>2.8699745110000001</v>
      </c>
      <c r="Z84" s="697">
        <v>2.8699052630000002</v>
      </c>
      <c r="AA84" s="697">
        <v>2.8699052630000002</v>
      </c>
      <c r="AB84" s="697">
        <v>2.8643513459999999</v>
      </c>
      <c r="AC84" s="697">
        <v>2.8643513459999999</v>
      </c>
      <c r="AD84" s="697">
        <v>2.8595126319999999</v>
      </c>
      <c r="AE84" s="697">
        <v>1.2666698999999999</v>
      </c>
      <c r="AF84" s="697">
        <v>1.2666698999999999</v>
      </c>
      <c r="AG84" s="697">
        <v>1.2666698999999999</v>
      </c>
      <c r="AH84" s="697">
        <v>1.2666698999999999</v>
      </c>
      <c r="AI84" s="697">
        <v>0</v>
      </c>
      <c r="AJ84" s="697">
        <v>0</v>
      </c>
      <c r="AK84" s="697">
        <v>0</v>
      </c>
      <c r="AL84" s="697">
        <v>0</v>
      </c>
      <c r="AM84" s="697">
        <v>0</v>
      </c>
      <c r="AN84" s="697">
        <v>0</v>
      </c>
      <c r="AO84" s="698">
        <v>0</v>
      </c>
      <c r="AP84" s="633"/>
      <c r="AQ84" s="696">
        <v>0</v>
      </c>
      <c r="AR84" s="697">
        <v>0</v>
      </c>
      <c r="AS84" s="697">
        <v>0</v>
      </c>
      <c r="AT84" s="697">
        <v>65298.429450000003</v>
      </c>
      <c r="AU84" s="697">
        <v>60866.130299999997</v>
      </c>
      <c r="AV84" s="697">
        <v>58725.887600000002</v>
      </c>
      <c r="AW84" s="697">
        <v>58725.887600000002</v>
      </c>
      <c r="AX84" s="697">
        <v>58725.887600000002</v>
      </c>
      <c r="AY84" s="697">
        <v>58725.887600000002</v>
      </c>
      <c r="AZ84" s="697">
        <v>58725.887600000002</v>
      </c>
      <c r="BA84" s="697">
        <v>58613.864889999997</v>
      </c>
      <c r="BB84" s="697">
        <v>58613.864889999997</v>
      </c>
      <c r="BC84" s="697">
        <v>50153.866099999999</v>
      </c>
      <c r="BD84" s="697">
        <v>46429.60641</v>
      </c>
      <c r="BE84" s="697">
        <v>45858.926140000003</v>
      </c>
      <c r="BF84" s="697">
        <v>45858.926140000003</v>
      </c>
      <c r="BG84" s="697">
        <v>45589.96832</v>
      </c>
      <c r="BH84" s="697">
        <v>45589.96832</v>
      </c>
      <c r="BI84" s="697">
        <v>45536.652540000003</v>
      </c>
      <c r="BJ84" s="697">
        <v>20163.742969999999</v>
      </c>
      <c r="BK84" s="697">
        <v>20163.742969999999</v>
      </c>
      <c r="BL84" s="697">
        <v>20163.742969999999</v>
      </c>
      <c r="BM84" s="697">
        <v>20163.742969999999</v>
      </c>
      <c r="BN84" s="697">
        <v>0</v>
      </c>
      <c r="BO84" s="697">
        <v>0</v>
      </c>
      <c r="BP84" s="697">
        <v>0</v>
      </c>
      <c r="BQ84" s="697">
        <v>0</v>
      </c>
      <c r="BR84" s="697">
        <v>0</v>
      </c>
      <c r="BS84" s="697">
        <v>0</v>
      </c>
      <c r="BT84" s="698">
        <v>0</v>
      </c>
      <c r="BU84" s="163"/>
    </row>
    <row r="85" spans="2:73">
      <c r="B85" s="692" t="s">
        <v>208</v>
      </c>
      <c r="C85" s="692" t="s">
        <v>753</v>
      </c>
      <c r="D85" s="692" t="s">
        <v>3</v>
      </c>
      <c r="E85" s="692" t="s">
        <v>754</v>
      </c>
      <c r="F85" s="692" t="s">
        <v>29</v>
      </c>
      <c r="G85" s="692" t="s">
        <v>756</v>
      </c>
      <c r="H85" s="692">
        <v>2013</v>
      </c>
      <c r="I85" s="644" t="s">
        <v>569</v>
      </c>
      <c r="J85" s="644" t="s">
        <v>577</v>
      </c>
      <c r="K85" s="633"/>
      <c r="L85" s="696">
        <v>0</v>
      </c>
      <c r="M85" s="697">
        <v>0</v>
      </c>
      <c r="N85" s="697">
        <v>0.79055738799999997</v>
      </c>
      <c r="O85" s="697">
        <v>0.79055738799999997</v>
      </c>
      <c r="P85" s="697">
        <v>0.79055738799999997</v>
      </c>
      <c r="Q85" s="697">
        <v>0.79055738799999997</v>
      </c>
      <c r="R85" s="697">
        <v>0.79055738799999997</v>
      </c>
      <c r="S85" s="697">
        <v>0.79055738799999997</v>
      </c>
      <c r="T85" s="697">
        <v>0.79055738799999997</v>
      </c>
      <c r="U85" s="697">
        <v>0.79055738799999997</v>
      </c>
      <c r="V85" s="697">
        <v>0.79055738799999997</v>
      </c>
      <c r="W85" s="697">
        <v>0.79055738799999997</v>
      </c>
      <c r="X85" s="697">
        <v>0.79055738799999997</v>
      </c>
      <c r="Y85" s="697">
        <v>0.79055738799999997</v>
      </c>
      <c r="Z85" s="697">
        <v>0.79055738799999997</v>
      </c>
      <c r="AA85" s="697">
        <v>0.79055738799999997</v>
      </c>
      <c r="AB85" s="697">
        <v>0.79055738799999997</v>
      </c>
      <c r="AC85" s="697">
        <v>0.79055738799999997</v>
      </c>
      <c r="AD85" s="697">
        <v>0.79055738799999997</v>
      </c>
      <c r="AE85" s="697">
        <v>0.79055738799999997</v>
      </c>
      <c r="AF85" s="697">
        <v>0.52587395599999998</v>
      </c>
      <c r="AG85" s="697">
        <v>0</v>
      </c>
      <c r="AH85" s="697">
        <v>0</v>
      </c>
      <c r="AI85" s="697">
        <v>0</v>
      </c>
      <c r="AJ85" s="697">
        <v>0</v>
      </c>
      <c r="AK85" s="697">
        <v>0</v>
      </c>
      <c r="AL85" s="697">
        <v>0</v>
      </c>
      <c r="AM85" s="697">
        <v>0</v>
      </c>
      <c r="AN85" s="697">
        <v>0</v>
      </c>
      <c r="AO85" s="698">
        <v>0</v>
      </c>
      <c r="AP85" s="633"/>
      <c r="AQ85" s="696">
        <v>0</v>
      </c>
      <c r="AR85" s="697">
        <v>0</v>
      </c>
      <c r="AS85" s="697">
        <v>1257.7989729000001</v>
      </c>
      <c r="AT85" s="697">
        <v>1257.7989729000001</v>
      </c>
      <c r="AU85" s="697">
        <v>1257.7989729000001</v>
      </c>
      <c r="AV85" s="697">
        <v>1257.7989729000001</v>
      </c>
      <c r="AW85" s="697">
        <v>1257.7989729000001</v>
      </c>
      <c r="AX85" s="697">
        <v>1257.7989729000001</v>
      </c>
      <c r="AY85" s="697">
        <v>1257.7989729000001</v>
      </c>
      <c r="AZ85" s="697">
        <v>1257.7989729000001</v>
      </c>
      <c r="BA85" s="697">
        <v>1257.7989729000001</v>
      </c>
      <c r="BB85" s="697">
        <v>1257.7989729000001</v>
      </c>
      <c r="BC85" s="697">
        <v>1257.7989729000001</v>
      </c>
      <c r="BD85" s="697">
        <v>1257.7989729000001</v>
      </c>
      <c r="BE85" s="697">
        <v>1257.7989729000001</v>
      </c>
      <c r="BF85" s="697">
        <v>1257.7989729000001</v>
      </c>
      <c r="BG85" s="697">
        <v>1257.7989729000001</v>
      </c>
      <c r="BH85" s="697">
        <v>1257.7989729000001</v>
      </c>
      <c r="BI85" s="697">
        <v>1257.7989729000001</v>
      </c>
      <c r="BJ85" s="697">
        <v>1257.7989729000001</v>
      </c>
      <c r="BK85" s="697">
        <v>1021.104644</v>
      </c>
      <c r="BL85" s="697">
        <v>0</v>
      </c>
      <c r="BM85" s="697">
        <v>0</v>
      </c>
      <c r="BN85" s="697">
        <v>0</v>
      </c>
      <c r="BO85" s="697">
        <v>0</v>
      </c>
      <c r="BP85" s="697">
        <v>0</v>
      </c>
      <c r="BQ85" s="697">
        <v>0</v>
      </c>
      <c r="BR85" s="697">
        <v>0</v>
      </c>
      <c r="BS85" s="697">
        <v>0</v>
      </c>
      <c r="BT85" s="698">
        <v>0</v>
      </c>
    </row>
    <row r="86" spans="2:73">
      <c r="B86" s="692" t="s">
        <v>208</v>
      </c>
      <c r="C86" s="692" t="s">
        <v>753</v>
      </c>
      <c r="D86" s="692" t="s">
        <v>3</v>
      </c>
      <c r="E86" s="692" t="s">
        <v>754</v>
      </c>
      <c r="F86" s="692" t="s">
        <v>29</v>
      </c>
      <c r="G86" s="692" t="s">
        <v>755</v>
      </c>
      <c r="H86" s="692">
        <v>2014</v>
      </c>
      <c r="I86" s="644" t="s">
        <v>569</v>
      </c>
      <c r="J86" s="644" t="s">
        <v>584</v>
      </c>
      <c r="K86" s="633"/>
      <c r="L86" s="696">
        <v>0</v>
      </c>
      <c r="M86" s="697">
        <v>0</v>
      </c>
      <c r="N86" s="697">
        <v>0</v>
      </c>
      <c r="O86" s="697">
        <v>55.289930536</v>
      </c>
      <c r="P86" s="697">
        <v>55.289930536</v>
      </c>
      <c r="Q86" s="697">
        <v>55.289930536</v>
      </c>
      <c r="R86" s="697">
        <v>55.289930536</v>
      </c>
      <c r="S86" s="697">
        <v>55.289930536</v>
      </c>
      <c r="T86" s="697">
        <v>55.289930536</v>
      </c>
      <c r="U86" s="697">
        <v>55.289930536</v>
      </c>
      <c r="V86" s="697">
        <v>55.289930536</v>
      </c>
      <c r="W86" s="697">
        <v>55.289930536</v>
      </c>
      <c r="X86" s="697">
        <v>55.289930536</v>
      </c>
      <c r="Y86" s="697">
        <v>55.289930536</v>
      </c>
      <c r="Z86" s="697">
        <v>55.289930536</v>
      </c>
      <c r="AA86" s="697">
        <v>55.289930536</v>
      </c>
      <c r="AB86" s="697">
        <v>55.289930536</v>
      </c>
      <c r="AC86" s="697">
        <v>55.289930536</v>
      </c>
      <c r="AD86" s="697">
        <v>55.289930536</v>
      </c>
      <c r="AE86" s="697">
        <v>55.289930536</v>
      </c>
      <c r="AF86" s="697">
        <v>55.289930536</v>
      </c>
      <c r="AG86" s="697">
        <v>48.778921369999999</v>
      </c>
      <c r="AH86" s="697">
        <v>0</v>
      </c>
      <c r="AI86" s="697">
        <v>0</v>
      </c>
      <c r="AJ86" s="697">
        <v>0</v>
      </c>
      <c r="AK86" s="697">
        <v>0</v>
      </c>
      <c r="AL86" s="697">
        <v>0</v>
      </c>
      <c r="AM86" s="697">
        <v>0</v>
      </c>
      <c r="AN86" s="697">
        <v>0</v>
      </c>
      <c r="AO86" s="698">
        <v>0</v>
      </c>
      <c r="AP86" s="633"/>
      <c r="AQ86" s="696">
        <v>0</v>
      </c>
      <c r="AR86" s="697">
        <v>0</v>
      </c>
      <c r="AS86" s="697">
        <v>0</v>
      </c>
      <c r="AT86" s="697">
        <v>101187.12697659999</v>
      </c>
      <c r="AU86" s="697">
        <v>101187.12697659999</v>
      </c>
      <c r="AV86" s="697">
        <v>101187.12697659999</v>
      </c>
      <c r="AW86" s="697">
        <v>101187.12697659999</v>
      </c>
      <c r="AX86" s="697">
        <v>101187.12697659999</v>
      </c>
      <c r="AY86" s="697">
        <v>101187.12697659999</v>
      </c>
      <c r="AZ86" s="697">
        <v>101187.12697659999</v>
      </c>
      <c r="BA86" s="697">
        <v>101187.12697659999</v>
      </c>
      <c r="BB86" s="697">
        <v>101187.12697659999</v>
      </c>
      <c r="BC86" s="697">
        <v>101187.12697659999</v>
      </c>
      <c r="BD86" s="697">
        <v>101187.12697659999</v>
      </c>
      <c r="BE86" s="697">
        <v>101187.12697659999</v>
      </c>
      <c r="BF86" s="697">
        <v>101187.12697659999</v>
      </c>
      <c r="BG86" s="697">
        <v>101187.12697659999</v>
      </c>
      <c r="BH86" s="697">
        <v>101187.12697659999</v>
      </c>
      <c r="BI86" s="697">
        <v>101187.12697659999</v>
      </c>
      <c r="BJ86" s="697">
        <v>101187.12697659999</v>
      </c>
      <c r="BK86" s="697">
        <v>101187.12697659999</v>
      </c>
      <c r="BL86" s="697">
        <v>95364.628249999994</v>
      </c>
      <c r="BM86" s="697">
        <v>0</v>
      </c>
      <c r="BN86" s="697">
        <v>0</v>
      </c>
      <c r="BO86" s="697">
        <v>0</v>
      </c>
      <c r="BP86" s="697">
        <v>0</v>
      </c>
      <c r="BQ86" s="697">
        <v>0</v>
      </c>
      <c r="BR86" s="697">
        <v>0</v>
      </c>
      <c r="BS86" s="697">
        <v>0</v>
      </c>
      <c r="BT86" s="698">
        <v>0</v>
      </c>
    </row>
    <row r="87" spans="2:73">
      <c r="B87" s="692" t="s">
        <v>208</v>
      </c>
      <c r="C87" s="692" t="s">
        <v>489</v>
      </c>
      <c r="D87" s="692" t="s">
        <v>773</v>
      </c>
      <c r="E87" s="692" t="s">
        <v>754</v>
      </c>
      <c r="F87" s="692" t="s">
        <v>489</v>
      </c>
      <c r="G87" s="692" t="s">
        <v>756</v>
      </c>
      <c r="H87" s="692">
        <v>2014</v>
      </c>
      <c r="I87" s="644" t="s">
        <v>569</v>
      </c>
      <c r="J87" s="644" t="s">
        <v>584</v>
      </c>
      <c r="K87" s="633"/>
      <c r="L87" s="696">
        <v>0</v>
      </c>
      <c r="M87" s="697">
        <v>0</v>
      </c>
      <c r="N87" s="697">
        <v>0</v>
      </c>
      <c r="O87" s="697">
        <v>84.868544009999994</v>
      </c>
      <c r="P87" s="697">
        <v>0</v>
      </c>
      <c r="Q87" s="697">
        <v>0</v>
      </c>
      <c r="R87" s="697">
        <v>0</v>
      </c>
      <c r="S87" s="697">
        <v>0</v>
      </c>
      <c r="T87" s="697">
        <v>0</v>
      </c>
      <c r="U87" s="697">
        <v>0</v>
      </c>
      <c r="V87" s="697">
        <v>0</v>
      </c>
      <c r="W87" s="697">
        <v>0</v>
      </c>
      <c r="X87" s="697">
        <v>0</v>
      </c>
      <c r="Y87" s="697">
        <v>0</v>
      </c>
      <c r="Z87" s="697">
        <v>0</v>
      </c>
      <c r="AA87" s="697">
        <v>0</v>
      </c>
      <c r="AB87" s="697">
        <v>0</v>
      </c>
      <c r="AC87" s="697">
        <v>0</v>
      </c>
      <c r="AD87" s="697">
        <v>0</v>
      </c>
      <c r="AE87" s="697">
        <v>0</v>
      </c>
      <c r="AF87" s="697">
        <v>0</v>
      </c>
      <c r="AG87" s="697">
        <v>0</v>
      </c>
      <c r="AH87" s="697">
        <v>0</v>
      </c>
      <c r="AI87" s="697">
        <v>0</v>
      </c>
      <c r="AJ87" s="697">
        <v>0</v>
      </c>
      <c r="AK87" s="697">
        <v>0</v>
      </c>
      <c r="AL87" s="697">
        <v>0</v>
      </c>
      <c r="AM87" s="697">
        <v>0</v>
      </c>
      <c r="AN87" s="697">
        <v>0</v>
      </c>
      <c r="AO87" s="698">
        <v>0</v>
      </c>
      <c r="AP87" s="633"/>
      <c r="AQ87" s="696">
        <v>0</v>
      </c>
      <c r="AR87" s="697">
        <v>0</v>
      </c>
      <c r="AS87" s="697">
        <v>0</v>
      </c>
      <c r="AT87" s="697">
        <v>0</v>
      </c>
      <c r="AU87" s="697">
        <v>0</v>
      </c>
      <c r="AV87" s="697">
        <v>0</v>
      </c>
      <c r="AW87" s="697">
        <v>0</v>
      </c>
      <c r="AX87" s="697">
        <v>0</v>
      </c>
      <c r="AY87" s="697">
        <v>0</v>
      </c>
      <c r="AZ87" s="697">
        <v>0</v>
      </c>
      <c r="BA87" s="697">
        <v>0</v>
      </c>
      <c r="BB87" s="697">
        <v>0</v>
      </c>
      <c r="BC87" s="697">
        <v>0</v>
      </c>
      <c r="BD87" s="697">
        <v>0</v>
      </c>
      <c r="BE87" s="697">
        <v>0</v>
      </c>
      <c r="BF87" s="697">
        <v>0</v>
      </c>
      <c r="BG87" s="697">
        <v>0</v>
      </c>
      <c r="BH87" s="697">
        <v>0</v>
      </c>
      <c r="BI87" s="697">
        <v>0</v>
      </c>
      <c r="BJ87" s="697">
        <v>0</v>
      </c>
      <c r="BK87" s="697">
        <v>0</v>
      </c>
      <c r="BL87" s="697">
        <v>0</v>
      </c>
      <c r="BM87" s="697">
        <v>0</v>
      </c>
      <c r="BN87" s="697">
        <v>0</v>
      </c>
      <c r="BO87" s="697">
        <v>0</v>
      </c>
      <c r="BP87" s="697">
        <v>0</v>
      </c>
      <c r="BQ87" s="697">
        <v>0</v>
      </c>
      <c r="BR87" s="697">
        <v>0</v>
      </c>
      <c r="BS87" s="697">
        <v>0</v>
      </c>
      <c r="BT87" s="698">
        <v>0</v>
      </c>
    </row>
    <row r="88" spans="2:73">
      <c r="B88" s="692" t="s">
        <v>752</v>
      </c>
      <c r="C88" s="692" t="s">
        <v>757</v>
      </c>
      <c r="D88" s="692" t="s">
        <v>774</v>
      </c>
      <c r="E88" s="692" t="s">
        <v>754</v>
      </c>
      <c r="F88" s="692" t="s">
        <v>772</v>
      </c>
      <c r="G88" s="692" t="s">
        <v>756</v>
      </c>
      <c r="H88" s="692">
        <v>2014</v>
      </c>
      <c r="I88" s="644" t="s">
        <v>569</v>
      </c>
      <c r="J88" s="644" t="s">
        <v>584</v>
      </c>
      <c r="K88" s="633"/>
      <c r="L88" s="696">
        <v>0</v>
      </c>
      <c r="M88" s="697">
        <v>0</v>
      </c>
      <c r="N88" s="697">
        <v>0</v>
      </c>
      <c r="O88" s="697">
        <v>54.775399999999998</v>
      </c>
      <c r="P88" s="697">
        <v>0</v>
      </c>
      <c r="Q88" s="697">
        <v>0</v>
      </c>
      <c r="R88" s="697">
        <v>0</v>
      </c>
      <c r="S88" s="697">
        <v>0</v>
      </c>
      <c r="T88" s="697">
        <v>0</v>
      </c>
      <c r="U88" s="697">
        <v>0</v>
      </c>
      <c r="V88" s="697">
        <v>0</v>
      </c>
      <c r="W88" s="697">
        <v>0</v>
      </c>
      <c r="X88" s="697">
        <v>0</v>
      </c>
      <c r="Y88" s="697">
        <v>0</v>
      </c>
      <c r="Z88" s="697">
        <v>0</v>
      </c>
      <c r="AA88" s="697">
        <v>0</v>
      </c>
      <c r="AB88" s="697">
        <v>0</v>
      </c>
      <c r="AC88" s="697">
        <v>0</v>
      </c>
      <c r="AD88" s="697">
        <v>0</v>
      </c>
      <c r="AE88" s="697">
        <v>0</v>
      </c>
      <c r="AF88" s="697">
        <v>0</v>
      </c>
      <c r="AG88" s="697">
        <v>0</v>
      </c>
      <c r="AH88" s="697">
        <v>0</v>
      </c>
      <c r="AI88" s="697">
        <v>0</v>
      </c>
      <c r="AJ88" s="697">
        <v>0</v>
      </c>
      <c r="AK88" s="697">
        <v>0</v>
      </c>
      <c r="AL88" s="697">
        <v>0</v>
      </c>
      <c r="AM88" s="697">
        <v>0</v>
      </c>
      <c r="AN88" s="697">
        <v>0</v>
      </c>
      <c r="AO88" s="698">
        <v>0</v>
      </c>
      <c r="AP88" s="633"/>
      <c r="AQ88" s="699">
        <v>0</v>
      </c>
      <c r="AR88" s="700">
        <v>0</v>
      </c>
      <c r="AS88" s="700">
        <v>0</v>
      </c>
      <c r="AT88" s="700">
        <v>0</v>
      </c>
      <c r="AU88" s="700">
        <v>0</v>
      </c>
      <c r="AV88" s="700">
        <v>0</v>
      </c>
      <c r="AW88" s="700">
        <v>0</v>
      </c>
      <c r="AX88" s="700">
        <v>0</v>
      </c>
      <c r="AY88" s="700">
        <v>0</v>
      </c>
      <c r="AZ88" s="700">
        <v>0</v>
      </c>
      <c r="BA88" s="700">
        <v>0</v>
      </c>
      <c r="BB88" s="700">
        <v>0</v>
      </c>
      <c r="BC88" s="700">
        <v>0</v>
      </c>
      <c r="BD88" s="700">
        <v>0</v>
      </c>
      <c r="BE88" s="700">
        <v>0</v>
      </c>
      <c r="BF88" s="700">
        <v>0</v>
      </c>
      <c r="BG88" s="700">
        <v>0</v>
      </c>
      <c r="BH88" s="700">
        <v>0</v>
      </c>
      <c r="BI88" s="700">
        <v>0</v>
      </c>
      <c r="BJ88" s="700">
        <v>0</v>
      </c>
      <c r="BK88" s="700">
        <v>0</v>
      </c>
      <c r="BL88" s="700">
        <v>0</v>
      </c>
      <c r="BM88" s="700">
        <v>0</v>
      </c>
      <c r="BN88" s="700">
        <v>0</v>
      </c>
      <c r="BO88" s="700">
        <v>0</v>
      </c>
      <c r="BP88" s="700">
        <v>0</v>
      </c>
      <c r="BQ88" s="700">
        <v>0</v>
      </c>
      <c r="BR88" s="700">
        <v>0</v>
      </c>
      <c r="BS88" s="700">
        <v>0</v>
      </c>
      <c r="BT88" s="701">
        <v>0</v>
      </c>
    </row>
    <row r="89" spans="2:73">
      <c r="B89" s="692" t="s">
        <v>752</v>
      </c>
      <c r="C89" s="692" t="s">
        <v>753</v>
      </c>
      <c r="D89" s="692" t="s">
        <v>42</v>
      </c>
      <c r="E89" s="692" t="s">
        <v>754</v>
      </c>
      <c r="F89" s="692" t="s">
        <v>29</v>
      </c>
      <c r="G89" s="692" t="s">
        <v>756</v>
      </c>
      <c r="H89" s="692">
        <v>2013</v>
      </c>
      <c r="I89" s="644" t="s">
        <v>569</v>
      </c>
      <c r="J89" s="644" t="s">
        <v>577</v>
      </c>
      <c r="K89" s="633"/>
      <c r="L89" s="696">
        <v>0</v>
      </c>
      <c r="M89" s="697">
        <v>0</v>
      </c>
      <c r="N89" s="697">
        <v>0</v>
      </c>
      <c r="O89" s="697">
        <v>8.4032820000000008</v>
      </c>
      <c r="P89" s="697">
        <v>0</v>
      </c>
      <c r="Q89" s="697">
        <v>0</v>
      </c>
      <c r="R89" s="697">
        <v>0</v>
      </c>
      <c r="S89" s="697">
        <v>0</v>
      </c>
      <c r="T89" s="697">
        <v>0</v>
      </c>
      <c r="U89" s="697">
        <v>0</v>
      </c>
      <c r="V89" s="697">
        <v>0</v>
      </c>
      <c r="W89" s="697">
        <v>0</v>
      </c>
      <c r="X89" s="697">
        <v>0</v>
      </c>
      <c r="Y89" s="697">
        <v>0</v>
      </c>
      <c r="Z89" s="697">
        <v>0</v>
      </c>
      <c r="AA89" s="697">
        <v>0</v>
      </c>
      <c r="AB89" s="697">
        <v>0</v>
      </c>
      <c r="AC89" s="697">
        <v>0</v>
      </c>
      <c r="AD89" s="697">
        <v>0</v>
      </c>
      <c r="AE89" s="697">
        <v>0</v>
      </c>
      <c r="AF89" s="697">
        <v>0</v>
      </c>
      <c r="AG89" s="697">
        <v>0</v>
      </c>
      <c r="AH89" s="697">
        <v>0</v>
      </c>
      <c r="AI89" s="697">
        <v>0</v>
      </c>
      <c r="AJ89" s="697">
        <v>0</v>
      </c>
      <c r="AK89" s="697">
        <v>0</v>
      </c>
      <c r="AL89" s="697">
        <v>0</v>
      </c>
      <c r="AM89" s="697">
        <v>0</v>
      </c>
      <c r="AN89" s="697">
        <v>0</v>
      </c>
      <c r="AO89" s="698">
        <v>0</v>
      </c>
      <c r="AP89" s="633"/>
      <c r="AQ89" s="693">
        <v>0</v>
      </c>
      <c r="AR89" s="694">
        <v>0</v>
      </c>
      <c r="AS89" s="694">
        <v>0</v>
      </c>
      <c r="AT89" s="694">
        <v>0</v>
      </c>
      <c r="AU89" s="694">
        <v>0</v>
      </c>
      <c r="AV89" s="694">
        <v>0</v>
      </c>
      <c r="AW89" s="694">
        <v>0</v>
      </c>
      <c r="AX89" s="694">
        <v>0</v>
      </c>
      <c r="AY89" s="694">
        <v>0</v>
      </c>
      <c r="AZ89" s="694">
        <v>0</v>
      </c>
      <c r="BA89" s="694">
        <v>0</v>
      </c>
      <c r="BB89" s="694">
        <v>0</v>
      </c>
      <c r="BC89" s="694">
        <v>0</v>
      </c>
      <c r="BD89" s="694">
        <v>0</v>
      </c>
      <c r="BE89" s="694">
        <v>0</v>
      </c>
      <c r="BF89" s="694">
        <v>0</v>
      </c>
      <c r="BG89" s="694">
        <v>0</v>
      </c>
      <c r="BH89" s="694">
        <v>0</v>
      </c>
      <c r="BI89" s="694">
        <v>0</v>
      </c>
      <c r="BJ89" s="694">
        <v>0</v>
      </c>
      <c r="BK89" s="694">
        <v>0</v>
      </c>
      <c r="BL89" s="694">
        <v>0</v>
      </c>
      <c r="BM89" s="694">
        <v>0</v>
      </c>
      <c r="BN89" s="694">
        <v>0</v>
      </c>
      <c r="BO89" s="694">
        <v>0</v>
      </c>
      <c r="BP89" s="694">
        <v>0</v>
      </c>
      <c r="BQ89" s="694">
        <v>0</v>
      </c>
      <c r="BR89" s="694">
        <v>0</v>
      </c>
      <c r="BS89" s="694">
        <v>0</v>
      </c>
      <c r="BT89" s="695">
        <v>0</v>
      </c>
    </row>
    <row r="90" spans="2:73">
      <c r="B90" s="692" t="s">
        <v>752</v>
      </c>
      <c r="C90" s="692" t="s">
        <v>753</v>
      </c>
      <c r="D90" s="692" t="s">
        <v>42</v>
      </c>
      <c r="E90" s="692" t="s">
        <v>754</v>
      </c>
      <c r="F90" s="692" t="s">
        <v>29</v>
      </c>
      <c r="G90" s="692" t="s">
        <v>756</v>
      </c>
      <c r="H90" s="692">
        <v>2014</v>
      </c>
      <c r="I90" s="644" t="s">
        <v>569</v>
      </c>
      <c r="J90" s="644" t="s">
        <v>584</v>
      </c>
      <c r="K90" s="633"/>
      <c r="L90" s="696">
        <v>0</v>
      </c>
      <c r="M90" s="697">
        <v>0</v>
      </c>
      <c r="N90" s="697">
        <v>0</v>
      </c>
      <c r="O90" s="697">
        <v>12.91625</v>
      </c>
      <c r="P90" s="697">
        <v>0</v>
      </c>
      <c r="Q90" s="697">
        <v>0</v>
      </c>
      <c r="R90" s="697">
        <v>0</v>
      </c>
      <c r="S90" s="697">
        <v>0</v>
      </c>
      <c r="T90" s="697">
        <v>0</v>
      </c>
      <c r="U90" s="697">
        <v>0</v>
      </c>
      <c r="V90" s="697">
        <v>0</v>
      </c>
      <c r="W90" s="697">
        <v>0</v>
      </c>
      <c r="X90" s="697">
        <v>0</v>
      </c>
      <c r="Y90" s="697">
        <v>0</v>
      </c>
      <c r="Z90" s="697">
        <v>0</v>
      </c>
      <c r="AA90" s="697">
        <v>0</v>
      </c>
      <c r="AB90" s="697">
        <v>0</v>
      </c>
      <c r="AC90" s="697">
        <v>0</v>
      </c>
      <c r="AD90" s="697">
        <v>0</v>
      </c>
      <c r="AE90" s="697">
        <v>0</v>
      </c>
      <c r="AF90" s="697">
        <v>0</v>
      </c>
      <c r="AG90" s="697">
        <v>0</v>
      </c>
      <c r="AH90" s="697">
        <v>0</v>
      </c>
      <c r="AI90" s="697">
        <v>0</v>
      </c>
      <c r="AJ90" s="697">
        <v>0</v>
      </c>
      <c r="AK90" s="697">
        <v>0</v>
      </c>
      <c r="AL90" s="697">
        <v>0</v>
      </c>
      <c r="AM90" s="697">
        <v>0</v>
      </c>
      <c r="AN90" s="697">
        <v>0</v>
      </c>
      <c r="AO90" s="698">
        <v>0</v>
      </c>
      <c r="AP90" s="633"/>
      <c r="AQ90" s="696">
        <v>0</v>
      </c>
      <c r="AR90" s="697">
        <v>0</v>
      </c>
      <c r="AS90" s="697">
        <v>0</v>
      </c>
      <c r="AT90" s="697">
        <v>0</v>
      </c>
      <c r="AU90" s="697">
        <v>0</v>
      </c>
      <c r="AV90" s="697">
        <v>0</v>
      </c>
      <c r="AW90" s="697">
        <v>0</v>
      </c>
      <c r="AX90" s="697">
        <v>0</v>
      </c>
      <c r="AY90" s="697">
        <v>0</v>
      </c>
      <c r="AZ90" s="697">
        <v>0</v>
      </c>
      <c r="BA90" s="697">
        <v>0</v>
      </c>
      <c r="BB90" s="697">
        <v>0</v>
      </c>
      <c r="BC90" s="697">
        <v>0</v>
      </c>
      <c r="BD90" s="697">
        <v>0</v>
      </c>
      <c r="BE90" s="697">
        <v>0</v>
      </c>
      <c r="BF90" s="697">
        <v>0</v>
      </c>
      <c r="BG90" s="697">
        <v>0</v>
      </c>
      <c r="BH90" s="697">
        <v>0</v>
      </c>
      <c r="BI90" s="697">
        <v>0</v>
      </c>
      <c r="BJ90" s="697">
        <v>0</v>
      </c>
      <c r="BK90" s="697">
        <v>0</v>
      </c>
      <c r="BL90" s="697">
        <v>0</v>
      </c>
      <c r="BM90" s="697">
        <v>0</v>
      </c>
      <c r="BN90" s="697">
        <v>0</v>
      </c>
      <c r="BO90" s="697">
        <v>0</v>
      </c>
      <c r="BP90" s="697">
        <v>0</v>
      </c>
      <c r="BQ90" s="697">
        <v>0</v>
      </c>
      <c r="BR90" s="697">
        <v>0</v>
      </c>
      <c r="BS90" s="697">
        <v>0</v>
      </c>
      <c r="BT90" s="698">
        <v>0</v>
      </c>
    </row>
    <row r="91" spans="2:73">
      <c r="B91" s="692" t="s">
        <v>752</v>
      </c>
      <c r="C91" s="692" t="s">
        <v>761</v>
      </c>
      <c r="D91" s="692" t="s">
        <v>9</v>
      </c>
      <c r="E91" s="692" t="s">
        <v>754</v>
      </c>
      <c r="F91" s="692" t="s">
        <v>761</v>
      </c>
      <c r="G91" s="692" t="s">
        <v>756</v>
      </c>
      <c r="H91" s="692">
        <v>2014</v>
      </c>
      <c r="I91" s="644" t="s">
        <v>569</v>
      </c>
      <c r="J91" s="644" t="s">
        <v>584</v>
      </c>
      <c r="K91" s="633"/>
      <c r="L91" s="696">
        <v>0</v>
      </c>
      <c r="M91" s="697">
        <v>0</v>
      </c>
      <c r="N91" s="697">
        <v>0</v>
      </c>
      <c r="O91" s="697">
        <v>111.6862</v>
      </c>
      <c r="P91" s="697">
        <v>0</v>
      </c>
      <c r="Q91" s="697">
        <v>0</v>
      </c>
      <c r="R91" s="697">
        <v>0</v>
      </c>
      <c r="S91" s="697">
        <v>0</v>
      </c>
      <c r="T91" s="697">
        <v>0</v>
      </c>
      <c r="U91" s="697">
        <v>0</v>
      </c>
      <c r="V91" s="697">
        <v>0</v>
      </c>
      <c r="W91" s="697">
        <v>0</v>
      </c>
      <c r="X91" s="697">
        <v>0</v>
      </c>
      <c r="Y91" s="697">
        <v>0</v>
      </c>
      <c r="Z91" s="697">
        <v>0</v>
      </c>
      <c r="AA91" s="697">
        <v>0</v>
      </c>
      <c r="AB91" s="697">
        <v>0</v>
      </c>
      <c r="AC91" s="697">
        <v>0</v>
      </c>
      <c r="AD91" s="697">
        <v>0</v>
      </c>
      <c r="AE91" s="697">
        <v>0</v>
      </c>
      <c r="AF91" s="697">
        <v>0</v>
      </c>
      <c r="AG91" s="697">
        <v>0</v>
      </c>
      <c r="AH91" s="697">
        <v>0</v>
      </c>
      <c r="AI91" s="697">
        <v>0</v>
      </c>
      <c r="AJ91" s="697">
        <v>0</v>
      </c>
      <c r="AK91" s="697">
        <v>0</v>
      </c>
      <c r="AL91" s="697">
        <v>0</v>
      </c>
      <c r="AM91" s="697">
        <v>0</v>
      </c>
      <c r="AN91" s="697">
        <v>0</v>
      </c>
      <c r="AO91" s="698">
        <v>0</v>
      </c>
      <c r="AP91" s="633"/>
      <c r="AQ91" s="696">
        <v>0</v>
      </c>
      <c r="AR91" s="697">
        <v>0</v>
      </c>
      <c r="AS91" s="697">
        <v>0</v>
      </c>
      <c r="AT91" s="697">
        <v>0</v>
      </c>
      <c r="AU91" s="697">
        <v>0</v>
      </c>
      <c r="AV91" s="697">
        <v>0</v>
      </c>
      <c r="AW91" s="697">
        <v>0</v>
      </c>
      <c r="AX91" s="697">
        <v>0</v>
      </c>
      <c r="AY91" s="697">
        <v>0</v>
      </c>
      <c r="AZ91" s="697">
        <v>0</v>
      </c>
      <c r="BA91" s="697">
        <v>0</v>
      </c>
      <c r="BB91" s="697">
        <v>0</v>
      </c>
      <c r="BC91" s="697">
        <v>0</v>
      </c>
      <c r="BD91" s="697">
        <v>0</v>
      </c>
      <c r="BE91" s="697">
        <v>0</v>
      </c>
      <c r="BF91" s="697">
        <v>0</v>
      </c>
      <c r="BG91" s="697">
        <v>0</v>
      </c>
      <c r="BH91" s="697">
        <v>0</v>
      </c>
      <c r="BI91" s="697">
        <v>0</v>
      </c>
      <c r="BJ91" s="697">
        <v>0</v>
      </c>
      <c r="BK91" s="697">
        <v>0</v>
      </c>
      <c r="BL91" s="697">
        <v>0</v>
      </c>
      <c r="BM91" s="697">
        <v>0</v>
      </c>
      <c r="BN91" s="697">
        <v>0</v>
      </c>
      <c r="BO91" s="697">
        <v>0</v>
      </c>
      <c r="BP91" s="697">
        <v>0</v>
      </c>
      <c r="BQ91" s="697">
        <v>0</v>
      </c>
      <c r="BR91" s="697">
        <v>0</v>
      </c>
      <c r="BS91" s="697">
        <v>0</v>
      </c>
      <c r="BT91" s="698">
        <v>0</v>
      </c>
    </row>
    <row r="92" spans="2:73">
      <c r="B92" s="692" t="s">
        <v>752</v>
      </c>
      <c r="C92" s="692" t="s">
        <v>761</v>
      </c>
      <c r="D92" s="692" t="s">
        <v>775</v>
      </c>
      <c r="E92" s="692" t="s">
        <v>754</v>
      </c>
      <c r="F92" s="692" t="s">
        <v>761</v>
      </c>
      <c r="G92" s="692" t="s">
        <v>755</v>
      </c>
      <c r="H92" s="692">
        <v>2012</v>
      </c>
      <c r="I92" s="644" t="s">
        <v>569</v>
      </c>
      <c r="J92" s="644" t="s">
        <v>577</v>
      </c>
      <c r="K92" s="633"/>
      <c r="L92" s="696">
        <v>0</v>
      </c>
      <c r="M92" s="697">
        <v>0</v>
      </c>
      <c r="N92" s="697">
        <v>0</v>
      </c>
      <c r="O92" s="697">
        <v>0</v>
      </c>
      <c r="P92" s="697">
        <v>0</v>
      </c>
      <c r="Q92" s="697">
        <v>0</v>
      </c>
      <c r="R92" s="697">
        <v>0</v>
      </c>
      <c r="S92" s="697">
        <v>0</v>
      </c>
      <c r="T92" s="697">
        <v>0</v>
      </c>
      <c r="U92" s="697">
        <v>0</v>
      </c>
      <c r="V92" s="697">
        <v>0</v>
      </c>
      <c r="W92" s="697">
        <v>0</v>
      </c>
      <c r="X92" s="697">
        <v>0</v>
      </c>
      <c r="Y92" s="697">
        <v>0</v>
      </c>
      <c r="Z92" s="697">
        <v>0</v>
      </c>
      <c r="AA92" s="697">
        <v>0</v>
      </c>
      <c r="AB92" s="697">
        <v>0</v>
      </c>
      <c r="AC92" s="697">
        <v>0</v>
      </c>
      <c r="AD92" s="697">
        <v>0</v>
      </c>
      <c r="AE92" s="697">
        <v>0</v>
      </c>
      <c r="AF92" s="697">
        <v>0</v>
      </c>
      <c r="AG92" s="697">
        <v>0</v>
      </c>
      <c r="AH92" s="697">
        <v>0</v>
      </c>
      <c r="AI92" s="697">
        <v>0</v>
      </c>
      <c r="AJ92" s="697">
        <v>0</v>
      </c>
      <c r="AK92" s="697">
        <v>0</v>
      </c>
      <c r="AL92" s="697">
        <v>0</v>
      </c>
      <c r="AM92" s="697">
        <v>0</v>
      </c>
      <c r="AN92" s="697">
        <v>0</v>
      </c>
      <c r="AO92" s="698">
        <v>0</v>
      </c>
      <c r="AP92" s="633"/>
      <c r="AQ92" s="696">
        <v>0</v>
      </c>
      <c r="AR92" s="697">
        <v>0</v>
      </c>
      <c r="AS92" s="697">
        <v>0</v>
      </c>
      <c r="AT92" s="697">
        <v>0</v>
      </c>
      <c r="AU92" s="697">
        <v>0</v>
      </c>
      <c r="AV92" s="697">
        <v>0</v>
      </c>
      <c r="AW92" s="697">
        <v>0</v>
      </c>
      <c r="AX92" s="697">
        <v>0</v>
      </c>
      <c r="AY92" s="697">
        <v>0</v>
      </c>
      <c r="AZ92" s="697">
        <v>0</v>
      </c>
      <c r="BA92" s="697">
        <v>0</v>
      </c>
      <c r="BB92" s="697">
        <v>0</v>
      </c>
      <c r="BC92" s="697">
        <v>0</v>
      </c>
      <c r="BD92" s="697">
        <v>0</v>
      </c>
      <c r="BE92" s="697">
        <v>0</v>
      </c>
      <c r="BF92" s="697">
        <v>0</v>
      </c>
      <c r="BG92" s="697">
        <v>0</v>
      </c>
      <c r="BH92" s="697">
        <v>0</v>
      </c>
      <c r="BI92" s="697">
        <v>0</v>
      </c>
      <c r="BJ92" s="697">
        <v>0</v>
      </c>
      <c r="BK92" s="697">
        <v>0</v>
      </c>
      <c r="BL92" s="697">
        <v>0</v>
      </c>
      <c r="BM92" s="697">
        <v>0</v>
      </c>
      <c r="BN92" s="697">
        <v>0</v>
      </c>
      <c r="BO92" s="697">
        <v>0</v>
      </c>
      <c r="BP92" s="697">
        <v>0</v>
      </c>
      <c r="BQ92" s="697">
        <v>0</v>
      </c>
      <c r="BR92" s="697">
        <v>0</v>
      </c>
      <c r="BS92" s="697">
        <v>0</v>
      </c>
      <c r="BT92" s="698">
        <v>0</v>
      </c>
    </row>
    <row r="93" spans="2:73">
      <c r="B93" s="692" t="s">
        <v>752</v>
      </c>
      <c r="C93" s="692" t="s">
        <v>761</v>
      </c>
      <c r="D93" s="692" t="s">
        <v>775</v>
      </c>
      <c r="E93" s="692" t="s">
        <v>754</v>
      </c>
      <c r="F93" s="692" t="s">
        <v>761</v>
      </c>
      <c r="G93" s="692" t="s">
        <v>755</v>
      </c>
      <c r="H93" s="692">
        <v>2013</v>
      </c>
      <c r="I93" s="644" t="s">
        <v>569</v>
      </c>
      <c r="J93" s="644" t="s">
        <v>577</v>
      </c>
      <c r="K93" s="633"/>
      <c r="L93" s="696">
        <v>0</v>
      </c>
      <c r="M93" s="697">
        <v>0</v>
      </c>
      <c r="N93" s="697">
        <v>0.17749799999999999</v>
      </c>
      <c r="O93" s="697">
        <v>0.17749799999999999</v>
      </c>
      <c r="P93" s="697">
        <v>0.17749799999999999</v>
      </c>
      <c r="Q93" s="697">
        <v>0</v>
      </c>
      <c r="R93" s="697">
        <v>0</v>
      </c>
      <c r="S93" s="697">
        <v>0</v>
      </c>
      <c r="T93" s="697">
        <v>0</v>
      </c>
      <c r="U93" s="697">
        <v>0</v>
      </c>
      <c r="V93" s="697">
        <v>0</v>
      </c>
      <c r="W93" s="697">
        <v>0</v>
      </c>
      <c r="X93" s="697">
        <v>0</v>
      </c>
      <c r="Y93" s="697">
        <v>0</v>
      </c>
      <c r="Z93" s="697">
        <v>0</v>
      </c>
      <c r="AA93" s="697">
        <v>0</v>
      </c>
      <c r="AB93" s="697">
        <v>0</v>
      </c>
      <c r="AC93" s="697">
        <v>0</v>
      </c>
      <c r="AD93" s="697">
        <v>0</v>
      </c>
      <c r="AE93" s="697">
        <v>0</v>
      </c>
      <c r="AF93" s="697">
        <v>0</v>
      </c>
      <c r="AG93" s="697">
        <v>0</v>
      </c>
      <c r="AH93" s="697">
        <v>0</v>
      </c>
      <c r="AI93" s="697">
        <v>0</v>
      </c>
      <c r="AJ93" s="697">
        <v>0</v>
      </c>
      <c r="AK93" s="697">
        <v>0</v>
      </c>
      <c r="AL93" s="697">
        <v>0</v>
      </c>
      <c r="AM93" s="697">
        <v>0</v>
      </c>
      <c r="AN93" s="697">
        <v>0</v>
      </c>
      <c r="AO93" s="698">
        <v>0</v>
      </c>
      <c r="AP93" s="633"/>
      <c r="AQ93" s="696">
        <v>0</v>
      </c>
      <c r="AR93" s="697">
        <v>0</v>
      </c>
      <c r="AS93" s="697">
        <v>10467.69231</v>
      </c>
      <c r="AT93" s="697">
        <v>10467.69231</v>
      </c>
      <c r="AU93" s="697">
        <v>10467.69231</v>
      </c>
      <c r="AV93" s="697">
        <v>0</v>
      </c>
      <c r="AW93" s="697">
        <v>0</v>
      </c>
      <c r="AX93" s="697">
        <v>0</v>
      </c>
      <c r="AY93" s="697">
        <v>0</v>
      </c>
      <c r="AZ93" s="697">
        <v>0</v>
      </c>
      <c r="BA93" s="697">
        <v>0</v>
      </c>
      <c r="BB93" s="697">
        <v>0</v>
      </c>
      <c r="BC93" s="697">
        <v>0</v>
      </c>
      <c r="BD93" s="697">
        <v>0</v>
      </c>
      <c r="BE93" s="697">
        <v>0</v>
      </c>
      <c r="BF93" s="697">
        <v>0</v>
      </c>
      <c r="BG93" s="697">
        <v>0</v>
      </c>
      <c r="BH93" s="697">
        <v>0</v>
      </c>
      <c r="BI93" s="697">
        <v>0</v>
      </c>
      <c r="BJ93" s="697">
        <v>0</v>
      </c>
      <c r="BK93" s="697">
        <v>0</v>
      </c>
      <c r="BL93" s="697">
        <v>0</v>
      </c>
      <c r="BM93" s="697">
        <v>0</v>
      </c>
      <c r="BN93" s="697">
        <v>0</v>
      </c>
      <c r="BO93" s="697">
        <v>0</v>
      </c>
      <c r="BP93" s="697">
        <v>0</v>
      </c>
      <c r="BQ93" s="697">
        <v>0</v>
      </c>
      <c r="BR93" s="697">
        <v>0</v>
      </c>
      <c r="BS93" s="697">
        <v>0</v>
      </c>
      <c r="BT93" s="698">
        <v>0</v>
      </c>
    </row>
    <row r="94" spans="2:73">
      <c r="B94" s="692"/>
      <c r="C94" s="692"/>
      <c r="D94" s="692" t="s">
        <v>97</v>
      </c>
      <c r="E94" s="692" t="s">
        <v>754</v>
      </c>
      <c r="F94" s="692"/>
      <c r="G94" s="692"/>
      <c r="H94" s="692">
        <v>2015</v>
      </c>
      <c r="I94" s="644" t="s">
        <v>570</v>
      </c>
      <c r="J94" s="644" t="s">
        <v>584</v>
      </c>
      <c r="K94" s="633"/>
      <c r="L94" s="696"/>
      <c r="M94" s="697"/>
      <c r="N94" s="697"/>
      <c r="O94" s="697"/>
      <c r="P94" s="697">
        <v>0</v>
      </c>
      <c r="Q94" s="697">
        <v>0</v>
      </c>
      <c r="R94" s="697">
        <v>0</v>
      </c>
      <c r="S94" s="697">
        <v>0</v>
      </c>
      <c r="T94" s="697">
        <v>0</v>
      </c>
      <c r="U94" s="697">
        <v>0</v>
      </c>
      <c r="V94" s="697">
        <v>0</v>
      </c>
      <c r="W94" s="697">
        <v>0</v>
      </c>
      <c r="X94" s="697">
        <v>0</v>
      </c>
      <c r="Y94" s="697">
        <v>0</v>
      </c>
      <c r="Z94" s="697">
        <v>0</v>
      </c>
      <c r="AA94" s="697">
        <v>0</v>
      </c>
      <c r="AB94" s="697">
        <v>0</v>
      </c>
      <c r="AC94" s="697">
        <v>0</v>
      </c>
      <c r="AD94" s="697">
        <v>0</v>
      </c>
      <c r="AE94" s="697">
        <v>0</v>
      </c>
      <c r="AF94" s="697">
        <v>0</v>
      </c>
      <c r="AG94" s="697">
        <v>0</v>
      </c>
      <c r="AH94" s="697">
        <v>0</v>
      </c>
      <c r="AI94" s="697">
        <v>0</v>
      </c>
      <c r="AJ94" s="697">
        <v>0</v>
      </c>
      <c r="AK94" s="697">
        <v>0</v>
      </c>
      <c r="AL94" s="697">
        <v>0</v>
      </c>
      <c r="AM94" s="697">
        <v>0</v>
      </c>
      <c r="AN94" s="697">
        <v>0</v>
      </c>
      <c r="AO94" s="698">
        <v>0</v>
      </c>
      <c r="AP94" s="633"/>
      <c r="AQ94" s="696"/>
      <c r="AR94" s="697"/>
      <c r="AS94" s="697"/>
      <c r="AT94" s="697"/>
      <c r="AU94" s="697">
        <v>2951</v>
      </c>
      <c r="AV94" s="697">
        <v>2951</v>
      </c>
      <c r="AW94" s="697">
        <v>2951</v>
      </c>
      <c r="AX94" s="697">
        <v>2951</v>
      </c>
      <c r="AY94" s="697">
        <v>2442</v>
      </c>
      <c r="AZ94" s="697">
        <v>0</v>
      </c>
      <c r="BA94" s="697">
        <v>0</v>
      </c>
      <c r="BB94" s="697">
        <v>0</v>
      </c>
      <c r="BC94" s="697">
        <v>0</v>
      </c>
      <c r="BD94" s="697">
        <v>0</v>
      </c>
      <c r="BE94" s="697">
        <v>0</v>
      </c>
      <c r="BF94" s="697">
        <v>0</v>
      </c>
      <c r="BG94" s="697">
        <v>0</v>
      </c>
      <c r="BH94" s="697">
        <v>0</v>
      </c>
      <c r="BI94" s="697">
        <v>0</v>
      </c>
      <c r="BJ94" s="697">
        <v>0</v>
      </c>
      <c r="BK94" s="697">
        <v>0</v>
      </c>
      <c r="BL94" s="697">
        <v>0</v>
      </c>
      <c r="BM94" s="697">
        <v>0</v>
      </c>
      <c r="BN94" s="697">
        <v>0</v>
      </c>
      <c r="BO94" s="697">
        <v>0</v>
      </c>
      <c r="BP94" s="697">
        <v>0</v>
      </c>
      <c r="BQ94" s="697">
        <v>0</v>
      </c>
      <c r="BR94" s="697">
        <v>0</v>
      </c>
      <c r="BS94" s="697">
        <v>0</v>
      </c>
      <c r="BT94" s="698">
        <v>0</v>
      </c>
    </row>
    <row r="95" spans="2:73">
      <c r="B95" s="692"/>
      <c r="C95" s="692"/>
      <c r="D95" s="692" t="s">
        <v>95</v>
      </c>
      <c r="E95" s="692" t="s">
        <v>754</v>
      </c>
      <c r="F95" s="692"/>
      <c r="G95" s="692"/>
      <c r="H95" s="692">
        <v>2015</v>
      </c>
      <c r="I95" s="644" t="s">
        <v>570</v>
      </c>
      <c r="J95" s="644" t="s">
        <v>584</v>
      </c>
      <c r="K95" s="633"/>
      <c r="L95" s="696"/>
      <c r="M95" s="697"/>
      <c r="N95" s="697"/>
      <c r="O95" s="697"/>
      <c r="P95" s="697">
        <v>7</v>
      </c>
      <c r="Q95" s="697">
        <v>7</v>
      </c>
      <c r="R95" s="697">
        <v>7</v>
      </c>
      <c r="S95" s="697">
        <v>7</v>
      </c>
      <c r="T95" s="697">
        <v>7</v>
      </c>
      <c r="U95" s="697">
        <v>7</v>
      </c>
      <c r="V95" s="697">
        <v>7</v>
      </c>
      <c r="W95" s="697">
        <v>7</v>
      </c>
      <c r="X95" s="697">
        <v>7</v>
      </c>
      <c r="Y95" s="697">
        <v>7</v>
      </c>
      <c r="Z95" s="697">
        <v>7</v>
      </c>
      <c r="AA95" s="697">
        <v>7</v>
      </c>
      <c r="AB95" s="697">
        <v>7</v>
      </c>
      <c r="AC95" s="697">
        <v>6</v>
      </c>
      <c r="AD95" s="697">
        <v>6</v>
      </c>
      <c r="AE95" s="697">
        <v>6</v>
      </c>
      <c r="AF95" s="697">
        <v>2</v>
      </c>
      <c r="AG95" s="697">
        <v>2</v>
      </c>
      <c r="AH95" s="697">
        <v>2</v>
      </c>
      <c r="AI95" s="697">
        <v>2</v>
      </c>
      <c r="AJ95" s="697">
        <v>0</v>
      </c>
      <c r="AK95" s="697">
        <v>0</v>
      </c>
      <c r="AL95" s="697">
        <v>0</v>
      </c>
      <c r="AM95" s="697">
        <v>0</v>
      </c>
      <c r="AN95" s="697">
        <v>0</v>
      </c>
      <c r="AO95" s="698">
        <v>0</v>
      </c>
      <c r="AP95" s="633"/>
      <c r="AQ95" s="696"/>
      <c r="AR95" s="697"/>
      <c r="AS95" s="697"/>
      <c r="AT95" s="697"/>
      <c r="AU95" s="697">
        <v>114215</v>
      </c>
      <c r="AV95" s="697">
        <v>113176</v>
      </c>
      <c r="AW95" s="697">
        <v>113176</v>
      </c>
      <c r="AX95" s="697">
        <v>113176</v>
      </c>
      <c r="AY95" s="697">
        <v>113176</v>
      </c>
      <c r="AZ95" s="697">
        <v>113176</v>
      </c>
      <c r="BA95" s="697">
        <v>113176</v>
      </c>
      <c r="BB95" s="697">
        <v>113151</v>
      </c>
      <c r="BC95" s="697">
        <v>113151</v>
      </c>
      <c r="BD95" s="697">
        <v>113151</v>
      </c>
      <c r="BE95" s="697">
        <v>104222</v>
      </c>
      <c r="BF95" s="697">
        <v>103844</v>
      </c>
      <c r="BG95" s="697">
        <v>103844</v>
      </c>
      <c r="BH95" s="697">
        <v>103485</v>
      </c>
      <c r="BI95" s="697">
        <v>103485</v>
      </c>
      <c r="BJ95" s="697">
        <v>103441</v>
      </c>
      <c r="BK95" s="697">
        <v>38769</v>
      </c>
      <c r="BL95" s="697">
        <v>38769</v>
      </c>
      <c r="BM95" s="697">
        <v>38769</v>
      </c>
      <c r="BN95" s="697">
        <v>38769</v>
      </c>
      <c r="BO95" s="697">
        <v>0</v>
      </c>
      <c r="BP95" s="697">
        <v>0</v>
      </c>
      <c r="BQ95" s="697">
        <v>0</v>
      </c>
      <c r="BR95" s="697">
        <v>0</v>
      </c>
      <c r="BS95" s="697">
        <v>0</v>
      </c>
      <c r="BT95" s="698">
        <v>0</v>
      </c>
    </row>
    <row r="96" spans="2:73">
      <c r="B96" s="692"/>
      <c r="C96" s="692"/>
      <c r="D96" s="692" t="s">
        <v>96</v>
      </c>
      <c r="E96" s="692" t="s">
        <v>754</v>
      </c>
      <c r="F96" s="692"/>
      <c r="G96" s="692"/>
      <c r="H96" s="692">
        <v>2015</v>
      </c>
      <c r="I96" s="644" t="s">
        <v>570</v>
      </c>
      <c r="J96" s="644" t="s">
        <v>584</v>
      </c>
      <c r="K96" s="633"/>
      <c r="L96" s="696"/>
      <c r="M96" s="697"/>
      <c r="N96" s="697"/>
      <c r="O96" s="697"/>
      <c r="P96" s="697">
        <v>14</v>
      </c>
      <c r="Q96" s="697">
        <v>14</v>
      </c>
      <c r="R96" s="697">
        <v>14</v>
      </c>
      <c r="S96" s="697">
        <v>14</v>
      </c>
      <c r="T96" s="697">
        <v>14</v>
      </c>
      <c r="U96" s="697">
        <v>14</v>
      </c>
      <c r="V96" s="697">
        <v>14</v>
      </c>
      <c r="W96" s="697">
        <v>14</v>
      </c>
      <c r="X96" s="697">
        <v>14</v>
      </c>
      <c r="Y96" s="697">
        <v>14</v>
      </c>
      <c r="Z96" s="697">
        <v>12</v>
      </c>
      <c r="AA96" s="697">
        <v>11</v>
      </c>
      <c r="AB96" s="697">
        <v>11</v>
      </c>
      <c r="AC96" s="697">
        <v>11</v>
      </c>
      <c r="AD96" s="697">
        <v>11</v>
      </c>
      <c r="AE96" s="697">
        <v>11</v>
      </c>
      <c r="AF96" s="697">
        <v>4</v>
      </c>
      <c r="AG96" s="697">
        <v>4</v>
      </c>
      <c r="AH96" s="697">
        <v>4</v>
      </c>
      <c r="AI96" s="697">
        <v>4</v>
      </c>
      <c r="AJ96" s="697">
        <v>0</v>
      </c>
      <c r="AK96" s="697">
        <v>0</v>
      </c>
      <c r="AL96" s="697">
        <v>0</v>
      </c>
      <c r="AM96" s="697">
        <v>0</v>
      </c>
      <c r="AN96" s="697">
        <v>0</v>
      </c>
      <c r="AO96" s="698">
        <v>0</v>
      </c>
      <c r="AP96" s="633"/>
      <c r="AQ96" s="696"/>
      <c r="AR96" s="697"/>
      <c r="AS96" s="697"/>
      <c r="AT96" s="697"/>
      <c r="AU96" s="697">
        <v>210320</v>
      </c>
      <c r="AV96" s="697">
        <v>206582</v>
      </c>
      <c r="AW96" s="697">
        <v>206582</v>
      </c>
      <c r="AX96" s="697">
        <v>206582</v>
      </c>
      <c r="AY96" s="697">
        <v>206582</v>
      </c>
      <c r="AZ96" s="697">
        <v>206582</v>
      </c>
      <c r="BA96" s="697">
        <v>206582</v>
      </c>
      <c r="BB96" s="697">
        <v>206474</v>
      </c>
      <c r="BC96" s="697">
        <v>206474</v>
      </c>
      <c r="BD96" s="697">
        <v>206474</v>
      </c>
      <c r="BE96" s="697">
        <v>190399</v>
      </c>
      <c r="BF96" s="697">
        <v>180595</v>
      </c>
      <c r="BG96" s="697">
        <v>180595</v>
      </c>
      <c r="BH96" s="697">
        <v>176711</v>
      </c>
      <c r="BI96" s="697">
        <v>176711</v>
      </c>
      <c r="BJ96" s="697">
        <v>176299</v>
      </c>
      <c r="BK96" s="697">
        <v>65312</v>
      </c>
      <c r="BL96" s="697">
        <v>65312</v>
      </c>
      <c r="BM96" s="697">
        <v>65312</v>
      </c>
      <c r="BN96" s="697">
        <v>65312</v>
      </c>
      <c r="BO96" s="697">
        <v>0</v>
      </c>
      <c r="BP96" s="697">
        <v>0</v>
      </c>
      <c r="BQ96" s="697">
        <v>0</v>
      </c>
      <c r="BR96" s="697">
        <v>0</v>
      </c>
      <c r="BS96" s="697">
        <v>0</v>
      </c>
      <c r="BT96" s="698">
        <v>0</v>
      </c>
    </row>
    <row r="97" spans="2:73">
      <c r="B97" s="692"/>
      <c r="C97" s="692"/>
      <c r="D97" s="692" t="s">
        <v>671</v>
      </c>
      <c r="E97" s="692" t="s">
        <v>754</v>
      </c>
      <c r="F97" s="692"/>
      <c r="G97" s="692"/>
      <c r="H97" s="692">
        <v>2015</v>
      </c>
      <c r="I97" s="644" t="s">
        <v>570</v>
      </c>
      <c r="J97" s="644" t="s">
        <v>584</v>
      </c>
      <c r="K97" s="633"/>
      <c r="L97" s="696"/>
      <c r="M97" s="697"/>
      <c r="N97" s="697"/>
      <c r="O97" s="697"/>
      <c r="P97" s="697">
        <v>59</v>
      </c>
      <c r="Q97" s="697">
        <v>59</v>
      </c>
      <c r="R97" s="697">
        <v>59</v>
      </c>
      <c r="S97" s="697">
        <v>59</v>
      </c>
      <c r="T97" s="697">
        <v>59</v>
      </c>
      <c r="U97" s="697">
        <v>59</v>
      </c>
      <c r="V97" s="697">
        <v>59</v>
      </c>
      <c r="W97" s="697">
        <v>59</v>
      </c>
      <c r="X97" s="697">
        <v>59</v>
      </c>
      <c r="Y97" s="697">
        <v>59</v>
      </c>
      <c r="Z97" s="697">
        <v>59</v>
      </c>
      <c r="AA97" s="697">
        <v>59</v>
      </c>
      <c r="AB97" s="697">
        <v>59</v>
      </c>
      <c r="AC97" s="697">
        <v>59</v>
      </c>
      <c r="AD97" s="697">
        <v>59</v>
      </c>
      <c r="AE97" s="697">
        <v>59</v>
      </c>
      <c r="AF97" s="697">
        <v>59</v>
      </c>
      <c r="AG97" s="697">
        <v>59</v>
      </c>
      <c r="AH97" s="697">
        <v>51</v>
      </c>
      <c r="AI97" s="697">
        <v>0</v>
      </c>
      <c r="AJ97" s="697">
        <v>0</v>
      </c>
      <c r="AK97" s="697">
        <v>0</v>
      </c>
      <c r="AL97" s="697">
        <v>0</v>
      </c>
      <c r="AM97" s="697">
        <v>0</v>
      </c>
      <c r="AN97" s="697">
        <v>0</v>
      </c>
      <c r="AO97" s="698">
        <v>0</v>
      </c>
      <c r="AP97" s="633"/>
      <c r="AQ97" s="696"/>
      <c r="AR97" s="697"/>
      <c r="AS97" s="697"/>
      <c r="AT97" s="697"/>
      <c r="AU97" s="697">
        <v>110171</v>
      </c>
      <c r="AV97" s="697">
        <v>110171</v>
      </c>
      <c r="AW97" s="697">
        <v>110171</v>
      </c>
      <c r="AX97" s="697">
        <v>110171</v>
      </c>
      <c r="AY97" s="697">
        <v>110171</v>
      </c>
      <c r="AZ97" s="697">
        <v>110171</v>
      </c>
      <c r="BA97" s="697">
        <v>110171</v>
      </c>
      <c r="BB97" s="697">
        <v>110171</v>
      </c>
      <c r="BC97" s="697">
        <v>110171</v>
      </c>
      <c r="BD97" s="697">
        <v>110171</v>
      </c>
      <c r="BE97" s="697">
        <v>110171</v>
      </c>
      <c r="BF97" s="697">
        <v>110171</v>
      </c>
      <c r="BG97" s="697">
        <v>110171</v>
      </c>
      <c r="BH97" s="697">
        <v>110171</v>
      </c>
      <c r="BI97" s="697">
        <v>110171</v>
      </c>
      <c r="BJ97" s="697">
        <v>110171</v>
      </c>
      <c r="BK97" s="697">
        <v>110171</v>
      </c>
      <c r="BL97" s="697">
        <v>110171</v>
      </c>
      <c r="BM97" s="697">
        <v>103149</v>
      </c>
      <c r="BN97" s="697">
        <v>0</v>
      </c>
      <c r="BO97" s="697">
        <v>0</v>
      </c>
      <c r="BP97" s="697">
        <v>0</v>
      </c>
      <c r="BQ97" s="697">
        <v>0</v>
      </c>
      <c r="BR97" s="697">
        <v>0</v>
      </c>
      <c r="BS97" s="697">
        <v>0</v>
      </c>
      <c r="BT97" s="698">
        <v>0</v>
      </c>
    </row>
    <row r="98" spans="2:73" ht="15.75">
      <c r="B98" s="692"/>
      <c r="C98" s="692"/>
      <c r="D98" s="692" t="s">
        <v>99</v>
      </c>
      <c r="E98" s="692" t="s">
        <v>754</v>
      </c>
      <c r="F98" s="692"/>
      <c r="G98" s="692"/>
      <c r="H98" s="692">
        <v>2015</v>
      </c>
      <c r="I98" s="644" t="s">
        <v>570</v>
      </c>
      <c r="J98" s="644" t="s">
        <v>584</v>
      </c>
      <c r="K98" s="633"/>
      <c r="L98" s="696"/>
      <c r="M98" s="697"/>
      <c r="N98" s="697"/>
      <c r="O98" s="697"/>
      <c r="P98" s="697">
        <v>15</v>
      </c>
      <c r="Q98" s="697">
        <v>15</v>
      </c>
      <c r="R98" s="697">
        <v>15</v>
      </c>
      <c r="S98" s="697">
        <v>15</v>
      </c>
      <c r="T98" s="697">
        <v>0</v>
      </c>
      <c r="U98" s="697">
        <v>0</v>
      </c>
      <c r="V98" s="697">
        <v>0</v>
      </c>
      <c r="W98" s="697">
        <v>0</v>
      </c>
      <c r="X98" s="697">
        <v>0</v>
      </c>
      <c r="Y98" s="697">
        <v>0</v>
      </c>
      <c r="Z98" s="697">
        <v>0</v>
      </c>
      <c r="AA98" s="697">
        <v>0</v>
      </c>
      <c r="AB98" s="697">
        <v>0</v>
      </c>
      <c r="AC98" s="697">
        <v>0</v>
      </c>
      <c r="AD98" s="697">
        <v>0</v>
      </c>
      <c r="AE98" s="697">
        <v>0</v>
      </c>
      <c r="AF98" s="697">
        <v>0</v>
      </c>
      <c r="AG98" s="697">
        <v>0</v>
      </c>
      <c r="AH98" s="697">
        <v>0</v>
      </c>
      <c r="AI98" s="697">
        <v>0</v>
      </c>
      <c r="AJ98" s="697">
        <v>0</v>
      </c>
      <c r="AK98" s="697">
        <v>0</v>
      </c>
      <c r="AL98" s="697">
        <v>0</v>
      </c>
      <c r="AM98" s="697">
        <v>0</v>
      </c>
      <c r="AN98" s="697">
        <v>0</v>
      </c>
      <c r="AO98" s="698">
        <v>0</v>
      </c>
      <c r="AP98" s="633"/>
      <c r="AQ98" s="696"/>
      <c r="AR98" s="697"/>
      <c r="AS98" s="697"/>
      <c r="AT98" s="697"/>
      <c r="AU98" s="697">
        <v>71357</v>
      </c>
      <c r="AV98" s="697">
        <v>71357</v>
      </c>
      <c r="AW98" s="697">
        <v>71357</v>
      </c>
      <c r="AX98" s="697">
        <v>71357</v>
      </c>
      <c r="AY98" s="697">
        <v>0</v>
      </c>
      <c r="AZ98" s="697">
        <v>0</v>
      </c>
      <c r="BA98" s="697">
        <v>0</v>
      </c>
      <c r="BB98" s="697">
        <v>0</v>
      </c>
      <c r="BC98" s="697">
        <v>0</v>
      </c>
      <c r="BD98" s="697">
        <v>0</v>
      </c>
      <c r="BE98" s="697">
        <v>0</v>
      </c>
      <c r="BF98" s="697">
        <v>0</v>
      </c>
      <c r="BG98" s="697">
        <v>0</v>
      </c>
      <c r="BH98" s="697">
        <v>0</v>
      </c>
      <c r="BI98" s="697">
        <v>0</v>
      </c>
      <c r="BJ98" s="697">
        <v>0</v>
      </c>
      <c r="BK98" s="697">
        <v>0</v>
      </c>
      <c r="BL98" s="697">
        <v>0</v>
      </c>
      <c r="BM98" s="697">
        <v>0</v>
      </c>
      <c r="BN98" s="697">
        <v>0</v>
      </c>
      <c r="BO98" s="697">
        <v>0</v>
      </c>
      <c r="BP98" s="697">
        <v>0</v>
      </c>
      <c r="BQ98" s="697">
        <v>0</v>
      </c>
      <c r="BR98" s="697">
        <v>0</v>
      </c>
      <c r="BS98" s="697">
        <v>0</v>
      </c>
      <c r="BT98" s="698">
        <v>0</v>
      </c>
      <c r="BU98" s="163"/>
    </row>
    <row r="99" spans="2:73" ht="15.75">
      <c r="B99" s="692"/>
      <c r="C99" s="692"/>
      <c r="D99" s="692" t="s">
        <v>100</v>
      </c>
      <c r="E99" s="692" t="s">
        <v>754</v>
      </c>
      <c r="F99" s="692"/>
      <c r="G99" s="692"/>
      <c r="H99" s="692">
        <v>2015</v>
      </c>
      <c r="I99" s="644" t="s">
        <v>570</v>
      </c>
      <c r="J99" s="644" t="s">
        <v>584</v>
      </c>
      <c r="K99" s="633"/>
      <c r="L99" s="696"/>
      <c r="M99" s="697"/>
      <c r="N99" s="697"/>
      <c r="O99" s="697"/>
      <c r="P99" s="697">
        <v>153</v>
      </c>
      <c r="Q99" s="697">
        <v>153</v>
      </c>
      <c r="R99" s="697">
        <v>147</v>
      </c>
      <c r="S99" s="697">
        <v>147</v>
      </c>
      <c r="T99" s="697">
        <v>147</v>
      </c>
      <c r="U99" s="697">
        <v>147</v>
      </c>
      <c r="V99" s="697">
        <v>144</v>
      </c>
      <c r="W99" s="697">
        <v>144</v>
      </c>
      <c r="X99" s="697">
        <v>143</v>
      </c>
      <c r="Y99" s="697">
        <v>133</v>
      </c>
      <c r="Z99" s="697">
        <v>110</v>
      </c>
      <c r="AA99" s="697">
        <v>110</v>
      </c>
      <c r="AB99" s="697">
        <v>87</v>
      </c>
      <c r="AC99" s="697">
        <v>87</v>
      </c>
      <c r="AD99" s="697">
        <v>87</v>
      </c>
      <c r="AE99" s="697">
        <v>60</v>
      </c>
      <c r="AF99" s="697">
        <v>8</v>
      </c>
      <c r="AG99" s="697">
        <v>8</v>
      </c>
      <c r="AH99" s="697">
        <v>8</v>
      </c>
      <c r="AI99" s="697">
        <v>8</v>
      </c>
      <c r="AJ99" s="697">
        <v>0</v>
      </c>
      <c r="AK99" s="697">
        <v>0</v>
      </c>
      <c r="AL99" s="697">
        <v>0</v>
      </c>
      <c r="AM99" s="697">
        <v>0</v>
      </c>
      <c r="AN99" s="697">
        <v>0</v>
      </c>
      <c r="AO99" s="698">
        <v>0</v>
      </c>
      <c r="AP99" s="633"/>
      <c r="AQ99" s="696"/>
      <c r="AR99" s="697"/>
      <c r="AS99" s="697"/>
      <c r="AT99" s="697"/>
      <c r="AU99" s="697">
        <v>2323198</v>
      </c>
      <c r="AV99" s="697">
        <v>2323198</v>
      </c>
      <c r="AW99" s="697">
        <v>2304472</v>
      </c>
      <c r="AX99" s="697">
        <v>2304472</v>
      </c>
      <c r="AY99" s="697">
        <v>2304472</v>
      </c>
      <c r="AZ99" s="697">
        <v>2304472</v>
      </c>
      <c r="BA99" s="697">
        <v>2264894</v>
      </c>
      <c r="BB99" s="697">
        <v>2264894</v>
      </c>
      <c r="BC99" s="697">
        <v>2263293</v>
      </c>
      <c r="BD99" s="697">
        <v>2134287</v>
      </c>
      <c r="BE99" s="697">
        <v>1826255</v>
      </c>
      <c r="BF99" s="697">
        <v>1826255</v>
      </c>
      <c r="BG99" s="697">
        <v>240495</v>
      </c>
      <c r="BH99" s="697">
        <v>240495</v>
      </c>
      <c r="BI99" s="697">
        <v>240495</v>
      </c>
      <c r="BJ99" s="697">
        <v>162708</v>
      </c>
      <c r="BK99" s="697">
        <v>23653</v>
      </c>
      <c r="BL99" s="697">
        <v>23653</v>
      </c>
      <c r="BM99" s="697">
        <v>23653</v>
      </c>
      <c r="BN99" s="697">
        <v>23653</v>
      </c>
      <c r="BO99" s="697">
        <v>0</v>
      </c>
      <c r="BP99" s="697">
        <v>0</v>
      </c>
      <c r="BQ99" s="697">
        <v>0</v>
      </c>
      <c r="BR99" s="697">
        <v>0</v>
      </c>
      <c r="BS99" s="697">
        <v>0</v>
      </c>
      <c r="BT99" s="698">
        <v>0</v>
      </c>
      <c r="BU99" s="163"/>
    </row>
    <row r="100" spans="2:73" ht="15.75">
      <c r="B100" s="692"/>
      <c r="C100" s="692"/>
      <c r="D100" s="692" t="s">
        <v>101</v>
      </c>
      <c r="E100" s="692" t="s">
        <v>754</v>
      </c>
      <c r="F100" s="692"/>
      <c r="G100" s="692"/>
      <c r="H100" s="692">
        <v>2015</v>
      </c>
      <c r="I100" s="644" t="s">
        <v>570</v>
      </c>
      <c r="J100" s="644" t="s">
        <v>584</v>
      </c>
      <c r="K100" s="633"/>
      <c r="L100" s="696"/>
      <c r="M100" s="697"/>
      <c r="N100" s="697"/>
      <c r="O100" s="697"/>
      <c r="P100" s="697">
        <v>23</v>
      </c>
      <c r="Q100" s="697">
        <v>18</v>
      </c>
      <c r="R100" s="697">
        <v>17</v>
      </c>
      <c r="S100" s="697">
        <v>17</v>
      </c>
      <c r="T100" s="697">
        <v>17</v>
      </c>
      <c r="U100" s="697">
        <v>17</v>
      </c>
      <c r="V100" s="697">
        <v>17</v>
      </c>
      <c r="W100" s="697">
        <v>17</v>
      </c>
      <c r="X100" s="697">
        <v>17</v>
      </c>
      <c r="Y100" s="697">
        <v>17</v>
      </c>
      <c r="Z100" s="697">
        <v>17</v>
      </c>
      <c r="AA100" s="697">
        <v>2</v>
      </c>
      <c r="AB100" s="697">
        <v>0</v>
      </c>
      <c r="AC100" s="697">
        <v>0</v>
      </c>
      <c r="AD100" s="697">
        <v>0</v>
      </c>
      <c r="AE100" s="697">
        <v>0</v>
      </c>
      <c r="AF100" s="697">
        <v>0</v>
      </c>
      <c r="AG100" s="697">
        <v>0</v>
      </c>
      <c r="AH100" s="697">
        <v>0</v>
      </c>
      <c r="AI100" s="697">
        <v>0</v>
      </c>
      <c r="AJ100" s="697">
        <v>0</v>
      </c>
      <c r="AK100" s="697">
        <v>0</v>
      </c>
      <c r="AL100" s="697">
        <v>0</v>
      </c>
      <c r="AM100" s="697">
        <v>0</v>
      </c>
      <c r="AN100" s="697">
        <v>0</v>
      </c>
      <c r="AO100" s="698">
        <v>0</v>
      </c>
      <c r="AP100" s="633"/>
      <c r="AQ100" s="696"/>
      <c r="AR100" s="697"/>
      <c r="AS100" s="697"/>
      <c r="AT100" s="697"/>
      <c r="AU100" s="697">
        <v>95530</v>
      </c>
      <c r="AV100" s="697">
        <v>75532</v>
      </c>
      <c r="AW100" s="697">
        <v>69392</v>
      </c>
      <c r="AX100" s="697">
        <v>69392</v>
      </c>
      <c r="AY100" s="697">
        <v>69392</v>
      </c>
      <c r="AZ100" s="697">
        <v>69392</v>
      </c>
      <c r="BA100" s="697">
        <v>69392</v>
      </c>
      <c r="BB100" s="697">
        <v>69392</v>
      </c>
      <c r="BC100" s="697">
        <v>69392</v>
      </c>
      <c r="BD100" s="697">
        <v>69392</v>
      </c>
      <c r="BE100" s="697">
        <v>69392</v>
      </c>
      <c r="BF100" s="697">
        <v>6785</v>
      </c>
      <c r="BG100" s="697">
        <v>0</v>
      </c>
      <c r="BH100" s="697">
        <v>0</v>
      </c>
      <c r="BI100" s="697">
        <v>0</v>
      </c>
      <c r="BJ100" s="697">
        <v>0</v>
      </c>
      <c r="BK100" s="697">
        <v>0</v>
      </c>
      <c r="BL100" s="697">
        <v>0</v>
      </c>
      <c r="BM100" s="697">
        <v>0</v>
      </c>
      <c r="BN100" s="697">
        <v>0</v>
      </c>
      <c r="BO100" s="697">
        <v>0</v>
      </c>
      <c r="BP100" s="697">
        <v>0</v>
      </c>
      <c r="BQ100" s="697">
        <v>0</v>
      </c>
      <c r="BR100" s="697">
        <v>0</v>
      </c>
      <c r="BS100" s="697">
        <v>0</v>
      </c>
      <c r="BT100" s="698">
        <v>0</v>
      </c>
      <c r="BU100" s="163"/>
    </row>
    <row r="101" spans="2:73">
      <c r="B101" s="692"/>
      <c r="C101" s="692"/>
      <c r="D101" s="692" t="s">
        <v>108</v>
      </c>
      <c r="E101" s="692" t="s">
        <v>754</v>
      </c>
      <c r="F101" s="692"/>
      <c r="G101" s="692"/>
      <c r="H101" s="692">
        <v>2015</v>
      </c>
      <c r="I101" s="644" t="s">
        <v>570</v>
      </c>
      <c r="J101" s="644" t="s">
        <v>584</v>
      </c>
      <c r="K101" s="633"/>
      <c r="L101" s="696"/>
      <c r="M101" s="697"/>
      <c r="N101" s="697"/>
      <c r="O101" s="697"/>
      <c r="P101" s="697">
        <v>0</v>
      </c>
      <c r="Q101" s="697">
        <v>0</v>
      </c>
      <c r="R101" s="697">
        <v>0</v>
      </c>
      <c r="S101" s="697">
        <v>0</v>
      </c>
      <c r="T101" s="697">
        <v>0</v>
      </c>
      <c r="U101" s="697">
        <v>0</v>
      </c>
      <c r="V101" s="697">
        <v>0</v>
      </c>
      <c r="W101" s="697">
        <v>0</v>
      </c>
      <c r="X101" s="697">
        <v>0</v>
      </c>
      <c r="Y101" s="697">
        <v>0</v>
      </c>
      <c r="Z101" s="697">
        <v>0</v>
      </c>
      <c r="AA101" s="697">
        <v>0</v>
      </c>
      <c r="AB101" s="697">
        <v>0</v>
      </c>
      <c r="AC101" s="697">
        <v>0</v>
      </c>
      <c r="AD101" s="697">
        <v>0</v>
      </c>
      <c r="AE101" s="697">
        <v>0</v>
      </c>
      <c r="AF101" s="697">
        <v>0</v>
      </c>
      <c r="AG101" s="697">
        <v>0</v>
      </c>
      <c r="AH101" s="697">
        <v>0</v>
      </c>
      <c r="AI101" s="697">
        <v>0</v>
      </c>
      <c r="AJ101" s="697">
        <v>0</v>
      </c>
      <c r="AK101" s="697">
        <v>0</v>
      </c>
      <c r="AL101" s="697">
        <v>0</v>
      </c>
      <c r="AM101" s="697">
        <v>0</v>
      </c>
      <c r="AN101" s="697">
        <v>0</v>
      </c>
      <c r="AO101" s="698">
        <v>0</v>
      </c>
      <c r="AP101" s="633"/>
      <c r="AQ101" s="696"/>
      <c r="AR101" s="697"/>
      <c r="AS101" s="697"/>
      <c r="AT101" s="697"/>
      <c r="AU101" s="697">
        <v>1135</v>
      </c>
      <c r="AV101" s="697">
        <v>991</v>
      </c>
      <c r="AW101" s="697">
        <v>961</v>
      </c>
      <c r="AX101" s="697">
        <v>931</v>
      </c>
      <c r="AY101" s="697">
        <v>931</v>
      </c>
      <c r="AZ101" s="697">
        <v>931</v>
      </c>
      <c r="BA101" s="697">
        <v>931</v>
      </c>
      <c r="BB101" s="697">
        <v>931</v>
      </c>
      <c r="BC101" s="697">
        <v>722</v>
      </c>
      <c r="BD101" s="697">
        <v>722</v>
      </c>
      <c r="BE101" s="697">
        <v>722</v>
      </c>
      <c r="BF101" s="697">
        <v>722</v>
      </c>
      <c r="BG101" s="697">
        <v>479</v>
      </c>
      <c r="BH101" s="697">
        <v>479</v>
      </c>
      <c r="BI101" s="697">
        <v>479</v>
      </c>
      <c r="BJ101" s="697">
        <v>479</v>
      </c>
      <c r="BK101" s="697">
        <v>479</v>
      </c>
      <c r="BL101" s="697">
        <v>479</v>
      </c>
      <c r="BM101" s="697">
        <v>479</v>
      </c>
      <c r="BN101" s="697">
        <v>479</v>
      </c>
      <c r="BO101" s="697">
        <v>479</v>
      </c>
      <c r="BP101" s="697">
        <v>0</v>
      </c>
      <c r="BQ101" s="697">
        <v>0</v>
      </c>
      <c r="BR101" s="697">
        <v>0</v>
      </c>
      <c r="BS101" s="697">
        <v>0</v>
      </c>
      <c r="BT101" s="698">
        <v>0</v>
      </c>
    </row>
    <row r="102" spans="2:73">
      <c r="B102" s="692"/>
      <c r="C102" s="692"/>
      <c r="D102" s="692" t="s">
        <v>113</v>
      </c>
      <c r="E102" s="692" t="s">
        <v>754</v>
      </c>
      <c r="F102" s="692"/>
      <c r="G102" s="692"/>
      <c r="H102" s="692">
        <v>2016</v>
      </c>
      <c r="I102" s="644" t="s">
        <v>571</v>
      </c>
      <c r="J102" s="644" t="s">
        <v>584</v>
      </c>
      <c r="K102" s="633"/>
      <c r="L102" s="696"/>
      <c r="M102" s="697"/>
      <c r="N102" s="697"/>
      <c r="O102" s="697"/>
      <c r="P102" s="697">
        <v>0</v>
      </c>
      <c r="Q102" s="697">
        <v>59</v>
      </c>
      <c r="R102" s="697">
        <v>59</v>
      </c>
      <c r="S102" s="697">
        <v>59</v>
      </c>
      <c r="T102" s="697">
        <v>59</v>
      </c>
      <c r="U102" s="697">
        <v>59</v>
      </c>
      <c r="V102" s="697">
        <v>59</v>
      </c>
      <c r="W102" s="697">
        <v>59</v>
      </c>
      <c r="X102" s="697">
        <v>59</v>
      </c>
      <c r="Y102" s="697">
        <v>59</v>
      </c>
      <c r="Z102" s="697">
        <v>59</v>
      </c>
      <c r="AA102" s="697">
        <v>57</v>
      </c>
      <c r="AB102" s="697">
        <v>57</v>
      </c>
      <c r="AC102" s="697">
        <v>57</v>
      </c>
      <c r="AD102" s="697">
        <v>56</v>
      </c>
      <c r="AE102" s="697">
        <v>50</v>
      </c>
      <c r="AF102" s="697">
        <v>50</v>
      </c>
      <c r="AG102" s="697">
        <v>26</v>
      </c>
      <c r="AH102" s="697">
        <v>0</v>
      </c>
      <c r="AI102" s="697">
        <v>0</v>
      </c>
      <c r="AJ102" s="697">
        <v>0</v>
      </c>
      <c r="AK102" s="697">
        <v>0</v>
      </c>
      <c r="AL102" s="697">
        <v>0</v>
      </c>
      <c r="AM102" s="697">
        <v>0</v>
      </c>
      <c r="AN102" s="697">
        <v>0</v>
      </c>
      <c r="AO102" s="698">
        <v>0</v>
      </c>
      <c r="AP102" s="633"/>
      <c r="AQ102" s="696"/>
      <c r="AR102" s="697"/>
      <c r="AS102" s="697"/>
      <c r="AT102" s="697"/>
      <c r="AU102" s="697">
        <v>0</v>
      </c>
      <c r="AV102" s="697">
        <v>906318</v>
      </c>
      <c r="AW102" s="697">
        <v>906318</v>
      </c>
      <c r="AX102" s="697">
        <v>906318</v>
      </c>
      <c r="AY102" s="697">
        <v>906318</v>
      </c>
      <c r="AZ102" s="697">
        <v>906318</v>
      </c>
      <c r="BA102" s="697">
        <v>906318</v>
      </c>
      <c r="BB102" s="697">
        <v>906318</v>
      </c>
      <c r="BC102" s="697">
        <v>906206</v>
      </c>
      <c r="BD102" s="697">
        <v>906206</v>
      </c>
      <c r="BE102" s="697">
        <v>902619</v>
      </c>
      <c r="BF102" s="697">
        <v>892043</v>
      </c>
      <c r="BG102" s="697">
        <v>891590</v>
      </c>
      <c r="BH102" s="697">
        <v>891590</v>
      </c>
      <c r="BI102" s="697">
        <v>887439</v>
      </c>
      <c r="BJ102" s="697">
        <v>785163</v>
      </c>
      <c r="BK102" s="697">
        <v>785163</v>
      </c>
      <c r="BL102" s="697">
        <v>419555</v>
      </c>
      <c r="BM102" s="697">
        <v>0</v>
      </c>
      <c r="BN102" s="697">
        <v>0</v>
      </c>
      <c r="BO102" s="697">
        <v>0</v>
      </c>
      <c r="BP102" s="697">
        <v>0</v>
      </c>
      <c r="BQ102" s="697">
        <v>0</v>
      </c>
      <c r="BR102" s="697">
        <v>0</v>
      </c>
      <c r="BS102" s="697">
        <v>0</v>
      </c>
      <c r="BT102" s="698">
        <v>0</v>
      </c>
    </row>
    <row r="103" spans="2:73">
      <c r="B103" s="692"/>
      <c r="C103" s="692"/>
      <c r="D103" s="692" t="s">
        <v>776</v>
      </c>
      <c r="E103" s="692" t="s">
        <v>754</v>
      </c>
      <c r="F103" s="692"/>
      <c r="G103" s="692"/>
      <c r="H103" s="692">
        <v>2016</v>
      </c>
      <c r="I103" s="644" t="s">
        <v>571</v>
      </c>
      <c r="J103" s="644" t="s">
        <v>584</v>
      </c>
      <c r="K103" s="633"/>
      <c r="L103" s="696"/>
      <c r="M103" s="697"/>
      <c r="N103" s="697"/>
      <c r="O103" s="697"/>
      <c r="P103" s="697">
        <v>0</v>
      </c>
      <c r="Q103" s="697">
        <v>50</v>
      </c>
      <c r="R103" s="697">
        <v>50</v>
      </c>
      <c r="S103" s="697">
        <v>50</v>
      </c>
      <c r="T103" s="697">
        <v>50</v>
      </c>
      <c r="U103" s="697">
        <v>50</v>
      </c>
      <c r="V103" s="697">
        <v>50</v>
      </c>
      <c r="W103" s="697">
        <v>50</v>
      </c>
      <c r="X103" s="697">
        <v>50</v>
      </c>
      <c r="Y103" s="697">
        <v>50</v>
      </c>
      <c r="Z103" s="697">
        <v>50</v>
      </c>
      <c r="AA103" s="697">
        <v>50</v>
      </c>
      <c r="AB103" s="697">
        <v>50</v>
      </c>
      <c r="AC103" s="697">
        <v>50</v>
      </c>
      <c r="AD103" s="697">
        <v>50</v>
      </c>
      <c r="AE103" s="697">
        <v>50</v>
      </c>
      <c r="AF103" s="697">
        <v>50</v>
      </c>
      <c r="AG103" s="697">
        <v>50</v>
      </c>
      <c r="AH103" s="697">
        <v>50</v>
      </c>
      <c r="AI103" s="697">
        <v>45</v>
      </c>
      <c r="AJ103" s="697">
        <v>0</v>
      </c>
      <c r="AK103" s="697">
        <v>0</v>
      </c>
      <c r="AL103" s="697">
        <v>0</v>
      </c>
      <c r="AM103" s="697">
        <v>0</v>
      </c>
      <c r="AN103" s="697">
        <v>0</v>
      </c>
      <c r="AO103" s="698">
        <v>0</v>
      </c>
      <c r="AP103" s="633"/>
      <c r="AQ103" s="696"/>
      <c r="AR103" s="697"/>
      <c r="AS103" s="697"/>
      <c r="AT103" s="697"/>
      <c r="AU103" s="697">
        <v>0</v>
      </c>
      <c r="AV103" s="697">
        <v>166406</v>
      </c>
      <c r="AW103" s="697">
        <v>166406</v>
      </c>
      <c r="AX103" s="697">
        <v>166406</v>
      </c>
      <c r="AY103" s="697">
        <v>166406</v>
      </c>
      <c r="AZ103" s="697">
        <v>166406</v>
      </c>
      <c r="BA103" s="697">
        <v>166406</v>
      </c>
      <c r="BB103" s="697">
        <v>166406</v>
      </c>
      <c r="BC103" s="697">
        <v>166406</v>
      </c>
      <c r="BD103" s="697">
        <v>166406</v>
      </c>
      <c r="BE103" s="697">
        <v>166406</v>
      </c>
      <c r="BF103" s="697">
        <v>166406</v>
      </c>
      <c r="BG103" s="697">
        <v>166406</v>
      </c>
      <c r="BH103" s="697">
        <v>166406</v>
      </c>
      <c r="BI103" s="697">
        <v>166406</v>
      </c>
      <c r="BJ103" s="697">
        <v>166406</v>
      </c>
      <c r="BK103" s="697">
        <v>166406</v>
      </c>
      <c r="BL103" s="697">
        <v>166406</v>
      </c>
      <c r="BM103" s="697">
        <v>166406</v>
      </c>
      <c r="BN103" s="697">
        <v>161699</v>
      </c>
      <c r="BO103" s="697">
        <v>0</v>
      </c>
      <c r="BP103" s="697">
        <v>0</v>
      </c>
      <c r="BQ103" s="697">
        <v>0</v>
      </c>
      <c r="BR103" s="697">
        <v>0</v>
      </c>
      <c r="BS103" s="697">
        <v>0</v>
      </c>
      <c r="BT103" s="698">
        <v>0</v>
      </c>
    </row>
    <row r="104" spans="2:73">
      <c r="B104" s="692"/>
      <c r="C104" s="692"/>
      <c r="D104" s="692" t="s">
        <v>118</v>
      </c>
      <c r="E104" s="692" t="s">
        <v>754</v>
      </c>
      <c r="F104" s="692"/>
      <c r="G104" s="692"/>
      <c r="H104" s="692">
        <v>2016</v>
      </c>
      <c r="I104" s="644" t="s">
        <v>571</v>
      </c>
      <c r="J104" s="644" t="s">
        <v>584</v>
      </c>
      <c r="K104" s="633"/>
      <c r="L104" s="696"/>
      <c r="M104" s="697"/>
      <c r="N104" s="697"/>
      <c r="O104" s="697"/>
      <c r="P104" s="697">
        <v>0</v>
      </c>
      <c r="Q104" s="697">
        <v>114</v>
      </c>
      <c r="R104" s="697">
        <v>113</v>
      </c>
      <c r="S104" s="697">
        <v>113</v>
      </c>
      <c r="T104" s="697">
        <v>113</v>
      </c>
      <c r="U104" s="697">
        <v>113</v>
      </c>
      <c r="V104" s="697">
        <v>113</v>
      </c>
      <c r="W104" s="697">
        <v>113</v>
      </c>
      <c r="X104" s="697">
        <v>113</v>
      </c>
      <c r="Y104" s="697">
        <v>52</v>
      </c>
      <c r="Z104" s="697">
        <v>52</v>
      </c>
      <c r="AA104" s="697">
        <v>52</v>
      </c>
      <c r="AB104" s="697">
        <v>38</v>
      </c>
      <c r="AC104" s="697">
        <v>10</v>
      </c>
      <c r="AD104" s="697">
        <v>10</v>
      </c>
      <c r="AE104" s="697">
        <v>1</v>
      </c>
      <c r="AF104" s="697">
        <v>0</v>
      </c>
      <c r="AG104" s="697">
        <v>0</v>
      </c>
      <c r="AH104" s="697">
        <v>0</v>
      </c>
      <c r="AI104" s="697">
        <v>0</v>
      </c>
      <c r="AJ104" s="697">
        <v>0</v>
      </c>
      <c r="AK104" s="697">
        <v>0</v>
      </c>
      <c r="AL104" s="697">
        <v>0</v>
      </c>
      <c r="AM104" s="697">
        <v>0</v>
      </c>
      <c r="AN104" s="697">
        <v>0</v>
      </c>
      <c r="AO104" s="698">
        <v>0</v>
      </c>
      <c r="AP104" s="633"/>
      <c r="AQ104" s="696"/>
      <c r="AR104" s="697"/>
      <c r="AS104" s="697"/>
      <c r="AT104" s="697"/>
      <c r="AU104" s="697">
        <v>0</v>
      </c>
      <c r="AV104" s="697">
        <v>921843</v>
      </c>
      <c r="AW104" s="697">
        <v>914993</v>
      </c>
      <c r="AX104" s="697">
        <v>914993</v>
      </c>
      <c r="AY104" s="697">
        <v>914993</v>
      </c>
      <c r="AZ104" s="697">
        <v>914993</v>
      </c>
      <c r="BA104" s="697">
        <v>914993</v>
      </c>
      <c r="BB104" s="697">
        <v>914993</v>
      </c>
      <c r="BC104" s="697">
        <v>914993</v>
      </c>
      <c r="BD104" s="697">
        <v>662198</v>
      </c>
      <c r="BE104" s="697">
        <v>662198</v>
      </c>
      <c r="BF104" s="697">
        <v>662198</v>
      </c>
      <c r="BG104" s="697">
        <v>586787</v>
      </c>
      <c r="BH104" s="697">
        <v>198010</v>
      </c>
      <c r="BI104" s="697">
        <v>198010</v>
      </c>
      <c r="BJ104" s="697">
        <v>13656</v>
      </c>
      <c r="BK104" s="697">
        <v>0</v>
      </c>
      <c r="BL104" s="697">
        <v>0</v>
      </c>
      <c r="BM104" s="697">
        <v>0</v>
      </c>
      <c r="BN104" s="697">
        <v>0</v>
      </c>
      <c r="BO104" s="697">
        <v>0</v>
      </c>
      <c r="BP104" s="697">
        <v>0</v>
      </c>
      <c r="BQ104" s="697">
        <v>0</v>
      </c>
      <c r="BR104" s="697">
        <v>0</v>
      </c>
      <c r="BS104" s="697">
        <v>0</v>
      </c>
      <c r="BT104" s="698">
        <v>0</v>
      </c>
    </row>
    <row r="105" spans="2:73">
      <c r="B105" s="692"/>
      <c r="C105" s="692"/>
      <c r="D105" s="692" t="s">
        <v>119</v>
      </c>
      <c r="E105" s="692" t="s">
        <v>754</v>
      </c>
      <c r="F105" s="692"/>
      <c r="G105" s="692"/>
      <c r="H105" s="692">
        <v>2016</v>
      </c>
      <c r="I105" s="644" t="s">
        <v>571</v>
      </c>
      <c r="J105" s="644" t="s">
        <v>584</v>
      </c>
      <c r="K105" s="633"/>
      <c r="L105" s="696"/>
      <c r="M105" s="697"/>
      <c r="N105" s="697"/>
      <c r="O105" s="697"/>
      <c r="P105" s="697">
        <v>0</v>
      </c>
      <c r="Q105" s="697">
        <v>35</v>
      </c>
      <c r="R105" s="697">
        <v>35</v>
      </c>
      <c r="S105" s="697">
        <v>35</v>
      </c>
      <c r="T105" s="697">
        <v>35</v>
      </c>
      <c r="U105" s="697">
        <v>34</v>
      </c>
      <c r="V105" s="697">
        <v>30</v>
      </c>
      <c r="W105" s="697">
        <v>25</v>
      </c>
      <c r="X105" s="697">
        <v>18</v>
      </c>
      <c r="Y105" s="697">
        <v>13</v>
      </c>
      <c r="Z105" s="697">
        <v>9</v>
      </c>
      <c r="AA105" s="697">
        <v>7</v>
      </c>
      <c r="AB105" s="697">
        <v>4</v>
      </c>
      <c r="AC105" s="697">
        <v>0</v>
      </c>
      <c r="AD105" s="697">
        <v>0</v>
      </c>
      <c r="AE105" s="697">
        <v>0</v>
      </c>
      <c r="AF105" s="697">
        <v>0</v>
      </c>
      <c r="AG105" s="697">
        <v>0</v>
      </c>
      <c r="AH105" s="697">
        <v>0</v>
      </c>
      <c r="AI105" s="697">
        <v>0</v>
      </c>
      <c r="AJ105" s="697">
        <v>0</v>
      </c>
      <c r="AK105" s="697">
        <v>0</v>
      </c>
      <c r="AL105" s="697">
        <v>0</v>
      </c>
      <c r="AM105" s="697">
        <v>0</v>
      </c>
      <c r="AN105" s="697">
        <v>0</v>
      </c>
      <c r="AO105" s="698">
        <v>0</v>
      </c>
      <c r="AP105" s="633"/>
      <c r="AQ105" s="696"/>
      <c r="AR105" s="697"/>
      <c r="AS105" s="697"/>
      <c r="AT105" s="697"/>
      <c r="AU105" s="697">
        <v>0</v>
      </c>
      <c r="AV105" s="697">
        <v>189166</v>
      </c>
      <c r="AW105" s="697">
        <v>189166</v>
      </c>
      <c r="AX105" s="697">
        <v>189166</v>
      </c>
      <c r="AY105" s="697">
        <v>187428</v>
      </c>
      <c r="AZ105" s="697">
        <v>171337</v>
      </c>
      <c r="BA105" s="697">
        <v>145926</v>
      </c>
      <c r="BB105" s="697">
        <v>109061</v>
      </c>
      <c r="BC105" s="697">
        <v>70208</v>
      </c>
      <c r="BD105" s="697">
        <v>49594</v>
      </c>
      <c r="BE105" s="697">
        <v>29442</v>
      </c>
      <c r="BF105" s="697">
        <v>23124</v>
      </c>
      <c r="BG105" s="697">
        <v>11334</v>
      </c>
      <c r="BH105" s="697">
        <v>1046</v>
      </c>
      <c r="BI105" s="697">
        <v>152</v>
      </c>
      <c r="BJ105" s="697">
        <v>152</v>
      </c>
      <c r="BK105" s="697">
        <v>110</v>
      </c>
      <c r="BL105" s="697">
        <v>4</v>
      </c>
      <c r="BM105" s="697">
        <v>0</v>
      </c>
      <c r="BN105" s="697">
        <v>0</v>
      </c>
      <c r="BO105" s="697">
        <v>0</v>
      </c>
      <c r="BP105" s="697">
        <v>0</v>
      </c>
      <c r="BQ105" s="697">
        <v>0</v>
      </c>
      <c r="BR105" s="697">
        <v>0</v>
      </c>
      <c r="BS105" s="697">
        <v>0</v>
      </c>
      <c r="BT105" s="698">
        <v>0</v>
      </c>
    </row>
    <row r="106" spans="2:73" ht="15.75">
      <c r="B106" s="692"/>
      <c r="C106" s="692"/>
      <c r="D106" s="692" t="s">
        <v>118</v>
      </c>
      <c r="E106" s="692" t="s">
        <v>754</v>
      </c>
      <c r="F106" s="692"/>
      <c r="G106" s="692"/>
      <c r="H106" s="692">
        <v>2015</v>
      </c>
      <c r="I106" s="644" t="s">
        <v>571</v>
      </c>
      <c r="J106" s="644" t="s">
        <v>577</v>
      </c>
      <c r="K106" s="633"/>
      <c r="L106" s="696"/>
      <c r="M106" s="697"/>
      <c r="N106" s="697"/>
      <c r="O106" s="697"/>
      <c r="P106" s="697">
        <v>40</v>
      </c>
      <c r="Q106" s="697">
        <v>40</v>
      </c>
      <c r="R106" s="697">
        <v>35</v>
      </c>
      <c r="S106" s="697">
        <v>35</v>
      </c>
      <c r="T106" s="697">
        <v>35</v>
      </c>
      <c r="U106" s="697">
        <v>35</v>
      </c>
      <c r="V106" s="697">
        <v>34</v>
      </c>
      <c r="W106" s="697">
        <v>34</v>
      </c>
      <c r="X106" s="697">
        <v>34</v>
      </c>
      <c r="Y106" s="697">
        <v>33</v>
      </c>
      <c r="Z106" s="697">
        <v>31</v>
      </c>
      <c r="AA106" s="697">
        <v>2</v>
      </c>
      <c r="AB106" s="697">
        <v>0</v>
      </c>
      <c r="AC106" s="697">
        <v>0</v>
      </c>
      <c r="AD106" s="697">
        <v>0</v>
      </c>
      <c r="AE106" s="697">
        <v>0</v>
      </c>
      <c r="AF106" s="697">
        <v>0</v>
      </c>
      <c r="AG106" s="697">
        <v>0</v>
      </c>
      <c r="AH106" s="697">
        <v>0</v>
      </c>
      <c r="AI106" s="697">
        <v>0</v>
      </c>
      <c r="AJ106" s="697">
        <v>0</v>
      </c>
      <c r="AK106" s="697">
        <v>0</v>
      </c>
      <c r="AL106" s="697">
        <v>0</v>
      </c>
      <c r="AM106" s="697">
        <v>0</v>
      </c>
      <c r="AN106" s="697">
        <v>0</v>
      </c>
      <c r="AO106" s="698">
        <v>0</v>
      </c>
      <c r="AP106" s="633"/>
      <c r="AQ106" s="696"/>
      <c r="AR106" s="697"/>
      <c r="AS106" s="697"/>
      <c r="AT106" s="697"/>
      <c r="AU106" s="697">
        <v>235478</v>
      </c>
      <c r="AV106" s="697">
        <v>235478</v>
      </c>
      <c r="AW106" s="697">
        <v>202201</v>
      </c>
      <c r="AX106" s="697">
        <v>202201</v>
      </c>
      <c r="AY106" s="697">
        <v>202201</v>
      </c>
      <c r="AZ106" s="697">
        <v>202201</v>
      </c>
      <c r="BA106" s="697">
        <v>200624</v>
      </c>
      <c r="BB106" s="697">
        <v>200624</v>
      </c>
      <c r="BC106" s="697">
        <v>200624</v>
      </c>
      <c r="BD106" s="697">
        <v>195641</v>
      </c>
      <c r="BE106" s="697">
        <v>183744</v>
      </c>
      <c r="BF106" s="697">
        <v>10128</v>
      </c>
      <c r="BG106" s="697">
        <v>0</v>
      </c>
      <c r="BH106" s="697">
        <v>0</v>
      </c>
      <c r="BI106" s="697">
        <v>0</v>
      </c>
      <c r="BJ106" s="697">
        <v>0</v>
      </c>
      <c r="BK106" s="697">
        <v>0</v>
      </c>
      <c r="BL106" s="697">
        <v>0</v>
      </c>
      <c r="BM106" s="697">
        <v>0</v>
      </c>
      <c r="BN106" s="697">
        <v>0</v>
      </c>
      <c r="BO106" s="697">
        <v>0</v>
      </c>
      <c r="BP106" s="697">
        <v>0</v>
      </c>
      <c r="BQ106" s="697">
        <v>0</v>
      </c>
      <c r="BR106" s="697">
        <v>0</v>
      </c>
      <c r="BS106" s="697">
        <v>0</v>
      </c>
      <c r="BT106" s="698">
        <v>0</v>
      </c>
      <c r="BU106" s="163"/>
    </row>
    <row r="107" spans="2:73" ht="15.75">
      <c r="B107" s="692"/>
      <c r="C107" s="692"/>
      <c r="D107" s="692" t="s">
        <v>95</v>
      </c>
      <c r="E107" s="692" t="s">
        <v>754</v>
      </c>
      <c r="F107" s="692"/>
      <c r="G107" s="692"/>
      <c r="H107" s="692">
        <v>2015</v>
      </c>
      <c r="I107" s="644" t="s">
        <v>571</v>
      </c>
      <c r="J107" s="644" t="s">
        <v>577</v>
      </c>
      <c r="K107" s="633"/>
      <c r="L107" s="696"/>
      <c r="M107" s="697"/>
      <c r="N107" s="697"/>
      <c r="O107" s="697"/>
      <c r="P107" s="697">
        <v>1</v>
      </c>
      <c r="Q107" s="697">
        <v>1</v>
      </c>
      <c r="R107" s="697">
        <v>1</v>
      </c>
      <c r="S107" s="697">
        <v>1</v>
      </c>
      <c r="T107" s="697">
        <v>1</v>
      </c>
      <c r="U107" s="697">
        <v>1</v>
      </c>
      <c r="V107" s="697">
        <v>1</v>
      </c>
      <c r="W107" s="697">
        <v>1</v>
      </c>
      <c r="X107" s="697">
        <v>1</v>
      </c>
      <c r="Y107" s="697">
        <v>1</v>
      </c>
      <c r="Z107" s="697">
        <v>1</v>
      </c>
      <c r="AA107" s="697">
        <v>1</v>
      </c>
      <c r="AB107" s="697">
        <v>1</v>
      </c>
      <c r="AC107" s="697">
        <v>1</v>
      </c>
      <c r="AD107" s="697">
        <v>1</v>
      </c>
      <c r="AE107" s="697">
        <v>1</v>
      </c>
      <c r="AF107" s="697">
        <v>1</v>
      </c>
      <c r="AG107" s="697">
        <v>1</v>
      </c>
      <c r="AH107" s="697">
        <v>1</v>
      </c>
      <c r="AI107" s="697">
        <v>1</v>
      </c>
      <c r="AJ107" s="697">
        <v>0</v>
      </c>
      <c r="AK107" s="697">
        <v>0</v>
      </c>
      <c r="AL107" s="697">
        <v>0</v>
      </c>
      <c r="AM107" s="697">
        <v>0</v>
      </c>
      <c r="AN107" s="697">
        <v>0</v>
      </c>
      <c r="AO107" s="698">
        <v>0</v>
      </c>
      <c r="AP107" s="633"/>
      <c r="AQ107" s="696"/>
      <c r="AR107" s="697"/>
      <c r="AS107" s="697"/>
      <c r="AT107" s="697"/>
      <c r="AU107" s="697">
        <v>19013</v>
      </c>
      <c r="AV107" s="697">
        <v>18740</v>
      </c>
      <c r="AW107" s="697">
        <v>18740</v>
      </c>
      <c r="AX107" s="697">
        <v>18740</v>
      </c>
      <c r="AY107" s="697">
        <v>18740</v>
      </c>
      <c r="AZ107" s="697">
        <v>18740</v>
      </c>
      <c r="BA107" s="697">
        <v>18740</v>
      </c>
      <c r="BB107" s="697">
        <v>18732</v>
      </c>
      <c r="BC107" s="697">
        <v>18732</v>
      </c>
      <c r="BD107" s="697">
        <v>18732</v>
      </c>
      <c r="BE107" s="697">
        <v>18267</v>
      </c>
      <c r="BF107" s="697">
        <v>18246</v>
      </c>
      <c r="BG107" s="697">
        <v>18246</v>
      </c>
      <c r="BH107" s="697">
        <v>18204</v>
      </c>
      <c r="BI107" s="697">
        <v>18204</v>
      </c>
      <c r="BJ107" s="697">
        <v>18171</v>
      </c>
      <c r="BK107" s="697">
        <v>9417</v>
      </c>
      <c r="BL107" s="697">
        <v>9417</v>
      </c>
      <c r="BM107" s="697">
        <v>9417</v>
      </c>
      <c r="BN107" s="697">
        <v>9417</v>
      </c>
      <c r="BO107" s="697">
        <v>0</v>
      </c>
      <c r="BP107" s="697">
        <v>0</v>
      </c>
      <c r="BQ107" s="697">
        <v>0</v>
      </c>
      <c r="BR107" s="697">
        <v>0</v>
      </c>
      <c r="BS107" s="697">
        <v>0</v>
      </c>
      <c r="BT107" s="698">
        <v>0</v>
      </c>
      <c r="BU107" s="163"/>
    </row>
    <row r="108" spans="2:73" ht="15.75">
      <c r="B108" s="692"/>
      <c r="C108" s="692"/>
      <c r="D108" s="692" t="s">
        <v>96</v>
      </c>
      <c r="E108" s="692" t="s">
        <v>754</v>
      </c>
      <c r="F108" s="692"/>
      <c r="G108" s="692"/>
      <c r="H108" s="692">
        <v>2015</v>
      </c>
      <c r="I108" s="644" t="s">
        <v>571</v>
      </c>
      <c r="J108" s="644" t="s">
        <v>577</v>
      </c>
      <c r="K108" s="633"/>
      <c r="L108" s="696"/>
      <c r="M108" s="697"/>
      <c r="N108" s="697"/>
      <c r="O108" s="697"/>
      <c r="P108" s="697">
        <v>0</v>
      </c>
      <c r="Q108" s="697">
        <v>0</v>
      </c>
      <c r="R108" s="697">
        <v>0</v>
      </c>
      <c r="S108" s="697">
        <v>0</v>
      </c>
      <c r="T108" s="697">
        <v>0</v>
      </c>
      <c r="U108" s="697">
        <v>0</v>
      </c>
      <c r="V108" s="697">
        <v>0</v>
      </c>
      <c r="W108" s="697">
        <v>0</v>
      </c>
      <c r="X108" s="697">
        <v>0</v>
      </c>
      <c r="Y108" s="697">
        <v>0</v>
      </c>
      <c r="Z108" s="697">
        <v>0</v>
      </c>
      <c r="AA108" s="697">
        <v>0</v>
      </c>
      <c r="AB108" s="697">
        <v>0</v>
      </c>
      <c r="AC108" s="697">
        <v>0</v>
      </c>
      <c r="AD108" s="697">
        <v>0</v>
      </c>
      <c r="AE108" s="697">
        <v>0</v>
      </c>
      <c r="AF108" s="697">
        <v>0</v>
      </c>
      <c r="AG108" s="697">
        <v>0</v>
      </c>
      <c r="AH108" s="697">
        <v>0</v>
      </c>
      <c r="AI108" s="697">
        <v>0</v>
      </c>
      <c r="AJ108" s="697">
        <v>0</v>
      </c>
      <c r="AK108" s="697">
        <v>0</v>
      </c>
      <c r="AL108" s="697">
        <v>0</v>
      </c>
      <c r="AM108" s="697">
        <v>0</v>
      </c>
      <c r="AN108" s="697">
        <v>0</v>
      </c>
      <c r="AO108" s="698">
        <v>0</v>
      </c>
      <c r="AP108" s="633"/>
      <c r="AQ108" s="696"/>
      <c r="AR108" s="697"/>
      <c r="AS108" s="697"/>
      <c r="AT108" s="697"/>
      <c r="AU108" s="697">
        <v>2175</v>
      </c>
      <c r="AV108" s="697">
        <v>2150</v>
      </c>
      <c r="AW108" s="697">
        <v>2150</v>
      </c>
      <c r="AX108" s="697">
        <v>2150</v>
      </c>
      <c r="AY108" s="697">
        <v>2150</v>
      </c>
      <c r="AZ108" s="697">
        <v>2150</v>
      </c>
      <c r="BA108" s="697">
        <v>2150</v>
      </c>
      <c r="BB108" s="697">
        <v>2145</v>
      </c>
      <c r="BC108" s="697">
        <v>2145</v>
      </c>
      <c r="BD108" s="697">
        <v>2145</v>
      </c>
      <c r="BE108" s="697">
        <v>1819</v>
      </c>
      <c r="BF108" s="697">
        <v>1804</v>
      </c>
      <c r="BG108" s="697">
        <v>1804</v>
      </c>
      <c r="BH108" s="697">
        <v>1748</v>
      </c>
      <c r="BI108" s="697">
        <v>1748</v>
      </c>
      <c r="BJ108" s="697">
        <v>1742</v>
      </c>
      <c r="BK108" s="697">
        <v>728</v>
      </c>
      <c r="BL108" s="697">
        <v>728</v>
      </c>
      <c r="BM108" s="697">
        <v>728</v>
      </c>
      <c r="BN108" s="697">
        <v>728</v>
      </c>
      <c r="BO108" s="697">
        <v>0</v>
      </c>
      <c r="BP108" s="697">
        <v>0</v>
      </c>
      <c r="BQ108" s="697">
        <v>0</v>
      </c>
      <c r="BR108" s="697">
        <v>0</v>
      </c>
      <c r="BS108" s="697">
        <v>0</v>
      </c>
      <c r="BT108" s="698">
        <v>0</v>
      </c>
      <c r="BU108" s="163"/>
    </row>
    <row r="109" spans="2:73" ht="15.75">
      <c r="B109" s="692"/>
      <c r="C109" s="692"/>
      <c r="D109" s="692" t="s">
        <v>671</v>
      </c>
      <c r="E109" s="692" t="s">
        <v>754</v>
      </c>
      <c r="F109" s="692"/>
      <c r="G109" s="692"/>
      <c r="H109" s="692">
        <v>2015</v>
      </c>
      <c r="I109" s="644" t="s">
        <v>571</v>
      </c>
      <c r="J109" s="644" t="s">
        <v>577</v>
      </c>
      <c r="K109" s="633"/>
      <c r="L109" s="696"/>
      <c r="M109" s="697"/>
      <c r="N109" s="697"/>
      <c r="O109" s="697"/>
      <c r="P109" s="697">
        <v>1</v>
      </c>
      <c r="Q109" s="697">
        <v>1</v>
      </c>
      <c r="R109" s="697">
        <v>1</v>
      </c>
      <c r="S109" s="697">
        <v>1</v>
      </c>
      <c r="T109" s="697">
        <v>1</v>
      </c>
      <c r="U109" s="697">
        <v>1</v>
      </c>
      <c r="V109" s="697">
        <v>1</v>
      </c>
      <c r="W109" s="697">
        <v>1</v>
      </c>
      <c r="X109" s="697">
        <v>1</v>
      </c>
      <c r="Y109" s="697">
        <v>1</v>
      </c>
      <c r="Z109" s="697">
        <v>1</v>
      </c>
      <c r="AA109" s="697">
        <v>1</v>
      </c>
      <c r="AB109" s="697">
        <v>1</v>
      </c>
      <c r="AC109" s="697">
        <v>1</v>
      </c>
      <c r="AD109" s="697">
        <v>1</v>
      </c>
      <c r="AE109" s="697">
        <v>1</v>
      </c>
      <c r="AF109" s="697">
        <v>1</v>
      </c>
      <c r="AG109" s="697">
        <v>1</v>
      </c>
      <c r="AH109" s="697">
        <v>1</v>
      </c>
      <c r="AI109" s="697">
        <v>0</v>
      </c>
      <c r="AJ109" s="697">
        <v>0</v>
      </c>
      <c r="AK109" s="697">
        <v>0</v>
      </c>
      <c r="AL109" s="697">
        <v>0</v>
      </c>
      <c r="AM109" s="697">
        <v>0</v>
      </c>
      <c r="AN109" s="697">
        <v>0</v>
      </c>
      <c r="AO109" s="698">
        <v>0</v>
      </c>
      <c r="AP109" s="633"/>
      <c r="AQ109" s="696"/>
      <c r="AR109" s="697"/>
      <c r="AS109" s="697"/>
      <c r="AT109" s="697"/>
      <c r="AU109" s="697">
        <v>2019</v>
      </c>
      <c r="AV109" s="697">
        <v>2019</v>
      </c>
      <c r="AW109" s="697">
        <v>2019</v>
      </c>
      <c r="AX109" s="697">
        <v>2019</v>
      </c>
      <c r="AY109" s="697">
        <v>2019</v>
      </c>
      <c r="AZ109" s="697">
        <v>2019</v>
      </c>
      <c r="BA109" s="697">
        <v>2019</v>
      </c>
      <c r="BB109" s="697">
        <v>2019</v>
      </c>
      <c r="BC109" s="697">
        <v>2019</v>
      </c>
      <c r="BD109" s="697">
        <v>2019</v>
      </c>
      <c r="BE109" s="697">
        <v>2019</v>
      </c>
      <c r="BF109" s="697">
        <v>2019</v>
      </c>
      <c r="BG109" s="697">
        <v>2019</v>
      </c>
      <c r="BH109" s="697">
        <v>2019</v>
      </c>
      <c r="BI109" s="697">
        <v>2019</v>
      </c>
      <c r="BJ109" s="697">
        <v>2019</v>
      </c>
      <c r="BK109" s="697">
        <v>2019</v>
      </c>
      <c r="BL109" s="697">
        <v>2019</v>
      </c>
      <c r="BM109" s="697">
        <v>1934</v>
      </c>
      <c r="BN109" s="697">
        <v>0</v>
      </c>
      <c r="BO109" s="697">
        <v>0</v>
      </c>
      <c r="BP109" s="697">
        <v>0</v>
      </c>
      <c r="BQ109" s="697">
        <v>0</v>
      </c>
      <c r="BR109" s="697">
        <v>0</v>
      </c>
      <c r="BS109" s="697">
        <v>0</v>
      </c>
      <c r="BT109" s="698">
        <v>0</v>
      </c>
      <c r="BU109" s="163"/>
    </row>
    <row r="110" spans="2:73" ht="15.75">
      <c r="B110" s="692"/>
      <c r="C110" s="692"/>
      <c r="D110" s="692" t="s">
        <v>99</v>
      </c>
      <c r="E110" s="692" t="s">
        <v>754</v>
      </c>
      <c r="F110" s="692"/>
      <c r="G110" s="692"/>
      <c r="H110" s="692">
        <v>2015</v>
      </c>
      <c r="I110" s="644" t="s">
        <v>571</v>
      </c>
      <c r="J110" s="644" t="s">
        <v>577</v>
      </c>
      <c r="K110" s="633"/>
      <c r="L110" s="696"/>
      <c r="M110" s="697"/>
      <c r="N110" s="697"/>
      <c r="O110" s="697"/>
      <c r="P110" s="697">
        <v>1</v>
      </c>
      <c r="Q110" s="697">
        <v>1</v>
      </c>
      <c r="R110" s="697">
        <v>1</v>
      </c>
      <c r="S110" s="697">
        <v>1</v>
      </c>
      <c r="T110" s="697">
        <v>16</v>
      </c>
      <c r="U110" s="697">
        <v>16</v>
      </c>
      <c r="V110" s="697">
        <v>16</v>
      </c>
      <c r="W110" s="697">
        <v>16</v>
      </c>
      <c r="X110" s="697">
        <v>16</v>
      </c>
      <c r="Y110" s="697">
        <v>16</v>
      </c>
      <c r="Z110" s="697">
        <v>16</v>
      </c>
      <c r="AA110" s="697">
        <v>16</v>
      </c>
      <c r="AB110" s="697">
        <v>16</v>
      </c>
      <c r="AC110" s="697">
        <v>11</v>
      </c>
      <c r="AD110" s="697">
        <v>0</v>
      </c>
      <c r="AE110" s="697">
        <v>0</v>
      </c>
      <c r="AF110" s="697">
        <v>0</v>
      </c>
      <c r="AG110" s="697">
        <v>0</v>
      </c>
      <c r="AH110" s="697">
        <v>0</v>
      </c>
      <c r="AI110" s="697">
        <v>0</v>
      </c>
      <c r="AJ110" s="697">
        <v>0</v>
      </c>
      <c r="AK110" s="697">
        <v>0</v>
      </c>
      <c r="AL110" s="697">
        <v>0</v>
      </c>
      <c r="AM110" s="697">
        <v>0</v>
      </c>
      <c r="AN110" s="697">
        <v>0</v>
      </c>
      <c r="AO110" s="698">
        <v>0</v>
      </c>
      <c r="AP110" s="633"/>
      <c r="AQ110" s="696"/>
      <c r="AR110" s="697"/>
      <c r="AS110" s="697"/>
      <c r="AT110" s="697"/>
      <c r="AU110" s="697">
        <v>4802</v>
      </c>
      <c r="AV110" s="697">
        <v>4802</v>
      </c>
      <c r="AW110" s="697">
        <v>4802</v>
      </c>
      <c r="AX110" s="697">
        <v>4802</v>
      </c>
      <c r="AY110" s="697">
        <v>76159</v>
      </c>
      <c r="AZ110" s="697">
        <v>76159</v>
      </c>
      <c r="BA110" s="697">
        <v>76159</v>
      </c>
      <c r="BB110" s="697">
        <v>76159</v>
      </c>
      <c r="BC110" s="697">
        <v>76159</v>
      </c>
      <c r="BD110" s="697">
        <v>76159</v>
      </c>
      <c r="BE110" s="697">
        <v>76159</v>
      </c>
      <c r="BF110" s="697">
        <v>76159</v>
      </c>
      <c r="BG110" s="697">
        <v>76159</v>
      </c>
      <c r="BH110" s="697">
        <v>53311</v>
      </c>
      <c r="BI110" s="697">
        <v>0</v>
      </c>
      <c r="BJ110" s="697">
        <v>0</v>
      </c>
      <c r="BK110" s="697">
        <v>0</v>
      </c>
      <c r="BL110" s="697">
        <v>0</v>
      </c>
      <c r="BM110" s="697">
        <v>0</v>
      </c>
      <c r="BN110" s="697">
        <v>0</v>
      </c>
      <c r="BO110" s="697">
        <v>0</v>
      </c>
      <c r="BP110" s="697">
        <v>0</v>
      </c>
      <c r="BQ110" s="697">
        <v>0</v>
      </c>
      <c r="BR110" s="697">
        <v>0</v>
      </c>
      <c r="BS110" s="697">
        <v>0</v>
      </c>
      <c r="BT110" s="698">
        <v>0</v>
      </c>
      <c r="BU110" s="163"/>
    </row>
    <row r="111" spans="2:73" ht="15.75">
      <c r="B111" s="692"/>
      <c r="C111" s="692"/>
      <c r="D111" s="692" t="s">
        <v>100</v>
      </c>
      <c r="E111" s="692" t="s">
        <v>754</v>
      </c>
      <c r="F111" s="692"/>
      <c r="G111" s="692"/>
      <c r="H111" s="692">
        <v>2015</v>
      </c>
      <c r="I111" s="644" t="s">
        <v>571</v>
      </c>
      <c r="J111" s="644" t="s">
        <v>577</v>
      </c>
      <c r="K111" s="633"/>
      <c r="L111" s="696"/>
      <c r="M111" s="697"/>
      <c r="N111" s="697"/>
      <c r="O111" s="697"/>
      <c r="P111" s="697">
        <v>3</v>
      </c>
      <c r="Q111" s="697">
        <v>3</v>
      </c>
      <c r="R111" s="697">
        <v>3</v>
      </c>
      <c r="S111" s="697">
        <v>3</v>
      </c>
      <c r="T111" s="697">
        <v>3</v>
      </c>
      <c r="U111" s="697">
        <v>3</v>
      </c>
      <c r="V111" s="697">
        <v>3</v>
      </c>
      <c r="W111" s="697">
        <v>3</v>
      </c>
      <c r="X111" s="697">
        <v>3</v>
      </c>
      <c r="Y111" s="697">
        <v>3</v>
      </c>
      <c r="Z111" s="697">
        <v>3</v>
      </c>
      <c r="AA111" s="697">
        <v>3</v>
      </c>
      <c r="AB111" s="697">
        <v>3</v>
      </c>
      <c r="AC111" s="697">
        <v>3</v>
      </c>
      <c r="AD111" s="697">
        <v>3</v>
      </c>
      <c r="AE111" s="697">
        <v>3</v>
      </c>
      <c r="AF111" s="697">
        <v>0</v>
      </c>
      <c r="AG111" s="697">
        <v>0</v>
      </c>
      <c r="AH111" s="697">
        <v>0</v>
      </c>
      <c r="AI111" s="697">
        <v>0</v>
      </c>
      <c r="AJ111" s="697">
        <v>0</v>
      </c>
      <c r="AK111" s="697">
        <v>0</v>
      </c>
      <c r="AL111" s="697">
        <v>0</v>
      </c>
      <c r="AM111" s="697">
        <v>0</v>
      </c>
      <c r="AN111" s="697">
        <v>0</v>
      </c>
      <c r="AO111" s="698">
        <v>0</v>
      </c>
      <c r="AP111" s="633"/>
      <c r="AQ111" s="699"/>
      <c r="AR111" s="700"/>
      <c r="AS111" s="700"/>
      <c r="AT111" s="700"/>
      <c r="AU111" s="700">
        <v>17850</v>
      </c>
      <c r="AV111" s="700">
        <v>17850</v>
      </c>
      <c r="AW111" s="700">
        <v>17850</v>
      </c>
      <c r="AX111" s="700">
        <v>17850</v>
      </c>
      <c r="AY111" s="700">
        <v>17850</v>
      </c>
      <c r="AZ111" s="700">
        <v>17850</v>
      </c>
      <c r="BA111" s="700">
        <v>17850</v>
      </c>
      <c r="BB111" s="700">
        <v>17850</v>
      </c>
      <c r="BC111" s="700">
        <v>17850</v>
      </c>
      <c r="BD111" s="700">
        <v>17850</v>
      </c>
      <c r="BE111" s="700">
        <v>17850</v>
      </c>
      <c r="BF111" s="700">
        <v>17850</v>
      </c>
      <c r="BG111" s="700">
        <v>17850</v>
      </c>
      <c r="BH111" s="700">
        <v>17850</v>
      </c>
      <c r="BI111" s="700">
        <v>17850</v>
      </c>
      <c r="BJ111" s="700">
        <v>13891</v>
      </c>
      <c r="BK111" s="700">
        <v>0</v>
      </c>
      <c r="BL111" s="700">
        <v>0</v>
      </c>
      <c r="BM111" s="700">
        <v>0</v>
      </c>
      <c r="BN111" s="700">
        <v>0</v>
      </c>
      <c r="BO111" s="700">
        <v>0</v>
      </c>
      <c r="BP111" s="700">
        <v>0</v>
      </c>
      <c r="BQ111" s="700">
        <v>0</v>
      </c>
      <c r="BR111" s="700">
        <v>0</v>
      </c>
      <c r="BS111" s="700">
        <v>0</v>
      </c>
      <c r="BT111" s="701">
        <v>0</v>
      </c>
      <c r="BU111" s="163"/>
    </row>
    <row r="112" spans="2:73" ht="15.75">
      <c r="B112" s="692"/>
      <c r="C112" s="692"/>
      <c r="D112" s="692" t="s">
        <v>113</v>
      </c>
      <c r="E112" s="692" t="s">
        <v>754</v>
      </c>
      <c r="F112" s="692"/>
      <c r="G112" s="692"/>
      <c r="H112" s="692">
        <v>2017</v>
      </c>
      <c r="I112" s="644" t="s">
        <v>572</v>
      </c>
      <c r="J112" s="644" t="s">
        <v>584</v>
      </c>
      <c r="K112" s="633"/>
      <c r="L112" s="696"/>
      <c r="M112" s="697"/>
      <c r="N112" s="697"/>
      <c r="O112" s="697"/>
      <c r="P112" s="697">
        <v>0</v>
      </c>
      <c r="Q112" s="697">
        <v>0</v>
      </c>
      <c r="R112" s="697">
        <v>61</v>
      </c>
      <c r="S112" s="697">
        <v>50</v>
      </c>
      <c r="T112" s="697">
        <v>50</v>
      </c>
      <c r="U112" s="697">
        <v>50</v>
      </c>
      <c r="V112" s="697">
        <v>50</v>
      </c>
      <c r="W112" s="697">
        <v>50</v>
      </c>
      <c r="X112" s="697">
        <v>50</v>
      </c>
      <c r="Y112" s="697">
        <v>50</v>
      </c>
      <c r="Z112" s="697">
        <v>50</v>
      </c>
      <c r="AA112" s="697">
        <v>50</v>
      </c>
      <c r="AB112" s="697">
        <v>47</v>
      </c>
      <c r="AC112" s="697">
        <v>47</v>
      </c>
      <c r="AD112" s="697">
        <v>47</v>
      </c>
      <c r="AE112" s="697">
        <v>47</v>
      </c>
      <c r="AF112" s="697">
        <v>40</v>
      </c>
      <c r="AG112" s="697">
        <v>40</v>
      </c>
      <c r="AH112" s="697">
        <v>5</v>
      </c>
      <c r="AI112" s="697">
        <v>0</v>
      </c>
      <c r="AJ112" s="697">
        <v>0</v>
      </c>
      <c r="AK112" s="697">
        <v>0</v>
      </c>
      <c r="AL112" s="697">
        <v>0</v>
      </c>
      <c r="AM112" s="697">
        <v>0</v>
      </c>
      <c r="AN112" s="697">
        <v>0</v>
      </c>
      <c r="AO112" s="698">
        <v>0</v>
      </c>
      <c r="AP112" s="633"/>
      <c r="AQ112" s="693"/>
      <c r="AR112" s="694"/>
      <c r="AS112" s="694"/>
      <c r="AT112" s="694"/>
      <c r="AU112" s="694">
        <v>0</v>
      </c>
      <c r="AV112" s="694">
        <v>0</v>
      </c>
      <c r="AW112" s="694">
        <v>884204</v>
      </c>
      <c r="AX112" s="694">
        <v>711281</v>
      </c>
      <c r="AY112" s="694">
        <v>711281</v>
      </c>
      <c r="AZ112" s="694">
        <v>711281</v>
      </c>
      <c r="BA112" s="694">
        <v>711281</v>
      </c>
      <c r="BB112" s="694">
        <v>711281</v>
      </c>
      <c r="BC112" s="694">
        <v>711281</v>
      </c>
      <c r="BD112" s="694">
        <v>711275</v>
      </c>
      <c r="BE112" s="694">
        <v>711275</v>
      </c>
      <c r="BF112" s="694">
        <v>709575</v>
      </c>
      <c r="BG112" s="694">
        <v>695129</v>
      </c>
      <c r="BH112" s="694">
        <v>695018</v>
      </c>
      <c r="BI112" s="694">
        <v>695018</v>
      </c>
      <c r="BJ112" s="694">
        <v>694966</v>
      </c>
      <c r="BK112" s="694">
        <v>591825</v>
      </c>
      <c r="BL112" s="694">
        <v>591825</v>
      </c>
      <c r="BM112" s="694">
        <v>69606</v>
      </c>
      <c r="BN112" s="694">
        <v>0</v>
      </c>
      <c r="BO112" s="694">
        <v>0</v>
      </c>
      <c r="BP112" s="694">
        <v>0</v>
      </c>
      <c r="BQ112" s="694">
        <v>0</v>
      </c>
      <c r="BR112" s="694">
        <v>0</v>
      </c>
      <c r="BS112" s="694">
        <v>0</v>
      </c>
      <c r="BT112" s="695">
        <v>0</v>
      </c>
      <c r="BU112" s="163"/>
    </row>
    <row r="113" spans="2:73" ht="15.75">
      <c r="B113" s="692"/>
      <c r="C113" s="692"/>
      <c r="D113" s="692" t="s">
        <v>777</v>
      </c>
      <c r="E113" s="692" t="s">
        <v>754</v>
      </c>
      <c r="F113" s="692"/>
      <c r="G113" s="692"/>
      <c r="H113" s="692">
        <v>2017</v>
      </c>
      <c r="I113" s="644" t="s">
        <v>572</v>
      </c>
      <c r="J113" s="644" t="s">
        <v>584</v>
      </c>
      <c r="K113" s="633"/>
      <c r="L113" s="696"/>
      <c r="M113" s="697"/>
      <c r="N113" s="697"/>
      <c r="O113" s="697"/>
      <c r="P113" s="697">
        <v>0</v>
      </c>
      <c r="Q113" s="697">
        <v>0</v>
      </c>
      <c r="R113" s="697">
        <v>55</v>
      </c>
      <c r="S113" s="697">
        <v>40</v>
      </c>
      <c r="T113" s="697">
        <v>40</v>
      </c>
      <c r="U113" s="697">
        <v>40</v>
      </c>
      <c r="V113" s="697">
        <v>40</v>
      </c>
      <c r="W113" s="697">
        <v>40</v>
      </c>
      <c r="X113" s="697">
        <v>40</v>
      </c>
      <c r="Y113" s="697">
        <v>40</v>
      </c>
      <c r="Z113" s="697">
        <v>40</v>
      </c>
      <c r="AA113" s="697">
        <v>40</v>
      </c>
      <c r="AB113" s="697">
        <v>38</v>
      </c>
      <c r="AC113" s="697">
        <v>38</v>
      </c>
      <c r="AD113" s="697">
        <v>38</v>
      </c>
      <c r="AE113" s="697">
        <v>32</v>
      </c>
      <c r="AF113" s="697">
        <v>32</v>
      </c>
      <c r="AG113" s="697">
        <v>25</v>
      </c>
      <c r="AH113" s="697">
        <v>20</v>
      </c>
      <c r="AI113" s="697">
        <v>0</v>
      </c>
      <c r="AJ113" s="697">
        <v>0</v>
      </c>
      <c r="AK113" s="697">
        <v>0</v>
      </c>
      <c r="AL113" s="697">
        <v>0</v>
      </c>
      <c r="AM113" s="697">
        <v>0</v>
      </c>
      <c r="AN113" s="697">
        <v>0</v>
      </c>
      <c r="AO113" s="698">
        <v>0</v>
      </c>
      <c r="AP113" s="633"/>
      <c r="AQ113" s="696"/>
      <c r="AR113" s="697"/>
      <c r="AS113" s="697"/>
      <c r="AT113" s="697"/>
      <c r="AU113" s="697">
        <v>0</v>
      </c>
      <c r="AV113" s="697">
        <v>0</v>
      </c>
      <c r="AW113" s="697">
        <v>802984</v>
      </c>
      <c r="AX113" s="697">
        <v>581512</v>
      </c>
      <c r="AY113" s="697">
        <v>581512</v>
      </c>
      <c r="AZ113" s="697">
        <v>581512</v>
      </c>
      <c r="BA113" s="697">
        <v>581512</v>
      </c>
      <c r="BB113" s="697">
        <v>581512</v>
      </c>
      <c r="BC113" s="697">
        <v>581512</v>
      </c>
      <c r="BD113" s="697">
        <v>581501</v>
      </c>
      <c r="BE113" s="697">
        <v>581501</v>
      </c>
      <c r="BF113" s="697">
        <v>581501</v>
      </c>
      <c r="BG113" s="697">
        <v>570914</v>
      </c>
      <c r="BH113" s="697">
        <v>569919</v>
      </c>
      <c r="BI113" s="697">
        <v>569919</v>
      </c>
      <c r="BJ113" s="697">
        <v>481219</v>
      </c>
      <c r="BK113" s="697">
        <v>481219</v>
      </c>
      <c r="BL113" s="697">
        <v>372726</v>
      </c>
      <c r="BM113" s="697">
        <v>295412</v>
      </c>
      <c r="BN113" s="697">
        <v>0</v>
      </c>
      <c r="BO113" s="697">
        <v>0</v>
      </c>
      <c r="BP113" s="697">
        <v>0</v>
      </c>
      <c r="BQ113" s="697">
        <v>0</v>
      </c>
      <c r="BR113" s="697">
        <v>0</v>
      </c>
      <c r="BS113" s="697">
        <v>0</v>
      </c>
      <c r="BT113" s="698">
        <v>0</v>
      </c>
      <c r="BU113" s="163"/>
    </row>
    <row r="114" spans="2:73" ht="15.75">
      <c r="B114" s="692"/>
      <c r="C114" s="692"/>
      <c r="D114" s="692" t="s">
        <v>776</v>
      </c>
      <c r="E114" s="692" t="s">
        <v>754</v>
      </c>
      <c r="F114" s="692"/>
      <c r="G114" s="692"/>
      <c r="H114" s="692">
        <v>2017</v>
      </c>
      <c r="I114" s="644" t="s">
        <v>572</v>
      </c>
      <c r="J114" s="644" t="s">
        <v>584</v>
      </c>
      <c r="K114" s="633"/>
      <c r="L114" s="696"/>
      <c r="M114" s="697"/>
      <c r="N114" s="697"/>
      <c r="O114" s="697"/>
      <c r="P114" s="697">
        <v>0</v>
      </c>
      <c r="Q114" s="697">
        <v>0</v>
      </c>
      <c r="R114" s="697">
        <v>65</v>
      </c>
      <c r="S114" s="697">
        <v>65</v>
      </c>
      <c r="T114" s="697">
        <v>65</v>
      </c>
      <c r="U114" s="697">
        <v>65</v>
      </c>
      <c r="V114" s="697">
        <v>65</v>
      </c>
      <c r="W114" s="697">
        <v>65</v>
      </c>
      <c r="X114" s="697">
        <v>65</v>
      </c>
      <c r="Y114" s="697">
        <v>65</v>
      </c>
      <c r="Z114" s="697">
        <v>65</v>
      </c>
      <c r="AA114" s="697">
        <v>65</v>
      </c>
      <c r="AB114" s="697">
        <v>65</v>
      </c>
      <c r="AC114" s="697">
        <v>65</v>
      </c>
      <c r="AD114" s="697">
        <v>65</v>
      </c>
      <c r="AE114" s="697">
        <v>65</v>
      </c>
      <c r="AF114" s="697">
        <v>65</v>
      </c>
      <c r="AG114" s="697">
        <v>65</v>
      </c>
      <c r="AH114" s="697">
        <v>65</v>
      </c>
      <c r="AI114" s="697">
        <v>65</v>
      </c>
      <c r="AJ114" s="697">
        <v>58</v>
      </c>
      <c r="AK114" s="697">
        <v>0</v>
      </c>
      <c r="AL114" s="697">
        <v>0</v>
      </c>
      <c r="AM114" s="697">
        <v>0</v>
      </c>
      <c r="AN114" s="697">
        <v>0</v>
      </c>
      <c r="AO114" s="698">
        <v>0</v>
      </c>
      <c r="AP114" s="633"/>
      <c r="AQ114" s="696"/>
      <c r="AR114" s="697"/>
      <c r="AS114" s="697"/>
      <c r="AT114" s="697"/>
      <c r="AU114" s="697">
        <v>0</v>
      </c>
      <c r="AV114" s="697">
        <v>0</v>
      </c>
      <c r="AW114" s="697">
        <v>221547</v>
      </c>
      <c r="AX114" s="697">
        <v>221547</v>
      </c>
      <c r="AY114" s="697">
        <v>221547</v>
      </c>
      <c r="AZ114" s="697">
        <v>221547</v>
      </c>
      <c r="BA114" s="697">
        <v>221547</v>
      </c>
      <c r="BB114" s="697">
        <v>221547</v>
      </c>
      <c r="BC114" s="697">
        <v>221547</v>
      </c>
      <c r="BD114" s="697">
        <v>221547</v>
      </c>
      <c r="BE114" s="697">
        <v>221547</v>
      </c>
      <c r="BF114" s="697">
        <v>221547</v>
      </c>
      <c r="BG114" s="697">
        <v>221547</v>
      </c>
      <c r="BH114" s="697">
        <v>221547</v>
      </c>
      <c r="BI114" s="697">
        <v>221547</v>
      </c>
      <c r="BJ114" s="697">
        <v>221547</v>
      </c>
      <c r="BK114" s="697">
        <v>221547</v>
      </c>
      <c r="BL114" s="697">
        <v>221547</v>
      </c>
      <c r="BM114" s="697">
        <v>221547</v>
      </c>
      <c r="BN114" s="697">
        <v>221547</v>
      </c>
      <c r="BO114" s="697">
        <v>214457</v>
      </c>
      <c r="BP114" s="697">
        <v>0</v>
      </c>
      <c r="BQ114" s="697">
        <v>0</v>
      </c>
      <c r="BR114" s="697">
        <v>0</v>
      </c>
      <c r="BS114" s="697">
        <v>0</v>
      </c>
      <c r="BT114" s="698">
        <v>0</v>
      </c>
      <c r="BU114" s="163"/>
    </row>
    <row r="115" spans="2:73" ht="15.75">
      <c r="B115" s="692"/>
      <c r="C115" s="692"/>
      <c r="D115" s="692" t="s">
        <v>117</v>
      </c>
      <c r="E115" s="692" t="s">
        <v>754</v>
      </c>
      <c r="F115" s="692"/>
      <c r="G115" s="692"/>
      <c r="H115" s="692">
        <v>2017</v>
      </c>
      <c r="I115" s="644" t="s">
        <v>572</v>
      </c>
      <c r="J115" s="644" t="s">
        <v>584</v>
      </c>
      <c r="K115" s="633"/>
      <c r="L115" s="696"/>
      <c r="M115" s="697"/>
      <c r="N115" s="697"/>
      <c r="O115" s="697"/>
      <c r="P115" s="697">
        <v>0</v>
      </c>
      <c r="Q115" s="697">
        <v>0</v>
      </c>
      <c r="R115" s="697">
        <v>3</v>
      </c>
      <c r="S115" s="697">
        <v>3</v>
      </c>
      <c r="T115" s="697">
        <v>3</v>
      </c>
      <c r="U115" s="697">
        <v>3</v>
      </c>
      <c r="V115" s="697">
        <v>3</v>
      </c>
      <c r="W115" s="697">
        <v>3</v>
      </c>
      <c r="X115" s="697">
        <v>3</v>
      </c>
      <c r="Y115" s="697">
        <v>3</v>
      </c>
      <c r="Z115" s="697">
        <v>3</v>
      </c>
      <c r="AA115" s="697">
        <v>3</v>
      </c>
      <c r="AB115" s="697">
        <v>0</v>
      </c>
      <c r="AC115" s="697">
        <v>0</v>
      </c>
      <c r="AD115" s="697">
        <v>0</v>
      </c>
      <c r="AE115" s="697">
        <v>0</v>
      </c>
      <c r="AF115" s="697">
        <v>0</v>
      </c>
      <c r="AG115" s="697">
        <v>0</v>
      </c>
      <c r="AH115" s="697">
        <v>0</v>
      </c>
      <c r="AI115" s="697">
        <v>0</v>
      </c>
      <c r="AJ115" s="697">
        <v>0</v>
      </c>
      <c r="AK115" s="697">
        <v>0</v>
      </c>
      <c r="AL115" s="697">
        <v>0</v>
      </c>
      <c r="AM115" s="697">
        <v>0</v>
      </c>
      <c r="AN115" s="697">
        <v>0</v>
      </c>
      <c r="AO115" s="698">
        <v>0</v>
      </c>
      <c r="AP115" s="633"/>
      <c r="AQ115" s="696"/>
      <c r="AR115" s="697"/>
      <c r="AS115" s="697"/>
      <c r="AT115" s="697"/>
      <c r="AU115" s="697">
        <v>0</v>
      </c>
      <c r="AV115" s="697">
        <v>0</v>
      </c>
      <c r="AW115" s="697">
        <v>65334</v>
      </c>
      <c r="AX115" s="697">
        <v>65334</v>
      </c>
      <c r="AY115" s="697">
        <v>65334</v>
      </c>
      <c r="AZ115" s="697">
        <v>65334</v>
      </c>
      <c r="BA115" s="697">
        <v>65334</v>
      </c>
      <c r="BB115" s="697">
        <v>65334</v>
      </c>
      <c r="BC115" s="697">
        <v>65334</v>
      </c>
      <c r="BD115" s="697">
        <v>65334</v>
      </c>
      <c r="BE115" s="697">
        <v>65334</v>
      </c>
      <c r="BF115" s="697">
        <v>56427</v>
      </c>
      <c r="BG115" s="697">
        <v>0</v>
      </c>
      <c r="BH115" s="697">
        <v>0</v>
      </c>
      <c r="BI115" s="697">
        <v>0</v>
      </c>
      <c r="BJ115" s="697">
        <v>0</v>
      </c>
      <c r="BK115" s="697">
        <v>0</v>
      </c>
      <c r="BL115" s="697">
        <v>0</v>
      </c>
      <c r="BM115" s="697">
        <v>0</v>
      </c>
      <c r="BN115" s="697">
        <v>0</v>
      </c>
      <c r="BO115" s="697">
        <v>0</v>
      </c>
      <c r="BP115" s="697">
        <v>0</v>
      </c>
      <c r="BQ115" s="697">
        <v>0</v>
      </c>
      <c r="BR115" s="697">
        <v>0</v>
      </c>
      <c r="BS115" s="697">
        <v>0</v>
      </c>
      <c r="BT115" s="698">
        <v>0</v>
      </c>
      <c r="BU115" s="163"/>
    </row>
    <row r="116" spans="2:73">
      <c r="B116" s="692"/>
      <c r="C116" s="692"/>
      <c r="D116" s="692" t="s">
        <v>118</v>
      </c>
      <c r="E116" s="692" t="s">
        <v>754</v>
      </c>
      <c r="F116" s="692"/>
      <c r="G116" s="692"/>
      <c r="H116" s="692">
        <v>2017</v>
      </c>
      <c r="I116" s="644" t="s">
        <v>572</v>
      </c>
      <c r="J116" s="644" t="s">
        <v>584</v>
      </c>
      <c r="K116" s="633"/>
      <c r="L116" s="696"/>
      <c r="M116" s="697"/>
      <c r="N116" s="697"/>
      <c r="O116" s="697"/>
      <c r="P116" s="697">
        <v>0</v>
      </c>
      <c r="Q116" s="697">
        <v>0</v>
      </c>
      <c r="R116" s="697">
        <v>47</v>
      </c>
      <c r="S116" s="697">
        <v>48</v>
      </c>
      <c r="T116" s="697">
        <v>48</v>
      </c>
      <c r="U116" s="697">
        <v>48</v>
      </c>
      <c r="V116" s="697">
        <v>48</v>
      </c>
      <c r="W116" s="697">
        <v>28</v>
      </c>
      <c r="X116" s="697">
        <v>28</v>
      </c>
      <c r="Y116" s="697">
        <v>28</v>
      </c>
      <c r="Z116" s="697">
        <v>28</v>
      </c>
      <c r="AA116" s="697">
        <v>28</v>
      </c>
      <c r="AB116" s="697">
        <v>20</v>
      </c>
      <c r="AC116" s="697">
        <v>20</v>
      </c>
      <c r="AD116" s="697">
        <v>6</v>
      </c>
      <c r="AE116" s="697">
        <v>3</v>
      </c>
      <c r="AF116" s="697">
        <v>1</v>
      </c>
      <c r="AG116" s="697">
        <v>0</v>
      </c>
      <c r="AH116" s="697">
        <v>0</v>
      </c>
      <c r="AI116" s="697">
        <v>0</v>
      </c>
      <c r="AJ116" s="697">
        <v>0</v>
      </c>
      <c r="AK116" s="697">
        <v>0</v>
      </c>
      <c r="AL116" s="697">
        <v>0</v>
      </c>
      <c r="AM116" s="697">
        <v>0</v>
      </c>
      <c r="AN116" s="697">
        <v>0</v>
      </c>
      <c r="AO116" s="698">
        <v>0</v>
      </c>
      <c r="AP116" s="633"/>
      <c r="AQ116" s="696"/>
      <c r="AR116" s="697"/>
      <c r="AS116" s="697"/>
      <c r="AT116" s="697"/>
      <c r="AU116" s="697">
        <v>0</v>
      </c>
      <c r="AV116" s="697">
        <v>0</v>
      </c>
      <c r="AW116" s="697">
        <v>351527</v>
      </c>
      <c r="AX116" s="697">
        <v>356983</v>
      </c>
      <c r="AY116" s="697">
        <v>356983</v>
      </c>
      <c r="AZ116" s="697">
        <v>356983</v>
      </c>
      <c r="BA116" s="697">
        <v>356983</v>
      </c>
      <c r="BB116" s="697">
        <v>256517</v>
      </c>
      <c r="BC116" s="697">
        <v>256517</v>
      </c>
      <c r="BD116" s="697">
        <v>256517</v>
      </c>
      <c r="BE116" s="697">
        <v>256517</v>
      </c>
      <c r="BF116" s="697">
        <v>256517</v>
      </c>
      <c r="BG116" s="697">
        <v>226688</v>
      </c>
      <c r="BH116" s="697">
        <v>226688</v>
      </c>
      <c r="BI116" s="697">
        <v>12916</v>
      </c>
      <c r="BJ116" s="697">
        <v>6550</v>
      </c>
      <c r="BK116" s="697">
        <v>1620</v>
      </c>
      <c r="BL116" s="697">
        <v>0</v>
      </c>
      <c r="BM116" s="697">
        <v>0</v>
      </c>
      <c r="BN116" s="697">
        <v>0</v>
      </c>
      <c r="BO116" s="697">
        <v>0</v>
      </c>
      <c r="BP116" s="697">
        <v>0</v>
      </c>
      <c r="BQ116" s="697">
        <v>0</v>
      </c>
      <c r="BR116" s="697">
        <v>0</v>
      </c>
      <c r="BS116" s="697">
        <v>0</v>
      </c>
      <c r="BT116" s="698">
        <v>0</v>
      </c>
    </row>
    <row r="117" spans="2:73">
      <c r="B117" s="692"/>
      <c r="C117" s="692"/>
      <c r="D117" s="692" t="s">
        <v>119</v>
      </c>
      <c r="E117" s="692" t="s">
        <v>754</v>
      </c>
      <c r="F117" s="692"/>
      <c r="G117" s="692"/>
      <c r="H117" s="692">
        <v>2017</v>
      </c>
      <c r="I117" s="644" t="s">
        <v>572</v>
      </c>
      <c r="J117" s="644" t="s">
        <v>584</v>
      </c>
      <c r="K117" s="633"/>
      <c r="L117" s="696"/>
      <c r="M117" s="697"/>
      <c r="N117" s="697"/>
      <c r="O117" s="697"/>
      <c r="P117" s="697">
        <v>0</v>
      </c>
      <c r="Q117" s="697">
        <v>0</v>
      </c>
      <c r="R117" s="697">
        <v>33</v>
      </c>
      <c r="S117" s="697">
        <v>33</v>
      </c>
      <c r="T117" s="697">
        <v>33</v>
      </c>
      <c r="U117" s="697">
        <v>33</v>
      </c>
      <c r="V117" s="697">
        <v>33</v>
      </c>
      <c r="W117" s="697">
        <v>29</v>
      </c>
      <c r="X117" s="697">
        <v>18</v>
      </c>
      <c r="Y117" s="697">
        <v>15</v>
      </c>
      <c r="Z117" s="697">
        <v>6</v>
      </c>
      <c r="AA117" s="697">
        <v>3</v>
      </c>
      <c r="AB117" s="697">
        <v>1</v>
      </c>
      <c r="AC117" s="697">
        <v>0</v>
      </c>
      <c r="AD117" s="697">
        <v>0</v>
      </c>
      <c r="AE117" s="697">
        <v>0</v>
      </c>
      <c r="AF117" s="697">
        <v>0</v>
      </c>
      <c r="AG117" s="697">
        <v>0</v>
      </c>
      <c r="AH117" s="697">
        <v>0</v>
      </c>
      <c r="AI117" s="697">
        <v>0</v>
      </c>
      <c r="AJ117" s="697">
        <v>0</v>
      </c>
      <c r="AK117" s="697">
        <v>0</v>
      </c>
      <c r="AL117" s="697">
        <v>0</v>
      </c>
      <c r="AM117" s="697">
        <v>0</v>
      </c>
      <c r="AN117" s="697">
        <v>0</v>
      </c>
      <c r="AO117" s="698">
        <v>0</v>
      </c>
      <c r="AP117" s="633"/>
      <c r="AQ117" s="696"/>
      <c r="AR117" s="697"/>
      <c r="AS117" s="697"/>
      <c r="AT117" s="697"/>
      <c r="AU117" s="697">
        <v>0</v>
      </c>
      <c r="AV117" s="697">
        <v>0</v>
      </c>
      <c r="AW117" s="697">
        <v>174987</v>
      </c>
      <c r="AX117" s="697">
        <v>174987</v>
      </c>
      <c r="AY117" s="697">
        <v>174309</v>
      </c>
      <c r="AZ117" s="697">
        <v>170349</v>
      </c>
      <c r="BA117" s="697">
        <v>170349</v>
      </c>
      <c r="BB117" s="697">
        <v>144074</v>
      </c>
      <c r="BC117" s="697">
        <v>68200</v>
      </c>
      <c r="BD117" s="697">
        <v>55384</v>
      </c>
      <c r="BE117" s="697">
        <v>21373</v>
      </c>
      <c r="BF117" s="697">
        <v>11083</v>
      </c>
      <c r="BG117" s="697">
        <v>2252</v>
      </c>
      <c r="BH117" s="697">
        <v>261</v>
      </c>
      <c r="BI117" s="697">
        <v>0</v>
      </c>
      <c r="BJ117" s="697">
        <v>0</v>
      </c>
      <c r="BK117" s="697">
        <v>0</v>
      </c>
      <c r="BL117" s="697">
        <v>0</v>
      </c>
      <c r="BM117" s="697">
        <v>0</v>
      </c>
      <c r="BN117" s="697">
        <v>0</v>
      </c>
      <c r="BO117" s="697">
        <v>0</v>
      </c>
      <c r="BP117" s="697">
        <v>0</v>
      </c>
      <c r="BQ117" s="697">
        <v>0</v>
      </c>
      <c r="BR117" s="697">
        <v>0</v>
      </c>
      <c r="BS117" s="697">
        <v>0</v>
      </c>
      <c r="BT117" s="698">
        <v>0</v>
      </c>
    </row>
    <row r="118" spans="2:73">
      <c r="B118" s="692"/>
      <c r="C118" s="692"/>
      <c r="D118" s="692" t="s">
        <v>124</v>
      </c>
      <c r="E118" s="692" t="s">
        <v>754</v>
      </c>
      <c r="F118" s="692"/>
      <c r="G118" s="692"/>
      <c r="H118" s="692">
        <v>2017</v>
      </c>
      <c r="I118" s="644" t="s">
        <v>572</v>
      </c>
      <c r="J118" s="644" t="s">
        <v>584</v>
      </c>
      <c r="K118" s="633"/>
      <c r="L118" s="696"/>
      <c r="M118" s="697"/>
      <c r="N118" s="697"/>
      <c r="O118" s="697"/>
      <c r="P118" s="697">
        <v>0</v>
      </c>
      <c r="Q118" s="697">
        <v>0</v>
      </c>
      <c r="R118" s="697">
        <v>0</v>
      </c>
      <c r="S118" s="697">
        <v>0</v>
      </c>
      <c r="T118" s="697">
        <v>0</v>
      </c>
      <c r="U118" s="697">
        <v>0</v>
      </c>
      <c r="V118" s="697">
        <v>0</v>
      </c>
      <c r="W118" s="697">
        <v>0</v>
      </c>
      <c r="X118" s="697">
        <v>0</v>
      </c>
      <c r="Y118" s="697">
        <v>0</v>
      </c>
      <c r="Z118" s="697">
        <v>0</v>
      </c>
      <c r="AA118" s="697">
        <v>0</v>
      </c>
      <c r="AB118" s="697">
        <v>0</v>
      </c>
      <c r="AC118" s="697">
        <v>0</v>
      </c>
      <c r="AD118" s="697">
        <v>0</v>
      </c>
      <c r="AE118" s="697">
        <v>0</v>
      </c>
      <c r="AF118" s="697">
        <v>0</v>
      </c>
      <c r="AG118" s="697">
        <v>0</v>
      </c>
      <c r="AH118" s="697">
        <v>0</v>
      </c>
      <c r="AI118" s="697">
        <v>0</v>
      </c>
      <c r="AJ118" s="697">
        <v>0</v>
      </c>
      <c r="AK118" s="697">
        <v>0</v>
      </c>
      <c r="AL118" s="697">
        <v>0</v>
      </c>
      <c r="AM118" s="697">
        <v>0</v>
      </c>
      <c r="AN118" s="697">
        <v>0</v>
      </c>
      <c r="AO118" s="698">
        <v>0</v>
      </c>
      <c r="AP118" s="633"/>
      <c r="AQ118" s="696"/>
      <c r="AR118" s="697"/>
      <c r="AS118" s="697"/>
      <c r="AT118" s="697"/>
      <c r="AU118" s="697">
        <v>0</v>
      </c>
      <c r="AV118" s="697">
        <v>0</v>
      </c>
      <c r="AW118" s="697">
        <v>4484</v>
      </c>
      <c r="AX118" s="697">
        <v>4484</v>
      </c>
      <c r="AY118" s="697">
        <v>4484</v>
      </c>
      <c r="AZ118" s="697">
        <v>4484</v>
      </c>
      <c r="BA118" s="697">
        <v>4484</v>
      </c>
      <c r="BB118" s="697">
        <v>4484</v>
      </c>
      <c r="BC118" s="697">
        <v>4484</v>
      </c>
      <c r="BD118" s="697">
        <v>4484</v>
      </c>
      <c r="BE118" s="697">
        <v>4484</v>
      </c>
      <c r="BF118" s="697">
        <v>4484</v>
      </c>
      <c r="BG118" s="697">
        <v>4484</v>
      </c>
      <c r="BH118" s="697">
        <v>4484</v>
      </c>
      <c r="BI118" s="697">
        <v>4484</v>
      </c>
      <c r="BJ118" s="697">
        <v>4484</v>
      </c>
      <c r="BK118" s="697">
        <v>4484</v>
      </c>
      <c r="BL118" s="697">
        <v>0</v>
      </c>
      <c r="BM118" s="697">
        <v>0</v>
      </c>
      <c r="BN118" s="697">
        <v>0</v>
      </c>
      <c r="BO118" s="697">
        <v>0</v>
      </c>
      <c r="BP118" s="697">
        <v>0</v>
      </c>
      <c r="BQ118" s="697">
        <v>0</v>
      </c>
      <c r="BR118" s="697">
        <v>0</v>
      </c>
      <c r="BS118" s="697">
        <v>0</v>
      </c>
      <c r="BT118" s="698">
        <v>0</v>
      </c>
    </row>
    <row r="119" spans="2:73" ht="15.75">
      <c r="B119" s="692"/>
      <c r="C119" s="692"/>
      <c r="D119" s="692" t="s">
        <v>778</v>
      </c>
      <c r="E119" s="692" t="s">
        <v>754</v>
      </c>
      <c r="F119" s="692"/>
      <c r="G119" s="692"/>
      <c r="H119" s="692">
        <v>2017</v>
      </c>
      <c r="I119" s="644" t="s">
        <v>572</v>
      </c>
      <c r="J119" s="644" t="s">
        <v>584</v>
      </c>
      <c r="K119" s="633"/>
      <c r="L119" s="696"/>
      <c r="M119" s="697"/>
      <c r="N119" s="697"/>
      <c r="O119" s="697"/>
      <c r="P119" s="697">
        <v>0</v>
      </c>
      <c r="Q119" s="697">
        <v>0</v>
      </c>
      <c r="R119" s="697">
        <v>1</v>
      </c>
      <c r="S119" s="697">
        <v>1</v>
      </c>
      <c r="T119" s="697">
        <v>1</v>
      </c>
      <c r="U119" s="697">
        <v>1</v>
      </c>
      <c r="V119" s="697">
        <v>1</v>
      </c>
      <c r="W119" s="697">
        <v>1</v>
      </c>
      <c r="X119" s="697">
        <v>1</v>
      </c>
      <c r="Y119" s="697">
        <v>1</v>
      </c>
      <c r="Z119" s="697">
        <v>1</v>
      </c>
      <c r="AA119" s="697">
        <v>1</v>
      </c>
      <c r="AB119" s="697">
        <v>1</v>
      </c>
      <c r="AC119" s="697">
        <v>1</v>
      </c>
      <c r="AD119" s="697">
        <v>1</v>
      </c>
      <c r="AE119" s="697">
        <v>1</v>
      </c>
      <c r="AF119" s="697">
        <v>1</v>
      </c>
      <c r="AG119" s="697">
        <v>1</v>
      </c>
      <c r="AH119" s="697">
        <v>1</v>
      </c>
      <c r="AI119" s="697">
        <v>1</v>
      </c>
      <c r="AJ119" s="697">
        <v>1</v>
      </c>
      <c r="AK119" s="697">
        <v>0</v>
      </c>
      <c r="AL119" s="697">
        <v>0</v>
      </c>
      <c r="AM119" s="697">
        <v>0</v>
      </c>
      <c r="AN119" s="697">
        <v>0</v>
      </c>
      <c r="AO119" s="698">
        <v>0</v>
      </c>
      <c r="AP119" s="633"/>
      <c r="AQ119" s="696"/>
      <c r="AR119" s="697"/>
      <c r="AS119" s="697"/>
      <c r="AT119" s="697"/>
      <c r="AU119" s="697">
        <v>0</v>
      </c>
      <c r="AV119" s="697">
        <v>0</v>
      </c>
      <c r="AW119" s="697">
        <v>11081</v>
      </c>
      <c r="AX119" s="697">
        <v>11081</v>
      </c>
      <c r="AY119" s="697">
        <v>11081</v>
      </c>
      <c r="AZ119" s="697">
        <v>11081</v>
      </c>
      <c r="BA119" s="697">
        <v>11081</v>
      </c>
      <c r="BB119" s="697">
        <v>11081</v>
      </c>
      <c r="BC119" s="697">
        <v>11081</v>
      </c>
      <c r="BD119" s="697">
        <v>11081</v>
      </c>
      <c r="BE119" s="697">
        <v>11081</v>
      </c>
      <c r="BF119" s="697">
        <v>11081</v>
      </c>
      <c r="BG119" s="697">
        <v>11081</v>
      </c>
      <c r="BH119" s="697">
        <v>11081</v>
      </c>
      <c r="BI119" s="697">
        <v>11081</v>
      </c>
      <c r="BJ119" s="697">
        <v>11081</v>
      </c>
      <c r="BK119" s="697">
        <v>11081</v>
      </c>
      <c r="BL119" s="697">
        <v>11081</v>
      </c>
      <c r="BM119" s="697">
        <v>11081</v>
      </c>
      <c r="BN119" s="697">
        <v>11081</v>
      </c>
      <c r="BO119" s="697">
        <v>10768</v>
      </c>
      <c r="BP119" s="697">
        <v>472</v>
      </c>
      <c r="BQ119" s="697">
        <v>0</v>
      </c>
      <c r="BR119" s="697">
        <v>0</v>
      </c>
      <c r="BS119" s="697">
        <v>0</v>
      </c>
      <c r="BT119" s="698">
        <v>0</v>
      </c>
      <c r="BU119" s="163"/>
    </row>
    <row r="120" spans="2:73" ht="15.75">
      <c r="B120" s="692"/>
      <c r="C120" s="692"/>
      <c r="D120" s="692" t="s">
        <v>118</v>
      </c>
      <c r="E120" s="692" t="s">
        <v>754</v>
      </c>
      <c r="F120" s="692"/>
      <c r="G120" s="692"/>
      <c r="H120" s="692">
        <v>2015</v>
      </c>
      <c r="I120" s="644" t="s">
        <v>572</v>
      </c>
      <c r="J120" s="644" t="s">
        <v>577</v>
      </c>
      <c r="K120" s="633"/>
      <c r="L120" s="696"/>
      <c r="M120" s="697"/>
      <c r="N120" s="697"/>
      <c r="O120" s="697"/>
      <c r="P120" s="697">
        <v>-8</v>
      </c>
      <c r="Q120" s="697">
        <v>-8</v>
      </c>
      <c r="R120" s="697">
        <v>-3</v>
      </c>
      <c r="S120" s="697">
        <v>-2</v>
      </c>
      <c r="T120" s="697">
        <v>-2</v>
      </c>
      <c r="U120" s="697">
        <v>-2</v>
      </c>
      <c r="V120" s="697">
        <v>-1</v>
      </c>
      <c r="W120" s="697">
        <v>-1</v>
      </c>
      <c r="X120" s="697">
        <v>-1</v>
      </c>
      <c r="Y120" s="697">
        <v>-2</v>
      </c>
      <c r="Z120" s="697">
        <v>-2</v>
      </c>
      <c r="AA120" s="697">
        <v>1</v>
      </c>
      <c r="AB120" s="697">
        <v>0</v>
      </c>
      <c r="AC120" s="697">
        <v>0</v>
      </c>
      <c r="AD120" s="697">
        <v>0</v>
      </c>
      <c r="AE120" s="697">
        <v>0</v>
      </c>
      <c r="AF120" s="697">
        <v>0</v>
      </c>
      <c r="AG120" s="697">
        <v>0</v>
      </c>
      <c r="AH120" s="697">
        <v>0</v>
      </c>
      <c r="AI120" s="697">
        <v>0</v>
      </c>
      <c r="AJ120" s="697">
        <v>0</v>
      </c>
      <c r="AK120" s="697">
        <v>0</v>
      </c>
      <c r="AL120" s="697">
        <v>0</v>
      </c>
      <c r="AM120" s="697">
        <v>0</v>
      </c>
      <c r="AN120" s="697">
        <v>0</v>
      </c>
      <c r="AO120" s="698">
        <v>0</v>
      </c>
      <c r="AP120" s="633"/>
      <c r="AQ120" s="696"/>
      <c r="AR120" s="697"/>
      <c r="AS120" s="697"/>
      <c r="AT120" s="697"/>
      <c r="AU120" s="697">
        <v>-48559</v>
      </c>
      <c r="AV120" s="697">
        <v>-48559</v>
      </c>
      <c r="AW120" s="697">
        <v>-15282</v>
      </c>
      <c r="AX120" s="697">
        <v>-10492</v>
      </c>
      <c r="AY120" s="697">
        <v>-10492</v>
      </c>
      <c r="AZ120" s="697">
        <v>-10492</v>
      </c>
      <c r="BA120" s="697">
        <v>-8914</v>
      </c>
      <c r="BB120" s="697">
        <v>-8914</v>
      </c>
      <c r="BC120" s="697">
        <v>-8914</v>
      </c>
      <c r="BD120" s="697">
        <v>-9380</v>
      </c>
      <c r="BE120" s="697">
        <v>-10492</v>
      </c>
      <c r="BF120" s="697">
        <v>8449</v>
      </c>
      <c r="BG120" s="697">
        <v>0</v>
      </c>
      <c r="BH120" s="697">
        <v>0</v>
      </c>
      <c r="BI120" s="697">
        <v>0</v>
      </c>
      <c r="BJ120" s="697">
        <v>0</v>
      </c>
      <c r="BK120" s="697">
        <v>0</v>
      </c>
      <c r="BL120" s="697">
        <v>0</v>
      </c>
      <c r="BM120" s="697">
        <v>0</v>
      </c>
      <c r="BN120" s="697">
        <v>0</v>
      </c>
      <c r="BO120" s="697">
        <v>0</v>
      </c>
      <c r="BP120" s="697">
        <v>0</v>
      </c>
      <c r="BQ120" s="697">
        <v>0</v>
      </c>
      <c r="BR120" s="697">
        <v>0</v>
      </c>
      <c r="BS120" s="697">
        <v>0</v>
      </c>
      <c r="BT120" s="698">
        <v>0</v>
      </c>
      <c r="BU120" s="163"/>
    </row>
    <row r="121" spans="2:73" ht="15.75">
      <c r="B121" s="692"/>
      <c r="C121" s="692"/>
      <c r="D121" s="692" t="s">
        <v>100</v>
      </c>
      <c r="E121" s="692" t="s">
        <v>754</v>
      </c>
      <c r="F121" s="692"/>
      <c r="G121" s="692"/>
      <c r="H121" s="692">
        <v>2015</v>
      </c>
      <c r="I121" s="644" t="s">
        <v>572</v>
      </c>
      <c r="J121" s="644" t="s">
        <v>577</v>
      </c>
      <c r="K121" s="633"/>
      <c r="L121" s="696"/>
      <c r="M121" s="697"/>
      <c r="N121" s="697"/>
      <c r="O121" s="697"/>
      <c r="P121" s="697">
        <v>3</v>
      </c>
      <c r="Q121" s="697">
        <v>3</v>
      </c>
      <c r="R121" s="697">
        <v>9</v>
      </c>
      <c r="S121" s="697">
        <v>9</v>
      </c>
      <c r="T121" s="697">
        <v>9</v>
      </c>
      <c r="U121" s="697">
        <v>9</v>
      </c>
      <c r="V121" s="697">
        <v>12</v>
      </c>
      <c r="W121" s="697">
        <v>12</v>
      </c>
      <c r="X121" s="697">
        <v>12</v>
      </c>
      <c r="Y121" s="697">
        <v>11</v>
      </c>
      <c r="Z121" s="697">
        <v>9</v>
      </c>
      <c r="AA121" s="697">
        <v>9</v>
      </c>
      <c r="AB121" s="697">
        <v>0</v>
      </c>
      <c r="AC121" s="697">
        <v>0</v>
      </c>
      <c r="AD121" s="697">
        <v>0</v>
      </c>
      <c r="AE121" s="697">
        <v>0</v>
      </c>
      <c r="AF121" s="697">
        <v>0</v>
      </c>
      <c r="AG121" s="697">
        <v>0</v>
      </c>
      <c r="AH121" s="697">
        <v>0</v>
      </c>
      <c r="AI121" s="697">
        <v>0</v>
      </c>
      <c r="AJ121" s="697">
        <v>0</v>
      </c>
      <c r="AK121" s="697">
        <v>0</v>
      </c>
      <c r="AL121" s="697">
        <v>0</v>
      </c>
      <c r="AM121" s="697">
        <v>0</v>
      </c>
      <c r="AN121" s="697">
        <v>0</v>
      </c>
      <c r="AO121" s="698">
        <v>0</v>
      </c>
      <c r="AP121" s="633"/>
      <c r="AQ121" s="696"/>
      <c r="AR121" s="697"/>
      <c r="AS121" s="697"/>
      <c r="AT121" s="697"/>
      <c r="AU121" s="697">
        <v>32684</v>
      </c>
      <c r="AV121" s="697">
        <v>32684</v>
      </c>
      <c r="AW121" s="697">
        <v>51410</v>
      </c>
      <c r="AX121" s="697">
        <v>51452</v>
      </c>
      <c r="AY121" s="697">
        <v>51452</v>
      </c>
      <c r="AZ121" s="697">
        <v>51452</v>
      </c>
      <c r="BA121" s="697">
        <v>91030</v>
      </c>
      <c r="BB121" s="697">
        <v>91030</v>
      </c>
      <c r="BC121" s="697">
        <v>91030</v>
      </c>
      <c r="BD121" s="697">
        <v>79347</v>
      </c>
      <c r="BE121" s="697">
        <v>51452</v>
      </c>
      <c r="BF121" s="697">
        <v>51452</v>
      </c>
      <c r="BG121" s="697">
        <v>-282</v>
      </c>
      <c r="BH121" s="697">
        <v>-282</v>
      </c>
      <c r="BI121" s="697">
        <v>-282</v>
      </c>
      <c r="BJ121" s="697">
        <v>-357</v>
      </c>
      <c r="BK121" s="697">
        <v>-165</v>
      </c>
      <c r="BL121" s="697">
        <v>-165</v>
      </c>
      <c r="BM121" s="697">
        <v>-165</v>
      </c>
      <c r="BN121" s="697">
        <v>-165</v>
      </c>
      <c r="BO121" s="697">
        <v>0</v>
      </c>
      <c r="BP121" s="697">
        <v>0</v>
      </c>
      <c r="BQ121" s="697">
        <v>0</v>
      </c>
      <c r="BR121" s="697">
        <v>0</v>
      </c>
      <c r="BS121" s="697">
        <v>0</v>
      </c>
      <c r="BT121" s="698">
        <v>0</v>
      </c>
      <c r="BU121" s="163"/>
    </row>
    <row r="122" spans="2:73" ht="15.75">
      <c r="B122" s="692"/>
      <c r="C122" s="692"/>
      <c r="D122" s="692" t="s">
        <v>101</v>
      </c>
      <c r="E122" s="692" t="s">
        <v>754</v>
      </c>
      <c r="F122" s="692"/>
      <c r="G122" s="692"/>
      <c r="H122" s="692">
        <v>2015</v>
      </c>
      <c r="I122" s="644" t="s">
        <v>572</v>
      </c>
      <c r="J122" s="644" t="s">
        <v>577</v>
      </c>
      <c r="K122" s="633"/>
      <c r="L122" s="696"/>
      <c r="M122" s="697"/>
      <c r="N122" s="697"/>
      <c r="O122" s="697"/>
      <c r="P122" s="697">
        <v>-6</v>
      </c>
      <c r="Q122" s="697">
        <v>-1</v>
      </c>
      <c r="R122" s="697">
        <v>0</v>
      </c>
      <c r="S122" s="697">
        <v>1</v>
      </c>
      <c r="T122" s="697">
        <v>1</v>
      </c>
      <c r="U122" s="697">
        <v>1</v>
      </c>
      <c r="V122" s="697">
        <v>1</v>
      </c>
      <c r="W122" s="697">
        <v>1</v>
      </c>
      <c r="X122" s="697">
        <v>1</v>
      </c>
      <c r="Y122" s="697">
        <v>1</v>
      </c>
      <c r="Z122" s="697">
        <v>1</v>
      </c>
      <c r="AA122" s="697">
        <v>0</v>
      </c>
      <c r="AB122" s="697">
        <v>0</v>
      </c>
      <c r="AC122" s="697">
        <v>0</v>
      </c>
      <c r="AD122" s="697">
        <v>0</v>
      </c>
      <c r="AE122" s="697">
        <v>0</v>
      </c>
      <c r="AF122" s="697">
        <v>0</v>
      </c>
      <c r="AG122" s="697">
        <v>0</v>
      </c>
      <c r="AH122" s="697">
        <v>0</v>
      </c>
      <c r="AI122" s="697">
        <v>0</v>
      </c>
      <c r="AJ122" s="697">
        <v>0</v>
      </c>
      <c r="AK122" s="697">
        <v>0</v>
      </c>
      <c r="AL122" s="697">
        <v>0</v>
      </c>
      <c r="AM122" s="697">
        <v>0</v>
      </c>
      <c r="AN122" s="697">
        <v>0</v>
      </c>
      <c r="AO122" s="698">
        <v>0</v>
      </c>
      <c r="AP122" s="633"/>
      <c r="AQ122" s="696"/>
      <c r="AR122" s="697"/>
      <c r="AS122" s="697"/>
      <c r="AT122" s="697"/>
      <c r="AU122" s="697">
        <v>-24864</v>
      </c>
      <c r="AV122" s="697">
        <v>-4866</v>
      </c>
      <c r="AW122" s="697">
        <v>1274</v>
      </c>
      <c r="AX122" s="697">
        <v>5424</v>
      </c>
      <c r="AY122" s="697">
        <v>5424</v>
      </c>
      <c r="AZ122" s="697">
        <v>5424</v>
      </c>
      <c r="BA122" s="697">
        <v>5424</v>
      </c>
      <c r="BB122" s="697">
        <v>5424</v>
      </c>
      <c r="BC122" s="697">
        <v>5424</v>
      </c>
      <c r="BD122" s="697">
        <v>5424</v>
      </c>
      <c r="BE122" s="697">
        <v>5424</v>
      </c>
      <c r="BF122" s="697">
        <v>1827</v>
      </c>
      <c r="BG122" s="697">
        <v>0</v>
      </c>
      <c r="BH122" s="697">
        <v>0</v>
      </c>
      <c r="BI122" s="697">
        <v>0</v>
      </c>
      <c r="BJ122" s="697">
        <v>0</v>
      </c>
      <c r="BK122" s="697">
        <v>0</v>
      </c>
      <c r="BL122" s="697">
        <v>0</v>
      </c>
      <c r="BM122" s="697">
        <v>0</v>
      </c>
      <c r="BN122" s="697">
        <v>0</v>
      </c>
      <c r="BO122" s="697">
        <v>0</v>
      </c>
      <c r="BP122" s="697">
        <v>0</v>
      </c>
      <c r="BQ122" s="697">
        <v>0</v>
      </c>
      <c r="BR122" s="697">
        <v>0</v>
      </c>
      <c r="BS122" s="697">
        <v>0</v>
      </c>
      <c r="BT122" s="698">
        <v>0</v>
      </c>
      <c r="BU122" s="163"/>
    </row>
    <row r="123" spans="2:73" ht="15.75">
      <c r="B123" s="692"/>
      <c r="C123" s="692"/>
      <c r="D123" s="692" t="s">
        <v>113</v>
      </c>
      <c r="E123" s="692" t="s">
        <v>754</v>
      </c>
      <c r="F123" s="692"/>
      <c r="G123" s="692"/>
      <c r="H123" s="692">
        <v>2016</v>
      </c>
      <c r="I123" s="644" t="s">
        <v>572</v>
      </c>
      <c r="J123" s="644" t="s">
        <v>577</v>
      </c>
      <c r="K123" s="633"/>
      <c r="L123" s="696"/>
      <c r="M123" s="697"/>
      <c r="N123" s="697"/>
      <c r="O123" s="697"/>
      <c r="P123" s="697">
        <v>0</v>
      </c>
      <c r="Q123" s="697">
        <v>5</v>
      </c>
      <c r="R123" s="697">
        <v>5</v>
      </c>
      <c r="S123" s="697">
        <v>5</v>
      </c>
      <c r="T123" s="697">
        <v>5</v>
      </c>
      <c r="U123" s="697">
        <v>5</v>
      </c>
      <c r="V123" s="697">
        <v>5</v>
      </c>
      <c r="W123" s="697">
        <v>5</v>
      </c>
      <c r="X123" s="697">
        <v>5</v>
      </c>
      <c r="Y123" s="697">
        <v>5</v>
      </c>
      <c r="Z123" s="697">
        <v>5</v>
      </c>
      <c r="AA123" s="697">
        <v>6</v>
      </c>
      <c r="AB123" s="697">
        <v>6</v>
      </c>
      <c r="AC123" s="697">
        <v>6</v>
      </c>
      <c r="AD123" s="697">
        <v>5</v>
      </c>
      <c r="AE123" s="697">
        <v>5</v>
      </c>
      <c r="AF123" s="697">
        <v>5</v>
      </c>
      <c r="AG123" s="697">
        <v>2</v>
      </c>
      <c r="AH123" s="697">
        <v>0</v>
      </c>
      <c r="AI123" s="697">
        <v>0</v>
      </c>
      <c r="AJ123" s="697">
        <v>0</v>
      </c>
      <c r="AK123" s="697">
        <v>0</v>
      </c>
      <c r="AL123" s="697">
        <v>0</v>
      </c>
      <c r="AM123" s="697">
        <v>0</v>
      </c>
      <c r="AN123" s="697">
        <v>0</v>
      </c>
      <c r="AO123" s="698">
        <v>0</v>
      </c>
      <c r="AP123" s="633"/>
      <c r="AQ123" s="696"/>
      <c r="AR123" s="697"/>
      <c r="AS123" s="697"/>
      <c r="AT123" s="697"/>
      <c r="AU123" s="697">
        <v>0</v>
      </c>
      <c r="AV123" s="697">
        <v>86033</v>
      </c>
      <c r="AW123" s="697">
        <v>86033</v>
      </c>
      <c r="AX123" s="697">
        <v>86033</v>
      </c>
      <c r="AY123" s="697">
        <v>86033</v>
      </c>
      <c r="AZ123" s="697">
        <v>86033</v>
      </c>
      <c r="BA123" s="697">
        <v>86033</v>
      </c>
      <c r="BB123" s="697">
        <v>86033</v>
      </c>
      <c r="BC123" s="697">
        <v>86026</v>
      </c>
      <c r="BD123" s="697">
        <v>86026</v>
      </c>
      <c r="BE123" s="697">
        <v>86125</v>
      </c>
      <c r="BF123" s="697">
        <v>86182</v>
      </c>
      <c r="BG123" s="697">
        <v>86261</v>
      </c>
      <c r="BH123" s="697">
        <v>86261</v>
      </c>
      <c r="BI123" s="697">
        <v>86037</v>
      </c>
      <c r="BJ123" s="697">
        <v>74463</v>
      </c>
      <c r="BK123" s="697">
        <v>74463</v>
      </c>
      <c r="BL123" s="697">
        <v>30655</v>
      </c>
      <c r="BM123" s="697">
        <v>0</v>
      </c>
      <c r="BN123" s="697">
        <v>0</v>
      </c>
      <c r="BO123" s="697">
        <v>0</v>
      </c>
      <c r="BP123" s="697">
        <v>0</v>
      </c>
      <c r="BQ123" s="697">
        <v>0</v>
      </c>
      <c r="BR123" s="697">
        <v>0</v>
      </c>
      <c r="BS123" s="697">
        <v>0</v>
      </c>
      <c r="BT123" s="698">
        <v>0</v>
      </c>
      <c r="BU123" s="163"/>
    </row>
    <row r="124" spans="2:73" ht="15.75">
      <c r="B124" s="692"/>
      <c r="C124" s="692"/>
      <c r="D124" s="692" t="s">
        <v>776</v>
      </c>
      <c r="E124" s="692" t="s">
        <v>754</v>
      </c>
      <c r="F124" s="692"/>
      <c r="G124" s="692"/>
      <c r="H124" s="692">
        <v>2016</v>
      </c>
      <c r="I124" s="644" t="s">
        <v>572</v>
      </c>
      <c r="J124" s="644" t="s">
        <v>577</v>
      </c>
      <c r="K124" s="633"/>
      <c r="L124" s="696"/>
      <c r="M124" s="697"/>
      <c r="N124" s="697"/>
      <c r="O124" s="697"/>
      <c r="P124" s="697">
        <v>0</v>
      </c>
      <c r="Q124" s="697">
        <v>0</v>
      </c>
      <c r="R124" s="697">
        <v>0</v>
      </c>
      <c r="S124" s="697">
        <v>0</v>
      </c>
      <c r="T124" s="697">
        <v>0</v>
      </c>
      <c r="U124" s="697">
        <v>0</v>
      </c>
      <c r="V124" s="697">
        <v>0</v>
      </c>
      <c r="W124" s="697">
        <v>0</v>
      </c>
      <c r="X124" s="697">
        <v>0</v>
      </c>
      <c r="Y124" s="697">
        <v>0</v>
      </c>
      <c r="Z124" s="697">
        <v>0</v>
      </c>
      <c r="AA124" s="697">
        <v>0</v>
      </c>
      <c r="AB124" s="697">
        <v>0</v>
      </c>
      <c r="AC124" s="697">
        <v>0</v>
      </c>
      <c r="AD124" s="697">
        <v>0</v>
      </c>
      <c r="AE124" s="697">
        <v>0</v>
      </c>
      <c r="AF124" s="697">
        <v>0</v>
      </c>
      <c r="AG124" s="697">
        <v>0</v>
      </c>
      <c r="AH124" s="697">
        <v>0</v>
      </c>
      <c r="AI124" s="697">
        <v>0</v>
      </c>
      <c r="AJ124" s="697">
        <v>0</v>
      </c>
      <c r="AK124" s="697">
        <v>0</v>
      </c>
      <c r="AL124" s="697">
        <v>0</v>
      </c>
      <c r="AM124" s="697">
        <v>0</v>
      </c>
      <c r="AN124" s="697">
        <v>0</v>
      </c>
      <c r="AO124" s="698">
        <v>0</v>
      </c>
      <c r="AP124" s="633"/>
      <c r="AQ124" s="696"/>
      <c r="AR124" s="697"/>
      <c r="AS124" s="697"/>
      <c r="AT124" s="697"/>
      <c r="AU124" s="697">
        <v>0</v>
      </c>
      <c r="AV124" s="697">
        <v>957</v>
      </c>
      <c r="AW124" s="697">
        <v>957</v>
      </c>
      <c r="AX124" s="697">
        <v>957</v>
      </c>
      <c r="AY124" s="697">
        <v>957</v>
      </c>
      <c r="AZ124" s="697">
        <v>957</v>
      </c>
      <c r="BA124" s="697">
        <v>957</v>
      </c>
      <c r="BB124" s="697">
        <v>957</v>
      </c>
      <c r="BC124" s="697">
        <v>957</v>
      </c>
      <c r="BD124" s="697">
        <v>957</v>
      </c>
      <c r="BE124" s="697">
        <v>957</v>
      </c>
      <c r="BF124" s="697">
        <v>957</v>
      </c>
      <c r="BG124" s="697">
        <v>957</v>
      </c>
      <c r="BH124" s="697">
        <v>957</v>
      </c>
      <c r="BI124" s="697">
        <v>957</v>
      </c>
      <c r="BJ124" s="697">
        <v>957</v>
      </c>
      <c r="BK124" s="697">
        <v>957</v>
      </c>
      <c r="BL124" s="697">
        <v>957</v>
      </c>
      <c r="BM124" s="697">
        <v>957</v>
      </c>
      <c r="BN124" s="697">
        <v>957</v>
      </c>
      <c r="BO124" s="697">
        <v>0</v>
      </c>
      <c r="BP124" s="697">
        <v>0</v>
      </c>
      <c r="BQ124" s="697">
        <v>0</v>
      </c>
      <c r="BR124" s="697">
        <v>0</v>
      </c>
      <c r="BS124" s="697">
        <v>0</v>
      </c>
      <c r="BT124" s="698">
        <v>0</v>
      </c>
      <c r="BU124" s="163"/>
    </row>
    <row r="125" spans="2:73" ht="15.75">
      <c r="B125" s="692"/>
      <c r="C125" s="692"/>
      <c r="D125" s="692" t="s">
        <v>118</v>
      </c>
      <c r="E125" s="692" t="s">
        <v>754</v>
      </c>
      <c r="F125" s="692"/>
      <c r="G125" s="692"/>
      <c r="H125" s="692">
        <v>2016</v>
      </c>
      <c r="I125" s="644" t="s">
        <v>572</v>
      </c>
      <c r="J125" s="644" t="s">
        <v>577</v>
      </c>
      <c r="K125" s="633"/>
      <c r="L125" s="696"/>
      <c r="M125" s="697"/>
      <c r="N125" s="697"/>
      <c r="O125" s="697"/>
      <c r="P125" s="697">
        <v>0</v>
      </c>
      <c r="Q125" s="697">
        <v>13</v>
      </c>
      <c r="R125" s="697">
        <v>15</v>
      </c>
      <c r="S125" s="697">
        <v>15</v>
      </c>
      <c r="T125" s="697">
        <v>15</v>
      </c>
      <c r="U125" s="697">
        <v>15</v>
      </c>
      <c r="V125" s="697">
        <v>15</v>
      </c>
      <c r="W125" s="697">
        <v>15</v>
      </c>
      <c r="X125" s="697">
        <v>15</v>
      </c>
      <c r="Y125" s="697">
        <v>15</v>
      </c>
      <c r="Z125" s="697">
        <v>15</v>
      </c>
      <c r="AA125" s="697">
        <v>15</v>
      </c>
      <c r="AB125" s="697">
        <v>9</v>
      </c>
      <c r="AC125" s="697">
        <v>0</v>
      </c>
      <c r="AD125" s="697">
        <v>0</v>
      </c>
      <c r="AE125" s="697">
        <v>0</v>
      </c>
      <c r="AF125" s="697">
        <v>0</v>
      </c>
      <c r="AG125" s="697">
        <v>0</v>
      </c>
      <c r="AH125" s="697">
        <v>0</v>
      </c>
      <c r="AI125" s="697">
        <v>0</v>
      </c>
      <c r="AJ125" s="697">
        <v>0</v>
      </c>
      <c r="AK125" s="697">
        <v>0</v>
      </c>
      <c r="AL125" s="697">
        <v>0</v>
      </c>
      <c r="AM125" s="697">
        <v>0</v>
      </c>
      <c r="AN125" s="697">
        <v>0</v>
      </c>
      <c r="AO125" s="698">
        <v>0</v>
      </c>
      <c r="AP125" s="633"/>
      <c r="AQ125" s="696"/>
      <c r="AR125" s="697"/>
      <c r="AS125" s="697"/>
      <c r="AT125" s="697"/>
      <c r="AU125" s="697">
        <v>0</v>
      </c>
      <c r="AV125" s="697">
        <v>464081</v>
      </c>
      <c r="AW125" s="697">
        <v>470931</v>
      </c>
      <c r="AX125" s="697">
        <v>471293</v>
      </c>
      <c r="AY125" s="697">
        <v>471293</v>
      </c>
      <c r="AZ125" s="697">
        <v>471293</v>
      </c>
      <c r="BA125" s="697">
        <v>471293</v>
      </c>
      <c r="BB125" s="697">
        <v>471293</v>
      </c>
      <c r="BC125" s="697">
        <v>471293</v>
      </c>
      <c r="BD125" s="697">
        <v>471293</v>
      </c>
      <c r="BE125" s="697">
        <v>471293</v>
      </c>
      <c r="BF125" s="697">
        <v>471293</v>
      </c>
      <c r="BG125" s="697">
        <v>327256</v>
      </c>
      <c r="BH125" s="697">
        <v>0</v>
      </c>
      <c r="BI125" s="697">
        <v>0</v>
      </c>
      <c r="BJ125" s="697">
        <v>0</v>
      </c>
      <c r="BK125" s="697">
        <v>0</v>
      </c>
      <c r="BL125" s="697">
        <v>0</v>
      </c>
      <c r="BM125" s="697">
        <v>0</v>
      </c>
      <c r="BN125" s="697">
        <v>0</v>
      </c>
      <c r="BO125" s="697">
        <v>0</v>
      </c>
      <c r="BP125" s="697">
        <v>0</v>
      </c>
      <c r="BQ125" s="697">
        <v>0</v>
      </c>
      <c r="BR125" s="697">
        <v>0</v>
      </c>
      <c r="BS125" s="697">
        <v>0</v>
      </c>
      <c r="BT125" s="698">
        <v>0</v>
      </c>
      <c r="BU125" s="163"/>
    </row>
    <row r="126" spans="2:73" ht="15.75">
      <c r="B126" s="692"/>
      <c r="C126" s="692"/>
      <c r="D126" s="692" t="s">
        <v>119</v>
      </c>
      <c r="E126" s="692" t="s">
        <v>754</v>
      </c>
      <c r="F126" s="692"/>
      <c r="G126" s="692"/>
      <c r="H126" s="692">
        <v>2016</v>
      </c>
      <c r="I126" s="644" t="s">
        <v>572</v>
      </c>
      <c r="J126" s="644" t="s">
        <v>577</v>
      </c>
      <c r="K126" s="633"/>
      <c r="L126" s="696"/>
      <c r="M126" s="697"/>
      <c r="N126" s="697"/>
      <c r="O126" s="697"/>
      <c r="P126" s="697">
        <v>0</v>
      </c>
      <c r="Q126" s="697">
        <v>10</v>
      </c>
      <c r="R126" s="697">
        <v>10</v>
      </c>
      <c r="S126" s="697">
        <v>10</v>
      </c>
      <c r="T126" s="697">
        <v>10</v>
      </c>
      <c r="U126" s="697">
        <v>9</v>
      </c>
      <c r="V126" s="697">
        <v>8</v>
      </c>
      <c r="W126" s="697">
        <v>7</v>
      </c>
      <c r="X126" s="697">
        <v>4</v>
      </c>
      <c r="Y126" s="697">
        <v>4</v>
      </c>
      <c r="Z126" s="697">
        <v>3</v>
      </c>
      <c r="AA126" s="697">
        <v>2</v>
      </c>
      <c r="AB126" s="697">
        <v>1</v>
      </c>
      <c r="AC126" s="697">
        <v>0</v>
      </c>
      <c r="AD126" s="697">
        <v>0</v>
      </c>
      <c r="AE126" s="697">
        <v>0</v>
      </c>
      <c r="AF126" s="697">
        <v>0</v>
      </c>
      <c r="AG126" s="697">
        <v>0</v>
      </c>
      <c r="AH126" s="697">
        <v>0</v>
      </c>
      <c r="AI126" s="697">
        <v>0</v>
      </c>
      <c r="AJ126" s="697">
        <v>0</v>
      </c>
      <c r="AK126" s="697">
        <v>0</v>
      </c>
      <c r="AL126" s="697">
        <v>0</v>
      </c>
      <c r="AM126" s="697">
        <v>0</v>
      </c>
      <c r="AN126" s="697">
        <v>0</v>
      </c>
      <c r="AO126" s="698">
        <v>0</v>
      </c>
      <c r="AP126" s="633"/>
      <c r="AQ126" s="696"/>
      <c r="AR126" s="697"/>
      <c r="AS126" s="697"/>
      <c r="AT126" s="697"/>
      <c r="AU126" s="697">
        <v>0</v>
      </c>
      <c r="AV126" s="697">
        <v>50569</v>
      </c>
      <c r="AW126" s="697">
        <v>50569</v>
      </c>
      <c r="AX126" s="697">
        <v>50569</v>
      </c>
      <c r="AY126" s="697">
        <v>50056</v>
      </c>
      <c r="AZ126" s="697">
        <v>46845</v>
      </c>
      <c r="BA126" s="697">
        <v>38039</v>
      </c>
      <c r="BB126" s="697">
        <v>29089</v>
      </c>
      <c r="BC126" s="697">
        <v>17204</v>
      </c>
      <c r="BD126" s="697">
        <v>13224</v>
      </c>
      <c r="BE126" s="697">
        <v>9722</v>
      </c>
      <c r="BF126" s="697">
        <v>7468</v>
      </c>
      <c r="BG126" s="697">
        <v>3601</v>
      </c>
      <c r="BH126" s="697">
        <v>107</v>
      </c>
      <c r="BI126" s="697">
        <v>0</v>
      </c>
      <c r="BJ126" s="697">
        <v>0</v>
      </c>
      <c r="BK126" s="697">
        <v>0</v>
      </c>
      <c r="BL126" s="697">
        <v>0</v>
      </c>
      <c r="BM126" s="697">
        <v>0</v>
      </c>
      <c r="BN126" s="697">
        <v>0</v>
      </c>
      <c r="BO126" s="697">
        <v>0</v>
      </c>
      <c r="BP126" s="697">
        <v>0</v>
      </c>
      <c r="BQ126" s="697">
        <v>0</v>
      </c>
      <c r="BR126" s="697">
        <v>0</v>
      </c>
      <c r="BS126" s="697">
        <v>0</v>
      </c>
      <c r="BT126" s="698">
        <v>0</v>
      </c>
      <c r="BU126" s="163"/>
    </row>
    <row r="127" spans="2:73" ht="15.75">
      <c r="B127" s="692"/>
      <c r="C127" s="692"/>
      <c r="D127" s="692" t="s">
        <v>114</v>
      </c>
      <c r="E127" s="692" t="s">
        <v>754</v>
      </c>
      <c r="F127" s="692" t="s">
        <v>29</v>
      </c>
      <c r="G127" s="692"/>
      <c r="H127" s="692">
        <v>2018</v>
      </c>
      <c r="I127" s="644" t="s">
        <v>573</v>
      </c>
      <c r="J127" s="644" t="s">
        <v>584</v>
      </c>
      <c r="K127" s="633"/>
      <c r="L127" s="696"/>
      <c r="M127" s="697"/>
      <c r="N127" s="697"/>
      <c r="O127" s="697"/>
      <c r="P127" s="697"/>
      <c r="Q127" s="697"/>
      <c r="R127" s="697"/>
      <c r="S127" s="697"/>
      <c r="T127" s="697"/>
      <c r="U127" s="697"/>
      <c r="V127" s="697"/>
      <c r="W127" s="697"/>
      <c r="X127" s="697"/>
      <c r="Y127" s="697"/>
      <c r="Z127" s="697"/>
      <c r="AA127" s="697"/>
      <c r="AB127" s="697"/>
      <c r="AC127" s="697"/>
      <c r="AD127" s="697"/>
      <c r="AE127" s="697"/>
      <c r="AF127" s="697"/>
      <c r="AG127" s="697"/>
      <c r="AH127" s="697"/>
      <c r="AI127" s="697"/>
      <c r="AJ127" s="697"/>
      <c r="AK127" s="697"/>
      <c r="AL127" s="697"/>
      <c r="AM127" s="697"/>
      <c r="AN127" s="697"/>
      <c r="AO127" s="698"/>
      <c r="AP127" s="633"/>
      <c r="AQ127" s="696"/>
      <c r="AR127" s="697"/>
      <c r="AS127" s="697"/>
      <c r="AT127" s="697"/>
      <c r="AU127" s="697"/>
      <c r="AV127" s="697"/>
      <c r="AW127" s="697"/>
      <c r="AX127" s="697">
        <v>82351</v>
      </c>
      <c r="AY127" s="761">
        <f>AVERAGE(AX127,AZ127)</f>
        <v>82351</v>
      </c>
      <c r="AZ127" s="697">
        <v>82351</v>
      </c>
      <c r="BA127" s="761">
        <f>AZ127</f>
        <v>82351</v>
      </c>
      <c r="BB127" s="761">
        <f>BA127</f>
        <v>82351</v>
      </c>
      <c r="BC127" s="697"/>
      <c r="BD127" s="697"/>
      <c r="BE127" s="697"/>
      <c r="BF127" s="697"/>
      <c r="BG127" s="697"/>
      <c r="BH127" s="697"/>
      <c r="BI127" s="697"/>
      <c r="BJ127" s="697"/>
      <c r="BK127" s="697"/>
      <c r="BL127" s="697"/>
      <c r="BM127" s="697"/>
      <c r="BN127" s="697"/>
      <c r="BO127" s="697"/>
      <c r="BP127" s="697"/>
      <c r="BQ127" s="697"/>
      <c r="BR127" s="697"/>
      <c r="BS127" s="697"/>
      <c r="BT127" s="698"/>
      <c r="BU127" s="163"/>
    </row>
    <row r="128" spans="2:73" ht="15.75">
      <c r="B128" s="692"/>
      <c r="C128" s="692"/>
      <c r="D128" s="692" t="s">
        <v>777</v>
      </c>
      <c r="E128" s="692" t="s">
        <v>754</v>
      </c>
      <c r="F128" s="692" t="s">
        <v>29</v>
      </c>
      <c r="G128" s="692"/>
      <c r="H128" s="692">
        <v>2018</v>
      </c>
      <c r="I128" s="644" t="s">
        <v>573</v>
      </c>
      <c r="J128" s="644" t="s">
        <v>584</v>
      </c>
      <c r="K128" s="633"/>
      <c r="L128" s="696"/>
      <c r="M128" s="697"/>
      <c r="N128" s="697"/>
      <c r="O128" s="697"/>
      <c r="P128" s="697"/>
      <c r="Q128" s="697"/>
      <c r="R128" s="697"/>
      <c r="S128" s="697"/>
      <c r="T128" s="697"/>
      <c r="U128" s="697"/>
      <c r="V128" s="697"/>
      <c r="W128" s="697"/>
      <c r="X128" s="697"/>
      <c r="Y128" s="697"/>
      <c r="Z128" s="697"/>
      <c r="AA128" s="697"/>
      <c r="AB128" s="697"/>
      <c r="AC128" s="697"/>
      <c r="AD128" s="697"/>
      <c r="AE128" s="697"/>
      <c r="AF128" s="697"/>
      <c r="AG128" s="697"/>
      <c r="AH128" s="697"/>
      <c r="AI128" s="697"/>
      <c r="AJ128" s="697"/>
      <c r="AK128" s="697"/>
      <c r="AL128" s="697"/>
      <c r="AM128" s="697"/>
      <c r="AN128" s="697"/>
      <c r="AO128" s="698"/>
      <c r="AP128" s="633"/>
      <c r="AQ128" s="696"/>
      <c r="AR128" s="697"/>
      <c r="AS128" s="697"/>
      <c r="AT128" s="697"/>
      <c r="AU128" s="697"/>
      <c r="AV128" s="697"/>
      <c r="AW128" s="697"/>
      <c r="AX128" s="697">
        <v>344173</v>
      </c>
      <c r="AY128" s="761">
        <f t="shared" ref="AY128:AY131" si="0">AVERAGE(AX128,AZ128)</f>
        <v>342758.5</v>
      </c>
      <c r="AZ128" s="697">
        <v>341344</v>
      </c>
      <c r="BA128" s="761">
        <f>AZ128-(AY128-AZ128)</f>
        <v>339929.5</v>
      </c>
      <c r="BB128" s="761">
        <f>BA128-(AZ128-BA128)</f>
        <v>338515</v>
      </c>
      <c r="BC128" s="697"/>
      <c r="BD128" s="697"/>
      <c r="BE128" s="697"/>
      <c r="BF128" s="697"/>
      <c r="BG128" s="697"/>
      <c r="BH128" s="697"/>
      <c r="BI128" s="697"/>
      <c r="BJ128" s="697"/>
      <c r="BK128" s="697"/>
      <c r="BL128" s="697"/>
      <c r="BM128" s="697"/>
      <c r="BN128" s="697"/>
      <c r="BO128" s="697"/>
      <c r="BP128" s="697"/>
      <c r="BQ128" s="697"/>
      <c r="BR128" s="697"/>
      <c r="BS128" s="697"/>
      <c r="BT128" s="698"/>
      <c r="BU128" s="163"/>
    </row>
    <row r="129" spans="2:73" ht="15.75">
      <c r="B129" s="692"/>
      <c r="C129" s="692"/>
      <c r="D129" s="692" t="s">
        <v>118</v>
      </c>
      <c r="E129" s="692" t="s">
        <v>754</v>
      </c>
      <c r="F129" s="692" t="s">
        <v>780</v>
      </c>
      <c r="G129" s="692"/>
      <c r="H129" s="692">
        <v>2018</v>
      </c>
      <c r="I129" s="644" t="s">
        <v>573</v>
      </c>
      <c r="J129" s="644" t="s">
        <v>584</v>
      </c>
      <c r="K129" s="633"/>
      <c r="L129" s="696"/>
      <c r="M129" s="697"/>
      <c r="N129" s="697"/>
      <c r="O129" s="697"/>
      <c r="P129" s="697"/>
      <c r="Q129" s="697"/>
      <c r="R129" s="761"/>
      <c r="S129" s="761">
        <f>AX129*((Q125+R116+P106+Q104)/(AV125+AW116+AU106+AV104))</f>
        <v>40.399946475519393</v>
      </c>
      <c r="T129" s="761">
        <f t="shared" ref="T129:W129" si="1">AY129*((R125+S116+Q106+R104)/(AW125+AX116+AV106+AW104))</f>
        <v>40.665059631972539</v>
      </c>
      <c r="U129" s="761">
        <f t="shared" si="1"/>
        <v>40.196038489413873</v>
      </c>
      <c r="V129" s="761">
        <f t="shared" si="1"/>
        <v>40.196038489413873</v>
      </c>
      <c r="W129" s="761">
        <f t="shared" si="1"/>
        <v>40.196038489413873</v>
      </c>
      <c r="X129" s="697"/>
      <c r="Y129" s="697"/>
      <c r="Z129" s="697"/>
      <c r="AA129" s="697"/>
      <c r="AB129" s="697"/>
      <c r="AC129" s="697"/>
      <c r="AD129" s="697"/>
      <c r="AE129" s="697"/>
      <c r="AF129" s="697"/>
      <c r="AG129" s="697"/>
      <c r="AH129" s="697"/>
      <c r="AI129" s="697"/>
      <c r="AJ129" s="697"/>
      <c r="AK129" s="697"/>
      <c r="AL129" s="697"/>
      <c r="AM129" s="697"/>
      <c r="AN129" s="697"/>
      <c r="AO129" s="698"/>
      <c r="AP129" s="633"/>
      <c r="AQ129" s="696"/>
      <c r="AR129" s="697"/>
      <c r="AS129" s="697"/>
      <c r="AT129" s="697"/>
      <c r="AU129" s="697"/>
      <c r="AV129" s="697"/>
      <c r="AW129" s="697"/>
      <c r="AX129" s="697">
        <v>372459</v>
      </c>
      <c r="AY129" s="761">
        <f>AX129*100%</f>
        <v>372459</v>
      </c>
      <c r="AZ129" s="697">
        <v>370617</v>
      </c>
      <c r="BA129" s="761">
        <f>AZ129</f>
        <v>370617</v>
      </c>
      <c r="BB129" s="761">
        <f>BA129</f>
        <v>370617</v>
      </c>
      <c r="BC129" s="697"/>
      <c r="BD129" s="697"/>
      <c r="BE129" s="697"/>
      <c r="BF129" s="697"/>
      <c r="BG129" s="697"/>
      <c r="BH129" s="697"/>
      <c r="BI129" s="697"/>
      <c r="BJ129" s="697"/>
      <c r="BK129" s="697"/>
      <c r="BL129" s="697"/>
      <c r="BM129" s="697"/>
      <c r="BN129" s="697"/>
      <c r="BO129" s="697"/>
      <c r="BP129" s="697"/>
      <c r="BQ129" s="697"/>
      <c r="BR129" s="697"/>
      <c r="BS129" s="697"/>
      <c r="BT129" s="698"/>
      <c r="BU129" s="163"/>
    </row>
    <row r="130" spans="2:73" ht="15.75">
      <c r="B130" s="692"/>
      <c r="C130" s="692"/>
      <c r="D130" s="692" t="s">
        <v>119</v>
      </c>
      <c r="E130" s="692" t="s">
        <v>754</v>
      </c>
      <c r="F130" s="692" t="s">
        <v>780</v>
      </c>
      <c r="G130" s="692"/>
      <c r="H130" s="692">
        <v>2018</v>
      </c>
      <c r="I130" s="644" t="s">
        <v>573</v>
      </c>
      <c r="J130" s="644" t="s">
        <v>584</v>
      </c>
      <c r="K130" s="633"/>
      <c r="L130" s="696"/>
      <c r="M130" s="697"/>
      <c r="N130" s="697"/>
      <c r="O130" s="697"/>
      <c r="P130" s="697"/>
      <c r="Q130" s="697"/>
      <c r="R130" s="761"/>
      <c r="S130" s="761">
        <f>AX130*((Q126+R117+Q105)/(AV126+AW117+AV105))</f>
        <v>18.719006949233464</v>
      </c>
      <c r="T130" s="761">
        <f t="shared" ref="T130:W130" si="2">AY130*((R126+S117+R105)/(AW126+AX117+AW105))</f>
        <v>16.49144512227468</v>
      </c>
      <c r="U130" s="761">
        <f t="shared" si="2"/>
        <v>12.055747698312256</v>
      </c>
      <c r="V130" s="761">
        <f t="shared" si="2"/>
        <v>12.201565209289095</v>
      </c>
      <c r="W130" s="761">
        <f t="shared" si="2"/>
        <v>12.47932867132867</v>
      </c>
      <c r="X130" s="697"/>
      <c r="Y130" s="697"/>
      <c r="Z130" s="697"/>
      <c r="AA130" s="697"/>
      <c r="AB130" s="697"/>
      <c r="AC130" s="697"/>
      <c r="AD130" s="697"/>
      <c r="AE130" s="697"/>
      <c r="AF130" s="697"/>
      <c r="AG130" s="697"/>
      <c r="AH130" s="697"/>
      <c r="AI130" s="697"/>
      <c r="AJ130" s="697"/>
      <c r="AK130" s="697"/>
      <c r="AL130" s="697"/>
      <c r="AM130" s="697"/>
      <c r="AN130" s="697"/>
      <c r="AO130" s="698"/>
      <c r="AP130" s="633"/>
      <c r="AQ130" s="696"/>
      <c r="AR130" s="697"/>
      <c r="AS130" s="697"/>
      <c r="AT130" s="697"/>
      <c r="AU130" s="697"/>
      <c r="AV130" s="697"/>
      <c r="AW130" s="697"/>
      <c r="AX130" s="697">
        <v>99528</v>
      </c>
      <c r="AY130" s="761">
        <f>AX130*88.1%</f>
        <v>87684.167999999991</v>
      </c>
      <c r="AZ130" s="697">
        <v>63995</v>
      </c>
      <c r="BA130" s="761">
        <f>AX130*64.1%</f>
        <v>63797.447999999989</v>
      </c>
      <c r="BB130" s="761">
        <f>AX130*64.1%</f>
        <v>63797.447999999989</v>
      </c>
      <c r="BC130" s="697"/>
      <c r="BD130" s="697"/>
      <c r="BE130" s="697"/>
      <c r="BF130" s="697"/>
      <c r="BG130" s="697"/>
      <c r="BH130" s="697"/>
      <c r="BI130" s="697"/>
      <c r="BJ130" s="697"/>
      <c r="BK130" s="697"/>
      <c r="BL130" s="697"/>
      <c r="BM130" s="697"/>
      <c r="BN130" s="697"/>
      <c r="BO130" s="697"/>
      <c r="BP130" s="697"/>
      <c r="BQ130" s="697"/>
      <c r="BR130" s="697"/>
      <c r="BS130" s="697"/>
      <c r="BT130" s="698"/>
      <c r="BU130" s="163"/>
    </row>
    <row r="131" spans="2:73" ht="15.75">
      <c r="B131" s="692"/>
      <c r="C131" s="692"/>
      <c r="D131" s="692" t="s">
        <v>779</v>
      </c>
      <c r="E131" s="692" t="s">
        <v>754</v>
      </c>
      <c r="F131" s="692" t="s">
        <v>780</v>
      </c>
      <c r="G131" s="692"/>
      <c r="H131" s="692">
        <v>2018</v>
      </c>
      <c r="I131" s="644" t="s">
        <v>573</v>
      </c>
      <c r="J131" s="644" t="s">
        <v>584</v>
      </c>
      <c r="K131" s="633"/>
      <c r="L131" s="696"/>
      <c r="M131" s="697"/>
      <c r="N131" s="697"/>
      <c r="O131" s="697"/>
      <c r="P131" s="697"/>
      <c r="Q131" s="697"/>
      <c r="R131" s="761"/>
      <c r="S131" s="761">
        <f>AX131*(734/5219675)</f>
        <v>13.481128997495054</v>
      </c>
      <c r="T131" s="761">
        <f t="shared" ref="T131:W131" si="3">AY131*(734/5219675)</f>
        <v>13.481128997495054</v>
      </c>
      <c r="U131" s="761">
        <f t="shared" si="3"/>
        <v>13.481128997495054</v>
      </c>
      <c r="V131" s="761">
        <f t="shared" si="3"/>
        <v>13.481128997495054</v>
      </c>
      <c r="W131" s="761">
        <f t="shared" si="3"/>
        <v>13.481128997495054</v>
      </c>
      <c r="X131" s="697"/>
      <c r="Y131" s="697"/>
      <c r="Z131" s="697"/>
      <c r="AA131" s="697"/>
      <c r="AB131" s="697"/>
      <c r="AC131" s="697"/>
      <c r="AD131" s="697"/>
      <c r="AE131" s="697"/>
      <c r="AF131" s="697"/>
      <c r="AG131" s="697"/>
      <c r="AH131" s="697"/>
      <c r="AI131" s="697"/>
      <c r="AJ131" s="697"/>
      <c r="AK131" s="697"/>
      <c r="AL131" s="697"/>
      <c r="AM131" s="697"/>
      <c r="AN131" s="697"/>
      <c r="AO131" s="698"/>
      <c r="AP131" s="633"/>
      <c r="AQ131" s="696"/>
      <c r="AR131" s="697"/>
      <c r="AS131" s="697"/>
      <c r="AT131" s="697"/>
      <c r="AU131" s="697"/>
      <c r="AV131" s="697"/>
      <c r="AW131" s="697"/>
      <c r="AX131" s="697">
        <v>95868</v>
      </c>
      <c r="AY131" s="761">
        <f t="shared" si="0"/>
        <v>95868</v>
      </c>
      <c r="AZ131" s="697">
        <v>95868</v>
      </c>
      <c r="BA131" s="761">
        <f>AZ131</f>
        <v>95868</v>
      </c>
      <c r="BB131" s="761">
        <f>BA131</f>
        <v>95868</v>
      </c>
      <c r="BC131" s="697"/>
      <c r="BD131" s="697"/>
      <c r="BE131" s="697"/>
      <c r="BF131" s="697"/>
      <c r="BG131" s="697"/>
      <c r="BH131" s="697"/>
      <c r="BI131" s="697"/>
      <c r="BJ131" s="697"/>
      <c r="BK131" s="697"/>
      <c r="BL131" s="697"/>
      <c r="BM131" s="697"/>
      <c r="BN131" s="697"/>
      <c r="BO131" s="697"/>
      <c r="BP131" s="697"/>
      <c r="BQ131" s="697"/>
      <c r="BR131" s="697"/>
      <c r="BS131" s="697"/>
      <c r="BT131" s="698"/>
      <c r="BU131" s="163"/>
    </row>
    <row r="132" spans="2:73" ht="15.75">
      <c r="B132" s="692"/>
      <c r="C132" s="692"/>
      <c r="D132" s="692" t="s">
        <v>114</v>
      </c>
      <c r="E132" s="692" t="s">
        <v>754</v>
      </c>
      <c r="F132" s="692" t="s">
        <v>29</v>
      </c>
      <c r="G132" s="692"/>
      <c r="H132" s="692">
        <v>2019</v>
      </c>
      <c r="I132" s="644" t="s">
        <v>574</v>
      </c>
      <c r="J132" s="644" t="s">
        <v>584</v>
      </c>
      <c r="K132" s="633"/>
      <c r="L132" s="696"/>
      <c r="M132" s="697"/>
      <c r="N132" s="697"/>
      <c r="O132" s="697"/>
      <c r="P132" s="697"/>
      <c r="Q132" s="697"/>
      <c r="R132" s="761"/>
      <c r="S132" s="761"/>
      <c r="T132" s="761"/>
      <c r="U132" s="761"/>
      <c r="V132" s="761"/>
      <c r="W132" s="761"/>
      <c r="X132" s="697"/>
      <c r="Y132" s="697"/>
      <c r="Z132" s="697"/>
      <c r="AA132" s="697"/>
      <c r="AB132" s="697"/>
      <c r="AC132" s="697"/>
      <c r="AD132" s="697"/>
      <c r="AE132" s="697"/>
      <c r="AF132" s="697"/>
      <c r="AG132" s="697"/>
      <c r="AH132" s="697"/>
      <c r="AI132" s="697"/>
      <c r="AJ132" s="697"/>
      <c r="AK132" s="697"/>
      <c r="AL132" s="697"/>
      <c r="AM132" s="697"/>
      <c r="AN132" s="697"/>
      <c r="AO132" s="698"/>
      <c r="AP132" s="633"/>
      <c r="AQ132" s="696"/>
      <c r="AR132" s="697"/>
      <c r="AS132" s="697"/>
      <c r="AT132" s="697"/>
      <c r="AU132" s="697"/>
      <c r="AV132" s="697"/>
      <c r="AW132" s="697"/>
      <c r="AX132" s="697"/>
      <c r="AY132" s="697">
        <v>2520</v>
      </c>
      <c r="AZ132" s="697">
        <v>2520</v>
      </c>
      <c r="BA132" s="761">
        <f>AZ132</f>
        <v>2520</v>
      </c>
      <c r="BB132" s="761">
        <f>BA132</f>
        <v>2520</v>
      </c>
      <c r="BC132" s="697"/>
      <c r="BD132" s="697"/>
      <c r="BE132" s="697"/>
      <c r="BF132" s="697"/>
      <c r="BG132" s="697"/>
      <c r="BH132" s="697"/>
      <c r="BI132" s="697"/>
      <c r="BJ132" s="697"/>
      <c r="BK132" s="697"/>
      <c r="BL132" s="697"/>
      <c r="BM132" s="697"/>
      <c r="BN132" s="697"/>
      <c r="BO132" s="697"/>
      <c r="BP132" s="697"/>
      <c r="BQ132" s="697"/>
      <c r="BR132" s="697"/>
      <c r="BS132" s="697"/>
      <c r="BT132" s="698"/>
      <c r="BU132" s="163"/>
    </row>
    <row r="133" spans="2:73" ht="15.75">
      <c r="B133" s="692"/>
      <c r="C133" s="692"/>
      <c r="D133" s="692" t="s">
        <v>118</v>
      </c>
      <c r="E133" s="692" t="s">
        <v>754</v>
      </c>
      <c r="F133" s="692" t="s">
        <v>780</v>
      </c>
      <c r="G133" s="692"/>
      <c r="H133" s="692">
        <v>2019</v>
      </c>
      <c r="I133" s="644" t="s">
        <v>574</v>
      </c>
      <c r="J133" s="644" t="s">
        <v>584</v>
      </c>
      <c r="K133" s="633"/>
      <c r="L133" s="696"/>
      <c r="M133" s="697"/>
      <c r="N133" s="697"/>
      <c r="O133" s="697"/>
      <c r="P133" s="697"/>
      <c r="Q133" s="697"/>
      <c r="R133" s="761"/>
      <c r="S133" s="761"/>
      <c r="T133" s="761">
        <f>AY133*((Q125+R116+P106+Q104)/(AV125+AW116+AU106+AV104))</f>
        <v>5.0674160093951688</v>
      </c>
      <c r="U133" s="761">
        <f t="shared" ref="U133:W133" si="4">AZ133*((R125+S116+Q106+R104)/(AW125+AX116+AV106+AW104))</f>
        <v>5.1006694854641541</v>
      </c>
      <c r="V133" s="761">
        <f t="shared" si="4"/>
        <v>5.0415634833741976</v>
      </c>
      <c r="W133" s="761">
        <f t="shared" si="4"/>
        <v>5.0415634833741976</v>
      </c>
      <c r="X133" s="697"/>
      <c r="Y133" s="697"/>
      <c r="Z133" s="697"/>
      <c r="AA133" s="697"/>
      <c r="AB133" s="697"/>
      <c r="AC133" s="697"/>
      <c r="AD133" s="697"/>
      <c r="AE133" s="697"/>
      <c r="AF133" s="697"/>
      <c r="AG133" s="697"/>
      <c r="AH133" s="697"/>
      <c r="AI133" s="697"/>
      <c r="AJ133" s="697"/>
      <c r="AK133" s="697"/>
      <c r="AL133" s="697"/>
      <c r="AM133" s="697"/>
      <c r="AN133" s="697"/>
      <c r="AO133" s="698"/>
      <c r="AP133" s="633"/>
      <c r="AQ133" s="696"/>
      <c r="AR133" s="697"/>
      <c r="AS133" s="697"/>
      <c r="AT133" s="697"/>
      <c r="AU133" s="697"/>
      <c r="AV133" s="697"/>
      <c r="AW133" s="697"/>
      <c r="AX133" s="697"/>
      <c r="AY133" s="697">
        <v>46718</v>
      </c>
      <c r="AZ133" s="697">
        <v>46718</v>
      </c>
      <c r="BA133" s="761">
        <f>AY133*99.5%</f>
        <v>46484.409999999996</v>
      </c>
      <c r="BB133" s="761">
        <f>AY133*99.5%</f>
        <v>46484.409999999996</v>
      </c>
      <c r="BC133" s="697"/>
      <c r="BD133" s="697"/>
      <c r="BE133" s="697"/>
      <c r="BF133" s="697"/>
      <c r="BG133" s="697"/>
      <c r="BH133" s="697"/>
      <c r="BI133" s="697"/>
      <c r="BJ133" s="697"/>
      <c r="BK133" s="697"/>
      <c r="BL133" s="697"/>
      <c r="BM133" s="697"/>
      <c r="BN133" s="697"/>
      <c r="BO133" s="697"/>
      <c r="BP133" s="697"/>
      <c r="BQ133" s="697"/>
      <c r="BR133" s="697"/>
      <c r="BS133" s="697"/>
      <c r="BT133" s="698"/>
      <c r="BU133" s="163"/>
    </row>
    <row r="134" spans="2:73" ht="15.75">
      <c r="B134" s="692"/>
      <c r="C134" s="692"/>
      <c r="D134" s="692" t="s">
        <v>119</v>
      </c>
      <c r="E134" s="692" t="s">
        <v>754</v>
      </c>
      <c r="F134" s="692" t="s">
        <v>780</v>
      </c>
      <c r="G134" s="692"/>
      <c r="H134" s="692">
        <v>2019</v>
      </c>
      <c r="I134" s="644" t="s">
        <v>574</v>
      </c>
      <c r="J134" s="644" t="s">
        <v>584</v>
      </c>
      <c r="K134" s="633"/>
      <c r="L134" s="696"/>
      <c r="M134" s="697"/>
      <c r="N134" s="697"/>
      <c r="O134" s="697"/>
      <c r="P134" s="697"/>
      <c r="Q134" s="697"/>
      <c r="R134" s="761"/>
      <c r="S134" s="761"/>
      <c r="T134" s="761">
        <f>AY134*((Q126+R117+Q105)/(AV126+AW117+AV105))</f>
        <v>16.536176040817704</v>
      </c>
      <c r="U134" s="761">
        <f t="shared" ref="U134:W134" si="5">AZ134*((R126+S117+R105)/(AW126+AX117+AW105))</f>
        <v>14.560230708763942</v>
      </c>
      <c r="V134" s="761">
        <f t="shared" si="5"/>
        <v>10.650172416458155</v>
      </c>
      <c r="W134" s="761">
        <f t="shared" si="5"/>
        <v>10.778735796269551</v>
      </c>
      <c r="X134" s="697"/>
      <c r="Y134" s="697"/>
      <c r="Z134" s="697"/>
      <c r="AA134" s="697"/>
      <c r="AB134" s="697"/>
      <c r="AC134" s="697"/>
      <c r="AD134" s="697"/>
      <c r="AE134" s="697"/>
      <c r="AF134" s="697"/>
      <c r="AG134" s="697"/>
      <c r="AH134" s="697"/>
      <c r="AI134" s="697"/>
      <c r="AJ134" s="697"/>
      <c r="AK134" s="697"/>
      <c r="AL134" s="697"/>
      <c r="AM134" s="697"/>
      <c r="AN134" s="697"/>
      <c r="AO134" s="698"/>
      <c r="AP134" s="633"/>
      <c r="AQ134" s="696"/>
      <c r="AR134" s="697"/>
      <c r="AS134" s="697"/>
      <c r="AT134" s="697"/>
      <c r="AU134" s="697"/>
      <c r="AV134" s="697"/>
      <c r="AW134" s="697"/>
      <c r="AX134" s="697"/>
      <c r="AY134" s="697">
        <v>87922</v>
      </c>
      <c r="AZ134" s="697">
        <v>77416</v>
      </c>
      <c r="BA134" s="761">
        <f>AY134*64.3%</f>
        <v>56533.846000000005</v>
      </c>
      <c r="BB134" s="761">
        <f>AY134*64.1%</f>
        <v>56358.001999999993</v>
      </c>
      <c r="BC134" s="697"/>
      <c r="BD134" s="697"/>
      <c r="BE134" s="697"/>
      <c r="BF134" s="697"/>
      <c r="BG134" s="697"/>
      <c r="BH134" s="697"/>
      <c r="BI134" s="697"/>
      <c r="BJ134" s="697"/>
      <c r="BK134" s="697"/>
      <c r="BL134" s="697"/>
      <c r="BM134" s="697"/>
      <c r="BN134" s="697"/>
      <c r="BO134" s="697"/>
      <c r="BP134" s="697"/>
      <c r="BQ134" s="697"/>
      <c r="BR134" s="697"/>
      <c r="BS134" s="697"/>
      <c r="BT134" s="698"/>
      <c r="BU134" s="163"/>
    </row>
    <row r="135" spans="2:73">
      <c r="B135" s="692"/>
      <c r="C135" s="692"/>
      <c r="D135" s="692" t="s">
        <v>779</v>
      </c>
      <c r="E135" s="692" t="s">
        <v>754</v>
      </c>
      <c r="F135" s="692" t="s">
        <v>780</v>
      </c>
      <c r="G135" s="692"/>
      <c r="H135" s="692">
        <v>2019</v>
      </c>
      <c r="I135" s="644" t="s">
        <v>574</v>
      </c>
      <c r="J135" s="644" t="s">
        <v>584</v>
      </c>
      <c r="K135" s="633"/>
      <c r="L135" s="696"/>
      <c r="M135" s="697"/>
      <c r="N135" s="697"/>
      <c r="O135" s="697"/>
      <c r="P135" s="697"/>
      <c r="Q135" s="697"/>
      <c r="R135" s="761"/>
      <c r="S135" s="761"/>
      <c r="T135" s="761">
        <f>AY135*(734/5219675)</f>
        <v>4.1140308544114337</v>
      </c>
      <c r="U135" s="761">
        <f t="shared" ref="U135:W135" si="6">AZ135*(734/5219675)</f>
        <v>4.1140308544114337</v>
      </c>
      <c r="V135" s="761">
        <f t="shared" si="6"/>
        <v>4.1140308544114337</v>
      </c>
      <c r="W135" s="761">
        <f t="shared" si="6"/>
        <v>4.1140308544114337</v>
      </c>
      <c r="X135" s="697"/>
      <c r="Y135" s="697"/>
      <c r="Z135" s="697"/>
      <c r="AA135" s="697"/>
      <c r="AB135" s="697"/>
      <c r="AC135" s="697"/>
      <c r="AD135" s="697"/>
      <c r="AE135" s="697"/>
      <c r="AF135" s="697"/>
      <c r="AG135" s="697"/>
      <c r="AH135" s="697"/>
      <c r="AI135" s="697"/>
      <c r="AJ135" s="697"/>
      <c r="AK135" s="697"/>
      <c r="AL135" s="697"/>
      <c r="AM135" s="697"/>
      <c r="AN135" s="697"/>
      <c r="AO135" s="698"/>
      <c r="AP135" s="633"/>
      <c r="AQ135" s="696"/>
      <c r="AR135" s="697"/>
      <c r="AS135" s="697"/>
      <c r="AT135" s="697"/>
      <c r="AU135" s="697"/>
      <c r="AV135" s="697"/>
      <c r="AW135" s="697"/>
      <c r="AX135" s="697"/>
      <c r="AY135" s="697">
        <v>29256</v>
      </c>
      <c r="AZ135" s="697">
        <v>29256</v>
      </c>
      <c r="BA135" s="761">
        <f>AZ135</f>
        <v>29256</v>
      </c>
      <c r="BB135" s="761">
        <f>BA135</f>
        <v>29256</v>
      </c>
      <c r="BC135" s="697"/>
      <c r="BD135" s="697"/>
      <c r="BE135" s="697"/>
      <c r="BF135" s="697"/>
      <c r="BG135" s="697"/>
      <c r="BH135" s="697"/>
      <c r="BI135" s="697"/>
      <c r="BJ135" s="697"/>
      <c r="BK135" s="697"/>
      <c r="BL135" s="697"/>
      <c r="BM135" s="697"/>
      <c r="BN135" s="697"/>
      <c r="BO135" s="697"/>
      <c r="BP135" s="697"/>
      <c r="BQ135" s="697"/>
      <c r="BR135" s="697"/>
      <c r="BS135" s="697"/>
      <c r="BT135" s="698"/>
    </row>
    <row r="136" spans="2:73" ht="15.75">
      <c r="B136" s="692"/>
      <c r="C136" s="692"/>
      <c r="D136" s="692" t="s">
        <v>113</v>
      </c>
      <c r="E136" s="692" t="s">
        <v>754</v>
      </c>
      <c r="F136" s="692" t="s">
        <v>29</v>
      </c>
      <c r="G136" s="692"/>
      <c r="H136" s="692">
        <v>2017</v>
      </c>
      <c r="I136" s="644" t="s">
        <v>574</v>
      </c>
      <c r="J136" s="644" t="s">
        <v>577</v>
      </c>
      <c r="K136" s="633"/>
      <c r="L136" s="696"/>
      <c r="M136" s="697"/>
      <c r="N136" s="697"/>
      <c r="O136" s="697"/>
      <c r="P136" s="697"/>
      <c r="Q136" s="697"/>
      <c r="R136" s="761"/>
      <c r="S136" s="761"/>
      <c r="T136" s="761"/>
      <c r="U136" s="761"/>
      <c r="V136" s="761"/>
      <c r="W136" s="761"/>
      <c r="X136" s="697"/>
      <c r="Y136" s="697"/>
      <c r="Z136" s="697"/>
      <c r="AA136" s="697"/>
      <c r="AB136" s="697"/>
      <c r="AC136" s="697"/>
      <c r="AD136" s="697"/>
      <c r="AE136" s="697"/>
      <c r="AF136" s="697"/>
      <c r="AG136" s="697"/>
      <c r="AH136" s="697"/>
      <c r="AI136" s="697"/>
      <c r="AJ136" s="697"/>
      <c r="AK136" s="697"/>
      <c r="AL136" s="697"/>
      <c r="AM136" s="697"/>
      <c r="AN136" s="697"/>
      <c r="AO136" s="698"/>
      <c r="AP136" s="633"/>
      <c r="AQ136" s="696"/>
      <c r="AR136" s="697"/>
      <c r="AS136" s="697"/>
      <c r="AT136" s="697"/>
      <c r="AU136" s="697"/>
      <c r="AV136" s="697"/>
      <c r="AW136" s="697">
        <v>1196</v>
      </c>
      <c r="AX136" s="697">
        <f>AW136*99.2%</f>
        <v>1186.432</v>
      </c>
      <c r="AY136" s="697">
        <f>AW136*99.2%</f>
        <v>1186.432</v>
      </c>
      <c r="AZ136" s="697">
        <v>1186</v>
      </c>
      <c r="BA136" s="761">
        <f>AW136*99.2%</f>
        <v>1186.432</v>
      </c>
      <c r="BB136" s="761">
        <f>AW136*99.2%</f>
        <v>1186.432</v>
      </c>
      <c r="BC136" s="697"/>
      <c r="BD136" s="697"/>
      <c r="BE136" s="697"/>
      <c r="BF136" s="697"/>
      <c r="BG136" s="697"/>
      <c r="BH136" s="697"/>
      <c r="BI136" s="697"/>
      <c r="BJ136" s="697"/>
      <c r="BK136" s="697"/>
      <c r="BL136" s="697"/>
      <c r="BM136" s="697"/>
      <c r="BN136" s="697"/>
      <c r="BO136" s="697"/>
      <c r="BP136" s="697"/>
      <c r="BQ136" s="697"/>
      <c r="BR136" s="697"/>
      <c r="BS136" s="697"/>
      <c r="BT136" s="698"/>
      <c r="BU136" s="163"/>
    </row>
    <row r="137" spans="2:73" ht="15.75">
      <c r="B137" s="692"/>
      <c r="C137" s="692"/>
      <c r="D137" s="692" t="s">
        <v>114</v>
      </c>
      <c r="E137" s="692" t="s">
        <v>754</v>
      </c>
      <c r="F137" s="692" t="s">
        <v>29</v>
      </c>
      <c r="G137" s="692"/>
      <c r="H137" s="692">
        <v>2017</v>
      </c>
      <c r="I137" s="644" t="s">
        <v>574</v>
      </c>
      <c r="J137" s="644" t="s">
        <v>577</v>
      </c>
      <c r="K137" s="633"/>
      <c r="L137" s="758"/>
      <c r="M137" s="759"/>
      <c r="N137" s="759"/>
      <c r="O137" s="759"/>
      <c r="P137" s="759"/>
      <c r="Q137" s="759"/>
      <c r="R137" s="761"/>
      <c r="S137" s="761"/>
      <c r="T137" s="761"/>
      <c r="U137" s="761"/>
      <c r="V137" s="761"/>
      <c r="W137" s="761"/>
      <c r="X137" s="759"/>
      <c r="Y137" s="759"/>
      <c r="Z137" s="759"/>
      <c r="AA137" s="759"/>
      <c r="AB137" s="759"/>
      <c r="AC137" s="759"/>
      <c r="AD137" s="759"/>
      <c r="AE137" s="759"/>
      <c r="AF137" s="759"/>
      <c r="AG137" s="759"/>
      <c r="AH137" s="759"/>
      <c r="AI137" s="759"/>
      <c r="AJ137" s="759"/>
      <c r="AK137" s="759"/>
      <c r="AL137" s="759"/>
      <c r="AM137" s="759"/>
      <c r="AN137" s="759"/>
      <c r="AO137" s="760"/>
      <c r="AP137" s="633"/>
      <c r="AQ137" s="758"/>
      <c r="AR137" s="759"/>
      <c r="AS137" s="759"/>
      <c r="AT137" s="759"/>
      <c r="AU137" s="759"/>
      <c r="AV137" s="759"/>
      <c r="AW137" s="759">
        <v>22900</v>
      </c>
      <c r="AX137" s="759">
        <f>AW137</f>
        <v>22900</v>
      </c>
      <c r="AY137" s="759">
        <f>AX137</f>
        <v>22900</v>
      </c>
      <c r="AZ137" s="759">
        <v>22900</v>
      </c>
      <c r="BA137" s="763">
        <f>AZ137</f>
        <v>22900</v>
      </c>
      <c r="BB137" s="763">
        <f>BA137</f>
        <v>22900</v>
      </c>
      <c r="BC137" s="759"/>
      <c r="BD137" s="759"/>
      <c r="BE137" s="759"/>
      <c r="BF137" s="759"/>
      <c r="BG137" s="759"/>
      <c r="BH137" s="759"/>
      <c r="BI137" s="759"/>
      <c r="BJ137" s="759"/>
      <c r="BK137" s="759"/>
      <c r="BL137" s="759"/>
      <c r="BM137" s="759"/>
      <c r="BN137" s="759"/>
      <c r="BO137" s="759"/>
      <c r="BP137" s="759"/>
      <c r="BQ137" s="759"/>
      <c r="BR137" s="759"/>
      <c r="BS137" s="759"/>
      <c r="BT137" s="760"/>
      <c r="BU137" s="163"/>
    </row>
    <row r="138" spans="2:73" ht="15.75">
      <c r="B138" s="692"/>
      <c r="C138" s="692"/>
      <c r="D138" s="692" t="s">
        <v>118</v>
      </c>
      <c r="E138" s="692" t="s">
        <v>754</v>
      </c>
      <c r="F138" s="692" t="s">
        <v>780</v>
      </c>
      <c r="G138" s="692"/>
      <c r="H138" s="692">
        <v>2017</v>
      </c>
      <c r="I138" s="644" t="s">
        <v>574</v>
      </c>
      <c r="J138" s="644" t="s">
        <v>577</v>
      </c>
      <c r="K138" s="633"/>
      <c r="L138" s="699"/>
      <c r="M138" s="700"/>
      <c r="N138" s="700"/>
      <c r="O138" s="700"/>
      <c r="P138" s="700"/>
      <c r="Q138" s="700"/>
      <c r="R138" s="762">
        <f>AW138*((Q125+R116+P106+Q104)/(AV125+AW116+AU106+AV104))</f>
        <v>5.3634256478565625</v>
      </c>
      <c r="S138" s="762">
        <f t="shared" ref="S138:W138" si="7">AX138*((R125+S116+Q106+R104)/(AW125+AX116+AV106+AW104))</f>
        <v>5.398621602974143</v>
      </c>
      <c r="T138" s="762">
        <f t="shared" si="7"/>
        <v>5.3363053657984958</v>
      </c>
      <c r="U138" s="762">
        <f t="shared" si="7"/>
        <v>5.3363053657984958</v>
      </c>
      <c r="V138" s="762">
        <f t="shared" si="7"/>
        <v>5.336062964219443</v>
      </c>
      <c r="W138" s="762">
        <f t="shared" si="7"/>
        <v>5.0932979630396469</v>
      </c>
      <c r="X138" s="700"/>
      <c r="Y138" s="700"/>
      <c r="Z138" s="700"/>
      <c r="AA138" s="700"/>
      <c r="AB138" s="700"/>
      <c r="AC138" s="700"/>
      <c r="AD138" s="700"/>
      <c r="AE138" s="700"/>
      <c r="AF138" s="700"/>
      <c r="AG138" s="700"/>
      <c r="AH138" s="700"/>
      <c r="AI138" s="700"/>
      <c r="AJ138" s="700"/>
      <c r="AK138" s="700"/>
      <c r="AL138" s="700"/>
      <c r="AM138" s="700"/>
      <c r="AN138" s="700"/>
      <c r="AO138" s="701"/>
      <c r="AP138" s="633"/>
      <c r="AQ138" s="699"/>
      <c r="AR138" s="700"/>
      <c r="AS138" s="700"/>
      <c r="AT138" s="700"/>
      <c r="AU138" s="700"/>
      <c r="AV138" s="700"/>
      <c r="AW138" s="700">
        <v>49447</v>
      </c>
      <c r="AX138" s="700">
        <f>AW138*100%</f>
        <v>49447</v>
      </c>
      <c r="AY138" s="700">
        <f>AZ138</f>
        <v>49202</v>
      </c>
      <c r="AZ138" s="700">
        <v>49202</v>
      </c>
      <c r="BA138" s="762">
        <f>AW138*99.5%</f>
        <v>49199.764999999999</v>
      </c>
      <c r="BB138" s="762">
        <f>AW138*99.5%</f>
        <v>49199.764999999999</v>
      </c>
      <c r="BC138" s="700"/>
      <c r="BD138" s="700"/>
      <c r="BE138" s="700"/>
      <c r="BF138" s="700"/>
      <c r="BG138" s="700"/>
      <c r="BH138" s="700"/>
      <c r="BI138" s="700"/>
      <c r="BJ138" s="700"/>
      <c r="BK138" s="700"/>
      <c r="BL138" s="700"/>
      <c r="BM138" s="700"/>
      <c r="BN138" s="700"/>
      <c r="BO138" s="700"/>
      <c r="BP138" s="700"/>
      <c r="BQ138" s="700"/>
      <c r="BR138" s="700"/>
      <c r="BS138" s="700"/>
      <c r="BT138" s="701"/>
      <c r="BU138" s="163"/>
    </row>
  </sheetData>
  <autoFilter ref="C26:BT26">
    <sortState ref="C26:BT42">
      <sortCondition ref="H25"/>
    </sortState>
  </autoFilter>
  <mergeCells count="1">
    <mergeCell ref="C24:G24"/>
  </mergeCells>
  <phoneticPr fontId="246" type="noConversion"/>
  <conditionalFormatting sqref="L27:AO69 AQ37:BT71 L91:AO109 AQ89:BT138 L114:AO138">
    <cfRule type="cellIs" dxfId="8" priority="12" operator="equal">
      <formula>0</formula>
    </cfRule>
  </conditionalFormatting>
  <conditionalFormatting sqref="L74:AO86 AQ72:BT88">
    <cfRule type="cellIs" dxfId="7" priority="11"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10:AO113">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I27:I1048576</xm:sqref>
        </x14:dataValidation>
        <x14:dataValidation type="list" allowBlank="1" showInputMessage="1" showErrorMessage="1">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2:U49"/>
  <sheetViews>
    <sheetView zoomScale="90" zoomScaleNormal="90" workbookViewId="0">
      <selection activeCell="M21" sqref="M21"/>
    </sheetView>
  </sheetViews>
  <sheetFormatPr defaultColWidth="9" defaultRowHeight="15"/>
  <cols>
    <col min="1" max="1" width="9" style="12"/>
    <col min="2" max="2" width="10" style="12" customWidth="1"/>
    <col min="3" max="3" width="11.28515625" style="12" customWidth="1"/>
    <col min="4" max="4" width="13.28515625" style="12" customWidth="1"/>
    <col min="5" max="5" width="12.85546875" style="12" customWidth="1"/>
    <col min="6" max="6" width="12" style="12" customWidth="1"/>
    <col min="7" max="7" width="9" style="12"/>
    <col min="8" max="8" width="24.5703125" style="12" customWidth="1"/>
    <col min="9" max="9" width="11" style="12" customWidth="1"/>
    <col min="10" max="10" width="9" style="12"/>
    <col min="11" max="11" width="11.5703125" style="12" customWidth="1"/>
    <col min="12" max="12" width="9" style="12"/>
    <col min="13" max="13" width="26" style="12" customWidth="1"/>
    <col min="14" max="14" width="10" style="12" customWidth="1"/>
    <col min="15" max="15" width="9" style="12"/>
    <col min="16" max="16" width="9.85546875" style="12" customWidth="1"/>
    <col min="17" max="16384" width="9" style="12"/>
  </cols>
  <sheetData>
    <row r="12" spans="1:17" ht="24" customHeight="1" thickBot="1"/>
    <row r="13" spans="1:17" s="9" customFormat="1" ht="23.45" customHeight="1" thickBot="1">
      <c r="A13" s="588"/>
      <c r="B13" s="588" t="s">
        <v>171</v>
      </c>
      <c r="D13" s="126" t="s">
        <v>175</v>
      </c>
      <c r="E13" s="746"/>
      <c r="F13" s="177"/>
      <c r="G13" s="178"/>
      <c r="H13" s="179"/>
      <c r="K13" s="179"/>
      <c r="L13" s="177"/>
      <c r="M13" s="177"/>
      <c r="N13" s="177"/>
      <c r="O13" s="177"/>
      <c r="P13" s="177"/>
      <c r="Q13" s="180"/>
    </row>
    <row r="14" spans="1:17" s="9" customFormat="1" ht="15.75" customHeight="1">
      <c r="B14" s="551"/>
      <c r="D14" s="17"/>
      <c r="E14" s="17"/>
      <c r="F14" s="177"/>
      <c r="G14" s="178"/>
      <c r="H14" s="179"/>
      <c r="K14" s="179"/>
      <c r="L14" s="177"/>
      <c r="M14" s="177"/>
      <c r="N14" s="177"/>
      <c r="O14" s="177"/>
      <c r="P14" s="177"/>
      <c r="Q14" s="180"/>
    </row>
    <row r="15" spans="1:17" ht="15.75">
      <c r="B15" s="588" t="s">
        <v>504</v>
      </c>
    </row>
    <row r="16" spans="1:17" ht="15.75">
      <c r="B16" s="588"/>
    </row>
    <row r="17" spans="2:21" s="668" customFormat="1" ht="20.45" customHeight="1">
      <c r="B17" s="666" t="s">
        <v>659</v>
      </c>
      <c r="C17" s="667"/>
      <c r="D17" s="667"/>
      <c r="E17" s="667"/>
      <c r="F17" s="667"/>
      <c r="G17" s="667"/>
      <c r="H17" s="667"/>
      <c r="I17" s="667"/>
      <c r="J17" s="667"/>
      <c r="K17" s="667"/>
      <c r="L17" s="667"/>
      <c r="M17" s="667"/>
      <c r="N17" s="667"/>
      <c r="O17" s="667"/>
      <c r="P17" s="667"/>
      <c r="Q17" s="667"/>
      <c r="R17" s="667"/>
      <c r="S17" s="667"/>
      <c r="T17" s="667"/>
      <c r="U17" s="667"/>
    </row>
    <row r="18" spans="2:21" ht="60" customHeight="1">
      <c r="B18" s="872" t="s">
        <v>712</v>
      </c>
      <c r="C18" s="872"/>
      <c r="D18" s="872"/>
      <c r="E18" s="872"/>
      <c r="F18" s="872"/>
      <c r="G18" s="872"/>
      <c r="H18" s="872"/>
      <c r="I18" s="872"/>
      <c r="J18" s="872"/>
      <c r="K18" s="872"/>
      <c r="L18" s="872"/>
      <c r="M18" s="872"/>
      <c r="N18" s="872"/>
      <c r="O18" s="872"/>
      <c r="P18" s="872"/>
      <c r="Q18" s="872"/>
      <c r="R18" s="872"/>
      <c r="S18" s="872"/>
      <c r="T18" s="872"/>
      <c r="U18" s="872"/>
    </row>
    <row r="21" spans="2:21" ht="21">
      <c r="B21" s="744" t="s">
        <v>696</v>
      </c>
    </row>
    <row r="23" spans="2:21" ht="21">
      <c r="B23" s="744" t="s">
        <v>697</v>
      </c>
      <c r="C23" s="745"/>
      <c r="E23" s="745"/>
      <c r="F23" s="745"/>
      <c r="H23" s="744" t="s">
        <v>698</v>
      </c>
    </row>
    <row r="24" spans="2:21" ht="18.75" customHeight="1">
      <c r="B24" s="871" t="s">
        <v>675</v>
      </c>
      <c r="C24" s="871"/>
      <c r="D24" s="871"/>
      <c r="E24" s="871"/>
      <c r="F24" s="871"/>
      <c r="H24" s="12" t="s">
        <v>683</v>
      </c>
      <c r="M24" s="12" t="s">
        <v>684</v>
      </c>
    </row>
    <row r="25" spans="2:21" ht="45">
      <c r="B25" s="741" t="s">
        <v>62</v>
      </c>
      <c r="C25" s="741" t="s">
        <v>676</v>
      </c>
      <c r="D25" s="741" t="s">
        <v>677</v>
      </c>
      <c r="E25" s="741" t="s">
        <v>679</v>
      </c>
      <c r="F25" s="741" t="s">
        <v>678</v>
      </c>
      <c r="H25" s="741" t="s">
        <v>680</v>
      </c>
      <c r="I25" s="741" t="s">
        <v>681</v>
      </c>
      <c r="J25" s="741" t="s">
        <v>682</v>
      </c>
      <c r="K25" s="741" t="s">
        <v>676</v>
      </c>
      <c r="M25" s="741" t="s">
        <v>680</v>
      </c>
      <c r="N25" s="741" t="s">
        <v>681</v>
      </c>
      <c r="O25" s="741" t="s">
        <v>682</v>
      </c>
      <c r="P25" s="741" t="s">
        <v>676</v>
      </c>
    </row>
    <row r="26" spans="2:21" ht="18">
      <c r="B26" s="748"/>
      <c r="C26" s="748" t="s">
        <v>686</v>
      </c>
      <c r="D26" s="748" t="s">
        <v>687</v>
      </c>
      <c r="E26" s="748" t="s">
        <v>688</v>
      </c>
      <c r="F26" s="748" t="s">
        <v>689</v>
      </c>
      <c r="H26" s="748"/>
      <c r="I26" s="748" t="s">
        <v>690</v>
      </c>
      <c r="J26" s="748" t="s">
        <v>691</v>
      </c>
      <c r="K26" s="748" t="s">
        <v>692</v>
      </c>
      <c r="M26" s="748"/>
      <c r="N26" s="748" t="s">
        <v>693</v>
      </c>
      <c r="O26" s="748" t="s">
        <v>694</v>
      </c>
      <c r="P26" s="748" t="s">
        <v>695</v>
      </c>
    </row>
    <row r="27" spans="2:21" ht="15.75" customHeight="1">
      <c r="B27" s="743" t="s">
        <v>700</v>
      </c>
      <c r="C27" s="751">
        <f>K49</f>
        <v>0</v>
      </c>
      <c r="D27" s="749"/>
      <c r="E27" s="742"/>
      <c r="F27" s="742"/>
      <c r="H27" s="742"/>
      <c r="I27" s="742"/>
      <c r="J27" s="742"/>
      <c r="K27" s="742">
        <f>I27*J27</f>
        <v>0</v>
      </c>
      <c r="M27" s="742"/>
      <c r="N27" s="742"/>
      <c r="O27" s="742"/>
      <c r="P27" s="742">
        <f>N27*O27</f>
        <v>0</v>
      </c>
    </row>
    <row r="28" spans="2:21" ht="15.75" customHeight="1">
      <c r="B28" s="743" t="s">
        <v>701</v>
      </c>
      <c r="C28" s="752">
        <f>P49</f>
        <v>0</v>
      </c>
      <c r="D28" s="753">
        <f>C28-C27</f>
        <v>0</v>
      </c>
      <c r="E28" s="742"/>
      <c r="F28" s="750">
        <f>D28*E28</f>
        <v>0</v>
      </c>
      <c r="H28" s="742"/>
      <c r="I28" s="742"/>
      <c r="J28" s="742"/>
      <c r="K28" s="742"/>
      <c r="M28" s="742"/>
      <c r="N28" s="742"/>
      <c r="O28" s="742"/>
      <c r="P28" s="742"/>
    </row>
    <row r="29" spans="2:21" ht="15.75" customHeight="1">
      <c r="B29" s="743" t="s">
        <v>702</v>
      </c>
      <c r="C29" s="742"/>
      <c r="D29" s="742"/>
      <c r="E29" s="742"/>
      <c r="F29" s="742"/>
      <c r="H29" s="742"/>
      <c r="I29" s="742"/>
      <c r="J29" s="742"/>
      <c r="K29" s="742"/>
      <c r="M29" s="742"/>
      <c r="N29" s="742"/>
      <c r="O29" s="742"/>
      <c r="P29" s="742"/>
    </row>
    <row r="30" spans="2:21" ht="15.75" customHeight="1">
      <c r="B30" s="743" t="s">
        <v>703</v>
      </c>
      <c r="C30" s="742"/>
      <c r="D30" s="742"/>
      <c r="E30" s="742"/>
      <c r="F30" s="742"/>
      <c r="H30" s="742"/>
      <c r="I30" s="742"/>
      <c r="J30" s="742"/>
      <c r="K30" s="742"/>
      <c r="M30" s="742"/>
      <c r="N30" s="742"/>
      <c r="O30" s="742"/>
      <c r="P30" s="742"/>
    </row>
    <row r="31" spans="2:21" ht="15.75" customHeight="1">
      <c r="B31" s="743" t="s">
        <v>704</v>
      </c>
      <c r="C31" s="742"/>
      <c r="D31" s="742"/>
      <c r="E31" s="742"/>
      <c r="F31" s="742"/>
      <c r="H31" s="742"/>
      <c r="I31" s="742"/>
      <c r="J31" s="742"/>
      <c r="K31" s="742"/>
      <c r="M31" s="742"/>
      <c r="N31" s="742"/>
      <c r="O31" s="742"/>
      <c r="P31" s="742"/>
    </row>
    <row r="32" spans="2:21" ht="15.75" customHeight="1">
      <c r="B32" s="743" t="s">
        <v>705</v>
      </c>
      <c r="C32" s="742"/>
      <c r="D32" s="742"/>
      <c r="E32" s="742"/>
      <c r="F32" s="742"/>
      <c r="H32" s="742"/>
      <c r="I32" s="742"/>
      <c r="J32" s="742"/>
      <c r="K32" s="742"/>
      <c r="M32" s="742"/>
      <c r="N32" s="742"/>
      <c r="O32" s="742"/>
      <c r="P32" s="742"/>
    </row>
    <row r="33" spans="2:16" ht="15.75" customHeight="1">
      <c r="B33" s="743" t="s">
        <v>706</v>
      </c>
      <c r="C33" s="742"/>
      <c r="D33" s="742"/>
      <c r="E33" s="742"/>
      <c r="F33" s="742"/>
      <c r="H33" s="742"/>
      <c r="I33" s="742"/>
      <c r="J33" s="742"/>
      <c r="K33" s="742"/>
      <c r="M33" s="742"/>
      <c r="N33" s="742"/>
      <c r="O33" s="742"/>
      <c r="P33" s="742"/>
    </row>
    <row r="34" spans="2:16" ht="15.75" customHeight="1">
      <c r="B34" s="743" t="s">
        <v>707</v>
      </c>
      <c r="C34" s="742"/>
      <c r="D34" s="742"/>
      <c r="E34" s="742"/>
      <c r="F34" s="742"/>
      <c r="H34" s="742"/>
      <c r="I34" s="742"/>
      <c r="J34" s="742"/>
      <c r="K34" s="742"/>
      <c r="M34" s="742"/>
      <c r="N34" s="742"/>
      <c r="O34" s="742"/>
      <c r="P34" s="742"/>
    </row>
    <row r="35" spans="2:16" ht="15.75" customHeight="1">
      <c r="B35" s="743" t="s">
        <v>708</v>
      </c>
      <c r="C35" s="742"/>
      <c r="D35" s="742"/>
      <c r="E35" s="742"/>
      <c r="F35" s="742"/>
      <c r="H35" s="742"/>
      <c r="I35" s="742"/>
      <c r="J35" s="742"/>
      <c r="K35" s="742"/>
      <c r="M35" s="742"/>
      <c r="N35" s="742"/>
      <c r="O35" s="742"/>
      <c r="P35" s="742"/>
    </row>
    <row r="36" spans="2:16" ht="15.75" customHeight="1">
      <c r="B36" s="743" t="s">
        <v>709</v>
      </c>
      <c r="C36" s="742"/>
      <c r="D36" s="742"/>
      <c r="E36" s="742"/>
      <c r="F36" s="742"/>
      <c r="H36" s="742"/>
      <c r="I36" s="742"/>
      <c r="J36" s="742"/>
      <c r="K36" s="742"/>
      <c r="M36" s="742"/>
      <c r="N36" s="742"/>
      <c r="O36" s="742"/>
      <c r="P36" s="742"/>
    </row>
    <row r="37" spans="2:16" ht="15.75" customHeight="1">
      <c r="B37" s="743" t="s">
        <v>710</v>
      </c>
      <c r="C37" s="742"/>
      <c r="D37" s="742"/>
      <c r="E37" s="742"/>
      <c r="F37" s="742"/>
      <c r="H37" s="742"/>
      <c r="I37" s="742"/>
      <c r="J37" s="742"/>
      <c r="K37" s="742"/>
      <c r="M37" s="742"/>
      <c r="N37" s="742"/>
      <c r="O37" s="742"/>
      <c r="P37" s="742"/>
    </row>
    <row r="38" spans="2:16" ht="15.75" customHeight="1">
      <c r="B38" s="743" t="s">
        <v>711</v>
      </c>
      <c r="C38" s="742"/>
      <c r="D38" s="742"/>
      <c r="E38" s="742"/>
      <c r="F38" s="742"/>
      <c r="H38" s="742"/>
      <c r="I38" s="742"/>
      <c r="J38" s="742"/>
      <c r="K38" s="742"/>
      <c r="M38" s="742"/>
      <c r="N38" s="742"/>
      <c r="O38" s="742"/>
      <c r="P38" s="742"/>
    </row>
    <row r="39" spans="2:16" ht="16.350000000000001" customHeight="1">
      <c r="B39" s="754" t="s">
        <v>26</v>
      </c>
      <c r="C39" s="755"/>
      <c r="D39" s="755"/>
      <c r="E39" s="755"/>
      <c r="F39" s="756">
        <f>SUM(F28:F38)</f>
        <v>0</v>
      </c>
      <c r="H39" s="742"/>
      <c r="I39" s="742"/>
      <c r="J39" s="742"/>
      <c r="K39" s="742"/>
      <c r="M39" s="742"/>
      <c r="N39" s="742"/>
      <c r="O39" s="742"/>
      <c r="P39" s="742"/>
    </row>
    <row r="40" spans="2:16">
      <c r="B40" s="743" t="s">
        <v>699</v>
      </c>
      <c r="C40" s="742"/>
      <c r="D40" s="742"/>
      <c r="E40" s="742"/>
      <c r="F40" s="742"/>
      <c r="H40" s="742"/>
      <c r="I40" s="742"/>
      <c r="J40" s="742"/>
      <c r="K40" s="742"/>
      <c r="M40" s="742"/>
      <c r="N40" s="742"/>
      <c r="O40" s="742"/>
      <c r="P40" s="742"/>
    </row>
    <row r="41" spans="2:16">
      <c r="B41" s="743" t="s">
        <v>699</v>
      </c>
      <c r="C41" s="742"/>
      <c r="D41" s="742"/>
      <c r="E41" s="742"/>
      <c r="F41" s="742"/>
      <c r="H41" s="742"/>
      <c r="I41" s="742"/>
      <c r="J41" s="742"/>
      <c r="K41" s="742"/>
      <c r="M41" s="742"/>
      <c r="N41" s="742"/>
      <c r="O41" s="742"/>
      <c r="P41" s="742"/>
    </row>
    <row r="42" spans="2:16">
      <c r="B42" s="743" t="s">
        <v>699</v>
      </c>
      <c r="C42" s="742"/>
      <c r="D42" s="742"/>
      <c r="E42" s="742"/>
      <c r="F42" s="742"/>
      <c r="H42" s="742"/>
      <c r="I42" s="742"/>
      <c r="J42" s="742"/>
      <c r="K42" s="742"/>
      <c r="M42" s="742"/>
      <c r="N42" s="742"/>
      <c r="O42" s="742"/>
      <c r="P42" s="742"/>
    </row>
    <row r="43" spans="2:16">
      <c r="B43" s="743" t="s">
        <v>699</v>
      </c>
      <c r="C43" s="742"/>
      <c r="D43" s="742"/>
      <c r="E43" s="742"/>
      <c r="F43" s="742"/>
      <c r="H43" s="742"/>
      <c r="I43" s="742"/>
      <c r="J43" s="742"/>
      <c r="K43" s="742"/>
      <c r="M43" s="742"/>
      <c r="N43" s="742"/>
      <c r="O43" s="742"/>
      <c r="P43" s="742"/>
    </row>
    <row r="44" spans="2:16">
      <c r="H44" s="742"/>
      <c r="I44" s="742"/>
      <c r="J44" s="742"/>
      <c r="K44" s="742"/>
      <c r="M44" s="742"/>
      <c r="N44" s="742"/>
      <c r="O44" s="742"/>
      <c r="P44" s="742"/>
    </row>
    <row r="45" spans="2:16">
      <c r="H45" s="742"/>
      <c r="I45" s="742"/>
      <c r="J45" s="742"/>
      <c r="K45" s="742"/>
      <c r="M45" s="742"/>
      <c r="N45" s="742"/>
      <c r="O45" s="742"/>
      <c r="P45" s="742"/>
    </row>
    <row r="46" spans="2:16">
      <c r="H46" s="742"/>
      <c r="I46" s="742"/>
      <c r="J46" s="742"/>
      <c r="K46" s="742"/>
      <c r="M46" s="742"/>
      <c r="N46" s="742"/>
      <c r="O46" s="742"/>
      <c r="P46" s="742"/>
    </row>
    <row r="47" spans="2:16">
      <c r="H47" s="742"/>
      <c r="I47" s="742"/>
      <c r="J47" s="742"/>
      <c r="K47" s="742"/>
      <c r="M47" s="742"/>
      <c r="N47" s="742"/>
      <c r="O47" s="742"/>
      <c r="P47" s="742"/>
    </row>
    <row r="48" spans="2:16">
      <c r="H48" s="742"/>
      <c r="I48" s="742"/>
      <c r="J48" s="742"/>
      <c r="K48" s="742"/>
      <c r="M48" s="742"/>
      <c r="N48" s="742"/>
      <c r="O48" s="742"/>
      <c r="P48" s="742"/>
    </row>
    <row r="49" spans="8:16">
      <c r="H49" s="754" t="s">
        <v>26</v>
      </c>
      <c r="I49" s="755"/>
      <c r="J49" s="755"/>
      <c r="K49" s="751">
        <f>SUM(K27:K48)</f>
        <v>0</v>
      </c>
      <c r="M49" s="754" t="s">
        <v>26</v>
      </c>
      <c r="N49" s="755"/>
      <c r="O49" s="755"/>
      <c r="P49" s="752">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6:U59"/>
  <sheetViews>
    <sheetView zoomScale="80" zoomScaleNormal="80" workbookViewId="0">
      <pane ySplit="16" topLeftCell="A17" activePane="bottomLeft" state="frozen"/>
      <selection pane="bottomLeft" activeCell="B21" sqref="B21"/>
    </sheetView>
  </sheetViews>
  <sheetFormatPr defaultColWidth="9" defaultRowHeight="15"/>
  <cols>
    <col min="1" max="1" width="9" style="12"/>
    <col min="2" max="2" width="37" style="704" customWidth="1"/>
    <col min="3" max="3" width="9" style="10"/>
    <col min="4" max="16384" width="9" style="12"/>
  </cols>
  <sheetData>
    <row r="16" spans="2:21" ht="26.25" customHeight="1">
      <c r="B16" s="705" t="s">
        <v>560</v>
      </c>
      <c r="C16" s="801" t="s">
        <v>504</v>
      </c>
      <c r="D16" s="802"/>
      <c r="E16" s="802"/>
      <c r="F16" s="802"/>
      <c r="G16" s="802"/>
      <c r="H16" s="802"/>
      <c r="I16" s="802"/>
      <c r="J16" s="802"/>
      <c r="K16" s="802"/>
      <c r="L16" s="802"/>
      <c r="M16" s="802"/>
      <c r="N16" s="802"/>
      <c r="O16" s="802"/>
      <c r="P16" s="802"/>
      <c r="Q16" s="802"/>
      <c r="R16" s="802"/>
      <c r="S16" s="802"/>
      <c r="T16" s="802"/>
      <c r="U16" s="802"/>
    </row>
    <row r="17" spans="2:21" ht="55.5" customHeight="1">
      <c r="B17" s="706" t="s">
        <v>629</v>
      </c>
      <c r="C17" s="803" t="s">
        <v>735</v>
      </c>
      <c r="D17" s="803"/>
      <c r="E17" s="803"/>
      <c r="F17" s="803"/>
      <c r="G17" s="803"/>
      <c r="H17" s="803"/>
      <c r="I17" s="803"/>
      <c r="J17" s="803"/>
      <c r="K17" s="803"/>
      <c r="L17" s="803"/>
      <c r="M17" s="803"/>
      <c r="N17" s="803"/>
      <c r="O17" s="803"/>
      <c r="P17" s="803"/>
      <c r="Q17" s="803"/>
      <c r="R17" s="803"/>
      <c r="S17" s="803"/>
      <c r="T17" s="803"/>
      <c r="U17" s="804"/>
    </row>
    <row r="18" spans="2:21" ht="15.75">
      <c r="B18" s="707"/>
      <c r="C18" s="708"/>
      <c r="D18" s="709"/>
      <c r="E18" s="709"/>
      <c r="F18" s="709"/>
      <c r="G18" s="709"/>
      <c r="H18" s="709"/>
      <c r="I18" s="709"/>
      <c r="J18" s="709"/>
      <c r="K18" s="709"/>
      <c r="L18" s="709"/>
      <c r="M18" s="709"/>
      <c r="N18" s="709"/>
      <c r="O18" s="709"/>
      <c r="P18" s="709"/>
      <c r="Q18" s="709"/>
      <c r="R18" s="709"/>
      <c r="S18" s="709"/>
      <c r="T18" s="709"/>
      <c r="U18" s="710"/>
    </row>
    <row r="19" spans="2:21" ht="15.75">
      <c r="B19" s="707"/>
      <c r="C19" s="708" t="s">
        <v>633</v>
      </c>
      <c r="D19" s="709"/>
      <c r="E19" s="709"/>
      <c r="F19" s="709"/>
      <c r="G19" s="709"/>
      <c r="H19" s="709"/>
      <c r="I19" s="709"/>
      <c r="J19" s="709"/>
      <c r="K19" s="709"/>
      <c r="L19" s="709"/>
      <c r="M19" s="709"/>
      <c r="N19" s="709"/>
      <c r="O19" s="709"/>
      <c r="P19" s="709"/>
      <c r="Q19" s="709"/>
      <c r="R19" s="709"/>
      <c r="S19" s="709"/>
      <c r="T19" s="709"/>
      <c r="U19" s="710"/>
    </row>
    <row r="20" spans="2:21" ht="15.75">
      <c r="B20" s="707"/>
      <c r="C20" s="708"/>
      <c r="D20" s="709"/>
      <c r="E20" s="709"/>
      <c r="F20" s="709"/>
      <c r="G20" s="709"/>
      <c r="H20" s="709"/>
      <c r="I20" s="709"/>
      <c r="J20" s="709"/>
      <c r="K20" s="709"/>
      <c r="L20" s="709"/>
      <c r="M20" s="709"/>
      <c r="N20" s="709"/>
      <c r="O20" s="709"/>
      <c r="P20" s="709"/>
      <c r="Q20" s="709"/>
      <c r="R20" s="709"/>
      <c r="S20" s="709"/>
      <c r="T20" s="709"/>
      <c r="U20" s="710"/>
    </row>
    <row r="21" spans="2:21" ht="15.75">
      <c r="B21" s="707"/>
      <c r="C21" s="708" t="s">
        <v>630</v>
      </c>
      <c r="D21" s="709"/>
      <c r="E21" s="709"/>
      <c r="F21" s="709"/>
      <c r="G21" s="709"/>
      <c r="H21" s="709"/>
      <c r="I21" s="709"/>
      <c r="J21" s="709"/>
      <c r="K21" s="709"/>
      <c r="L21" s="709"/>
      <c r="M21" s="709"/>
      <c r="N21" s="709"/>
      <c r="O21" s="709"/>
      <c r="P21" s="709"/>
      <c r="Q21" s="709"/>
      <c r="R21" s="709"/>
      <c r="S21" s="709"/>
      <c r="T21" s="709"/>
      <c r="U21" s="710"/>
    </row>
    <row r="22" spans="2:21" ht="15.75">
      <c r="B22" s="707"/>
      <c r="C22" s="708"/>
      <c r="D22" s="709"/>
      <c r="E22" s="709"/>
      <c r="F22" s="709"/>
      <c r="G22" s="709"/>
      <c r="H22" s="709"/>
      <c r="I22" s="709"/>
      <c r="J22" s="709"/>
      <c r="K22" s="709"/>
      <c r="L22" s="709"/>
      <c r="M22" s="709"/>
      <c r="N22" s="709"/>
      <c r="O22" s="709"/>
      <c r="P22" s="709"/>
      <c r="Q22" s="709"/>
      <c r="R22" s="709"/>
      <c r="S22" s="709"/>
      <c r="T22" s="709"/>
      <c r="U22" s="710"/>
    </row>
    <row r="23" spans="2:21" ht="30" customHeight="1">
      <c r="B23" s="707"/>
      <c r="C23" s="797" t="s">
        <v>631</v>
      </c>
      <c r="D23" s="797"/>
      <c r="E23" s="797"/>
      <c r="F23" s="797"/>
      <c r="G23" s="797"/>
      <c r="H23" s="797"/>
      <c r="I23" s="797"/>
      <c r="J23" s="797"/>
      <c r="K23" s="797"/>
      <c r="L23" s="797"/>
      <c r="M23" s="797"/>
      <c r="N23" s="797"/>
      <c r="O23" s="797"/>
      <c r="P23" s="797"/>
      <c r="Q23" s="797"/>
      <c r="R23" s="797"/>
      <c r="S23" s="797"/>
      <c r="T23" s="709"/>
      <c r="U23" s="710"/>
    </row>
    <row r="24" spans="2:21" ht="15.75">
      <c r="B24" s="707"/>
      <c r="C24" s="708"/>
      <c r="D24" s="709"/>
      <c r="E24" s="709"/>
      <c r="F24" s="709"/>
      <c r="G24" s="709"/>
      <c r="H24" s="709"/>
      <c r="I24" s="709"/>
      <c r="J24" s="709"/>
      <c r="K24" s="709"/>
      <c r="L24" s="709"/>
      <c r="M24" s="709"/>
      <c r="N24" s="709"/>
      <c r="O24" s="709"/>
      <c r="P24" s="709"/>
      <c r="Q24" s="709"/>
      <c r="R24" s="709"/>
      <c r="S24" s="709"/>
      <c r="T24" s="709"/>
      <c r="U24" s="710"/>
    </row>
    <row r="25" spans="2:21" ht="15.75">
      <c r="B25" s="707"/>
      <c r="C25" s="708" t="s">
        <v>634</v>
      </c>
      <c r="D25" s="709"/>
      <c r="E25" s="709"/>
      <c r="F25" s="709"/>
      <c r="G25" s="709"/>
      <c r="H25" s="709"/>
      <c r="I25" s="709"/>
      <c r="J25" s="709"/>
      <c r="K25" s="709"/>
      <c r="L25" s="709"/>
      <c r="M25" s="709"/>
      <c r="N25" s="709"/>
      <c r="O25" s="709"/>
      <c r="P25" s="709"/>
      <c r="Q25" s="709"/>
      <c r="R25" s="709"/>
      <c r="S25" s="709"/>
      <c r="T25" s="709"/>
      <c r="U25" s="710"/>
    </row>
    <row r="26" spans="2:21" ht="15.75">
      <c r="B26" s="707"/>
      <c r="C26" s="708"/>
      <c r="D26" s="709"/>
      <c r="E26" s="709"/>
      <c r="F26" s="709"/>
      <c r="G26" s="709"/>
      <c r="H26" s="709"/>
      <c r="I26" s="709"/>
      <c r="J26" s="709"/>
      <c r="K26" s="709"/>
      <c r="L26" s="709"/>
      <c r="M26" s="709"/>
      <c r="N26" s="709"/>
      <c r="O26" s="709"/>
      <c r="P26" s="709"/>
      <c r="Q26" s="709"/>
      <c r="R26" s="709"/>
      <c r="S26" s="709"/>
      <c r="T26" s="709"/>
      <c r="U26" s="710"/>
    </row>
    <row r="27" spans="2:21" ht="31.5" customHeight="1">
      <c r="B27" s="707"/>
      <c r="C27" s="797" t="s">
        <v>632</v>
      </c>
      <c r="D27" s="797"/>
      <c r="E27" s="797"/>
      <c r="F27" s="797"/>
      <c r="G27" s="797"/>
      <c r="H27" s="797"/>
      <c r="I27" s="797"/>
      <c r="J27" s="797"/>
      <c r="K27" s="797"/>
      <c r="L27" s="797"/>
      <c r="M27" s="797"/>
      <c r="N27" s="797"/>
      <c r="O27" s="797"/>
      <c r="P27" s="797"/>
      <c r="Q27" s="797"/>
      <c r="R27" s="797"/>
      <c r="S27" s="797"/>
      <c r="T27" s="797"/>
      <c r="U27" s="798"/>
    </row>
    <row r="28" spans="2:21" ht="15.75">
      <c r="B28" s="707"/>
      <c r="C28" s="708"/>
      <c r="D28" s="709"/>
      <c r="E28" s="709"/>
      <c r="F28" s="709"/>
      <c r="G28" s="709"/>
      <c r="H28" s="709"/>
      <c r="I28" s="709"/>
      <c r="J28" s="709"/>
      <c r="K28" s="709"/>
      <c r="L28" s="709"/>
      <c r="M28" s="709"/>
      <c r="N28" s="709"/>
      <c r="O28" s="709"/>
      <c r="P28" s="709"/>
      <c r="Q28" s="709"/>
      <c r="R28" s="709"/>
      <c r="S28" s="709"/>
      <c r="T28" s="709"/>
      <c r="U28" s="710"/>
    </row>
    <row r="29" spans="2:21" ht="31.5" customHeight="1">
      <c r="B29" s="707"/>
      <c r="C29" s="797" t="s">
        <v>635</v>
      </c>
      <c r="D29" s="797"/>
      <c r="E29" s="797"/>
      <c r="F29" s="797"/>
      <c r="G29" s="797"/>
      <c r="H29" s="797"/>
      <c r="I29" s="797"/>
      <c r="J29" s="797"/>
      <c r="K29" s="797"/>
      <c r="L29" s="797"/>
      <c r="M29" s="797"/>
      <c r="N29" s="797"/>
      <c r="O29" s="797"/>
      <c r="P29" s="797"/>
      <c r="Q29" s="797"/>
      <c r="R29" s="797"/>
      <c r="S29" s="797"/>
      <c r="T29" s="797"/>
      <c r="U29" s="798"/>
    </row>
    <row r="30" spans="2:21" ht="15.75">
      <c r="B30" s="707"/>
      <c r="C30" s="708"/>
      <c r="D30" s="709"/>
      <c r="E30" s="709"/>
      <c r="F30" s="709"/>
      <c r="G30" s="709"/>
      <c r="H30" s="709"/>
      <c r="I30" s="709"/>
      <c r="J30" s="709"/>
      <c r="K30" s="709"/>
      <c r="L30" s="709"/>
      <c r="M30" s="709"/>
      <c r="N30" s="709"/>
      <c r="O30" s="709"/>
      <c r="P30" s="709"/>
      <c r="Q30" s="709"/>
      <c r="R30" s="709"/>
      <c r="S30" s="709"/>
      <c r="T30" s="709"/>
      <c r="U30" s="710"/>
    </row>
    <row r="31" spans="2:21" ht="15.75">
      <c r="B31" s="707"/>
      <c r="C31" s="708" t="s">
        <v>636</v>
      </c>
      <c r="D31" s="709"/>
      <c r="E31" s="709"/>
      <c r="F31" s="709"/>
      <c r="G31" s="709"/>
      <c r="H31" s="709"/>
      <c r="I31" s="709"/>
      <c r="J31" s="709"/>
      <c r="K31" s="709"/>
      <c r="L31" s="709"/>
      <c r="M31" s="709"/>
      <c r="N31" s="709"/>
      <c r="O31" s="709"/>
      <c r="P31" s="709"/>
      <c r="Q31" s="709"/>
      <c r="R31" s="709"/>
      <c r="S31" s="709"/>
      <c r="T31" s="709"/>
      <c r="U31" s="710"/>
    </row>
    <row r="32" spans="2:21" ht="15.75">
      <c r="B32" s="711"/>
      <c r="C32" s="712"/>
      <c r="D32" s="713"/>
      <c r="E32" s="713"/>
      <c r="F32" s="713"/>
      <c r="G32" s="713"/>
      <c r="H32" s="713"/>
      <c r="I32" s="713"/>
      <c r="J32" s="713"/>
      <c r="K32" s="713"/>
      <c r="L32" s="713"/>
      <c r="M32" s="713"/>
      <c r="N32" s="713"/>
      <c r="O32" s="713"/>
      <c r="P32" s="713"/>
      <c r="Q32" s="713"/>
      <c r="R32" s="713"/>
      <c r="S32" s="713"/>
      <c r="T32" s="713"/>
      <c r="U32" s="714"/>
    </row>
    <row r="33" spans="2:21" ht="39" customHeight="1">
      <c r="B33" s="715" t="s">
        <v>637</v>
      </c>
      <c r="C33" s="805" t="s">
        <v>638</v>
      </c>
      <c r="D33" s="805"/>
      <c r="E33" s="805"/>
      <c r="F33" s="805"/>
      <c r="G33" s="805"/>
      <c r="H33" s="805"/>
      <c r="I33" s="805"/>
      <c r="J33" s="805"/>
      <c r="K33" s="805"/>
      <c r="L33" s="805"/>
      <c r="M33" s="805"/>
      <c r="N33" s="805"/>
      <c r="O33" s="805"/>
      <c r="P33" s="805"/>
      <c r="Q33" s="805"/>
      <c r="R33" s="805"/>
      <c r="S33" s="805"/>
      <c r="T33" s="805"/>
      <c r="U33" s="806"/>
    </row>
    <row r="34" spans="2:21">
      <c r="B34" s="716"/>
      <c r="C34" s="717"/>
      <c r="D34" s="717"/>
      <c r="E34" s="717"/>
      <c r="F34" s="717"/>
      <c r="G34" s="717"/>
      <c r="H34" s="717"/>
      <c r="I34" s="717"/>
      <c r="J34" s="717"/>
      <c r="K34" s="717"/>
      <c r="L34" s="717"/>
      <c r="M34" s="717"/>
      <c r="N34" s="717"/>
      <c r="O34" s="717"/>
      <c r="P34" s="717"/>
      <c r="Q34" s="717"/>
      <c r="R34" s="717"/>
      <c r="S34" s="717"/>
      <c r="T34" s="717"/>
      <c r="U34" s="718"/>
    </row>
    <row r="35" spans="2:21" ht="15.75">
      <c r="B35" s="719" t="s">
        <v>639</v>
      </c>
      <c r="C35" s="720" t="s">
        <v>640</v>
      </c>
      <c r="D35" s="709"/>
      <c r="E35" s="709"/>
      <c r="F35" s="709"/>
      <c r="G35" s="709"/>
      <c r="H35" s="709"/>
      <c r="I35" s="709"/>
      <c r="J35" s="709"/>
      <c r="K35" s="709"/>
      <c r="L35" s="709"/>
      <c r="M35" s="709"/>
      <c r="N35" s="709"/>
      <c r="O35" s="709"/>
      <c r="P35" s="709"/>
      <c r="Q35" s="709"/>
      <c r="R35" s="709"/>
      <c r="S35" s="709"/>
      <c r="T35" s="709"/>
      <c r="U35" s="710"/>
    </row>
    <row r="36" spans="2:21">
      <c r="B36" s="721"/>
      <c r="C36" s="713"/>
      <c r="D36" s="713"/>
      <c r="E36" s="713"/>
      <c r="F36" s="713"/>
      <c r="G36" s="713"/>
      <c r="H36" s="713"/>
      <c r="I36" s="713"/>
      <c r="J36" s="713"/>
      <c r="K36" s="713"/>
      <c r="L36" s="713"/>
      <c r="M36" s="713"/>
      <c r="N36" s="713"/>
      <c r="O36" s="713"/>
      <c r="P36" s="713"/>
      <c r="Q36" s="713"/>
      <c r="R36" s="713"/>
      <c r="S36" s="713"/>
      <c r="T36" s="713"/>
      <c r="U36" s="714"/>
    </row>
    <row r="37" spans="2:21" ht="34.5" customHeight="1">
      <c r="B37" s="706" t="s">
        <v>641</v>
      </c>
      <c r="C37" s="799" t="s">
        <v>642</v>
      </c>
      <c r="D37" s="799"/>
      <c r="E37" s="799"/>
      <c r="F37" s="799"/>
      <c r="G37" s="799"/>
      <c r="H37" s="799"/>
      <c r="I37" s="799"/>
      <c r="J37" s="799"/>
      <c r="K37" s="799"/>
      <c r="L37" s="799"/>
      <c r="M37" s="799"/>
      <c r="N37" s="799"/>
      <c r="O37" s="799"/>
      <c r="P37" s="799"/>
      <c r="Q37" s="799"/>
      <c r="R37" s="799"/>
      <c r="S37" s="799"/>
      <c r="T37" s="799"/>
      <c r="U37" s="800"/>
    </row>
    <row r="38" spans="2:21">
      <c r="B38" s="721"/>
      <c r="C38" s="713"/>
      <c r="D38" s="713"/>
      <c r="E38" s="713"/>
      <c r="F38" s="713"/>
      <c r="G38" s="713"/>
      <c r="H38" s="713"/>
      <c r="I38" s="713"/>
      <c r="J38" s="713"/>
      <c r="K38" s="713"/>
      <c r="L38" s="713"/>
      <c r="M38" s="713"/>
      <c r="N38" s="713"/>
      <c r="O38" s="713"/>
      <c r="P38" s="713"/>
      <c r="Q38" s="713"/>
      <c r="R38" s="713"/>
      <c r="S38" s="713"/>
      <c r="T38" s="713"/>
      <c r="U38" s="714"/>
    </row>
    <row r="39" spans="2:21" ht="15.75">
      <c r="B39" s="706" t="s">
        <v>643</v>
      </c>
      <c r="C39" s="722" t="s">
        <v>644</v>
      </c>
      <c r="D39" s="717"/>
      <c r="E39" s="717"/>
      <c r="F39" s="717"/>
      <c r="G39" s="717"/>
      <c r="H39" s="717"/>
      <c r="I39" s="717"/>
      <c r="J39" s="717"/>
      <c r="K39" s="717"/>
      <c r="L39" s="717"/>
      <c r="M39" s="717"/>
      <c r="N39" s="717"/>
      <c r="O39" s="717"/>
      <c r="P39" s="717"/>
      <c r="Q39" s="717"/>
      <c r="R39" s="717"/>
      <c r="S39" s="717"/>
      <c r="T39" s="717"/>
      <c r="U39" s="718"/>
    </row>
    <row r="40" spans="2:21">
      <c r="B40" s="721"/>
      <c r="C40" s="713"/>
      <c r="D40" s="713"/>
      <c r="E40" s="713"/>
      <c r="F40" s="713"/>
      <c r="G40" s="713"/>
      <c r="H40" s="713"/>
      <c r="I40" s="713"/>
      <c r="J40" s="713"/>
      <c r="K40" s="713"/>
      <c r="L40" s="713"/>
      <c r="M40" s="713"/>
      <c r="N40" s="713"/>
      <c r="O40" s="713"/>
      <c r="P40" s="713"/>
      <c r="Q40" s="713"/>
      <c r="R40" s="713"/>
      <c r="S40" s="713"/>
      <c r="T40" s="713"/>
      <c r="U40" s="714"/>
    </row>
    <row r="41" spans="2:21" ht="38.25" customHeight="1">
      <c r="B41" s="715" t="s">
        <v>645</v>
      </c>
      <c r="C41" s="807" t="s">
        <v>646</v>
      </c>
      <c r="D41" s="807"/>
      <c r="E41" s="807"/>
      <c r="F41" s="807"/>
      <c r="G41" s="807"/>
      <c r="H41" s="807"/>
      <c r="I41" s="807"/>
      <c r="J41" s="807"/>
      <c r="K41" s="807"/>
      <c r="L41" s="807"/>
      <c r="M41" s="807"/>
      <c r="N41" s="807"/>
      <c r="O41" s="807"/>
      <c r="P41" s="807"/>
      <c r="Q41" s="807"/>
      <c r="R41" s="807"/>
      <c r="S41" s="807"/>
      <c r="T41" s="807"/>
      <c r="U41" s="808"/>
    </row>
    <row r="42" spans="2:21">
      <c r="B42" s="723"/>
      <c r="C42" s="717"/>
      <c r="D42" s="717"/>
      <c r="E42" s="717"/>
      <c r="F42" s="717"/>
      <c r="G42" s="717"/>
      <c r="H42" s="717"/>
      <c r="I42" s="717"/>
      <c r="J42" s="717"/>
      <c r="K42" s="717"/>
      <c r="L42" s="717"/>
      <c r="M42" s="717"/>
      <c r="N42" s="717"/>
      <c r="O42" s="717"/>
      <c r="P42" s="717"/>
      <c r="Q42" s="717"/>
      <c r="R42" s="717"/>
      <c r="S42" s="717"/>
      <c r="T42" s="717"/>
      <c r="U42" s="718"/>
    </row>
    <row r="43" spans="2:21" ht="15.75">
      <c r="B43" s="719" t="s">
        <v>647</v>
      </c>
      <c r="C43" s="720" t="s">
        <v>648</v>
      </c>
      <c r="D43" s="709"/>
      <c r="E43" s="709"/>
      <c r="F43" s="709"/>
      <c r="G43" s="709"/>
      <c r="H43" s="709"/>
      <c r="I43" s="709"/>
      <c r="J43" s="709"/>
      <c r="K43" s="709"/>
      <c r="L43" s="709"/>
      <c r="M43" s="709"/>
      <c r="N43" s="709"/>
      <c r="O43" s="709"/>
      <c r="P43" s="709"/>
      <c r="Q43" s="709"/>
      <c r="R43" s="709"/>
      <c r="S43" s="709"/>
      <c r="T43" s="709"/>
      <c r="U43" s="710"/>
    </row>
    <row r="44" spans="2:21">
      <c r="B44" s="724"/>
      <c r="C44" s="709"/>
      <c r="D44" s="709"/>
      <c r="E44" s="709"/>
      <c r="F44" s="709"/>
      <c r="G44" s="709"/>
      <c r="H44" s="709"/>
      <c r="I44" s="709"/>
      <c r="J44" s="709"/>
      <c r="K44" s="709"/>
      <c r="L44" s="709"/>
      <c r="M44" s="709"/>
      <c r="N44" s="709"/>
      <c r="O44" s="709"/>
      <c r="P44" s="709"/>
      <c r="Q44" s="709"/>
      <c r="R44" s="709"/>
      <c r="S44" s="709"/>
      <c r="T44" s="709"/>
      <c r="U44" s="710"/>
    </row>
    <row r="45" spans="2:21" ht="36" customHeight="1">
      <c r="B45" s="724"/>
      <c r="C45" s="795" t="s">
        <v>664</v>
      </c>
      <c r="D45" s="795"/>
      <c r="E45" s="795"/>
      <c r="F45" s="795"/>
      <c r="G45" s="795"/>
      <c r="H45" s="795"/>
      <c r="I45" s="795"/>
      <c r="J45" s="795"/>
      <c r="K45" s="795"/>
      <c r="L45" s="795"/>
      <c r="M45" s="795"/>
      <c r="N45" s="795"/>
      <c r="O45" s="795"/>
      <c r="P45" s="795"/>
      <c r="Q45" s="795"/>
      <c r="R45" s="795"/>
      <c r="S45" s="795"/>
      <c r="T45" s="795"/>
      <c r="U45" s="796"/>
    </row>
    <row r="46" spans="2:21">
      <c r="B46" s="724"/>
      <c r="C46" s="725"/>
      <c r="D46" s="709"/>
      <c r="E46" s="709"/>
      <c r="F46" s="709"/>
      <c r="G46" s="709"/>
      <c r="H46" s="709"/>
      <c r="I46" s="709"/>
      <c r="J46" s="709"/>
      <c r="K46" s="709"/>
      <c r="L46" s="709"/>
      <c r="M46" s="709"/>
      <c r="N46" s="709"/>
      <c r="O46" s="709"/>
      <c r="P46" s="709"/>
      <c r="Q46" s="709"/>
      <c r="R46" s="709"/>
      <c r="S46" s="709"/>
      <c r="T46" s="709"/>
      <c r="U46" s="710"/>
    </row>
    <row r="47" spans="2:21" ht="35.25" customHeight="1">
      <c r="B47" s="724"/>
      <c r="C47" s="795" t="s">
        <v>649</v>
      </c>
      <c r="D47" s="795"/>
      <c r="E47" s="795"/>
      <c r="F47" s="795"/>
      <c r="G47" s="795"/>
      <c r="H47" s="795"/>
      <c r="I47" s="795"/>
      <c r="J47" s="795"/>
      <c r="K47" s="795"/>
      <c r="L47" s="795"/>
      <c r="M47" s="795"/>
      <c r="N47" s="795"/>
      <c r="O47" s="795"/>
      <c r="P47" s="795"/>
      <c r="Q47" s="795"/>
      <c r="R47" s="795"/>
      <c r="S47" s="795"/>
      <c r="T47" s="795"/>
      <c r="U47" s="796"/>
    </row>
    <row r="48" spans="2:21">
      <c r="B48" s="724"/>
      <c r="C48" s="725"/>
      <c r="D48" s="709"/>
      <c r="E48" s="709"/>
      <c r="F48" s="709"/>
      <c r="G48" s="709"/>
      <c r="H48" s="709"/>
      <c r="I48" s="709"/>
      <c r="J48" s="709"/>
      <c r="K48" s="709"/>
      <c r="L48" s="709"/>
      <c r="M48" s="709"/>
      <c r="N48" s="709"/>
      <c r="O48" s="709"/>
      <c r="P48" s="709"/>
      <c r="Q48" s="709"/>
      <c r="R48" s="709"/>
      <c r="S48" s="709"/>
      <c r="T48" s="709"/>
      <c r="U48" s="710"/>
    </row>
    <row r="49" spans="2:21" ht="40.5" customHeight="1">
      <c r="B49" s="724"/>
      <c r="C49" s="795" t="s">
        <v>650</v>
      </c>
      <c r="D49" s="795"/>
      <c r="E49" s="795"/>
      <c r="F49" s="795"/>
      <c r="G49" s="795"/>
      <c r="H49" s="795"/>
      <c r="I49" s="795"/>
      <c r="J49" s="795"/>
      <c r="K49" s="795"/>
      <c r="L49" s="795"/>
      <c r="M49" s="795"/>
      <c r="N49" s="795"/>
      <c r="O49" s="795"/>
      <c r="P49" s="795"/>
      <c r="Q49" s="795"/>
      <c r="R49" s="795"/>
      <c r="S49" s="795"/>
      <c r="T49" s="795"/>
      <c r="U49" s="796"/>
    </row>
    <row r="50" spans="2:21">
      <c r="B50" s="724"/>
      <c r="C50" s="725"/>
      <c r="D50" s="709"/>
      <c r="E50" s="709"/>
      <c r="F50" s="709"/>
      <c r="G50" s="709"/>
      <c r="H50" s="709"/>
      <c r="I50" s="709"/>
      <c r="J50" s="709"/>
      <c r="K50" s="709"/>
      <c r="L50" s="709"/>
      <c r="M50" s="709"/>
      <c r="N50" s="709"/>
      <c r="O50" s="709"/>
      <c r="P50" s="709"/>
      <c r="Q50" s="709"/>
      <c r="R50" s="709"/>
      <c r="S50" s="709"/>
      <c r="T50" s="709"/>
      <c r="U50" s="710"/>
    </row>
    <row r="51" spans="2:21" ht="30" customHeight="1">
      <c r="B51" s="724"/>
      <c r="C51" s="795" t="s">
        <v>651</v>
      </c>
      <c r="D51" s="795"/>
      <c r="E51" s="795"/>
      <c r="F51" s="795"/>
      <c r="G51" s="795"/>
      <c r="H51" s="795"/>
      <c r="I51" s="795"/>
      <c r="J51" s="795"/>
      <c r="K51" s="795"/>
      <c r="L51" s="795"/>
      <c r="M51" s="795"/>
      <c r="N51" s="795"/>
      <c r="O51" s="795"/>
      <c r="P51" s="795"/>
      <c r="Q51" s="795"/>
      <c r="R51" s="795"/>
      <c r="S51" s="795"/>
      <c r="T51" s="795"/>
      <c r="U51" s="796"/>
    </row>
    <row r="52" spans="2:21" ht="15.75">
      <c r="B52" s="724"/>
      <c r="C52" s="708"/>
      <c r="D52" s="709"/>
      <c r="E52" s="709"/>
      <c r="F52" s="709"/>
      <c r="G52" s="709"/>
      <c r="H52" s="709"/>
      <c r="I52" s="709"/>
      <c r="J52" s="709"/>
      <c r="K52" s="709"/>
      <c r="L52" s="709"/>
      <c r="M52" s="709"/>
      <c r="N52" s="709"/>
      <c r="O52" s="709"/>
      <c r="P52" s="709"/>
      <c r="Q52" s="709"/>
      <c r="R52" s="709"/>
      <c r="S52" s="709"/>
      <c r="T52" s="709"/>
      <c r="U52" s="710"/>
    </row>
    <row r="53" spans="2:21" ht="31.5" customHeight="1">
      <c r="B53" s="724"/>
      <c r="C53" s="797" t="s">
        <v>663</v>
      </c>
      <c r="D53" s="797"/>
      <c r="E53" s="797"/>
      <c r="F53" s="797"/>
      <c r="G53" s="797"/>
      <c r="H53" s="797"/>
      <c r="I53" s="797"/>
      <c r="J53" s="797"/>
      <c r="K53" s="797"/>
      <c r="L53" s="797"/>
      <c r="M53" s="797"/>
      <c r="N53" s="797"/>
      <c r="O53" s="797"/>
      <c r="P53" s="797"/>
      <c r="Q53" s="797"/>
      <c r="R53" s="797"/>
      <c r="S53" s="797"/>
      <c r="T53" s="797"/>
      <c r="U53" s="798"/>
    </row>
    <row r="54" spans="2:21">
      <c r="B54" s="721"/>
      <c r="C54" s="713"/>
      <c r="D54" s="713"/>
      <c r="E54" s="713"/>
      <c r="F54" s="713"/>
      <c r="G54" s="713"/>
      <c r="H54" s="713"/>
      <c r="I54" s="713"/>
      <c r="J54" s="713"/>
      <c r="K54" s="713"/>
      <c r="L54" s="713"/>
      <c r="M54" s="713"/>
      <c r="N54" s="713"/>
      <c r="O54" s="713"/>
      <c r="P54" s="713"/>
      <c r="Q54" s="713"/>
      <c r="R54" s="713"/>
      <c r="S54" s="713"/>
      <c r="T54" s="713"/>
      <c r="U54" s="714"/>
    </row>
    <row r="55" spans="2:21" ht="48" customHeight="1">
      <c r="B55" s="706" t="s">
        <v>652</v>
      </c>
      <c r="C55" s="799" t="s">
        <v>653</v>
      </c>
      <c r="D55" s="799"/>
      <c r="E55" s="799"/>
      <c r="F55" s="799"/>
      <c r="G55" s="799"/>
      <c r="H55" s="799"/>
      <c r="I55" s="799"/>
      <c r="J55" s="799"/>
      <c r="K55" s="799"/>
      <c r="L55" s="799"/>
      <c r="M55" s="799"/>
      <c r="N55" s="799"/>
      <c r="O55" s="799"/>
      <c r="P55" s="799"/>
      <c r="Q55" s="799"/>
      <c r="R55" s="799"/>
      <c r="S55" s="799"/>
      <c r="T55" s="799"/>
      <c r="U55" s="800"/>
    </row>
    <row r="56" spans="2:21">
      <c r="B56" s="721"/>
      <c r="C56" s="713"/>
      <c r="D56" s="713"/>
      <c r="E56" s="713"/>
      <c r="F56" s="713"/>
      <c r="G56" s="713"/>
      <c r="H56" s="713"/>
      <c r="I56" s="713"/>
      <c r="J56" s="713"/>
      <c r="K56" s="713"/>
      <c r="L56" s="713"/>
      <c r="M56" s="713"/>
      <c r="N56" s="713"/>
      <c r="O56" s="713"/>
      <c r="P56" s="713"/>
      <c r="Q56" s="713"/>
      <c r="R56" s="713"/>
      <c r="S56" s="713"/>
      <c r="T56" s="713"/>
      <c r="U56" s="714"/>
    </row>
    <row r="57" spans="2:21" ht="34.5" customHeight="1">
      <c r="B57" s="706" t="s">
        <v>654</v>
      </c>
      <c r="C57" s="799" t="s">
        <v>655</v>
      </c>
      <c r="D57" s="799"/>
      <c r="E57" s="799"/>
      <c r="F57" s="799"/>
      <c r="G57" s="799"/>
      <c r="H57" s="799"/>
      <c r="I57" s="799"/>
      <c r="J57" s="799"/>
      <c r="K57" s="799"/>
      <c r="L57" s="799"/>
      <c r="M57" s="799"/>
      <c r="N57" s="799"/>
      <c r="O57" s="799"/>
      <c r="P57" s="799"/>
      <c r="Q57" s="799"/>
      <c r="R57" s="799"/>
      <c r="S57" s="799"/>
      <c r="T57" s="799"/>
      <c r="U57" s="800"/>
    </row>
    <row r="58" spans="2:21">
      <c r="B58" s="726"/>
      <c r="C58" s="713"/>
      <c r="D58" s="713"/>
      <c r="E58" s="713"/>
      <c r="F58" s="713"/>
      <c r="G58" s="713"/>
      <c r="H58" s="713"/>
      <c r="I58" s="713"/>
      <c r="J58" s="713"/>
      <c r="K58" s="713"/>
      <c r="L58" s="713"/>
      <c r="M58" s="713"/>
      <c r="N58" s="713"/>
      <c r="O58" s="713"/>
      <c r="P58" s="713"/>
      <c r="Q58" s="713"/>
      <c r="R58" s="713"/>
      <c r="S58" s="713"/>
      <c r="T58" s="713"/>
      <c r="U58" s="714"/>
    </row>
    <row r="59" spans="2:21" ht="30.75" customHeight="1">
      <c r="B59" s="715" t="s">
        <v>656</v>
      </c>
      <c r="C59" s="727" t="s">
        <v>657</v>
      </c>
      <c r="D59" s="728"/>
      <c r="E59" s="728"/>
      <c r="F59" s="728"/>
      <c r="G59" s="728"/>
      <c r="H59" s="728"/>
      <c r="I59" s="728"/>
      <c r="J59" s="728"/>
      <c r="K59" s="728"/>
      <c r="L59" s="728"/>
      <c r="M59" s="728"/>
      <c r="N59" s="728"/>
      <c r="O59" s="728"/>
      <c r="P59" s="728"/>
      <c r="Q59" s="728"/>
      <c r="R59" s="728"/>
      <c r="S59" s="728"/>
      <c r="T59" s="728"/>
      <c r="U59" s="729"/>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T34"/>
  <sheetViews>
    <sheetView zoomScale="85" zoomScaleNormal="85" workbookViewId="0">
      <selection activeCell="D11" sqref="D11"/>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4.140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810" t="s">
        <v>730</v>
      </c>
      <c r="C3" s="811"/>
      <c r="D3" s="811"/>
      <c r="E3" s="811"/>
      <c r="F3" s="812"/>
      <c r="G3" s="122"/>
    </row>
    <row r="4" spans="2:20" ht="16.5" customHeight="1">
      <c r="B4" s="813"/>
      <c r="C4" s="814"/>
      <c r="D4" s="814"/>
      <c r="E4" s="814"/>
      <c r="F4" s="815"/>
      <c r="G4" s="122"/>
    </row>
    <row r="5" spans="2:20" ht="71.25" customHeight="1">
      <c r="B5" s="813"/>
      <c r="C5" s="814"/>
      <c r="D5" s="814"/>
      <c r="E5" s="814"/>
      <c r="F5" s="815"/>
      <c r="G5" s="122"/>
    </row>
    <row r="6" spans="2:20" ht="21.75" customHeight="1">
      <c r="B6" s="816"/>
      <c r="C6" s="817"/>
      <c r="D6" s="817"/>
      <c r="E6" s="817"/>
      <c r="F6" s="818"/>
      <c r="G6" s="122"/>
    </row>
    <row r="8" spans="2:20" ht="21">
      <c r="B8" s="809" t="s">
        <v>480</v>
      </c>
      <c r="C8" s="809"/>
      <c r="D8" s="809"/>
      <c r="E8" s="809"/>
      <c r="F8" s="809"/>
      <c r="G8" s="809"/>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583</v>
      </c>
      <c r="G12" s="28"/>
      <c r="L12" s="33"/>
      <c r="M12" s="33"/>
      <c r="N12" s="33"/>
      <c r="O12" s="33"/>
      <c r="P12" s="33"/>
      <c r="Q12" s="68"/>
      <c r="S12" s="8"/>
      <c r="T12" s="8"/>
    </row>
    <row r="13" spans="2:20" s="9" customFormat="1" ht="26.25" customHeight="1" thickBot="1">
      <c r="B13" s="102"/>
      <c r="C13" s="124" t="s">
        <v>622</v>
      </c>
      <c r="G13" s="109"/>
      <c r="L13" s="33"/>
      <c r="M13" s="33"/>
      <c r="N13" s="33"/>
      <c r="O13" s="33"/>
      <c r="P13" s="33"/>
      <c r="Q13" s="68"/>
      <c r="S13" s="8"/>
      <c r="T13" s="8"/>
    </row>
    <row r="14" spans="2:20" s="9" customFormat="1" ht="26.25" customHeight="1" thickBot="1">
      <c r="B14" s="102"/>
      <c r="C14" s="172" t="s">
        <v>617</v>
      </c>
      <c r="G14" s="123"/>
      <c r="L14" s="33"/>
      <c r="M14" s="33"/>
      <c r="N14" s="33"/>
      <c r="O14" s="33"/>
      <c r="P14" s="33"/>
      <c r="Q14" s="68"/>
      <c r="S14" s="8"/>
      <c r="T14" s="8"/>
    </row>
    <row r="15" spans="2:20" s="9" customFormat="1" ht="26.25" customHeight="1" thickBot="1">
      <c r="B15" s="102"/>
      <c r="C15" s="172" t="s">
        <v>618</v>
      </c>
      <c r="G15" s="123"/>
      <c r="L15" s="33"/>
      <c r="M15" s="33"/>
      <c r="N15" s="33"/>
      <c r="O15" s="33"/>
      <c r="P15" s="33"/>
      <c r="Q15" s="68"/>
      <c r="S15" s="8"/>
      <c r="T15" s="8"/>
    </row>
    <row r="16" spans="2:20" s="9" customFormat="1" ht="26.25" customHeight="1" thickBot="1">
      <c r="B16" s="102"/>
      <c r="C16" s="172" t="s">
        <v>619</v>
      </c>
      <c r="G16" s="123"/>
      <c r="L16" s="33"/>
      <c r="M16" s="33"/>
      <c r="N16" s="33"/>
      <c r="O16" s="33"/>
      <c r="P16" s="33"/>
      <c r="Q16" s="68"/>
      <c r="S16" s="8"/>
      <c r="T16" s="8"/>
    </row>
    <row r="17" spans="2:20" s="9" customFormat="1" ht="26.25" customHeight="1" thickBot="1">
      <c r="B17" s="102"/>
      <c r="C17" s="124" t="s">
        <v>620</v>
      </c>
      <c r="G17" s="109"/>
      <c r="L17" s="33"/>
      <c r="M17" s="33"/>
      <c r="N17" s="33"/>
      <c r="O17" s="33"/>
      <c r="P17" s="33"/>
      <c r="Q17" s="68"/>
      <c r="S17" s="8"/>
      <c r="T17" s="8"/>
    </row>
    <row r="18" spans="2:20" s="9" customFormat="1" ht="26.25" customHeight="1" thickBot="1">
      <c r="B18" s="102"/>
      <c r="C18" s="124" t="s">
        <v>621</v>
      </c>
      <c r="G18" s="123"/>
      <c r="L18" s="33"/>
      <c r="M18" s="33"/>
      <c r="N18" s="33"/>
      <c r="O18" s="33"/>
      <c r="P18" s="33"/>
      <c r="Q18" s="68"/>
      <c r="S18" s="8"/>
      <c r="T18" s="8"/>
    </row>
    <row r="19" spans="2:20" s="9" customFormat="1" ht="26.25" customHeight="1" thickBot="1">
      <c r="B19" s="102"/>
      <c r="C19" s="124" t="s">
        <v>623</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539</v>
      </c>
      <c r="C21" s="243" t="s">
        <v>470</v>
      </c>
      <c r="D21" s="243" t="s">
        <v>446</v>
      </c>
      <c r="E21" s="243" t="s">
        <v>438</v>
      </c>
      <c r="F21" s="243" t="s">
        <v>552</v>
      </c>
      <c r="G21" s="40"/>
      <c r="M21" s="25"/>
      <c r="T21" s="25"/>
    </row>
    <row r="22" spans="2:20" s="103" customFormat="1" ht="36" customHeight="1">
      <c r="B22" s="647" t="s">
        <v>542</v>
      </c>
      <c r="C22" s="653" t="s">
        <v>436</v>
      </c>
      <c r="D22" s="656" t="s">
        <v>442</v>
      </c>
      <c r="E22" s="660" t="s">
        <v>582</v>
      </c>
      <c r="F22" s="656" t="s">
        <v>447</v>
      </c>
      <c r="G22" s="174"/>
      <c r="M22" s="645"/>
      <c r="T22" s="645"/>
    </row>
    <row r="23" spans="2:20" s="103" customFormat="1" ht="35.25" customHeight="1">
      <c r="B23" s="648" t="s">
        <v>457</v>
      </c>
      <c r="C23" s="654" t="s">
        <v>437</v>
      </c>
      <c r="D23" s="657" t="s">
        <v>443</v>
      </c>
      <c r="E23" s="661" t="s">
        <v>582</v>
      </c>
      <c r="F23" s="657" t="s">
        <v>447</v>
      </c>
      <c r="G23" s="174"/>
      <c r="M23" s="645"/>
      <c r="T23" s="645"/>
    </row>
    <row r="24" spans="2:20" s="103" customFormat="1" ht="34.5" customHeight="1">
      <c r="B24" s="648" t="s">
        <v>454</v>
      </c>
      <c r="C24" s="654" t="s">
        <v>437</v>
      </c>
      <c r="D24" s="657" t="s">
        <v>444</v>
      </c>
      <c r="E24" s="661" t="s">
        <v>582</v>
      </c>
      <c r="F24" s="657" t="s">
        <v>447</v>
      </c>
      <c r="G24" s="174"/>
      <c r="M24" s="645"/>
      <c r="T24" s="645"/>
    </row>
    <row r="25" spans="2:20" s="103" customFormat="1" ht="32.25" customHeight="1">
      <c r="B25" s="649" t="s">
        <v>455</v>
      </c>
      <c r="C25" s="654" t="s">
        <v>436</v>
      </c>
      <c r="D25" s="657" t="s">
        <v>445</v>
      </c>
      <c r="E25" s="662" t="s">
        <v>601</v>
      </c>
      <c r="F25" s="665"/>
      <c r="G25" s="174"/>
      <c r="M25" s="645"/>
      <c r="T25" s="645"/>
    </row>
    <row r="26" spans="2:20" s="103" customFormat="1" ht="30.75" customHeight="1">
      <c r="B26" s="650" t="s">
        <v>540</v>
      </c>
      <c r="C26" s="654" t="s">
        <v>436</v>
      </c>
      <c r="D26" s="657"/>
      <c r="E26" s="662"/>
      <c r="F26" s="665"/>
      <c r="G26" s="174"/>
      <c r="M26" s="645"/>
      <c r="T26" s="645"/>
    </row>
    <row r="27" spans="2:20" s="103" customFormat="1" ht="32.25" customHeight="1">
      <c r="B27" s="651" t="s">
        <v>541</v>
      </c>
      <c r="C27" s="654" t="s">
        <v>436</v>
      </c>
      <c r="D27" s="658" t="s">
        <v>537</v>
      </c>
      <c r="E27" s="662"/>
      <c r="F27" s="665"/>
      <c r="G27" s="174"/>
      <c r="M27" s="645"/>
      <c r="T27" s="645"/>
    </row>
    <row r="28" spans="2:20" s="103" customFormat="1" ht="27" customHeight="1">
      <c r="B28" s="649" t="s">
        <v>456</v>
      </c>
      <c r="C28" s="654" t="s">
        <v>439</v>
      </c>
      <c r="D28" s="657" t="s">
        <v>481</v>
      </c>
      <c r="E28" s="662" t="s">
        <v>458</v>
      </c>
      <c r="F28" s="665"/>
      <c r="G28" s="174"/>
      <c r="M28" s="645"/>
      <c r="T28" s="645"/>
    </row>
    <row r="29" spans="2:20" s="103" customFormat="1" ht="27" customHeight="1">
      <c r="B29" s="651" t="s">
        <v>451</v>
      </c>
      <c r="C29" s="654" t="s">
        <v>436</v>
      </c>
      <c r="D29" s="657"/>
      <c r="E29" s="662"/>
      <c r="F29" s="657" t="s">
        <v>407</v>
      </c>
      <c r="G29" s="174"/>
      <c r="M29" s="645"/>
      <c r="T29" s="645"/>
    </row>
    <row r="30" spans="2:20" s="103" customFormat="1" ht="32.25" customHeight="1">
      <c r="B30" s="649" t="s">
        <v>207</v>
      </c>
      <c r="C30" s="654" t="s">
        <v>441</v>
      </c>
      <c r="D30" s="657" t="s">
        <v>554</v>
      </c>
      <c r="E30" s="663"/>
      <c r="F30" s="657" t="s">
        <v>553</v>
      </c>
      <c r="G30" s="646"/>
      <c r="M30" s="645"/>
    </row>
    <row r="31" spans="2:20" s="103" customFormat="1" ht="27.75" customHeight="1">
      <c r="B31" s="652" t="s">
        <v>538</v>
      </c>
      <c r="C31" s="655" t="s">
        <v>440</v>
      </c>
      <c r="D31" s="659"/>
      <c r="E31" s="664"/>
      <c r="F31" s="659"/>
      <c r="G31" s="646"/>
      <c r="M31" s="645"/>
    </row>
    <row r="32" spans="2:20" s="103" customFormat="1" ht="23.25" customHeight="1">
      <c r="C32" s="175"/>
      <c r="D32" s="175"/>
      <c r="E32" s="175"/>
      <c r="G32" s="646"/>
      <c r="M32" s="645"/>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410</v>
      </c>
      <c r="B1" s="8" t="s">
        <v>41</v>
      </c>
      <c r="C1" s="120" t="s">
        <v>234</v>
      </c>
      <c r="D1" s="8" t="s">
        <v>414</v>
      </c>
      <c r="E1" s="120" t="s">
        <v>449</v>
      </c>
      <c r="F1" s="120" t="s">
        <v>548</v>
      </c>
      <c r="G1" s="120" t="s">
        <v>565</v>
      </c>
      <c r="H1" s="120" t="s">
        <v>576</v>
      </c>
    </row>
    <row r="2" spans="1:8">
      <c r="A2" s="12" t="s">
        <v>29</v>
      </c>
      <c r="B2" s="12" t="s">
        <v>27</v>
      </c>
      <c r="C2" s="10">
        <v>2006</v>
      </c>
      <c r="D2" s="12" t="s">
        <v>415</v>
      </c>
      <c r="E2" s="10">
        <f>'2. LRAMVA Threshold'!D9</f>
        <v>2016</v>
      </c>
      <c r="F2" s="26" t="s">
        <v>170</v>
      </c>
      <c r="G2" s="12" t="s">
        <v>566</v>
      </c>
      <c r="H2" s="12" t="s">
        <v>584</v>
      </c>
    </row>
    <row r="3" spans="1:8">
      <c r="A3" s="12" t="s">
        <v>371</v>
      </c>
      <c r="B3" s="12" t="s">
        <v>27</v>
      </c>
      <c r="C3" s="10">
        <v>2007</v>
      </c>
      <c r="D3" s="12" t="s">
        <v>416</v>
      </c>
      <c r="E3" s="10">
        <f>'2. LRAMVA Threshold'!D24</f>
        <v>2012</v>
      </c>
      <c r="F3" s="12" t="s">
        <v>549</v>
      </c>
      <c r="G3" s="12" t="s">
        <v>567</v>
      </c>
      <c r="H3" s="12" t="s">
        <v>577</v>
      </c>
    </row>
    <row r="4" spans="1:8">
      <c r="A4" s="12" t="s">
        <v>372</v>
      </c>
      <c r="B4" s="12" t="s">
        <v>28</v>
      </c>
      <c r="C4" s="10">
        <v>2008</v>
      </c>
      <c r="D4" s="12" t="s">
        <v>417</v>
      </c>
      <c r="F4" s="12" t="s">
        <v>169</v>
      </c>
      <c r="G4" s="12" t="s">
        <v>568</v>
      </c>
    </row>
    <row r="5" spans="1:8">
      <c r="A5" s="12" t="s">
        <v>373</v>
      </c>
      <c r="B5" s="12" t="s">
        <v>28</v>
      </c>
      <c r="C5" s="10">
        <v>2009</v>
      </c>
      <c r="F5" s="12" t="s">
        <v>368</v>
      </c>
      <c r="G5" s="12" t="s">
        <v>569</v>
      </c>
    </row>
    <row r="6" spans="1:8">
      <c r="A6" s="12" t="s">
        <v>374</v>
      </c>
      <c r="B6" s="12" t="s">
        <v>28</v>
      </c>
      <c r="C6" s="10">
        <v>2010</v>
      </c>
      <c r="F6" s="12" t="s">
        <v>369</v>
      </c>
      <c r="G6" s="12" t="s">
        <v>570</v>
      </c>
    </row>
    <row r="7" spans="1:8">
      <c r="A7" s="12" t="s">
        <v>375</v>
      </c>
      <c r="B7" s="12" t="s">
        <v>28</v>
      </c>
      <c r="C7" s="10">
        <v>2011</v>
      </c>
      <c r="F7" s="12" t="s">
        <v>370</v>
      </c>
      <c r="G7" s="12" t="s">
        <v>571</v>
      </c>
    </row>
    <row r="8" spans="1:8">
      <c r="A8" s="12" t="s">
        <v>376</v>
      </c>
      <c r="B8" s="12" t="s">
        <v>28</v>
      </c>
      <c r="C8" s="10">
        <v>2012</v>
      </c>
      <c r="F8" s="12" t="s">
        <v>557</v>
      </c>
      <c r="G8" s="12" t="s">
        <v>572</v>
      </c>
    </row>
    <row r="9" spans="1:8">
      <c r="A9" s="12" t="s">
        <v>377</v>
      </c>
      <c r="B9" s="12" t="s">
        <v>28</v>
      </c>
      <c r="C9" s="10">
        <v>2013</v>
      </c>
      <c r="G9" s="12" t="s">
        <v>573</v>
      </c>
    </row>
    <row r="10" spans="1:8">
      <c r="A10" s="12" t="s">
        <v>378</v>
      </c>
      <c r="B10" s="12" t="s">
        <v>28</v>
      </c>
      <c r="C10" s="10">
        <v>2014</v>
      </c>
      <c r="G10" s="12" t="s">
        <v>574</v>
      </c>
    </row>
    <row r="11" spans="1:8">
      <c r="A11" s="12" t="s">
        <v>379</v>
      </c>
      <c r="B11" s="12" t="s">
        <v>28</v>
      </c>
      <c r="C11" s="10">
        <v>2015</v>
      </c>
      <c r="G11" s="12" t="s">
        <v>575</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V155"/>
  <sheetViews>
    <sheetView tabSelected="1" zoomScale="85" zoomScaleNormal="85" workbookViewId="0">
      <selection activeCell="I7" sqref="I7"/>
    </sheetView>
  </sheetViews>
  <sheetFormatPr defaultColWidth="9" defaultRowHeight="15.75"/>
  <cols>
    <col min="1" max="1" width="2.570312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9" style="9" customWidth="1"/>
    <col min="9" max="9" width="23" style="9" customWidth="1"/>
    <col min="10" max="10" width="22" style="9" customWidth="1"/>
    <col min="11" max="11" width="19.5703125" style="9" customWidth="1"/>
    <col min="12" max="12" width="21.5703125" style="9" customWidth="1"/>
    <col min="13" max="14" width="24" style="9" hidden="1" customWidth="1"/>
    <col min="15" max="15" width="21.42578125" style="9" hidden="1" customWidth="1"/>
    <col min="16" max="16" width="22" style="9" hidden="1" customWidth="1"/>
    <col min="17" max="17" width="16.42578125" style="9" hidden="1" customWidth="1"/>
    <col min="18" max="18" width="15.5703125" style="9" customWidth="1"/>
    <col min="19"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550</v>
      </c>
      <c r="D6" s="17"/>
      <c r="E6" s="9"/>
      <c r="T6" s="9"/>
      <c r="V6" s="8"/>
    </row>
    <row r="7" spans="2:22" ht="21" customHeight="1">
      <c r="B7" s="537"/>
      <c r="C7" s="17"/>
      <c r="D7" s="17"/>
      <c r="E7" s="9"/>
      <c r="T7" s="9"/>
      <c r="V7" s="8"/>
    </row>
    <row r="8" spans="2:22" ht="24.75" customHeight="1">
      <c r="B8" s="117" t="s">
        <v>239</v>
      </c>
      <c r="C8" s="189" t="s">
        <v>754</v>
      </c>
      <c r="D8" s="601"/>
      <c r="E8" s="9"/>
      <c r="T8" s="9"/>
      <c r="V8" s="8"/>
    </row>
    <row r="9" spans="2:22" ht="41.25" customHeight="1">
      <c r="B9" s="551" t="s">
        <v>519</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555</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507</v>
      </c>
      <c r="C13" s="17"/>
      <c r="F13" s="185" t="s">
        <v>508</v>
      </c>
      <c r="G13" s="36"/>
      <c r="H13" s="31"/>
      <c r="I13" s="9"/>
      <c r="J13" s="184" t="s">
        <v>505</v>
      </c>
      <c r="N13" s="103"/>
      <c r="P13" s="9"/>
      <c r="Q13" s="187"/>
      <c r="R13" s="42"/>
      <c r="T13" s="186"/>
      <c r="U13" s="186"/>
    </row>
    <row r="14" spans="2:22" ht="29.25" customHeight="1" thickBot="1">
      <c r="B14" s="124" t="s">
        <v>546</v>
      </c>
      <c r="D14" s="542" t="s">
        <v>783</v>
      </c>
      <c r="E14" s="130"/>
      <c r="F14" s="124" t="s">
        <v>547</v>
      </c>
      <c r="H14" s="542" t="s">
        <v>781</v>
      </c>
      <c r="J14" s="124" t="s">
        <v>514</v>
      </c>
      <c r="L14" s="132"/>
      <c r="N14" s="103"/>
      <c r="Q14" s="99"/>
      <c r="R14" s="96"/>
    </row>
    <row r="15" spans="2:22" ht="26.25" customHeight="1" thickBot="1">
      <c r="B15" s="124" t="s">
        <v>423</v>
      </c>
      <c r="C15" s="106"/>
      <c r="D15" s="542" t="s">
        <v>784</v>
      </c>
      <c r="F15" s="124" t="s">
        <v>413</v>
      </c>
      <c r="G15" s="127"/>
      <c r="H15" s="542" t="s">
        <v>782</v>
      </c>
      <c r="I15" s="17"/>
      <c r="J15" s="124" t="s">
        <v>515</v>
      </c>
      <c r="L15" s="132"/>
      <c r="M15" s="103"/>
      <c r="Q15" s="108"/>
      <c r="R15" s="96"/>
    </row>
    <row r="16" spans="2:22" ht="28.5" customHeight="1" thickBot="1">
      <c r="B16" s="124" t="s">
        <v>453</v>
      </c>
      <c r="C16" s="106"/>
      <c r="D16" s="543" t="s">
        <v>180</v>
      </c>
      <c r="E16" s="103"/>
      <c r="F16" s="124" t="s">
        <v>433</v>
      </c>
      <c r="G16" s="125"/>
      <c r="H16" s="543" t="s">
        <v>792</v>
      </c>
      <c r="I16" s="103"/>
      <c r="K16" s="195"/>
      <c r="L16" s="195"/>
      <c r="M16" s="195"/>
      <c r="N16" s="195"/>
      <c r="Q16" s="115"/>
      <c r="R16" s="96"/>
    </row>
    <row r="17" spans="1:21" ht="29.25" customHeight="1">
      <c r="B17" s="124" t="s">
        <v>420</v>
      </c>
      <c r="C17" s="106"/>
      <c r="D17" s="733">
        <v>24834.39</v>
      </c>
      <c r="E17" s="121"/>
      <c r="F17" s="740" t="s">
        <v>667</v>
      </c>
      <c r="G17" s="195"/>
      <c r="H17" s="734">
        <v>1</v>
      </c>
      <c r="I17" s="17"/>
      <c r="M17" s="195"/>
      <c r="N17" s="195"/>
      <c r="P17" s="99"/>
      <c r="Q17" s="99"/>
      <c r="R17" s="96"/>
    </row>
    <row r="18" spans="1:21" s="28" customFormat="1" ht="29.25" customHeight="1">
      <c r="B18" s="124"/>
      <c r="C18" s="735"/>
      <c r="D18" s="732"/>
      <c r="E18" s="736"/>
      <c r="F18" s="731"/>
      <c r="G18" s="737"/>
      <c r="H18" s="738"/>
      <c r="I18" s="163"/>
      <c r="M18" s="737"/>
      <c r="N18" s="737"/>
      <c r="P18" s="737"/>
      <c r="Q18" s="737"/>
      <c r="R18" s="739"/>
      <c r="T18" s="37"/>
      <c r="U18" s="37"/>
    </row>
    <row r="19" spans="1:21" ht="27.75" customHeight="1" thickBot="1">
      <c r="E19" s="9"/>
      <c r="F19" s="124" t="s">
        <v>434</v>
      </c>
      <c r="G19" s="603" t="s">
        <v>363</v>
      </c>
      <c r="H19" s="242">
        <f>SUM(R54,R57,R60,R63,R66,R69,R72,R75,R78,R81)</f>
        <v>187878.08186191763</v>
      </c>
      <c r="I19" s="17"/>
      <c r="J19" s="115"/>
      <c r="K19" s="115"/>
      <c r="L19" s="115"/>
      <c r="M19" s="115"/>
      <c r="N19" s="115"/>
      <c r="P19" s="115"/>
      <c r="Q19" s="115"/>
      <c r="R19" s="96"/>
    </row>
    <row r="20" spans="1:21" ht="27.75" customHeight="1" thickBot="1">
      <c r="E20" s="9"/>
      <c r="F20" s="124" t="s">
        <v>435</v>
      </c>
      <c r="G20" s="603" t="s">
        <v>364</v>
      </c>
      <c r="H20" s="131">
        <f>-SUM(R55,R58,R61,R64,R67,R70,R73,R76,R79,R82)</f>
        <v>88195.163900000014</v>
      </c>
      <c r="I20" s="17"/>
      <c r="J20" s="115"/>
      <c r="P20" s="115"/>
      <c r="Q20" s="115"/>
      <c r="R20" s="96"/>
    </row>
    <row r="21" spans="1:21" ht="27.75" customHeight="1" thickBot="1">
      <c r="C21" s="32"/>
      <c r="D21" s="32"/>
      <c r="E21" s="32"/>
      <c r="F21" s="124" t="s">
        <v>408</v>
      </c>
      <c r="G21" s="603" t="s">
        <v>365</v>
      </c>
      <c r="H21" s="188">
        <f>R84</f>
        <v>5817.7777094113608</v>
      </c>
      <c r="I21" s="103"/>
      <c r="P21" s="115"/>
      <c r="Q21" s="115"/>
      <c r="R21" s="96"/>
    </row>
    <row r="22" spans="1:21" ht="27.75" customHeight="1">
      <c r="C22" s="32"/>
      <c r="D22" s="32"/>
      <c r="E22" s="32"/>
      <c r="F22" s="124" t="s">
        <v>509</v>
      </c>
      <c r="G22" s="603" t="s">
        <v>448</v>
      </c>
      <c r="H22" s="188">
        <f>H19-H20+H21</f>
        <v>105500.69567132897</v>
      </c>
      <c r="I22" s="103"/>
      <c r="P22" s="195"/>
      <c r="Q22" s="195"/>
      <c r="R22" s="96"/>
    </row>
    <row r="23" spans="1:21" ht="22.5" customHeight="1">
      <c r="A23" s="28"/>
      <c r="E23" s="9"/>
    </row>
    <row r="24" spans="1:21" ht="13.5" customHeight="1">
      <c r="A24" s="28"/>
      <c r="B24" s="118" t="s">
        <v>418</v>
      </c>
      <c r="C24" s="35"/>
      <c r="E24" s="9"/>
    </row>
    <row r="25" spans="1:21" ht="13.5" customHeight="1">
      <c r="A25" s="28"/>
      <c r="B25" s="118"/>
      <c r="C25" s="35"/>
      <c r="E25" s="9"/>
    </row>
    <row r="26" spans="1:21" ht="124.5" customHeight="1">
      <c r="A26" s="28"/>
      <c r="B26" s="821" t="s">
        <v>674</v>
      </c>
      <c r="C26" s="821"/>
      <c r="D26" s="821"/>
      <c r="E26" s="821"/>
      <c r="F26" s="821"/>
      <c r="G26" s="821"/>
    </row>
    <row r="27" spans="1:21" ht="14.25" customHeight="1">
      <c r="A27" s="28"/>
      <c r="B27" s="548"/>
      <c r="C27" s="548"/>
      <c r="D27" s="538"/>
      <c r="E27" s="538"/>
      <c r="F27" s="538"/>
      <c r="G27" s="548"/>
    </row>
    <row r="28" spans="1:21" s="17" customFormat="1" ht="27" customHeight="1">
      <c r="B28" s="824" t="s">
        <v>506</v>
      </c>
      <c r="C28" s="825"/>
      <c r="D28" s="133" t="s">
        <v>41</v>
      </c>
      <c r="E28" s="134" t="s">
        <v>665</v>
      </c>
      <c r="F28" s="134" t="s">
        <v>408</v>
      </c>
      <c r="G28" s="135" t="s">
        <v>409</v>
      </c>
      <c r="T28" s="136"/>
      <c r="U28" s="136"/>
    </row>
    <row r="29" spans="1:21" ht="20.25" customHeight="1">
      <c r="B29" s="819" t="s">
        <v>29</v>
      </c>
      <c r="C29" s="820"/>
      <c r="D29" s="638" t="s">
        <v>27</v>
      </c>
      <c r="E29" s="138">
        <f>SUM(D54:D82)</f>
        <v>27890.839234264044</v>
      </c>
      <c r="F29" s="139">
        <f>D84</f>
        <v>1915.8059926639512</v>
      </c>
      <c r="G29" s="138">
        <f>E29+F29</f>
        <v>29806.645226927994</v>
      </c>
    </row>
    <row r="30" spans="1:21" ht="20.25" customHeight="1">
      <c r="B30" s="819" t="s">
        <v>371</v>
      </c>
      <c r="C30" s="820"/>
      <c r="D30" s="638" t="s">
        <v>27</v>
      </c>
      <c r="E30" s="140">
        <f>SUM(E54:E82)</f>
        <v>45488.471577795746</v>
      </c>
      <c r="F30" s="141">
        <f>E84</f>
        <v>2510.8442245402102</v>
      </c>
      <c r="G30" s="140">
        <f>E30+F30</f>
        <v>47999.315802335957</v>
      </c>
    </row>
    <row r="31" spans="1:21" ht="20.25" customHeight="1">
      <c r="B31" s="819" t="s">
        <v>785</v>
      </c>
      <c r="C31" s="820"/>
      <c r="D31" s="638" t="s">
        <v>28</v>
      </c>
      <c r="E31" s="140">
        <f>SUM(F54:F82)</f>
        <v>26303.607149857824</v>
      </c>
      <c r="F31" s="141">
        <f>F84</f>
        <v>1391.1274922071991</v>
      </c>
      <c r="G31" s="140">
        <f t="shared" ref="G31:G34" si="0">E31+F31</f>
        <v>27694.734642065025</v>
      </c>
    </row>
    <row r="32" spans="1:21" ht="20.25" customHeight="1">
      <c r="B32" s="819" t="s">
        <v>786</v>
      </c>
      <c r="C32" s="820"/>
      <c r="D32" s="638" t="s">
        <v>28</v>
      </c>
      <c r="E32" s="140">
        <f>SUM(G54:G82)</f>
        <v>0</v>
      </c>
      <c r="F32" s="141">
        <f>G84</f>
        <v>0</v>
      </c>
      <c r="G32" s="140">
        <f t="shared" si="0"/>
        <v>0</v>
      </c>
    </row>
    <row r="33" spans="2:22" ht="20.25" customHeight="1">
      <c r="B33" s="819" t="s">
        <v>787</v>
      </c>
      <c r="C33" s="820"/>
      <c r="D33" s="638" t="s">
        <v>27</v>
      </c>
      <c r="E33" s="140">
        <f>SUM(H54:H82)</f>
        <v>0</v>
      </c>
      <c r="F33" s="141">
        <f>H84</f>
        <v>0</v>
      </c>
      <c r="G33" s="140">
        <f>E33+F33</f>
        <v>0</v>
      </c>
    </row>
    <row r="34" spans="2:22" ht="20.25" customHeight="1">
      <c r="B34" s="819" t="s">
        <v>395</v>
      </c>
      <c r="C34" s="820"/>
      <c r="D34" s="638" t="s">
        <v>28</v>
      </c>
      <c r="E34" s="140">
        <f>SUM(I54:I82)</f>
        <v>0</v>
      </c>
      <c r="F34" s="141">
        <f>I84</f>
        <v>0</v>
      </c>
      <c r="G34" s="140">
        <f t="shared" si="0"/>
        <v>0</v>
      </c>
    </row>
    <row r="35" spans="2:22" ht="20.25" customHeight="1">
      <c r="B35" s="819"/>
      <c r="C35" s="820"/>
      <c r="D35" s="638"/>
      <c r="E35" s="140">
        <f>SUM(J54:J80)</f>
        <v>0</v>
      </c>
      <c r="F35" s="141">
        <f>J84</f>
        <v>0</v>
      </c>
      <c r="G35" s="140">
        <f>E35+F35</f>
        <v>0</v>
      </c>
    </row>
    <row r="36" spans="2:22" ht="20.25" customHeight="1">
      <c r="B36" s="819"/>
      <c r="C36" s="820"/>
      <c r="D36" s="638"/>
      <c r="E36" s="140">
        <f>SUM(K54:K80)</f>
        <v>0</v>
      </c>
      <c r="F36" s="141">
        <f>K84</f>
        <v>0</v>
      </c>
      <c r="G36" s="140">
        <f t="shared" ref="G36:G42" si="1">E36+F36</f>
        <v>0</v>
      </c>
    </row>
    <row r="37" spans="2:22" ht="20.25" customHeight="1">
      <c r="B37" s="819"/>
      <c r="C37" s="820"/>
      <c r="D37" s="638"/>
      <c r="E37" s="140">
        <f>SUM(L54:L80)</f>
        <v>0</v>
      </c>
      <c r="F37" s="141">
        <f>L84</f>
        <v>0</v>
      </c>
      <c r="G37" s="140">
        <f t="shared" si="1"/>
        <v>0</v>
      </c>
    </row>
    <row r="38" spans="2:22" ht="20.25" customHeight="1">
      <c r="B38" s="819"/>
      <c r="C38" s="820"/>
      <c r="D38" s="638"/>
      <c r="E38" s="140">
        <f>SUM(M54:M80)</f>
        <v>0</v>
      </c>
      <c r="F38" s="141">
        <f>M84</f>
        <v>0</v>
      </c>
      <c r="G38" s="140">
        <f t="shared" si="1"/>
        <v>0</v>
      </c>
    </row>
    <row r="39" spans="2:22" ht="20.25" customHeight="1">
      <c r="B39" s="819"/>
      <c r="C39" s="820"/>
      <c r="D39" s="638"/>
      <c r="E39" s="140">
        <f>SUM(N54:N80)</f>
        <v>0</v>
      </c>
      <c r="F39" s="141">
        <f>N84</f>
        <v>0</v>
      </c>
      <c r="G39" s="140">
        <f t="shared" si="1"/>
        <v>0</v>
      </c>
    </row>
    <row r="40" spans="2:22" ht="20.25" customHeight="1">
      <c r="B40" s="819"/>
      <c r="C40" s="820"/>
      <c r="D40" s="638"/>
      <c r="E40" s="140">
        <f>SUM(O54:O80)</f>
        <v>0</v>
      </c>
      <c r="F40" s="141">
        <f>O84</f>
        <v>0</v>
      </c>
      <c r="G40" s="140">
        <f t="shared" si="1"/>
        <v>0</v>
      </c>
    </row>
    <row r="41" spans="2:22" ht="20.25" customHeight="1">
      <c r="B41" s="819"/>
      <c r="C41" s="820"/>
      <c r="D41" s="638"/>
      <c r="E41" s="140">
        <f>SUM(P54:P80)</f>
        <v>0</v>
      </c>
      <c r="F41" s="141">
        <f>P84</f>
        <v>0</v>
      </c>
      <c r="G41" s="140">
        <f t="shared" si="1"/>
        <v>0</v>
      </c>
    </row>
    <row r="42" spans="2:22" ht="20.25" customHeight="1">
      <c r="B42" s="819"/>
      <c r="C42" s="820"/>
      <c r="D42" s="639"/>
      <c r="E42" s="142">
        <f>SUM(Q54:Q80)</f>
        <v>0</v>
      </c>
      <c r="F42" s="143">
        <f>Q84</f>
        <v>0</v>
      </c>
      <c r="G42" s="142">
        <f t="shared" si="1"/>
        <v>0</v>
      </c>
    </row>
    <row r="43" spans="2:22" s="8" customFormat="1" ht="21" customHeight="1">
      <c r="B43" s="822" t="s">
        <v>26</v>
      </c>
      <c r="C43" s="823"/>
      <c r="D43" s="137"/>
      <c r="E43" s="144">
        <f>SUM(E29:E42)</f>
        <v>99682.917961917614</v>
      </c>
      <c r="F43" s="144">
        <f>SUM(F29:F42)</f>
        <v>5817.7777094113608</v>
      </c>
      <c r="G43" s="144">
        <f>SUM(G29:G42)</f>
        <v>105500.69567132898</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459</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21" t="s">
        <v>604</v>
      </c>
      <c r="C48" s="821"/>
      <c r="D48" s="821"/>
      <c r="E48" s="821"/>
      <c r="F48" s="821"/>
      <c r="G48" s="821"/>
      <c r="H48" s="821"/>
      <c r="I48" s="821"/>
      <c r="J48" s="821"/>
      <c r="K48" s="821"/>
      <c r="L48" s="821"/>
      <c r="M48" s="617"/>
      <c r="N48" s="105"/>
      <c r="O48" s="105"/>
      <c r="P48" s="105"/>
      <c r="Q48" s="105"/>
      <c r="R48" s="105"/>
      <c r="T48" s="37"/>
      <c r="U48" s="19"/>
      <c r="V48" s="38"/>
    </row>
    <row r="49" spans="2:22" s="28" customFormat="1" ht="41.1" customHeight="1">
      <c r="B49" s="821" t="s">
        <v>561</v>
      </c>
      <c r="C49" s="821"/>
      <c r="D49" s="821"/>
      <c r="E49" s="821"/>
      <c r="F49" s="821"/>
      <c r="G49" s="821"/>
      <c r="H49" s="821"/>
      <c r="I49" s="821"/>
      <c r="J49" s="821"/>
      <c r="K49" s="821"/>
      <c r="L49" s="821"/>
      <c r="M49" s="617"/>
      <c r="N49" s="105"/>
      <c r="O49" s="105"/>
      <c r="P49" s="105"/>
      <c r="Q49" s="105"/>
      <c r="R49" s="105"/>
      <c r="T49" s="37"/>
      <c r="U49" s="19"/>
      <c r="V49" s="38"/>
    </row>
    <row r="50" spans="2:22" s="28" customFormat="1" ht="18" customHeight="1">
      <c r="B50" s="821" t="s">
        <v>673</v>
      </c>
      <c r="C50" s="821"/>
      <c r="D50" s="821"/>
      <c r="E50" s="821"/>
      <c r="F50" s="821"/>
      <c r="G50" s="821"/>
      <c r="H50" s="821"/>
      <c r="I50" s="821"/>
      <c r="J50" s="821"/>
      <c r="K50" s="821"/>
      <c r="L50" s="821"/>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516</v>
      </c>
      <c r="D52" s="135" t="str">
        <f>IF($B29&lt;&gt;"",$B29,"")</f>
        <v>Residential</v>
      </c>
      <c r="E52" s="135" t="str">
        <f>IF($B30&lt;&gt;"",$B30,"")</f>
        <v>GS&lt;50 kW</v>
      </c>
      <c r="F52" s="135" t="str">
        <f>IF($B31&lt;&gt;"",$B31,"")</f>
        <v>GS 50 - 4,999 kW</v>
      </c>
      <c r="G52" s="135" t="str">
        <f>IF($B32&lt;&gt;"",$B32,"")</f>
        <v>Street Light</v>
      </c>
      <c r="H52" s="135" t="str">
        <f>IF($B33&lt;&gt;"",$B33,"")</f>
        <v>USL</v>
      </c>
      <c r="I52" s="135" t="str">
        <f>IF($B34&lt;&gt;"",$B34,"")</f>
        <v>Embedded Distributor</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v>
      </c>
      <c r="H53" s="576" t="str">
        <f>D33</f>
        <v>kWh</v>
      </c>
      <c r="I53" s="576" t="str">
        <f>D34</f>
        <v>kW</v>
      </c>
      <c r="J53" s="576">
        <f>D35</f>
        <v>0</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c r="E54" s="150"/>
      <c r="F54" s="150"/>
      <c r="G54" s="150"/>
      <c r="H54" s="150"/>
      <c r="I54" s="150"/>
      <c r="J54" s="150"/>
      <c r="K54" s="150"/>
      <c r="L54" s="150"/>
      <c r="M54" s="150"/>
      <c r="N54" s="150"/>
      <c r="O54" s="150"/>
      <c r="P54" s="150"/>
      <c r="Q54" s="150"/>
      <c r="R54" s="151"/>
      <c r="U54" s="152"/>
      <c r="V54" s="153"/>
    </row>
    <row r="55" spans="2:22" s="17" customFormat="1">
      <c r="B55" s="154" t="s">
        <v>35</v>
      </c>
      <c r="C55" s="155"/>
      <c r="D55" s="156"/>
      <c r="E55" s="156"/>
      <c r="F55" s="156"/>
      <c r="G55" s="156"/>
      <c r="H55" s="156"/>
      <c r="I55" s="156"/>
      <c r="J55" s="156"/>
      <c r="K55" s="156"/>
      <c r="L55" s="156"/>
      <c r="M55" s="156"/>
      <c r="N55" s="156"/>
      <c r="O55" s="156"/>
      <c r="P55" s="156"/>
      <c r="Q55" s="156"/>
      <c r="R55" s="157"/>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c r="E57" s="156"/>
      <c r="F57" s="156"/>
      <c r="G57" s="156"/>
      <c r="H57" s="156"/>
      <c r="I57" s="156"/>
      <c r="J57" s="156"/>
      <c r="K57" s="156"/>
      <c r="L57" s="156"/>
      <c r="M57" s="156"/>
      <c r="N57" s="156"/>
      <c r="O57" s="156"/>
      <c r="P57" s="156"/>
      <c r="Q57" s="156"/>
      <c r="R57" s="157"/>
      <c r="U57" s="152"/>
      <c r="V57" s="153"/>
    </row>
    <row r="58" spans="2:22" s="17" customFormat="1">
      <c r="B58" s="154" t="s">
        <v>36</v>
      </c>
      <c r="C58" s="155"/>
      <c r="D58" s="156"/>
      <c r="E58" s="156"/>
      <c r="F58" s="156"/>
      <c r="G58" s="156"/>
      <c r="H58" s="156"/>
      <c r="I58" s="156"/>
      <c r="J58" s="156"/>
      <c r="K58" s="156"/>
      <c r="L58" s="156"/>
      <c r="M58" s="156"/>
      <c r="N58" s="156"/>
      <c r="O58" s="156"/>
      <c r="P58" s="156"/>
      <c r="Q58" s="156"/>
      <c r="R58" s="157"/>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c r="E60" s="156"/>
      <c r="F60" s="156"/>
      <c r="G60" s="156"/>
      <c r="H60" s="156"/>
      <c r="I60" s="156"/>
      <c r="J60" s="156"/>
      <c r="K60" s="156"/>
      <c r="L60" s="156"/>
      <c r="M60" s="156"/>
      <c r="N60" s="156"/>
      <c r="O60" s="156"/>
      <c r="P60" s="156"/>
      <c r="Q60" s="156"/>
      <c r="R60" s="157"/>
      <c r="U60" s="152"/>
      <c r="V60" s="153"/>
    </row>
    <row r="61" spans="2:22" s="163" customFormat="1">
      <c r="B61" s="154" t="s">
        <v>37</v>
      </c>
      <c r="C61" s="155"/>
      <c r="D61" s="156"/>
      <c r="E61" s="156"/>
      <c r="F61" s="156"/>
      <c r="G61" s="156"/>
      <c r="H61" s="156"/>
      <c r="I61" s="156"/>
      <c r="J61" s="156"/>
      <c r="K61" s="156"/>
      <c r="L61" s="156"/>
      <c r="M61" s="156"/>
      <c r="N61" s="156"/>
      <c r="O61" s="156"/>
      <c r="P61" s="156"/>
      <c r="Q61" s="156"/>
      <c r="R61" s="157"/>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c r="E63" s="156"/>
      <c r="F63" s="156"/>
      <c r="G63" s="156"/>
      <c r="H63" s="156"/>
      <c r="I63" s="156"/>
      <c r="J63" s="156"/>
      <c r="K63" s="156"/>
      <c r="L63" s="156"/>
      <c r="M63" s="156"/>
      <c r="N63" s="156"/>
      <c r="O63" s="156"/>
      <c r="P63" s="156"/>
      <c r="Q63" s="156"/>
      <c r="R63" s="157"/>
      <c r="U63" s="152"/>
      <c r="V63" s="153"/>
    </row>
    <row r="64" spans="2:22" s="163" customFormat="1">
      <c r="B64" s="154" t="s">
        <v>39</v>
      </c>
      <c r="C64" s="155"/>
      <c r="D64" s="156"/>
      <c r="E64" s="156"/>
      <c r="F64" s="156"/>
      <c r="G64" s="156"/>
      <c r="H64" s="156"/>
      <c r="I64" s="156"/>
      <c r="J64" s="156"/>
      <c r="K64" s="156"/>
      <c r="L64" s="156"/>
      <c r="M64" s="156"/>
      <c r="N64" s="156"/>
      <c r="O64" s="156"/>
      <c r="P64" s="156"/>
      <c r="Q64" s="156"/>
      <c r="R64" s="157"/>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f>'5.  2015-2020 LRAM'!Y204</f>
        <v>17904.511565464039</v>
      </c>
      <c r="E66" s="164">
        <f>'5.  2015-2020 LRAM'!Z204</f>
        <v>22046.49734013504</v>
      </c>
      <c r="F66" s="164">
        <f>'5.  2015-2020 LRAM'!AA204</f>
        <v>9906.2219737303603</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49857.230879329443</v>
      </c>
      <c r="U66" s="152"/>
      <c r="V66" s="153"/>
    </row>
    <row r="67" spans="2:22" s="163" customFormat="1">
      <c r="B67" s="154" t="s">
        <v>93</v>
      </c>
      <c r="C67" s="155"/>
      <c r="D67" s="164">
        <f>-'5.  2015-2020 LRAM'!Y205</f>
        <v>-10559.500599999999</v>
      </c>
      <c r="E67" s="164">
        <f>-'5.  2015-2020 LRAM'!Z205</f>
        <v>-2260.9421000000002</v>
      </c>
      <c r="F67" s="164">
        <f>-'5.  2015-2020 LRAM'!AA205</f>
        <v>-2124.1744000000003</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-14944.617099999999</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f>'5.  2015-2020 LRAM'!Y388</f>
        <v>13220.739600000001</v>
      </c>
      <c r="E69" s="156">
        <f>'5.  2015-2020 LRAM'!Z388</f>
        <v>4031.9137068164887</v>
      </c>
      <c r="F69" s="156">
        <f>'5.  2015-2020 LRAM'!AA388</f>
        <v>3245.0500966715017</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20497.703403487991</v>
      </c>
      <c r="U69" s="152"/>
      <c r="V69" s="153"/>
    </row>
    <row r="70" spans="2:22" s="163" customFormat="1">
      <c r="B70" s="154" t="s">
        <v>224</v>
      </c>
      <c r="C70" s="155"/>
      <c r="D70" s="156">
        <f>-'5.  2015-2020 LRAM'!Y389</f>
        <v>-12794.904</v>
      </c>
      <c r="E70" s="156">
        <f>-'5.  2015-2020 LRAM'!Z389</f>
        <v>-5611.8</v>
      </c>
      <c r="F70" s="156">
        <f>-'5.  2015-2020 LRAM'!AA389</f>
        <v>-2179.2498000000001</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-20585.953800000003</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f>'5.  2015-2020 LRAM'!Y572</f>
        <v>20794.2942</v>
      </c>
      <c r="E72" s="156">
        <f>'5.  2015-2020 LRAM'!Z572</f>
        <v>10014.126247680204</v>
      </c>
      <c r="F72" s="156">
        <f>'5.  2015-2020 LRAM'!AA572</f>
        <v>6157.1707670825435</v>
      </c>
      <c r="G72" s="156">
        <f>'5.  2015-2020 LRAM'!AB572</f>
        <v>0</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36965.591214762746</v>
      </c>
      <c r="U72" s="152"/>
      <c r="V72" s="153"/>
    </row>
    <row r="73" spans="2:22" s="163" customFormat="1">
      <c r="B73" s="154" t="s">
        <v>226</v>
      </c>
      <c r="C73" s="155"/>
      <c r="D73" s="156">
        <f>-'5.  2015-2020 LRAM'!Y573</f>
        <v>-7519.8119999999999</v>
      </c>
      <c r="E73" s="156">
        <f>-'5.  2015-2020 LRAM'!Z573</f>
        <v>-7108.28</v>
      </c>
      <c r="F73" s="156">
        <f>-'5.  2015-2020 LRAM'!AA573</f>
        <v>-3027.7433999999998</v>
      </c>
      <c r="G73" s="156">
        <f>-'5.  2015-2020 LRAM'!AB573</f>
        <v>0</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-17655.8354</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c r="B75" s="154" t="s">
        <v>229</v>
      </c>
      <c r="C75" s="535"/>
      <c r="D75" s="156">
        <f>'5.  2015-2020 LRAM'!Y756</f>
        <v>10661.5344688</v>
      </c>
      <c r="E75" s="156">
        <f>'5.  2015-2020 LRAM'!Z756</f>
        <v>14223.964003703821</v>
      </c>
      <c r="F75" s="156">
        <f>'5.  2015-2020 LRAM'!AA756</f>
        <v>7623.1947574905871</v>
      </c>
      <c r="G75" s="156">
        <f>'5.  2015-2020 LRAM'!AB756</f>
        <v>0</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32508.693229994409</v>
      </c>
      <c r="U75" s="152"/>
      <c r="V75" s="153"/>
    </row>
    <row r="76" spans="2:22" s="163" customFormat="1" ht="16.5" customHeight="1">
      <c r="B76" s="154" t="s">
        <v>228</v>
      </c>
      <c r="C76" s="155"/>
      <c r="D76" s="156">
        <f>-'5.  2015-2020 LRAM'!Y757</f>
        <v>-3816.0239999999999</v>
      </c>
      <c r="E76" s="156">
        <f>-'5.  2015-2020 LRAM'!Z757</f>
        <v>-7183.1039999999994</v>
      </c>
      <c r="F76" s="156">
        <f>-'5.  2015-2020 LRAM'!AA757</f>
        <v>-3043.3746000000001</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-14042.5026</v>
      </c>
      <c r="S76" s="158"/>
      <c r="U76" s="152"/>
      <c r="V76" s="153"/>
    </row>
    <row r="77" spans="2:22" s="136" customFormat="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LRAM'!Y940</f>
        <v>0</v>
      </c>
      <c r="E78" s="156">
        <f>'5.  2015-2020 LRAM'!Z940</f>
        <v>16442.121981396289</v>
      </c>
      <c r="F78" s="156">
        <f>'5.  2015-2020 LRAM'!AA940</f>
        <v>7920.8034455242614</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24362.925426920548</v>
      </c>
      <c r="U78" s="152"/>
      <c r="V78" s="153"/>
    </row>
    <row r="79" spans="2:22" s="163" customFormat="1">
      <c r="B79" s="154" t="s">
        <v>230</v>
      </c>
      <c r="C79" s="155"/>
      <c r="D79" s="156">
        <f>-'5.  2015-2020 LRAM'!Y941</f>
        <v>0</v>
      </c>
      <c r="E79" s="156">
        <f>-'5.  2015-2020 LRAM'!Z941</f>
        <v>-7295.34</v>
      </c>
      <c r="F79" s="156">
        <f>-'5.  2015-2020 LRAM'!AA941</f>
        <v>-3084.4566</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-10379.7966</v>
      </c>
      <c r="S79" s="158"/>
      <c r="U79" s="152"/>
      <c r="V79" s="153"/>
    </row>
    <row r="80" spans="2:22" s="136" customFormat="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c r="B81" s="154" t="s">
        <v>233</v>
      </c>
      <c r="C81" s="535"/>
      <c r="D81" s="156">
        <f>'5.  2015-2020 LRAM'!Y1124</f>
        <v>0</v>
      </c>
      <c r="E81" s="156">
        <f>'5.  2015-2020 LRAM'!Z1124</f>
        <v>15634.302398063897</v>
      </c>
      <c r="F81" s="156">
        <f>'5.  2015-2020 LRAM'!AA1124</f>
        <v>8051.6353093585676</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23685.937707422465</v>
      </c>
      <c r="U81" s="152"/>
      <c r="V81" s="153"/>
    </row>
    <row r="82" spans="2:22" s="163" customFormat="1">
      <c r="B82" s="154" t="s">
        <v>232</v>
      </c>
      <c r="C82" s="155"/>
      <c r="D82" s="156">
        <f>-'5.  2015-2020 LRAM'!Y1125</f>
        <v>0</v>
      </c>
      <c r="E82" s="156">
        <f>-'5.  2015-2020 LRAM'!Z1125</f>
        <v>-7444.9880000000003</v>
      </c>
      <c r="F82" s="156">
        <f>-'5.  2015-2020 LRAM'!AA1125</f>
        <v>-3141.4704000000002</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-10586.4584</v>
      </c>
      <c r="S82" s="158"/>
      <c r="U82" s="152"/>
      <c r="V82" s="153"/>
    </row>
    <row r="83" spans="2:22" s="136" customFormat="1">
      <c r="B83" s="625" t="s">
        <v>67</v>
      </c>
      <c r="C83" s="621"/>
      <c r="D83" s="160"/>
      <c r="E83" s="160"/>
      <c r="F83" s="160"/>
      <c r="G83" s="160"/>
      <c r="H83" s="160"/>
      <c r="I83" s="160"/>
      <c r="J83" s="160"/>
      <c r="K83" s="161"/>
      <c r="L83" s="161"/>
      <c r="M83" s="161"/>
      <c r="N83" s="161"/>
      <c r="O83" s="161"/>
      <c r="P83" s="161"/>
      <c r="Q83" s="161"/>
      <c r="R83" s="162"/>
      <c r="U83" s="159"/>
      <c r="V83" s="153"/>
    </row>
    <row r="84" spans="2:22" s="17" customFormat="1">
      <c r="B84" s="622" t="s">
        <v>43</v>
      </c>
      <c r="C84" s="621"/>
      <c r="D84" s="679">
        <f>'6.  Carrying Charges'!I237</f>
        <v>1915.8059926639512</v>
      </c>
      <c r="E84" s="679">
        <f>'6.  Carrying Charges'!J237</f>
        <v>2510.8442245402102</v>
      </c>
      <c r="F84" s="679">
        <f>'6.  Carrying Charges'!K237</f>
        <v>1391.1274922071991</v>
      </c>
      <c r="G84" s="679">
        <f>'6.  Carrying Charges'!L237</f>
        <v>0</v>
      </c>
      <c r="H84" s="679">
        <f>'6.  Carrying Charges'!M237</f>
        <v>0</v>
      </c>
      <c r="I84" s="679">
        <f>'6.  Carrying Charges'!N237</f>
        <v>0</v>
      </c>
      <c r="J84" s="679">
        <f>'6.  Carrying Charges'!O237</f>
        <v>0</v>
      </c>
      <c r="K84" s="679">
        <f>'6.  Carrying Charges'!P237</f>
        <v>0</v>
      </c>
      <c r="L84" s="679">
        <f>'6.  Carrying Charges'!Q237</f>
        <v>0</v>
      </c>
      <c r="M84" s="679">
        <f>'6.  Carrying Charges'!R237</f>
        <v>0</v>
      </c>
      <c r="N84" s="679">
        <f>'6.  Carrying Charges'!S237</f>
        <v>0</v>
      </c>
      <c r="O84" s="679">
        <f>'6.  Carrying Charges'!T237</f>
        <v>0</v>
      </c>
      <c r="P84" s="679">
        <f>'6.  Carrying Charges'!U237</f>
        <v>0</v>
      </c>
      <c r="Q84" s="679">
        <f>'6.  Carrying Charges'!V237</f>
        <v>0</v>
      </c>
      <c r="R84" s="680">
        <f>SUM(D84:Q84)</f>
        <v>5817.7777094113608</v>
      </c>
      <c r="U84" s="152"/>
      <c r="V84" s="153"/>
    </row>
    <row r="85" spans="2:22" s="163" customFormat="1" ht="21.75" customHeight="1">
      <c r="B85" s="623" t="s">
        <v>240</v>
      </c>
      <c r="C85" s="624"/>
      <c r="D85" s="623">
        <f>SUM(D54:D82)+D84</f>
        <v>29806.645226927994</v>
      </c>
      <c r="E85" s="623">
        <f t="shared" ref="E85:F85" si="2">SUM(E54:E82)+E84</f>
        <v>47999.315802335957</v>
      </c>
      <c r="F85" s="623">
        <f t="shared" si="2"/>
        <v>27694.734642065025</v>
      </c>
      <c r="G85" s="623">
        <f t="shared" ref="G85:Q85" si="3">SUM(G54:G80)+G84</f>
        <v>0</v>
      </c>
      <c r="H85" s="623">
        <f t="shared" si="3"/>
        <v>0</v>
      </c>
      <c r="I85" s="623">
        <f t="shared" si="3"/>
        <v>0</v>
      </c>
      <c r="J85" s="623">
        <f t="shared" si="3"/>
        <v>0</v>
      </c>
      <c r="K85" s="623">
        <f t="shared" si="3"/>
        <v>0</v>
      </c>
      <c r="L85" s="623">
        <f t="shared" si="3"/>
        <v>0</v>
      </c>
      <c r="M85" s="623">
        <f t="shared" si="3"/>
        <v>0</v>
      </c>
      <c r="N85" s="623">
        <f t="shared" si="3"/>
        <v>0</v>
      </c>
      <c r="O85" s="623">
        <f t="shared" si="3"/>
        <v>0</v>
      </c>
      <c r="P85" s="623">
        <f t="shared" si="3"/>
        <v>0</v>
      </c>
      <c r="Q85" s="623">
        <f t="shared" si="3"/>
        <v>0</v>
      </c>
      <c r="R85" s="623">
        <f>SUM(R54:R82)+R84</f>
        <v>105500.69567132895</v>
      </c>
      <c r="U85" s="152"/>
      <c r="V85" s="153"/>
    </row>
    <row r="86" spans="2:22" ht="20.25" customHeight="1">
      <c r="B86" s="453" t="s">
        <v>535</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5">
      <c r="E88" s="9"/>
    </row>
    <row r="89" spans="2:22" ht="21" hidden="1" customHeight="1">
      <c r="B89" s="118" t="s">
        <v>536</v>
      </c>
      <c r="F89" s="589"/>
    </row>
    <row r="90" spans="2:22" s="549" customFormat="1" ht="27.75" hidden="1" customHeight="1">
      <c r="B90" s="570" t="s">
        <v>556</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9118.9004218345544</v>
      </c>
      <c r="D93" s="556">
        <f>SUM('4.  2011-2014 LRAM'!Y259:AL259)</f>
        <v>11626.939142692088</v>
      </c>
      <c r="E93" s="556">
        <f>SUM('4.  2011-2014 LRAM'!Y388:AL388)</f>
        <v>11786.627994847931</v>
      </c>
      <c r="F93" s="557">
        <f>SUM('4.  2011-2014 LRAM'!Y517:AL517)</f>
        <v>11720.449935530141</v>
      </c>
      <c r="G93" s="557">
        <f>SUM('5.  2015-2020 LRAM'!Y199:AL199)</f>
        <v>11557.112473650053</v>
      </c>
      <c r="H93" s="556">
        <f>SUM('5.  2015-2020 LRAM'!Y382:AL382)</f>
        <v>0</v>
      </c>
      <c r="I93" s="557">
        <f>SUM('5.  2015-2020 LRAM'!Y565:AL565)</f>
        <v>0</v>
      </c>
      <c r="J93" s="556">
        <f>SUM('5.  2015-2020 LRAM'!Y748:AL748)</f>
        <v>0</v>
      </c>
      <c r="K93" s="556">
        <f>SUM('5.  2015-2020 LRAM'!Y931:AL931)</f>
        <v>0</v>
      </c>
      <c r="L93" s="556">
        <f>SUM('5.  2015-2020 LRAM'!Y1114:AL1114)</f>
        <v>0</v>
      </c>
      <c r="M93" s="556">
        <f>SUM(C93:L93)</f>
        <v>55810.029968554765</v>
      </c>
      <c r="T93" s="197"/>
      <c r="U93" s="197"/>
    </row>
    <row r="94" spans="2:22" s="90" customFormat="1" ht="23.25" hidden="1" customHeight="1">
      <c r="B94" s="198">
        <v>2012</v>
      </c>
      <c r="C94" s="558"/>
      <c r="D94" s="557">
        <f>SUM('4.  2011-2014 LRAM'!Y260:AL260)</f>
        <v>7422.5797631031255</v>
      </c>
      <c r="E94" s="556">
        <f>SUM('4.  2011-2014 LRAM'!Y389:AL389)</f>
        <v>7516.9636336355616</v>
      </c>
      <c r="F94" s="557">
        <f>SUM('4.  2011-2014 LRAM'!Y518:AL518)</f>
        <v>7637.7849228367149</v>
      </c>
      <c r="G94" s="557">
        <f>SUM('5.  2015-2020 LRAM'!Y200:AL200)</f>
        <v>7349.4757638211831</v>
      </c>
      <c r="H94" s="556">
        <f>SUM('5.  2015-2020 LRAM'!Y383:AL383)</f>
        <v>0</v>
      </c>
      <c r="I94" s="557">
        <f>SUM('5.  2015-2020 LRAM'!Y566:AL566)</f>
        <v>0</v>
      </c>
      <c r="J94" s="556">
        <f>SUM('5.  2015-2020 LRAM'!Y749:AL749)</f>
        <v>0</v>
      </c>
      <c r="K94" s="556">
        <f>SUM('5.  2015-2020 LRAM'!Y932:AL932)</f>
        <v>0</v>
      </c>
      <c r="L94" s="556">
        <f>SUM('5.  2015-2020 LRAM'!Y1115:AL1115)</f>
        <v>0</v>
      </c>
      <c r="M94" s="556">
        <f>SUM(D94:L94)</f>
        <v>29926.804083396586</v>
      </c>
      <c r="T94" s="197"/>
      <c r="U94" s="197"/>
    </row>
    <row r="95" spans="2:22" s="90" customFormat="1" ht="23.25" hidden="1" customHeight="1">
      <c r="B95" s="198">
        <v>2013</v>
      </c>
      <c r="C95" s="559"/>
      <c r="D95" s="559"/>
      <c r="E95" s="557">
        <f>SUM('4.  2011-2014 LRAM'!Y390:AL390)</f>
        <v>7946.6679541525737</v>
      </c>
      <c r="F95" s="557">
        <f>SUM('4.  2011-2014 LRAM'!Y519:AL519)</f>
        <v>8073.5752611393964</v>
      </c>
      <c r="G95" s="557">
        <f>SUM('5.  2015-2020 LRAM'!Y201:AL201)</f>
        <v>7847.925053440491</v>
      </c>
      <c r="H95" s="556">
        <f>SUM('5.  2015-2020 LRAM'!Y384:AL384)</f>
        <v>0</v>
      </c>
      <c r="I95" s="557">
        <f>SUM('5.  2015-2020 LRAM'!Y567:AL567)</f>
        <v>0</v>
      </c>
      <c r="J95" s="556">
        <f>SUM('5.  2015-2020 LRAM'!Y750:AL750)</f>
        <v>0</v>
      </c>
      <c r="K95" s="556">
        <f>SUM('5.  2015-2020 LRAM'!Y933:AL933)</f>
        <v>0</v>
      </c>
      <c r="L95" s="556">
        <f>SUM('5.  2015-2020 LRAM'!Y1116:AL1116)</f>
        <v>0</v>
      </c>
      <c r="M95" s="556">
        <f>SUM(C95:L95)</f>
        <v>23868.168268732461</v>
      </c>
      <c r="T95" s="197"/>
      <c r="U95" s="197"/>
    </row>
    <row r="96" spans="2:22" s="90" customFormat="1" ht="23.25" hidden="1" customHeight="1">
      <c r="B96" s="198">
        <v>2014</v>
      </c>
      <c r="C96" s="559"/>
      <c r="D96" s="559"/>
      <c r="E96" s="559"/>
      <c r="F96" s="557">
        <f>SUM('4.  2011-2014 LRAM'!Y520:AL520)</f>
        <v>11840.772776924945</v>
      </c>
      <c r="G96" s="557">
        <f>SUM('5.  2015-2020 LRAM'!Y202:AL202)</f>
        <v>11528.403740522879</v>
      </c>
      <c r="H96" s="556">
        <f>SUM('5.  2015-2020 LRAM'!Y385:AL385)</f>
        <v>0</v>
      </c>
      <c r="I96" s="557">
        <f>SUM('5.  2015-2020 LRAM'!Y568:AL568)</f>
        <v>0</v>
      </c>
      <c r="J96" s="556">
        <f>SUM('5.  2015-2020 LRAM'!Y751:AL751)</f>
        <v>0</v>
      </c>
      <c r="K96" s="556">
        <f>SUM('5.  2015-2020 LRAM'!Y934:AL934)</f>
        <v>0</v>
      </c>
      <c r="L96" s="556">
        <f>SUM('5.  2015-2020 LRAM'!Y1117:AL1117)</f>
        <v>0</v>
      </c>
      <c r="M96" s="556">
        <f>SUM(F96:L96)</f>
        <v>23369.176517447824</v>
      </c>
      <c r="T96" s="197"/>
      <c r="U96" s="197"/>
    </row>
    <row r="97" spans="2:21" s="90" customFormat="1" ht="23.25" hidden="1" customHeight="1">
      <c r="B97" s="198">
        <v>2015</v>
      </c>
      <c r="C97" s="559"/>
      <c r="D97" s="559"/>
      <c r="E97" s="559"/>
      <c r="F97" s="559"/>
      <c r="G97" s="557">
        <f>SUM('5.  2015-2020 LRAM'!Y203:AL203)</f>
        <v>11574.313847894833</v>
      </c>
      <c r="H97" s="556">
        <f>SUM('5.  2015-2020 LRAM'!Y386:AL386)</f>
        <v>0</v>
      </c>
      <c r="I97" s="557">
        <f>SUM('5.  2015-2020 LRAM'!Y569:AL569)</f>
        <v>0</v>
      </c>
      <c r="J97" s="556">
        <f>SUM('5.  2015-2020 LRAM'!Y752:AL752)</f>
        <v>0</v>
      </c>
      <c r="K97" s="556">
        <f>SUM('5.  2015-2020 LRAM'!Y935:AL935)</f>
        <v>0</v>
      </c>
      <c r="L97" s="556">
        <f>SUM('5.  2015-2020 LRAM'!Y1118:AL1118)</f>
        <v>0</v>
      </c>
      <c r="M97" s="556">
        <f>SUM(G97:L97)</f>
        <v>11574.313847894833</v>
      </c>
      <c r="T97" s="197"/>
      <c r="U97" s="197"/>
    </row>
    <row r="98" spans="2:21" s="90" customFormat="1" ht="23.25" hidden="1" customHeight="1">
      <c r="B98" s="198">
        <v>2016</v>
      </c>
      <c r="C98" s="559"/>
      <c r="D98" s="559"/>
      <c r="E98" s="559"/>
      <c r="F98" s="559"/>
      <c r="G98" s="559"/>
      <c r="H98" s="556">
        <f>SUM('5.  2015-2020 LRAM'!Y387:AL387)</f>
        <v>20497.703403487991</v>
      </c>
      <c r="I98" s="557">
        <f>SUM('5.  2015-2020 LRAM'!Y570:AL570)</f>
        <v>17421.188966308771</v>
      </c>
      <c r="J98" s="556">
        <f>SUM('5.  2015-2020 LRAM'!Y753:AL753)</f>
        <v>13671.496534800539</v>
      </c>
      <c r="K98" s="556">
        <f>SUM('5.  2015-2020 LRAM'!Y936:AL936)</f>
        <v>9826.8705419143917</v>
      </c>
      <c r="L98" s="556">
        <f>SUM('5.  2015-2020 LRAM'!Y1119:AL1119)</f>
        <v>9634.9469581038938</v>
      </c>
      <c r="M98" s="556">
        <f>SUM(H98:L98)</f>
        <v>71052.206404615601</v>
      </c>
      <c r="T98" s="197"/>
      <c r="U98" s="197"/>
    </row>
    <row r="99" spans="2:21" s="90" customFormat="1" ht="23.25" hidden="1" customHeight="1">
      <c r="B99" s="198">
        <v>2017</v>
      </c>
      <c r="C99" s="559"/>
      <c r="D99" s="559"/>
      <c r="E99" s="559"/>
      <c r="F99" s="559"/>
      <c r="G99" s="559"/>
      <c r="H99" s="559"/>
      <c r="I99" s="556">
        <f>SUM('5.  2015-2020 LRAM'!Y571:AL571)</f>
        <v>19544.402248453978</v>
      </c>
      <c r="J99" s="556">
        <f>SUM('5.  2015-2020 LRAM'!Y754:AL754)</f>
        <v>11900.149038861246</v>
      </c>
      <c r="K99" s="556">
        <f>SUM('5.  2015-2020 LRAM'!Y937:AL937)</f>
        <v>6715.8978216868709</v>
      </c>
      <c r="L99" s="556">
        <f>SUM('5.  2015-2020 LRAM'!Y1120:AL1120)</f>
        <v>6771.464333496775</v>
      </c>
      <c r="M99" s="556">
        <f>SUM(I99:L99)</f>
        <v>44931.913442498873</v>
      </c>
      <c r="T99" s="197"/>
      <c r="U99" s="197"/>
    </row>
    <row r="100" spans="2:21" s="90" customFormat="1" ht="23.25" hidden="1" customHeight="1">
      <c r="B100" s="198">
        <v>2018</v>
      </c>
      <c r="C100" s="559"/>
      <c r="D100" s="559"/>
      <c r="E100" s="559"/>
      <c r="F100" s="559"/>
      <c r="G100" s="559"/>
      <c r="H100" s="559"/>
      <c r="I100" s="559"/>
      <c r="J100" s="556">
        <f>SUM('5.  2015-2020 LRAM'!Y755:AL755)</f>
        <v>6937.0476563326229</v>
      </c>
      <c r="K100" s="556">
        <f>SUM('5.  2015-2020 LRAM'!Y938:AL938)</f>
        <v>5347.9977428986349</v>
      </c>
      <c r="L100" s="556">
        <f>SUM('5.  2015-2020 LRAM'!Y1121:AL1121)</f>
        <v>4964.8541881718684</v>
      </c>
      <c r="M100" s="556">
        <f>SUM(J100:L100)</f>
        <v>17249.899587403124</v>
      </c>
      <c r="T100" s="197"/>
      <c r="U100" s="197"/>
    </row>
    <row r="101" spans="2:21" s="90" customFormat="1" ht="23.25" hidden="1" customHeight="1">
      <c r="B101" s="198">
        <v>2019</v>
      </c>
      <c r="C101" s="559"/>
      <c r="D101" s="559"/>
      <c r="E101" s="559"/>
      <c r="F101" s="559"/>
      <c r="G101" s="559"/>
      <c r="H101" s="559"/>
      <c r="I101" s="559"/>
      <c r="J101" s="559"/>
      <c r="K101" s="556">
        <f>SUM('5.  2015-2020 LRAM'!Y939:AL939)</f>
        <v>2472.1593204206538</v>
      </c>
      <c r="L101" s="556">
        <f>SUM('5.  2015-2020 LRAM'!Y1122:AL1122)</f>
        <v>2314.6722276499268</v>
      </c>
      <c r="M101" s="556">
        <f>SUM(K101:L101)</f>
        <v>4786.8315480705805</v>
      </c>
      <c r="T101" s="197"/>
      <c r="U101" s="197"/>
    </row>
    <row r="102" spans="2:21" s="90" customFormat="1" ht="23.25" hidden="1" customHeight="1">
      <c r="B102" s="198">
        <v>2020</v>
      </c>
      <c r="C102" s="559"/>
      <c r="D102" s="559"/>
      <c r="E102" s="559"/>
      <c r="F102" s="559"/>
      <c r="G102" s="559"/>
      <c r="H102" s="559"/>
      <c r="I102" s="559"/>
      <c r="J102" s="559"/>
      <c r="K102" s="559"/>
      <c r="L102" s="558">
        <f>SUM('5.  2015-2020 LRAM'!Y1123:AL1123)</f>
        <v>0</v>
      </c>
      <c r="M102" s="558">
        <f>L102</f>
        <v>0</v>
      </c>
      <c r="T102" s="197"/>
      <c r="U102" s="197"/>
    </row>
    <row r="103" spans="2:21" s="196" customFormat="1" ht="24" hidden="1" customHeight="1">
      <c r="B103" s="571" t="s">
        <v>518</v>
      </c>
      <c r="C103" s="555">
        <f>C93</f>
        <v>9118.9004218345544</v>
      </c>
      <c r="D103" s="556">
        <f>D93+D94</f>
        <v>19049.518905795216</v>
      </c>
      <c r="E103" s="556">
        <f>E93+E94+E95</f>
        <v>27250.259582636067</v>
      </c>
      <c r="F103" s="556">
        <f>F93+F94+F95+F96</f>
        <v>39272.582896431202</v>
      </c>
      <c r="G103" s="556">
        <f>G93+G94+G95+G96+G97</f>
        <v>49857.230879329443</v>
      </c>
      <c r="H103" s="556">
        <f>H93+H94+H95+H96+H97+H98</f>
        <v>20497.703403487991</v>
      </c>
      <c r="I103" s="556">
        <f>I93+I94+I95+I96+I97+I98+I99</f>
        <v>36965.591214762753</v>
      </c>
      <c r="J103" s="556">
        <f>J93+J94+J95+J96+J97+J98+J99+J100</f>
        <v>32508.693229994409</v>
      </c>
      <c r="K103" s="556">
        <f>K93+K94+K95+K96+K97+K98+K99+K100+K101</f>
        <v>24362.925426920552</v>
      </c>
      <c r="L103" s="556">
        <f>SUM(L93:L102)</f>
        <v>23685.937707422469</v>
      </c>
      <c r="M103" s="556">
        <f>SUM(M93:M102)</f>
        <v>282569.34366861469</v>
      </c>
      <c r="T103" s="199"/>
      <c r="U103" s="199"/>
    </row>
    <row r="104" spans="2:21" s="27" customFormat="1" ht="24.75" hidden="1" customHeight="1">
      <c r="B104" s="572" t="s">
        <v>517</v>
      </c>
      <c r="C104" s="554">
        <f>'4.  2011-2014 LRAM'!AM132</f>
        <v>0</v>
      </c>
      <c r="D104" s="554">
        <f>'4.  2011-2014 LRAM'!AM262</f>
        <v>0</v>
      </c>
      <c r="E104" s="554">
        <f>'4.  2011-2014 LRAM'!AM392</f>
        <v>0</v>
      </c>
      <c r="F104" s="554">
        <f>'4.  2011-2014 LRAM'!AM522</f>
        <v>0</v>
      </c>
      <c r="G104" s="554">
        <f>'5.  2015-2020 LRAM'!AM205</f>
        <v>14944.617099999999</v>
      </c>
      <c r="H104" s="554">
        <f>'5.  2015-2020 LRAM'!AM389</f>
        <v>20585.953800000003</v>
      </c>
      <c r="I104" s="554">
        <f>'5.  2015-2020 LRAM'!AM573</f>
        <v>17655.8354</v>
      </c>
      <c r="J104" s="554">
        <f>'5.  2015-2020 LRAM'!AM757</f>
        <v>14042.5026</v>
      </c>
      <c r="K104" s="554">
        <f>'5.  2015-2020 LRAM'!AM941</f>
        <v>10379.7966</v>
      </c>
      <c r="L104" s="554">
        <f>'5.  2015-2020 LRAM'!AM1125</f>
        <v>10586.4584</v>
      </c>
      <c r="M104" s="556">
        <f>SUM(C104:L104)</f>
        <v>88195.163900000014</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178.70894178294256</v>
      </c>
      <c r="H105" s="554">
        <f>'6.  Carrying Charges'!W102</f>
        <v>562.30276427315175</v>
      </c>
      <c r="I105" s="554">
        <f>'6.  Carrying Charges'!W117</f>
        <v>1093.6399402786922</v>
      </c>
      <c r="J105" s="554">
        <f>'6.  Carrying Charges'!W132</f>
        <v>2271.122853211426</v>
      </c>
      <c r="K105" s="554">
        <f>'6.  Carrying Charges'!W147</f>
        <v>4043.3161297783272</v>
      </c>
      <c r="L105" s="554">
        <f>'6.  Carrying Charges'!W162</f>
        <v>5290.0297193900997</v>
      </c>
      <c r="M105" s="556">
        <f>SUM(C105:L105)</f>
        <v>13439.120348714639</v>
      </c>
    </row>
    <row r="106" spans="2:21" ht="23.25" hidden="1" customHeight="1">
      <c r="B106" s="571" t="s">
        <v>26</v>
      </c>
      <c r="C106" s="554">
        <f>C103-C104+C105</f>
        <v>9118.9004218345544</v>
      </c>
      <c r="D106" s="554">
        <f t="shared" ref="D106:J106" si="4">D103-D104+D105</f>
        <v>19049.518905795216</v>
      </c>
      <c r="E106" s="554">
        <f t="shared" si="4"/>
        <v>27250.259582636067</v>
      </c>
      <c r="F106" s="554">
        <f t="shared" si="4"/>
        <v>39272.582896431202</v>
      </c>
      <c r="G106" s="554">
        <f t="shared" si="4"/>
        <v>35091.322721112389</v>
      </c>
      <c r="H106" s="554">
        <f t="shared" si="4"/>
        <v>474.05236776113952</v>
      </c>
      <c r="I106" s="554">
        <f t="shared" si="4"/>
        <v>20403.395755041445</v>
      </c>
      <c r="J106" s="554">
        <f t="shared" si="4"/>
        <v>20737.313483205835</v>
      </c>
      <c r="K106" s="554">
        <f>K103-K104+K105</f>
        <v>18026.444956698881</v>
      </c>
      <c r="L106" s="554">
        <f>L103-L104+L105</f>
        <v>18389.509026812568</v>
      </c>
      <c r="M106" s="554">
        <f>M103-M104+M105</f>
        <v>207813.30011732932</v>
      </c>
    </row>
    <row r="107" spans="2:21" hidden="1"/>
    <row r="108" spans="2:21">
      <c r="B108" s="589" t="s">
        <v>525</v>
      </c>
    </row>
    <row r="109" spans="2:21">
      <c r="B109" s="589"/>
      <c r="D109" s="780" t="s">
        <v>823</v>
      </c>
      <c r="E109" s="780" t="s">
        <v>826</v>
      </c>
      <c r="F109" s="780" t="s">
        <v>827</v>
      </c>
      <c r="G109" s="780" t="s">
        <v>828</v>
      </c>
      <c r="H109" s="780" t="s">
        <v>829</v>
      </c>
      <c r="I109" s="780" t="s">
        <v>830</v>
      </c>
      <c r="J109" s="780" t="s">
        <v>831</v>
      </c>
      <c r="K109" s="780" t="s">
        <v>832</v>
      </c>
      <c r="L109" s="780" t="s">
        <v>833</v>
      </c>
    </row>
    <row r="110" spans="2:21">
      <c r="B110" s="589"/>
      <c r="D110" s="781" t="s">
        <v>29</v>
      </c>
      <c r="E110" s="783">
        <f>F128</f>
        <v>7345.0109654640401</v>
      </c>
      <c r="F110" s="783">
        <f>F131</f>
        <v>425.83560000000034</v>
      </c>
      <c r="G110" s="783">
        <f>F135</f>
        <v>13274.4822</v>
      </c>
      <c r="H110" s="783">
        <f>F140</f>
        <v>6845.510468800001</v>
      </c>
      <c r="I110" s="783">
        <f>F146</f>
        <v>0</v>
      </c>
      <c r="J110" s="783">
        <f>F153</f>
        <v>0</v>
      </c>
      <c r="K110" s="783">
        <f>F154</f>
        <v>1915.8059926639512</v>
      </c>
      <c r="L110" s="783">
        <f>SUM(E110:K110)</f>
        <v>29806.645226927994</v>
      </c>
      <c r="M110" s="782"/>
      <c r="N110" s="782"/>
      <c r="O110" s="782"/>
      <c r="P110" s="782"/>
      <c r="Q110" s="782"/>
    </row>
    <row r="111" spans="2:21">
      <c r="B111" s="589"/>
      <c r="D111" s="781" t="s">
        <v>814</v>
      </c>
      <c r="E111" s="783">
        <f>G128</f>
        <v>19785.55524013504</v>
      </c>
      <c r="F111" s="783">
        <f>G131</f>
        <v>-1579.8862931835115</v>
      </c>
      <c r="G111" s="783">
        <f>G135</f>
        <v>2905.8462476802042</v>
      </c>
      <c r="H111" s="783">
        <f>G140</f>
        <v>7040.8600037038213</v>
      </c>
      <c r="I111" s="783">
        <f>G146</f>
        <v>9146.7819813962888</v>
      </c>
      <c r="J111" s="783">
        <f>G153</f>
        <v>8189.314398063897</v>
      </c>
      <c r="K111" s="783">
        <f>G154</f>
        <v>2510.8442245402102</v>
      </c>
      <c r="L111" s="783">
        <f t="shared" ref="L111:L112" si="5">SUM(E111:K111)</f>
        <v>47999.315802335957</v>
      </c>
      <c r="M111" s="782"/>
      <c r="N111" s="782"/>
      <c r="O111" s="782"/>
      <c r="P111" s="782"/>
      <c r="Q111" s="782"/>
    </row>
    <row r="112" spans="2:21">
      <c r="B112" s="589"/>
      <c r="D112" s="781" t="s">
        <v>824</v>
      </c>
      <c r="E112" s="783">
        <f>H128</f>
        <v>7782.0475737303605</v>
      </c>
      <c r="F112" s="783">
        <f>H131</f>
        <v>1065.8002966715017</v>
      </c>
      <c r="G112" s="783">
        <f>H135</f>
        <v>3129.4273670825437</v>
      </c>
      <c r="H112" s="783">
        <f>H140</f>
        <v>4579.820157490587</v>
      </c>
      <c r="I112" s="783">
        <f>H146</f>
        <v>4836.3468455242619</v>
      </c>
      <c r="J112" s="783">
        <f>H153</f>
        <v>4910.1649093585675</v>
      </c>
      <c r="K112" s="783">
        <f>H154</f>
        <v>1391.1274922071991</v>
      </c>
      <c r="L112" s="783">
        <f t="shared" si="5"/>
        <v>27694.734642065025</v>
      </c>
      <c r="M112" s="782"/>
      <c r="N112" s="782"/>
      <c r="O112" s="782"/>
      <c r="P112" s="782"/>
      <c r="Q112" s="782"/>
    </row>
    <row r="113" spans="2:17">
      <c r="B113" s="589"/>
      <c r="D113" s="781" t="s">
        <v>825</v>
      </c>
      <c r="E113" s="783">
        <f>SUM(E110:E112)</f>
        <v>34912.61377932944</v>
      </c>
      <c r="F113" s="783">
        <f t="shared" ref="F113:K113" si="6">SUM(F110:F112)</f>
        <v>-88.250396512009502</v>
      </c>
      <c r="G113" s="783">
        <f t="shared" si="6"/>
        <v>19309.755814762746</v>
      </c>
      <c r="H113" s="783">
        <f t="shared" si="6"/>
        <v>18466.190629994409</v>
      </c>
      <c r="I113" s="783">
        <f t="shared" si="6"/>
        <v>13983.128826920551</v>
      </c>
      <c r="J113" s="783">
        <f t="shared" si="6"/>
        <v>13099.479307422465</v>
      </c>
      <c r="K113" s="783">
        <f t="shared" si="6"/>
        <v>5817.7777094113608</v>
      </c>
      <c r="L113" s="783">
        <f>SUM(L110:L112)</f>
        <v>105500.69567132898</v>
      </c>
      <c r="M113" s="782"/>
      <c r="N113" s="782"/>
      <c r="O113" s="782"/>
      <c r="P113" s="782"/>
      <c r="Q113" s="782"/>
    </row>
    <row r="114" spans="2:17" ht="15" customHeight="1">
      <c r="B114" s="589"/>
    </row>
    <row r="115" spans="2:17" ht="26.25" customHeight="1">
      <c r="B115" s="589"/>
      <c r="D115" s="786" t="s">
        <v>823</v>
      </c>
      <c r="E115" s="786" t="s">
        <v>834</v>
      </c>
      <c r="F115" s="786" t="s">
        <v>832</v>
      </c>
      <c r="G115" s="784" t="s">
        <v>839</v>
      </c>
      <c r="H115" s="786" t="s">
        <v>835</v>
      </c>
      <c r="I115" s="785" t="s">
        <v>840</v>
      </c>
      <c r="J115" s="786" t="s">
        <v>836</v>
      </c>
    </row>
    <row r="116" spans="2:17" ht="15">
      <c r="B116" s="589"/>
      <c r="D116" s="787" t="s">
        <v>29</v>
      </c>
      <c r="E116" s="788">
        <f>SUM(E110:J110)</f>
        <v>27890.839234264044</v>
      </c>
      <c r="F116" s="788">
        <f>K110</f>
        <v>1915.8059926639512</v>
      </c>
      <c r="G116" s="788">
        <f>E116+F116</f>
        <v>29806.645226927994</v>
      </c>
      <c r="H116" s="789" t="s">
        <v>27</v>
      </c>
      <c r="I116" s="791">
        <v>98116964.118607342</v>
      </c>
      <c r="J116" s="793">
        <f>ROUND(G116/I116,4)</f>
        <v>2.9999999999999997E-4</v>
      </c>
      <c r="K116" s="778"/>
    </row>
    <row r="117" spans="2:17" ht="15">
      <c r="B117" s="589"/>
      <c r="D117" s="787" t="s">
        <v>837</v>
      </c>
      <c r="E117" s="788">
        <f>SUM(E111:J111)</f>
        <v>45488.471577795746</v>
      </c>
      <c r="F117" s="788">
        <f>K111</f>
        <v>2510.8442245402102</v>
      </c>
      <c r="G117" s="788">
        <f t="shared" ref="G117:G118" si="7">E117+F117</f>
        <v>47999.315802335957</v>
      </c>
      <c r="H117" s="789" t="s">
        <v>27</v>
      </c>
      <c r="I117" s="791">
        <v>22618334.293386329</v>
      </c>
      <c r="J117" s="793">
        <f t="shared" ref="J117:J118" si="8">ROUND(G117/I117,4)</f>
        <v>2.0999999999999999E-3</v>
      </c>
      <c r="K117" s="778"/>
    </row>
    <row r="118" spans="2:17" ht="15">
      <c r="B118" s="589"/>
      <c r="D118" s="787" t="s">
        <v>838</v>
      </c>
      <c r="E118" s="788">
        <f>SUM(E112:J112)</f>
        <v>26303.607149857824</v>
      </c>
      <c r="F118" s="788">
        <f>K112</f>
        <v>1391.1274922071991</v>
      </c>
      <c r="G118" s="788">
        <f t="shared" si="7"/>
        <v>27694.734642065025</v>
      </c>
      <c r="H118" s="789" t="s">
        <v>28</v>
      </c>
      <c r="I118" s="792">
        <f>[2]Summary!$M$23</f>
        <v>223982.44608207929</v>
      </c>
      <c r="J118" s="793">
        <f t="shared" si="8"/>
        <v>0.1236</v>
      </c>
      <c r="K118" s="778"/>
    </row>
    <row r="119" spans="2:17" ht="15">
      <c r="B119" s="589"/>
      <c r="D119" s="790" t="s">
        <v>839</v>
      </c>
      <c r="E119" s="788">
        <f>SUM(E116:E118)</f>
        <v>99682.917961917614</v>
      </c>
      <c r="F119" s="788">
        <f t="shared" ref="F119:G119" si="9">SUM(F116:F118)</f>
        <v>5817.7777094113608</v>
      </c>
      <c r="G119" s="788">
        <f t="shared" si="9"/>
        <v>105500.69567132898</v>
      </c>
      <c r="H119" s="831"/>
      <c r="I119" s="831"/>
      <c r="J119" s="831"/>
    </row>
    <row r="120" spans="2:17">
      <c r="B120" s="589"/>
    </row>
    <row r="121" spans="2:17">
      <c r="D121" s="779" t="s">
        <v>812</v>
      </c>
      <c r="E121" s="780" t="s">
        <v>813</v>
      </c>
      <c r="F121" s="779" t="s">
        <v>29</v>
      </c>
      <c r="G121" s="779" t="s">
        <v>814</v>
      </c>
      <c r="H121" s="779" t="s">
        <v>815</v>
      </c>
      <c r="I121" s="779" t="s">
        <v>26</v>
      </c>
    </row>
    <row r="122" spans="2:17">
      <c r="D122" s="829">
        <v>2015</v>
      </c>
      <c r="E122" s="774">
        <v>2011</v>
      </c>
      <c r="F122" s="776">
        <f>'5.  2015-2020 LRAM'!Y199</f>
        <v>3166.3815070882611</v>
      </c>
      <c r="G122" s="776">
        <f>'5.  2015-2020 LRAM'!Z199</f>
        <v>7936.3838465617919</v>
      </c>
      <c r="H122" s="776">
        <f>'5.  2015-2020 LRAM'!AA199</f>
        <v>454.34711999999996</v>
      </c>
      <c r="I122" s="776">
        <f>SUM(F122:H122)</f>
        <v>11557.112473650053</v>
      </c>
    </row>
    <row r="123" spans="2:17">
      <c r="D123" s="829"/>
      <c r="E123" s="774">
        <f>E122+1</f>
        <v>2012</v>
      </c>
      <c r="F123" s="776">
        <f>'5.  2015-2020 LRAM'!Y200</f>
        <v>2334.299260046706</v>
      </c>
      <c r="G123" s="776">
        <f>'5.  2015-2020 LRAM'!Z200</f>
        <v>2449.3065366114765</v>
      </c>
      <c r="H123" s="776">
        <f>'5.  2015-2020 LRAM'!AA200</f>
        <v>2565.8699671629997</v>
      </c>
      <c r="I123" s="776">
        <f t="shared" ref="I123:I125" si="10">SUM(F123:H123)</f>
        <v>7349.4757638211831</v>
      </c>
    </row>
    <row r="124" spans="2:17">
      <c r="D124" s="829"/>
      <c r="E124" s="774">
        <f t="shared" ref="E124:E125" si="11">E123+1</f>
        <v>2013</v>
      </c>
      <c r="F124" s="776">
        <f>'5.  2015-2020 LRAM'!Y201</f>
        <v>1713.682661621543</v>
      </c>
      <c r="G124" s="776">
        <f>'5.  2015-2020 LRAM'!Z201</f>
        <v>3927.2764297235281</v>
      </c>
      <c r="H124" s="776">
        <f>'5.  2015-2020 LRAM'!AA201</f>
        <v>2206.9659620954203</v>
      </c>
      <c r="I124" s="776">
        <f t="shared" si="10"/>
        <v>7847.925053440491</v>
      </c>
    </row>
    <row r="125" spans="2:17">
      <c r="D125" s="829"/>
      <c r="E125" s="774">
        <f t="shared" si="11"/>
        <v>2014</v>
      </c>
      <c r="F125" s="776">
        <f>'5.  2015-2020 LRAM'!Y202</f>
        <v>5099.9602367075277</v>
      </c>
      <c r="G125" s="776">
        <f>'5.  2015-2020 LRAM'!Z202</f>
        <v>6057.8045513950128</v>
      </c>
      <c r="H125" s="776">
        <f>'5.  2015-2020 LRAM'!AA202</f>
        <v>370.63895242033783</v>
      </c>
      <c r="I125" s="776">
        <f t="shared" si="10"/>
        <v>11528.403740522879</v>
      </c>
    </row>
    <row r="126" spans="2:17">
      <c r="D126" s="829"/>
      <c r="E126" s="774">
        <f>E125+1</f>
        <v>2015</v>
      </c>
      <c r="F126" s="776">
        <f>'5.  2015-2020 LRAM'!Y203</f>
        <v>5590.1878999999999</v>
      </c>
      <c r="G126" s="776">
        <f>'5.  2015-2020 LRAM'!Z203</f>
        <v>1675.7259758432303</v>
      </c>
      <c r="H126" s="776">
        <f>'5.  2015-2020 LRAM'!AA203</f>
        <v>4308.3999720516031</v>
      </c>
      <c r="I126" s="776">
        <f>SUM(F126:H126)</f>
        <v>11574.313847894833</v>
      </c>
    </row>
    <row r="127" spans="2:17" ht="15.75" customHeight="1">
      <c r="D127" s="830" t="s">
        <v>269</v>
      </c>
      <c r="E127" s="830"/>
      <c r="F127" s="776">
        <f>D67</f>
        <v>-10559.500599999999</v>
      </c>
      <c r="G127" s="776">
        <f t="shared" ref="G127" si="12">E67</f>
        <v>-2260.9421000000002</v>
      </c>
      <c r="H127" s="776">
        <f>F67</f>
        <v>-2124.1744000000003</v>
      </c>
      <c r="I127" s="776">
        <f>SUM(F127:H127)</f>
        <v>-14944.617099999999</v>
      </c>
    </row>
    <row r="128" spans="2:17" ht="15.75" customHeight="1">
      <c r="D128" s="827" t="s">
        <v>816</v>
      </c>
      <c r="E128" s="828"/>
      <c r="F128" s="777">
        <f>SUM(F122:F127)</f>
        <v>7345.0109654640401</v>
      </c>
      <c r="G128" s="777">
        <f t="shared" ref="G128:H128" si="13">SUM(G122:G127)</f>
        <v>19785.55524013504</v>
      </c>
      <c r="H128" s="777">
        <f t="shared" si="13"/>
        <v>7782.0475737303605</v>
      </c>
      <c r="I128" s="777">
        <f>SUM(I122:I127)</f>
        <v>34912.613779329447</v>
      </c>
    </row>
    <row r="129" spans="4:9">
      <c r="D129" s="775">
        <v>2016</v>
      </c>
      <c r="E129" s="774">
        <v>2016</v>
      </c>
      <c r="F129" s="776">
        <f>'5.  2015-2020 LRAM'!Y387</f>
        <v>13220.739600000001</v>
      </c>
      <c r="G129" s="776">
        <f>'5.  2015-2020 LRAM'!Z387</f>
        <v>4031.9137068164887</v>
      </c>
      <c r="H129" s="776">
        <f>'5.  2015-2020 LRAM'!AA387</f>
        <v>3245.0500966715017</v>
      </c>
      <c r="I129" s="776">
        <f>SUM(F129:H129)</f>
        <v>20497.703403487991</v>
      </c>
    </row>
    <row r="130" spans="4:9" ht="15">
      <c r="D130" s="830" t="s">
        <v>283</v>
      </c>
      <c r="E130" s="830"/>
      <c r="F130" s="776">
        <f>D70</f>
        <v>-12794.904</v>
      </c>
      <c r="G130" s="776">
        <f t="shared" ref="G130:H130" si="14">E70</f>
        <v>-5611.8</v>
      </c>
      <c r="H130" s="776">
        <f t="shared" si="14"/>
        <v>-2179.2498000000001</v>
      </c>
      <c r="I130" s="776">
        <f>SUM(F130:H130)</f>
        <v>-20585.953800000003</v>
      </c>
    </row>
    <row r="131" spans="4:9" ht="15">
      <c r="D131" s="827" t="s">
        <v>820</v>
      </c>
      <c r="E131" s="828"/>
      <c r="F131" s="777">
        <f>F129+F130</f>
        <v>425.83560000000034</v>
      </c>
      <c r="G131" s="777">
        <f t="shared" ref="G131:I131" si="15">G129+G130</f>
        <v>-1579.8862931835115</v>
      </c>
      <c r="H131" s="777">
        <f t="shared" si="15"/>
        <v>1065.8002966715017</v>
      </c>
      <c r="I131" s="777">
        <f t="shared" si="15"/>
        <v>-88.25039651201223</v>
      </c>
    </row>
    <row r="132" spans="4:9">
      <c r="D132" s="830">
        <v>2017</v>
      </c>
      <c r="E132" s="774">
        <v>2016</v>
      </c>
      <c r="F132" s="776">
        <f>'5.  2015-2020 LRAM'!Y570</f>
        <v>7770.0838000000003</v>
      </c>
      <c r="G132" s="776">
        <f>'5.  2015-2020 LRAM'!Z570</f>
        <v>5107.0906953008862</v>
      </c>
      <c r="H132" s="776">
        <f>'5.  2015-2020 LRAM'!AA570</f>
        <v>4544.0144710078848</v>
      </c>
      <c r="I132" s="776">
        <f>SUM(I126:I131)</f>
        <v>31365.809734200258</v>
      </c>
    </row>
    <row r="133" spans="4:9">
      <c r="D133" s="830"/>
      <c r="E133" s="774">
        <v>2017</v>
      </c>
      <c r="F133" s="776">
        <f>'5.  2015-2020 LRAM'!Y571</f>
        <v>13024.2104</v>
      </c>
      <c r="G133" s="776">
        <f>'5.  2015-2020 LRAM'!Z571</f>
        <v>4907.0355523793178</v>
      </c>
      <c r="H133" s="776">
        <f>'5.  2015-2020 LRAM'!AA571</f>
        <v>1613.1562960746592</v>
      </c>
      <c r="I133" s="776">
        <f>SUM(I127:I132)</f>
        <v>51157.305620505678</v>
      </c>
    </row>
    <row r="134" spans="4:9" ht="15">
      <c r="D134" s="830" t="s">
        <v>303</v>
      </c>
      <c r="E134" s="830"/>
      <c r="F134" s="776">
        <f>D73</f>
        <v>-7519.8119999999999</v>
      </c>
      <c r="G134" s="776">
        <f t="shared" ref="G134:H134" si="16">E73</f>
        <v>-7108.28</v>
      </c>
      <c r="H134" s="776">
        <f t="shared" si="16"/>
        <v>-3027.7433999999998</v>
      </c>
      <c r="I134" s="776">
        <f>SUM(F134:H134)</f>
        <v>-17655.8354</v>
      </c>
    </row>
    <row r="135" spans="4:9" ht="15">
      <c r="D135" s="827" t="s">
        <v>819</v>
      </c>
      <c r="E135" s="828"/>
      <c r="F135" s="777">
        <f>SUM(F132:F134)</f>
        <v>13274.4822</v>
      </c>
      <c r="G135" s="777">
        <f t="shared" ref="G135:H135" si="17">SUM(G132:G134)</f>
        <v>2905.8462476802042</v>
      </c>
      <c r="H135" s="777">
        <f t="shared" si="17"/>
        <v>3129.4273670825437</v>
      </c>
      <c r="I135" s="777">
        <f>SUM(F135:H135)</f>
        <v>19309.755814762746</v>
      </c>
    </row>
    <row r="136" spans="4:9">
      <c r="D136" s="830">
        <v>2018</v>
      </c>
      <c r="E136" s="774">
        <v>2016</v>
      </c>
      <c r="F136" s="776">
        <f>'5.  2015-2020 LRAM'!Y753</f>
        <v>3943.0275999999999</v>
      </c>
      <c r="G136" s="776">
        <f>'5.  2015-2020 LRAM'!Z753</f>
        <v>5160.9952766636461</v>
      </c>
      <c r="H136" s="776">
        <f>'5.  2015-2020 LRAM'!AA753</f>
        <v>4567.4736581368934</v>
      </c>
      <c r="I136" s="776">
        <f t="shared" ref="I136:I138" si="18">SUM(F136:H136)</f>
        <v>13671.496534800539</v>
      </c>
    </row>
    <row r="137" spans="4:9">
      <c r="D137" s="830"/>
      <c r="E137" s="774">
        <v>2017</v>
      </c>
      <c r="F137" s="776">
        <f>'5.  2015-2020 LRAM'!Y754</f>
        <v>5268.3252688000002</v>
      </c>
      <c r="G137" s="776">
        <f>'5.  2015-2020 LRAM'!Z754</f>
        <v>4980.4450974983947</v>
      </c>
      <c r="H137" s="776">
        <f>'5.  2015-2020 LRAM'!AA754</f>
        <v>1651.3786725628504</v>
      </c>
      <c r="I137" s="776">
        <f t="shared" si="18"/>
        <v>11900.149038861246</v>
      </c>
    </row>
    <row r="138" spans="4:9">
      <c r="D138" s="830"/>
      <c r="E138" s="774">
        <v>2018</v>
      </c>
      <c r="F138" s="776">
        <f>'5.  2015-2020 LRAM'!Y755</f>
        <v>1450.1815999999999</v>
      </c>
      <c r="G138" s="776">
        <f>'5.  2015-2020 LRAM'!Z755</f>
        <v>4082.5236295417794</v>
      </c>
      <c r="H138" s="776">
        <f>'5.  2015-2020 LRAM'!AA755</f>
        <v>1404.3424267908431</v>
      </c>
      <c r="I138" s="776">
        <f t="shared" si="18"/>
        <v>6937.0476563326229</v>
      </c>
    </row>
    <row r="139" spans="4:9" ht="15">
      <c r="D139" s="830" t="s">
        <v>323</v>
      </c>
      <c r="E139" s="830"/>
      <c r="F139" s="776">
        <f>D76</f>
        <v>-3816.0239999999999</v>
      </c>
      <c r="G139" s="776">
        <f t="shared" ref="G139:H139" si="19">E76</f>
        <v>-7183.1039999999994</v>
      </c>
      <c r="H139" s="776">
        <f t="shared" si="19"/>
        <v>-3043.3746000000001</v>
      </c>
      <c r="I139" s="776">
        <f>SUM(F139:H139)</f>
        <v>-14042.5026</v>
      </c>
    </row>
    <row r="140" spans="4:9" ht="15">
      <c r="D140" s="827" t="s">
        <v>818</v>
      </c>
      <c r="E140" s="828"/>
      <c r="F140" s="777">
        <f>SUM(F136:F139)</f>
        <v>6845.510468800001</v>
      </c>
      <c r="G140" s="777">
        <f t="shared" ref="G140:H140" si="20">SUM(G136:G139)</f>
        <v>7040.8600037038213</v>
      </c>
      <c r="H140" s="777">
        <f t="shared" si="20"/>
        <v>4579.820157490587</v>
      </c>
      <c r="I140" s="777">
        <f>SUM(I136:I139)</f>
        <v>18466.190629994409</v>
      </c>
    </row>
    <row r="141" spans="4:9">
      <c r="D141" s="830">
        <v>2019</v>
      </c>
      <c r="E141" s="774">
        <v>2016</v>
      </c>
      <c r="F141" s="776">
        <f>'5.  2015-2020 LRAM'!Y936</f>
        <v>0</v>
      </c>
      <c r="G141" s="776">
        <f>'5.  2015-2020 LRAM'!Z936</f>
        <v>5197.7413278615159</v>
      </c>
      <c r="H141" s="776">
        <f>'5.  2015-2020 LRAM'!AA936</f>
        <v>4629.1292140528749</v>
      </c>
      <c r="I141" s="776">
        <f>SUM(F141:H141)</f>
        <v>9826.8705419143917</v>
      </c>
    </row>
    <row r="142" spans="4:9">
      <c r="D142" s="830"/>
      <c r="E142" s="774">
        <v>2017</v>
      </c>
      <c r="F142" s="776">
        <f>'5.  2015-2020 LRAM'!Y937</f>
        <v>0</v>
      </c>
      <c r="G142" s="776">
        <f>'5.  2015-2020 LRAM'!Z937</f>
        <v>5044.0513162814041</v>
      </c>
      <c r="H142" s="776">
        <f>'5.  2015-2020 LRAM'!AA937</f>
        <v>1671.8465054054673</v>
      </c>
      <c r="I142" s="776">
        <f t="shared" ref="I142:I144" si="21">SUM(F142:H142)</f>
        <v>6715.8978216868709</v>
      </c>
    </row>
    <row r="143" spans="4:9">
      <c r="D143" s="830"/>
      <c r="E143" s="774">
        <v>2018</v>
      </c>
      <c r="F143" s="776">
        <f>'5.  2015-2020 LRAM'!Y938</f>
        <v>0</v>
      </c>
      <c r="G143" s="776">
        <f>'5.  2015-2020 LRAM'!Z938</f>
        <v>3915.3583372533694</v>
      </c>
      <c r="H143" s="776">
        <f>'5.  2015-2020 LRAM'!AA938</f>
        <v>1432.6394056452652</v>
      </c>
      <c r="I143" s="776">
        <f t="shared" si="21"/>
        <v>5347.9977428986349</v>
      </c>
    </row>
    <row r="144" spans="4:9">
      <c r="D144" s="830"/>
      <c r="E144" s="774">
        <v>2019</v>
      </c>
      <c r="F144" s="776">
        <f>'5.  2015-2020 LRAM'!Y939</f>
        <v>0</v>
      </c>
      <c r="G144" s="776">
        <f>'5.  2015-2020 LRAM'!Z939</f>
        <v>2284.971</v>
      </c>
      <c r="H144" s="776">
        <f>'5.  2015-2020 LRAM'!AA939</f>
        <v>187.18832042065378</v>
      </c>
      <c r="I144" s="776">
        <f t="shared" si="21"/>
        <v>2472.1593204206538</v>
      </c>
    </row>
    <row r="145" spans="4:9" ht="15">
      <c r="D145" s="830" t="s">
        <v>344</v>
      </c>
      <c r="E145" s="830"/>
      <c r="F145" s="776">
        <f>D79</f>
        <v>0</v>
      </c>
      <c r="G145" s="776">
        <f t="shared" ref="G145:H145" si="22">E79</f>
        <v>-7295.34</v>
      </c>
      <c r="H145" s="776">
        <f t="shared" si="22"/>
        <v>-3084.4566</v>
      </c>
      <c r="I145" s="776">
        <f>SUM(F145:H145)</f>
        <v>-10379.7966</v>
      </c>
    </row>
    <row r="146" spans="4:9" ht="15">
      <c r="D146" s="827" t="s">
        <v>817</v>
      </c>
      <c r="E146" s="828"/>
      <c r="F146" s="777">
        <f t="shared" ref="F146:H146" si="23">SUM(F141:F145)</f>
        <v>0</v>
      </c>
      <c r="G146" s="777">
        <f t="shared" si="23"/>
        <v>9146.7819813962888</v>
      </c>
      <c r="H146" s="777">
        <f t="shared" si="23"/>
        <v>4836.3468455242619</v>
      </c>
      <c r="I146" s="777">
        <f>SUM(F146:H146)</f>
        <v>13983.128826920551</v>
      </c>
    </row>
    <row r="147" spans="4:9">
      <c r="D147" s="832">
        <v>2020</v>
      </c>
      <c r="E147" s="774">
        <f>E141</f>
        <v>2016</v>
      </c>
      <c r="F147" s="776">
        <f>'5.  2015-2020 LRAM'!Y1119</f>
        <v>0</v>
      </c>
      <c r="G147" s="776">
        <f>'5.  2015-2020 LRAM'!Z1119</f>
        <v>4920.251862792009</v>
      </c>
      <c r="H147" s="776">
        <f>'5.  2015-2020 LRAM'!AA1119</f>
        <v>4714.6950953118849</v>
      </c>
      <c r="I147" s="776">
        <f t="shared" ref="I147:I152" si="24">SUM(F147:H147)</f>
        <v>9634.9469581038938</v>
      </c>
    </row>
    <row r="148" spans="4:9">
      <c r="D148" s="833"/>
      <c r="E148" s="774">
        <f>E142</f>
        <v>2017</v>
      </c>
      <c r="F148" s="776">
        <f>'5.  2015-2020 LRAM'!Y1120</f>
        <v>0</v>
      </c>
      <c r="G148" s="776">
        <f>'5.  2015-2020 LRAM'!Z1120</f>
        <v>5068.7150355897411</v>
      </c>
      <c r="H148" s="776">
        <f>'5.  2015-2020 LRAM'!AA1120</f>
        <v>1702.7492979070337</v>
      </c>
      <c r="I148" s="776">
        <f t="shared" si="24"/>
        <v>6771.464333496775</v>
      </c>
    </row>
    <row r="149" spans="4:9">
      <c r="D149" s="833"/>
      <c r="E149" s="774">
        <f>E143</f>
        <v>2018</v>
      </c>
      <c r="F149" s="776">
        <f>'5.  2015-2020 LRAM'!Y1121</f>
        <v>0</v>
      </c>
      <c r="G149" s="776">
        <f>'5.  2015-2020 LRAM'!Z1121</f>
        <v>3522.562699682147</v>
      </c>
      <c r="H149" s="776">
        <f>'5.  2015-2020 LRAM'!AA1121</f>
        <v>1442.2914884897214</v>
      </c>
      <c r="I149" s="776">
        <f t="shared" si="24"/>
        <v>4964.8541881718684</v>
      </c>
    </row>
    <row r="150" spans="4:9">
      <c r="D150" s="833"/>
      <c r="E150" s="774">
        <f>E144</f>
        <v>2019</v>
      </c>
      <c r="F150" s="776">
        <f>'5.  2015-2020 LRAM'!Y1122</f>
        <v>0</v>
      </c>
      <c r="G150" s="776">
        <f>'5.  2015-2020 LRAM'!Z1122</f>
        <v>2122.7728000000002</v>
      </c>
      <c r="H150" s="776">
        <f>'5.  2015-2020 LRAM'!AA1122</f>
        <v>191.89942764992659</v>
      </c>
      <c r="I150" s="776">
        <f t="shared" si="24"/>
        <v>2314.6722276499268</v>
      </c>
    </row>
    <row r="151" spans="4:9">
      <c r="D151" s="834"/>
      <c r="E151" s="774">
        <v>2020</v>
      </c>
      <c r="F151" s="776">
        <f>'5.  2015-2020 LRAM'!Y1123</f>
        <v>0</v>
      </c>
      <c r="G151" s="776">
        <f>'5.  2015-2020 LRAM'!Z1123</f>
        <v>0</v>
      </c>
      <c r="H151" s="776">
        <f>'5.  2015-2020 LRAM'!AA1123</f>
        <v>0</v>
      </c>
      <c r="I151" s="776">
        <f t="shared" si="24"/>
        <v>0</v>
      </c>
    </row>
    <row r="152" spans="4:9" ht="15">
      <c r="D152" s="830" t="s">
        <v>351</v>
      </c>
      <c r="E152" s="830"/>
      <c r="F152" s="776">
        <f>D82</f>
        <v>0</v>
      </c>
      <c r="G152" s="776">
        <f t="shared" ref="G152:H152" si="25">E82</f>
        <v>-7444.9880000000003</v>
      </c>
      <c r="H152" s="776">
        <f t="shared" si="25"/>
        <v>-3141.4704000000002</v>
      </c>
      <c r="I152" s="776">
        <f t="shared" si="24"/>
        <v>-10586.4584</v>
      </c>
    </row>
    <row r="153" spans="4:9" ht="15">
      <c r="D153" s="827" t="s">
        <v>821</v>
      </c>
      <c r="E153" s="828"/>
      <c r="F153" s="777">
        <f>SUM(F147:F152)</f>
        <v>0</v>
      </c>
      <c r="G153" s="777">
        <f t="shared" ref="G153:I153" si="26">SUM(G147:G152)</f>
        <v>8189.314398063897</v>
      </c>
      <c r="H153" s="777">
        <f t="shared" si="26"/>
        <v>4910.1649093585675</v>
      </c>
      <c r="I153" s="777">
        <f t="shared" si="26"/>
        <v>13099.479307422469</v>
      </c>
    </row>
    <row r="154" spans="4:9" ht="15">
      <c r="D154" s="827" t="s">
        <v>822</v>
      </c>
      <c r="E154" s="828"/>
      <c r="F154" s="777">
        <f>D84</f>
        <v>1915.8059926639512</v>
      </c>
      <c r="G154" s="777">
        <f t="shared" ref="G154:H154" si="27">E84</f>
        <v>2510.8442245402102</v>
      </c>
      <c r="H154" s="777">
        <f t="shared" si="27"/>
        <v>1391.1274922071991</v>
      </c>
      <c r="I154" s="777">
        <f>SUM(F154:H154)</f>
        <v>5817.7777094113608</v>
      </c>
    </row>
    <row r="155" spans="4:9" ht="15.75" customHeight="1">
      <c r="D155" s="826" t="s">
        <v>26</v>
      </c>
      <c r="E155" s="826"/>
      <c r="F155" s="777">
        <f>F146+F140+F135+F131+F128+F153+F154</f>
        <v>29806.645226927994</v>
      </c>
      <c r="G155" s="777">
        <f t="shared" ref="G155:I155" si="28">G146+G140+G135+G131+G128+G153+G154</f>
        <v>47999.315802335957</v>
      </c>
      <c r="H155" s="777">
        <f t="shared" si="28"/>
        <v>27694.734642065025</v>
      </c>
      <c r="I155" s="777">
        <f t="shared" si="28"/>
        <v>105500.69567132897</v>
      </c>
    </row>
  </sheetData>
  <mergeCells count="40">
    <mergeCell ref="H119:J119"/>
    <mergeCell ref="D147:D151"/>
    <mergeCell ref="D152:E152"/>
    <mergeCell ref="D153:E153"/>
    <mergeCell ref="D154:E154"/>
    <mergeCell ref="D131:E131"/>
    <mergeCell ref="D135:E135"/>
    <mergeCell ref="D140:E140"/>
    <mergeCell ref="D139:E139"/>
    <mergeCell ref="D145:E145"/>
    <mergeCell ref="D136:D138"/>
    <mergeCell ref="D141:D144"/>
    <mergeCell ref="D155:E155"/>
    <mergeCell ref="D146:E146"/>
    <mergeCell ref="D122:D126"/>
    <mergeCell ref="D127:E127"/>
    <mergeCell ref="D128:E128"/>
    <mergeCell ref="D130:E130"/>
    <mergeCell ref="D134:E134"/>
    <mergeCell ref="D132:D133"/>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phoneticPr fontId="246" type="noConversion"/>
  <hyperlinks>
    <hyperlink ref="B84"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28575</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28575</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28575</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28575</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28575</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3:H50"/>
  <sheetViews>
    <sheetView topLeftCell="A16" zoomScale="80" zoomScaleNormal="80" workbookViewId="0">
      <selection activeCell="F18" sqref="F18"/>
    </sheetView>
  </sheetViews>
  <sheetFormatPr defaultColWidth="9" defaultRowHeight="15"/>
  <cols>
    <col min="1" max="1" width="5.42578125" style="12" customWidth="1"/>
    <col min="2" max="2" width="27" style="12" customWidth="1"/>
    <col min="3" max="3" width="24.28515625" style="12" customWidth="1"/>
    <col min="4" max="4" width="23.42578125" style="12" customWidth="1"/>
    <col min="5" max="5" width="28.5703125" style="12" customWidth="1"/>
    <col min="6" max="6" width="44" style="12" customWidth="1"/>
    <col min="7" max="7" width="72.5703125" style="12" customWidth="1"/>
    <col min="8" max="16384" width="9" style="12"/>
  </cols>
  <sheetData>
    <row r="13" spans="2:3" ht="15.75" thickBot="1"/>
    <row r="14" spans="2:3" ht="26.25" customHeight="1" thickBot="1">
      <c r="B14" s="537" t="s">
        <v>171</v>
      </c>
      <c r="C14" s="126" t="s">
        <v>175</v>
      </c>
    </row>
    <row r="15" spans="2:3" ht="26.25" customHeight="1" thickBot="1">
      <c r="C15" s="128" t="s">
        <v>406</v>
      </c>
    </row>
    <row r="16" spans="2:3" ht="27" customHeight="1" thickBot="1">
      <c r="C16" s="569" t="s">
        <v>550</v>
      </c>
    </row>
    <row r="19" spans="2:8" ht="15.75">
      <c r="B19" s="537" t="s">
        <v>609</v>
      </c>
    </row>
    <row r="20" spans="2:8" ht="13.5" customHeight="1"/>
    <row r="21" spans="2:8" ht="41.1" customHeight="1">
      <c r="B21" s="821" t="s">
        <v>672</v>
      </c>
      <c r="C21" s="821"/>
      <c r="D21" s="821"/>
      <c r="E21" s="821"/>
      <c r="F21" s="821"/>
      <c r="G21" s="821"/>
      <c r="H21" s="821"/>
    </row>
    <row r="23" spans="2:8" s="609" customFormat="1" ht="15.75">
      <c r="B23" s="619" t="s">
        <v>545</v>
      </c>
      <c r="C23" s="619" t="s">
        <v>560</v>
      </c>
      <c r="D23" s="619" t="s">
        <v>544</v>
      </c>
      <c r="E23" s="839" t="s">
        <v>34</v>
      </c>
      <c r="F23" s="840"/>
      <c r="G23" s="839" t="s">
        <v>543</v>
      </c>
      <c r="H23" s="840"/>
    </row>
    <row r="24" spans="2:8">
      <c r="B24" s="608">
        <v>1</v>
      </c>
      <c r="C24" s="644"/>
      <c r="D24" s="607"/>
      <c r="E24" s="835"/>
      <c r="F24" s="836"/>
      <c r="G24" s="837"/>
      <c r="H24" s="838"/>
    </row>
    <row r="25" spans="2:8">
      <c r="B25" s="608">
        <v>2</v>
      </c>
      <c r="C25" s="644"/>
      <c r="D25" s="607"/>
      <c r="E25" s="835"/>
      <c r="F25" s="836"/>
      <c r="G25" s="837"/>
      <c r="H25" s="838"/>
    </row>
    <row r="26" spans="2:8">
      <c r="B26" s="608">
        <v>3</v>
      </c>
      <c r="C26" s="644"/>
      <c r="D26" s="607"/>
      <c r="E26" s="835"/>
      <c r="F26" s="836"/>
      <c r="G26" s="837"/>
      <c r="H26" s="838"/>
    </row>
    <row r="27" spans="2:8">
      <c r="B27" s="608">
        <v>4</v>
      </c>
      <c r="C27" s="644"/>
      <c r="D27" s="607"/>
      <c r="E27" s="835"/>
      <c r="F27" s="836"/>
      <c r="G27" s="837"/>
      <c r="H27" s="838"/>
    </row>
    <row r="28" spans="2:8">
      <c r="B28" s="608">
        <v>5</v>
      </c>
      <c r="C28" s="644"/>
      <c r="D28" s="607"/>
      <c r="E28" s="835"/>
      <c r="F28" s="836"/>
      <c r="G28" s="837"/>
      <c r="H28" s="838"/>
    </row>
    <row r="29" spans="2:8">
      <c r="B29" s="608">
        <v>6</v>
      </c>
      <c r="C29" s="644"/>
      <c r="D29" s="607"/>
      <c r="E29" s="835"/>
      <c r="F29" s="836"/>
      <c r="G29" s="837"/>
      <c r="H29" s="838"/>
    </row>
    <row r="30" spans="2:8">
      <c r="B30" s="608">
        <v>7</v>
      </c>
      <c r="C30" s="644"/>
      <c r="D30" s="607"/>
      <c r="E30" s="835"/>
      <c r="F30" s="836"/>
      <c r="G30" s="837"/>
      <c r="H30" s="838"/>
    </row>
    <row r="31" spans="2:8">
      <c r="B31" s="608">
        <v>8</v>
      </c>
      <c r="C31" s="644"/>
      <c r="D31" s="607"/>
      <c r="E31" s="835"/>
      <c r="F31" s="836"/>
      <c r="G31" s="837"/>
      <c r="H31" s="838"/>
    </row>
    <row r="32" spans="2:8">
      <c r="B32" s="608">
        <v>9</v>
      </c>
      <c r="C32" s="644"/>
      <c r="D32" s="607"/>
      <c r="E32" s="835"/>
      <c r="F32" s="836"/>
      <c r="G32" s="837"/>
      <c r="H32" s="838"/>
    </row>
    <row r="33" spans="2:8">
      <c r="B33" s="608">
        <v>10</v>
      </c>
      <c r="C33" s="644"/>
      <c r="D33" s="607"/>
      <c r="E33" s="835"/>
      <c r="F33" s="836"/>
      <c r="G33" s="837"/>
      <c r="H33" s="838"/>
    </row>
    <row r="34" spans="2:8">
      <c r="B34" s="608" t="s">
        <v>479</v>
      </c>
      <c r="C34" s="644"/>
      <c r="D34" s="607"/>
      <c r="E34" s="835"/>
      <c r="F34" s="836"/>
      <c r="G34" s="837"/>
      <c r="H34" s="838"/>
    </row>
    <row r="36" spans="2:8" ht="30.75" customHeight="1">
      <c r="B36" s="537" t="s">
        <v>605</v>
      </c>
    </row>
    <row r="37" spans="2:8" ht="23.25" customHeight="1">
      <c r="B37" s="568" t="s">
        <v>610</v>
      </c>
      <c r="C37" s="605"/>
      <c r="D37" s="605"/>
      <c r="E37" s="605"/>
      <c r="F37" s="605"/>
      <c r="G37" s="605"/>
      <c r="H37" s="605"/>
    </row>
    <row r="39" spans="2:8" s="90" customFormat="1" ht="15.75">
      <c r="B39" s="619" t="s">
        <v>545</v>
      </c>
      <c r="C39" s="619" t="s">
        <v>560</v>
      </c>
      <c r="D39" s="619" t="s">
        <v>544</v>
      </c>
      <c r="E39" s="839" t="s">
        <v>34</v>
      </c>
      <c r="F39" s="840"/>
      <c r="G39" s="839" t="s">
        <v>543</v>
      </c>
      <c r="H39" s="840"/>
    </row>
    <row r="40" spans="2:8">
      <c r="B40" s="608">
        <v>1</v>
      </c>
      <c r="C40" s="644"/>
      <c r="D40" s="607"/>
      <c r="E40" s="835"/>
      <c r="F40" s="836"/>
      <c r="G40" s="837"/>
      <c r="H40" s="838"/>
    </row>
    <row r="41" spans="2:8">
      <c r="B41" s="608">
        <v>2</v>
      </c>
      <c r="C41" s="644"/>
      <c r="D41" s="607"/>
      <c r="E41" s="835"/>
      <c r="F41" s="836"/>
      <c r="G41" s="837"/>
      <c r="H41" s="838"/>
    </row>
    <row r="42" spans="2:8">
      <c r="B42" s="608">
        <v>3</v>
      </c>
      <c r="C42" s="644"/>
      <c r="D42" s="607"/>
      <c r="E42" s="835"/>
      <c r="F42" s="836"/>
      <c r="G42" s="837"/>
      <c r="H42" s="838"/>
    </row>
    <row r="43" spans="2:8">
      <c r="B43" s="608">
        <v>4</v>
      </c>
      <c r="C43" s="644"/>
      <c r="D43" s="607"/>
      <c r="E43" s="835"/>
      <c r="F43" s="836"/>
      <c r="G43" s="837"/>
      <c r="H43" s="838"/>
    </row>
    <row r="44" spans="2:8">
      <c r="B44" s="608">
        <v>5</v>
      </c>
      <c r="C44" s="644"/>
      <c r="D44" s="607"/>
      <c r="E44" s="835"/>
      <c r="F44" s="836"/>
      <c r="G44" s="837"/>
      <c r="H44" s="838"/>
    </row>
    <row r="45" spans="2:8">
      <c r="B45" s="608">
        <v>6</v>
      </c>
      <c r="C45" s="644"/>
      <c r="D45" s="607"/>
      <c r="E45" s="835"/>
      <c r="F45" s="836"/>
      <c r="G45" s="837"/>
      <c r="H45" s="838"/>
    </row>
    <row r="46" spans="2:8">
      <c r="B46" s="608">
        <v>7</v>
      </c>
      <c r="C46" s="644"/>
      <c r="D46" s="607"/>
      <c r="E46" s="835"/>
      <c r="F46" s="836"/>
      <c r="G46" s="837"/>
      <c r="H46" s="838"/>
    </row>
    <row r="47" spans="2:8">
      <c r="B47" s="608">
        <v>8</v>
      </c>
      <c r="C47" s="644"/>
      <c r="D47" s="607"/>
      <c r="E47" s="835"/>
      <c r="F47" s="836"/>
      <c r="G47" s="837"/>
      <c r="H47" s="838"/>
    </row>
    <row r="48" spans="2:8">
      <c r="B48" s="608">
        <v>9</v>
      </c>
      <c r="C48" s="644"/>
      <c r="D48" s="607"/>
      <c r="E48" s="835"/>
      <c r="F48" s="836"/>
      <c r="G48" s="837"/>
      <c r="H48" s="838"/>
    </row>
    <row r="49" spans="2:8">
      <c r="B49" s="608">
        <v>10</v>
      </c>
      <c r="C49" s="644"/>
      <c r="D49" s="607"/>
      <c r="E49" s="835"/>
      <c r="F49" s="836"/>
      <c r="G49" s="837"/>
      <c r="H49" s="838"/>
    </row>
    <row r="50" spans="2:8">
      <c r="B50" s="608" t="s">
        <v>479</v>
      </c>
      <c r="C50" s="644"/>
      <c r="D50" s="607"/>
      <c r="E50" s="835"/>
      <c r="F50" s="836"/>
      <c r="G50" s="837"/>
      <c r="H50" s="838"/>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AF96"/>
  <sheetViews>
    <sheetView topLeftCell="A25" zoomScale="90" zoomScaleNormal="90" workbookViewId="0">
      <selection activeCell="F43" sqref="F43"/>
    </sheetView>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customWidth="1"/>
    <col min="14" max="14" width="26" style="12" customWidth="1"/>
    <col min="15" max="16" width="22" style="12" customWidth="1"/>
    <col min="17" max="17" width="16.28515625" style="12"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550</v>
      </c>
      <c r="P7" s="105"/>
      <c r="Q7" s="105"/>
    </row>
    <row r="8" spans="2:17" s="104" customFormat="1" ht="30" customHeight="1">
      <c r="D8" s="574"/>
      <c r="P8" s="105"/>
      <c r="Q8" s="105"/>
    </row>
    <row r="9" spans="2:17" s="2" customFormat="1" ht="24.75" customHeight="1">
      <c r="B9" s="118" t="s">
        <v>411</v>
      </c>
      <c r="C9" s="17"/>
      <c r="D9" s="455">
        <v>2016</v>
      </c>
    </row>
    <row r="10" spans="2:17" s="17" customFormat="1" ht="16.5" customHeight="1"/>
    <row r="11" spans="2:17" s="17" customFormat="1" ht="36.75" customHeight="1">
      <c r="B11" s="841" t="s">
        <v>750</v>
      </c>
      <c r="C11" s="841"/>
      <c r="D11" s="841"/>
      <c r="E11" s="841"/>
      <c r="F11" s="841"/>
      <c r="G11" s="841"/>
      <c r="H11" s="841"/>
      <c r="I11" s="841"/>
      <c r="J11" s="841"/>
      <c r="K11" s="841"/>
      <c r="L11" s="841"/>
      <c r="M11" s="841"/>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 50 - 4,999 kW</v>
      </c>
      <c r="G13" s="243" t="str">
        <f>'1.  LRAMVA Summary'!G52</f>
        <v>Street Light</v>
      </c>
      <c r="H13" s="243" t="str">
        <f>'1.  LRAMVA Summary'!H52</f>
        <v>USL</v>
      </c>
      <c r="I13" s="243" t="str">
        <f>'1.  LRAMVA Summary'!I52</f>
        <v>Embedded Distributor</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v>
      </c>
      <c r="H14" s="579" t="str">
        <f>'1.  LRAMVA Summary'!H53</f>
        <v>kWh</v>
      </c>
      <c r="I14" s="579" t="str">
        <f>'1.  LRAMVA Summary'!I53</f>
        <v>kW</v>
      </c>
      <c r="J14" s="579">
        <f>'1.  LRAMVA Summary'!J53</f>
        <v>0</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1870600</v>
      </c>
      <c r="D15" s="451">
        <v>1122360</v>
      </c>
      <c r="E15" s="451">
        <v>374120</v>
      </c>
      <c r="F15" s="451">
        <v>374120</v>
      </c>
      <c r="G15" s="451"/>
      <c r="H15" s="451"/>
      <c r="I15" s="451"/>
      <c r="J15" s="451"/>
      <c r="K15" s="451"/>
      <c r="L15" s="451"/>
      <c r="M15" s="451"/>
      <c r="N15" s="451"/>
      <c r="O15" s="451"/>
      <c r="P15" s="452"/>
      <c r="Q15" s="452"/>
    </row>
    <row r="16" spans="2:17" s="456" customFormat="1" ht="15.75" customHeight="1">
      <c r="B16" s="461" t="s">
        <v>28</v>
      </c>
      <c r="C16" s="626">
        <f>SUM(D16:Q16)</f>
        <v>1002</v>
      </c>
      <c r="D16" s="450"/>
      <c r="E16" s="450"/>
      <c r="F16" s="451">
        <v>1002</v>
      </c>
      <c r="G16" s="450"/>
      <c r="H16" s="450"/>
      <c r="I16" s="450"/>
      <c r="J16" s="450"/>
      <c r="K16" s="452"/>
      <c r="L16" s="452"/>
      <c r="M16" s="452"/>
      <c r="N16" s="452"/>
      <c r="O16" s="452"/>
      <c r="P16" s="452"/>
      <c r="Q16" s="452"/>
    </row>
    <row r="17" spans="2:17" s="17" customFormat="1" ht="15.75" customHeight="1"/>
    <row r="18" spans="2:17" s="25" customFormat="1" ht="15.75" customHeight="1">
      <c r="B18" s="191" t="s">
        <v>450</v>
      </c>
      <c r="C18" s="192"/>
      <c r="D18" s="192">
        <f t="shared" ref="D18:E18" si="0">IF(D14="kw",HLOOKUP(D14,D14:D16,3,FALSE),HLOOKUP(D14,D14:D16,2,FALSE))</f>
        <v>1122360</v>
      </c>
      <c r="E18" s="192">
        <f t="shared" si="0"/>
        <v>374120</v>
      </c>
      <c r="F18" s="192">
        <f>IF(F14="kw",HLOOKUP(F14,F14:F16,3,FALSE),HLOOKUP(F14,F14:F16,2,FALSE))</f>
        <v>1002</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666</v>
      </c>
      <c r="C20" s="453" t="s">
        <v>788</v>
      </c>
      <c r="D20" s="454"/>
    </row>
    <row r="21" spans="2:17" s="438" customFormat="1" ht="21" customHeight="1">
      <c r="B21" s="460" t="s">
        <v>366</v>
      </c>
      <c r="C21" s="453" t="s">
        <v>789</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v>2012</v>
      </c>
    </row>
    <row r="25" spans="2:17" s="2" customFormat="1" ht="15.75" customHeight="1">
      <c r="D25" s="20"/>
    </row>
    <row r="26" spans="2:17" s="2" customFormat="1" ht="42" customHeight="1">
      <c r="B26" s="841" t="s">
        <v>750</v>
      </c>
      <c r="C26" s="841"/>
      <c r="D26" s="841"/>
      <c r="E26" s="841"/>
      <c r="F26" s="841"/>
      <c r="G26" s="841"/>
      <c r="H26" s="841"/>
      <c r="I26" s="841"/>
      <c r="J26" s="841"/>
      <c r="K26" s="841"/>
      <c r="L26" s="841"/>
      <c r="M26" s="841"/>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 50 - 4,999 kW</v>
      </c>
      <c r="G28" s="243" t="str">
        <f>'1.  LRAMVA Summary'!G52</f>
        <v>Street Light</v>
      </c>
      <c r="H28" s="243" t="str">
        <f>'1.  LRAMVA Summary'!H52</f>
        <v>USL</v>
      </c>
      <c r="I28" s="243" t="str">
        <f>'1.  LRAMVA Summary'!I52</f>
        <v>Embedded Distributor</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v>
      </c>
      <c r="H29" s="579" t="str">
        <f>'1.  LRAMVA Summary'!H53</f>
        <v>kWh</v>
      </c>
      <c r="I29" s="579" t="str">
        <f>'1.  LRAMVA Summary'!I53</f>
        <v>kW</v>
      </c>
      <c r="J29" s="579">
        <f>'1.  LRAMVA Summary'!J53</f>
        <v>0</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1483912</v>
      </c>
      <c r="D30" s="462">
        <f>872686</f>
        <v>872686</v>
      </c>
      <c r="E30" s="462">
        <f>172591</f>
        <v>172591</v>
      </c>
      <c r="F30" s="462">
        <f>438635</f>
        <v>438635</v>
      </c>
      <c r="G30" s="462"/>
      <c r="H30" s="462"/>
      <c r="I30" s="462"/>
      <c r="J30" s="462"/>
      <c r="K30" s="462"/>
      <c r="L30" s="462"/>
      <c r="M30" s="462"/>
      <c r="N30" s="462"/>
      <c r="O30" s="462"/>
      <c r="P30" s="462"/>
      <c r="Q30" s="452"/>
    </row>
    <row r="31" spans="2:17" s="463" customFormat="1" ht="15" customHeight="1">
      <c r="B31" s="461" t="s">
        <v>28</v>
      </c>
      <c r="C31" s="626">
        <f>SUM(D31:Q31)</f>
        <v>1202</v>
      </c>
      <c r="D31" s="450"/>
      <c r="E31" s="450"/>
      <c r="F31" s="451">
        <f>1202</f>
        <v>1202</v>
      </c>
      <c r="G31" s="450"/>
      <c r="H31" s="450"/>
      <c r="I31" s="450"/>
      <c r="J31" s="450"/>
      <c r="K31" s="452"/>
      <c r="L31" s="452"/>
      <c r="M31" s="452"/>
      <c r="N31" s="452"/>
      <c r="O31" s="452"/>
      <c r="P31" s="452"/>
      <c r="Q31" s="452"/>
    </row>
    <row r="32" spans="2:17" s="17" customFormat="1" ht="15.75" customHeight="1"/>
    <row r="33" spans="2:32" s="25" customFormat="1" ht="15.75" customHeight="1">
      <c r="B33" s="191" t="s">
        <v>450</v>
      </c>
      <c r="C33" s="192"/>
      <c r="D33" s="764">
        <f>IF(D29="kw",HLOOKUP(D29,D29:D31,3,FALSE),HLOOKUP(D29,D29:D31,2,FALSE))</f>
        <v>872686</v>
      </c>
      <c r="E33" s="764">
        <f>IF(E29="kw",HLOOKUP(E29,E29:E31,3,FALSE),HLOOKUP(E29,E29:E31,2,FALSE))</f>
        <v>172591</v>
      </c>
      <c r="F33" s="764">
        <f>IF(F29="kw",HLOOKUP(F29,F29:F31,3,FALSE),HLOOKUP(F29,F29:F31,2,FALSE))</f>
        <v>1202</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666</v>
      </c>
      <c r="C35" s="453" t="s">
        <v>790</v>
      </c>
      <c r="D35" s="454"/>
      <c r="E35" s="93"/>
      <c r="F35" s="93"/>
      <c r="G35" s="93"/>
      <c r="H35" s="93"/>
      <c r="I35" s="93"/>
      <c r="J35" s="93"/>
      <c r="K35" s="93"/>
      <c r="L35" s="93"/>
      <c r="M35" s="93"/>
      <c r="N35" s="93"/>
      <c r="O35" s="93"/>
      <c r="P35" s="93"/>
      <c r="Q35" s="93"/>
    </row>
    <row r="36" spans="2:32" s="438" customFormat="1" ht="21" customHeight="1">
      <c r="B36" s="460" t="s">
        <v>366</v>
      </c>
      <c r="C36" s="453" t="s">
        <v>791</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452</v>
      </c>
      <c r="C39" s="35"/>
      <c r="D39" s="34"/>
      <c r="E39" s="39"/>
      <c r="F39" s="40"/>
    </row>
    <row r="40" spans="2:32" s="70" customFormat="1" ht="39" customHeight="1">
      <c r="B40" s="841" t="s">
        <v>603</v>
      </c>
      <c r="C40" s="841"/>
      <c r="D40" s="841"/>
      <c r="E40" s="841"/>
      <c r="F40" s="841"/>
      <c r="G40" s="841"/>
      <c r="H40" s="841"/>
      <c r="I40" s="841"/>
      <c r="J40" s="841"/>
      <c r="K40" s="841"/>
      <c r="L40" s="841"/>
      <c r="M40" s="841"/>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600</v>
      </c>
      <c r="D42" s="243" t="str">
        <f>'1.  LRAMVA Summary'!D52</f>
        <v>Residential</v>
      </c>
      <c r="E42" s="243" t="str">
        <f>'1.  LRAMVA Summary'!E52</f>
        <v>GS&lt;50 kW</v>
      </c>
      <c r="F42" s="243" t="str">
        <f>'1.  LRAMVA Summary'!F52</f>
        <v>GS 50 - 4,999 kW</v>
      </c>
      <c r="G42" s="243" t="str">
        <f>'1.  LRAMVA Summary'!G52</f>
        <v>Street Light</v>
      </c>
      <c r="H42" s="243" t="str">
        <f>'1.  LRAMVA Summary'!H52</f>
        <v>USL</v>
      </c>
      <c r="I42" s="243" t="str">
        <f>'1.  LRAMVA Summary'!I52</f>
        <v>Embedded Distributor</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v>
      </c>
      <c r="H43" s="583" t="str">
        <f>'1.  LRAMVA Summary'!H53</f>
        <v>kWh</v>
      </c>
      <c r="I43" s="583" t="str">
        <f>'1.  LRAMVA Summary'!I53</f>
        <v>kW</v>
      </c>
      <c r="J43" s="583">
        <f>'1.  LRAMVA Summary'!J53</f>
        <v>0</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75">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4"/>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4"/>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4">
        <v>2012</v>
      </c>
      <c r="D48" s="190">
        <f t="shared" ref="D48:Q48" si="7">IF(ISBLANK($C$48),0,IF($C$48=$D$9,HLOOKUP(D43,D14:D18,5,FALSE),HLOOKUP(D43,D29:D33,5,FALSE)))</f>
        <v>872686</v>
      </c>
      <c r="E48" s="190">
        <f t="shared" si="7"/>
        <v>172591</v>
      </c>
      <c r="F48" s="190">
        <f t="shared" si="7"/>
        <v>1202</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4">
        <v>2016</v>
      </c>
      <c r="D49" s="190">
        <f t="shared" ref="D49:Q49" si="8">IF(ISBLANK($C$49),0,IF($C$49=$D$9,HLOOKUP(D43,D14:D18,5,FALSE),HLOOKUP(D43,D29:D33,5,FALSE)))</f>
        <v>1122360</v>
      </c>
      <c r="E49" s="190">
        <f t="shared" si="8"/>
        <v>374120</v>
      </c>
      <c r="F49" s="190">
        <f t="shared" si="8"/>
        <v>1002</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4">
        <v>2016</v>
      </c>
      <c r="D50" s="190">
        <f t="shared" ref="D50:I50" si="9">IF(ISBLANK($C$50),0,IF($C$50=$D$9,HLOOKUP(D43,D14:D18,5,FALSE),HLOOKUP(D43,D29:D33,5,FALSE)))</f>
        <v>1122360</v>
      </c>
      <c r="E50" s="190">
        <f t="shared" si="9"/>
        <v>374120</v>
      </c>
      <c r="F50" s="190">
        <f t="shared" si="9"/>
        <v>1002</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4">
        <v>2016</v>
      </c>
      <c r="D51" s="190">
        <f t="shared" ref="D51:Q51" si="11">IF(ISBLANK($C$51),0,IF($C$51=$D$9,HLOOKUP(D43,D14:D18,5,FALSE),HLOOKUP(D43,D29:D33,5,FALSE)))</f>
        <v>1122360</v>
      </c>
      <c r="E51" s="190">
        <f t="shared" si="11"/>
        <v>374120</v>
      </c>
      <c r="F51" s="190">
        <f t="shared" si="11"/>
        <v>1002</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c r="B52" s="171">
        <v>2019</v>
      </c>
      <c r="C52" s="534">
        <v>2016</v>
      </c>
      <c r="D52" s="190">
        <f t="shared" ref="D52:Q52" si="12">IF(ISBLANK($C$52),0,IF($C$52=$D$9,HLOOKUP(D43,D14:D18,5,FALSE),HLOOKUP(D43,D29:D33,5,FALSE)))</f>
        <v>1122360</v>
      </c>
      <c r="E52" s="190">
        <f t="shared" si="12"/>
        <v>374120</v>
      </c>
      <c r="F52" s="190">
        <f t="shared" si="12"/>
        <v>1002</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c r="B53" s="171">
        <v>2020</v>
      </c>
      <c r="C53" s="534">
        <v>2016</v>
      </c>
      <c r="D53" s="190">
        <f t="shared" ref="D53:Q53" si="13">IF(ISBLANK($C$53),0,IF($C$53=$D$9,HLOOKUP(D43,D14:D18,5,FALSE),HLOOKUP(D43,D29:D33,5,FALSE)))</f>
        <v>1122360</v>
      </c>
      <c r="E53" s="190">
        <f t="shared" si="13"/>
        <v>374120</v>
      </c>
      <c r="F53" s="190">
        <f t="shared" si="13"/>
        <v>1002</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15.75">
      <c r="B54" s="453" t="s">
        <v>535</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Z136"/>
  <sheetViews>
    <sheetView zoomScale="80" zoomScaleNormal="80" workbookViewId="0">
      <pane ySplit="14" topLeftCell="A57" activePane="bottomLeft" state="frozen"/>
      <selection pane="bottomLeft" activeCell="O54" sqref="O54"/>
    </sheetView>
  </sheetViews>
  <sheetFormatPr defaultColWidth="9" defaultRowHeight="15" outlineLevelRow="1"/>
  <cols>
    <col min="1" max="1" width="6.5703125" style="4" customWidth="1"/>
    <col min="2" max="2" width="36.5703125" style="5" customWidth="1"/>
    <col min="3" max="3" width="17" style="78" customWidth="1"/>
    <col min="4" max="5" width="18" style="5" customWidth="1"/>
    <col min="6" max="6" width="18.5703125" style="5" customWidth="1"/>
    <col min="7" max="8" width="15.42578125" style="5" customWidth="1"/>
    <col min="9" max="9" width="17.28515625" style="5" customWidth="1"/>
    <col min="10" max="13" width="16" style="5" customWidth="1"/>
    <col min="14" max="14" width="19" style="5" customWidth="1"/>
    <col min="15" max="15" width="16.570312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47" t="s">
        <v>171</v>
      </c>
      <c r="C4" s="85" t="s">
        <v>175</v>
      </c>
      <c r="D4" s="85"/>
      <c r="E4" s="49"/>
    </row>
    <row r="5" spans="1:26" s="18" customFormat="1" ht="26.25" hidden="1" customHeight="1" outlineLevel="1" thickBot="1">
      <c r="A5" s="4"/>
      <c r="B5" s="847"/>
      <c r="C5" s="86" t="s">
        <v>172</v>
      </c>
      <c r="D5" s="86"/>
      <c r="E5" s="49"/>
    </row>
    <row r="6" spans="1:26" ht="26.25" hidden="1" customHeight="1" outlineLevel="1" thickBot="1">
      <c r="B6" s="847"/>
      <c r="C6" s="850" t="s">
        <v>550</v>
      </c>
      <c r="D6" s="851"/>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526</v>
      </c>
      <c r="C8" s="594" t="s">
        <v>481</v>
      </c>
      <c r="D8" s="593"/>
      <c r="M8" s="6"/>
      <c r="N8" s="6"/>
      <c r="O8" s="6"/>
      <c r="P8" s="6"/>
      <c r="Q8" s="6"/>
      <c r="R8" s="6"/>
      <c r="S8" s="6"/>
      <c r="T8" s="6"/>
      <c r="U8" s="6"/>
      <c r="V8" s="6"/>
      <c r="W8" s="6"/>
      <c r="X8" s="6"/>
      <c r="Y8" s="6"/>
      <c r="Z8" s="6"/>
    </row>
    <row r="9" spans="1:26" s="18" customFormat="1" ht="19.5" hidden="1" customHeight="1" outlineLevel="1">
      <c r="A9" s="4"/>
      <c r="B9" s="540"/>
      <c r="C9" s="594" t="s">
        <v>527</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482</v>
      </c>
      <c r="O11" s="552"/>
    </row>
    <row r="12" spans="1:26" ht="58.5" customHeight="1">
      <c r="B12" s="845" t="s">
        <v>611</v>
      </c>
      <c r="C12" s="845"/>
      <c r="D12" s="845"/>
      <c r="E12" s="845"/>
      <c r="F12" s="845"/>
      <c r="G12" s="845"/>
      <c r="H12" s="845"/>
      <c r="I12" s="845"/>
      <c r="J12" s="845"/>
      <c r="K12" s="845"/>
      <c r="L12" s="845"/>
      <c r="M12" s="845"/>
      <c r="N12" s="845"/>
      <c r="O12" s="845"/>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793</v>
      </c>
      <c r="E14" s="472" t="s">
        <v>794</v>
      </c>
      <c r="F14" s="472" t="s">
        <v>795</v>
      </c>
      <c r="G14" s="472" t="s">
        <v>796</v>
      </c>
      <c r="H14" s="472" t="s">
        <v>797</v>
      </c>
      <c r="I14" s="472" t="s">
        <v>798</v>
      </c>
      <c r="J14" s="472" t="s">
        <v>783</v>
      </c>
      <c r="K14" s="472" t="s">
        <v>799</v>
      </c>
      <c r="L14" s="472" t="s">
        <v>800</v>
      </c>
      <c r="M14" s="472" t="s">
        <v>801</v>
      </c>
      <c r="N14" s="472" t="s">
        <v>802</v>
      </c>
      <c r="O14" s="472" t="s">
        <v>803</v>
      </c>
      <c r="P14" s="7"/>
    </row>
    <row r="15" spans="1:26" s="7" customFormat="1" ht="18.75" customHeight="1">
      <c r="B15" s="473" t="s">
        <v>188</v>
      </c>
      <c r="C15" s="848"/>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558</v>
      </c>
      <c r="C16" s="843"/>
      <c r="D16" s="477">
        <v>4</v>
      </c>
      <c r="E16" s="477">
        <v>4</v>
      </c>
      <c r="F16" s="477">
        <v>0</v>
      </c>
      <c r="G16" s="477">
        <v>0</v>
      </c>
      <c r="H16" s="477">
        <v>0</v>
      </c>
      <c r="I16" s="477">
        <v>0</v>
      </c>
      <c r="J16" s="477">
        <v>8</v>
      </c>
      <c r="K16" s="477">
        <v>0</v>
      </c>
      <c r="L16" s="477">
        <v>0</v>
      </c>
      <c r="M16" s="477">
        <v>0</v>
      </c>
      <c r="N16" s="477">
        <v>0</v>
      </c>
      <c r="O16" s="478">
        <v>0</v>
      </c>
    </row>
    <row r="17" spans="1:15" s="111" customFormat="1" ht="17.25" customHeight="1">
      <c r="B17" s="479" t="s">
        <v>559</v>
      </c>
      <c r="C17" s="849"/>
      <c r="D17" s="112">
        <f>12-D16</f>
        <v>8</v>
      </c>
      <c r="E17" s="112">
        <f>12-E16</f>
        <v>8</v>
      </c>
      <c r="F17" s="112">
        <f t="shared" ref="F17:K17" si="0">12-F16</f>
        <v>12</v>
      </c>
      <c r="G17" s="112">
        <f t="shared" si="0"/>
        <v>12</v>
      </c>
      <c r="H17" s="112">
        <f t="shared" si="0"/>
        <v>12</v>
      </c>
      <c r="I17" s="112">
        <f t="shared" si="0"/>
        <v>12</v>
      </c>
      <c r="J17" s="112">
        <f t="shared" si="0"/>
        <v>4</v>
      </c>
      <c r="K17" s="112">
        <f t="shared" si="0"/>
        <v>12</v>
      </c>
      <c r="L17" s="112">
        <f t="shared" ref="L17:O17" si="1">12-L16</f>
        <v>12</v>
      </c>
      <c r="M17" s="112">
        <f t="shared" si="1"/>
        <v>12</v>
      </c>
      <c r="N17" s="112">
        <f t="shared" si="1"/>
        <v>12</v>
      </c>
      <c r="O17" s="113">
        <f t="shared" si="1"/>
        <v>12</v>
      </c>
    </row>
    <row r="18" spans="1:15" s="7" customFormat="1" ht="17.25" customHeight="1">
      <c r="B18" s="480" t="str">
        <f>'1.  LRAMVA Summary'!B29</f>
        <v>Residential</v>
      </c>
      <c r="C18" s="842" t="str">
        <f>'2. LRAMVA Threshold'!D43</f>
        <v>kWh</v>
      </c>
      <c r="D18" s="46">
        <v>8.6E-3</v>
      </c>
      <c r="E18" s="46">
        <v>8.6E-3</v>
      </c>
      <c r="F18" s="46">
        <v>1.1599999999999999E-2</v>
      </c>
      <c r="G18" s="46">
        <v>1.17E-2</v>
      </c>
      <c r="H18" s="46">
        <v>1.1900000000000001E-2</v>
      </c>
      <c r="I18" s="46">
        <v>1.21E-2</v>
      </c>
      <c r="J18" s="46">
        <v>9.9000000000000008E-3</v>
      </c>
      <c r="K18" s="46">
        <v>6.7000000000000002E-3</v>
      </c>
      <c r="L18" s="46">
        <v>3.3999999999999998E-3</v>
      </c>
      <c r="M18" s="46">
        <v>0</v>
      </c>
      <c r="N18" s="46">
        <v>0</v>
      </c>
      <c r="O18" s="69">
        <v>0</v>
      </c>
    </row>
    <row r="19" spans="1:15" s="7" customFormat="1" ht="15" customHeight="1" outlineLevel="1">
      <c r="B19" s="536" t="s">
        <v>510</v>
      </c>
      <c r="C19" s="843"/>
      <c r="D19" s="46"/>
      <c r="E19" s="46"/>
      <c r="F19" s="46"/>
      <c r="G19" s="46"/>
      <c r="H19" s="46"/>
      <c r="I19" s="46"/>
      <c r="J19" s="46"/>
      <c r="K19" s="46"/>
      <c r="L19" s="46"/>
      <c r="M19" s="46"/>
      <c r="N19" s="46"/>
      <c r="O19" s="69"/>
    </row>
    <row r="20" spans="1:15" s="7" customFormat="1" ht="15" customHeight="1" outlineLevel="1">
      <c r="B20" s="536" t="s">
        <v>511</v>
      </c>
      <c r="C20" s="843"/>
      <c r="D20" s="46"/>
      <c r="E20" s="46"/>
      <c r="F20" s="46"/>
      <c r="G20" s="46"/>
      <c r="H20" s="46"/>
      <c r="I20" s="46"/>
      <c r="J20" s="46"/>
      <c r="K20" s="46"/>
      <c r="L20" s="46"/>
      <c r="M20" s="46"/>
      <c r="N20" s="46"/>
      <c r="O20" s="69"/>
    </row>
    <row r="21" spans="1:15" s="7" customFormat="1" ht="15" customHeight="1" outlineLevel="1">
      <c r="B21" s="536" t="s">
        <v>489</v>
      </c>
      <c r="C21" s="843"/>
      <c r="D21" s="46"/>
      <c r="E21" s="46"/>
      <c r="F21" s="46"/>
      <c r="G21" s="46"/>
      <c r="H21" s="46"/>
      <c r="I21" s="46"/>
      <c r="J21" s="46"/>
      <c r="K21" s="46"/>
      <c r="L21" s="46"/>
      <c r="M21" s="46"/>
      <c r="N21" s="46"/>
      <c r="O21" s="69"/>
    </row>
    <row r="22" spans="1:15" s="7" customFormat="1" ht="14.25" customHeight="1">
      <c r="B22" s="536" t="s">
        <v>512</v>
      </c>
      <c r="C22" s="844"/>
      <c r="D22" s="65">
        <f>SUM(D18:D21)</f>
        <v>8.6E-3</v>
      </c>
      <c r="E22" s="65">
        <f>SUM(E18:E21)</f>
        <v>8.6E-3</v>
      </c>
      <c r="F22" s="65">
        <f>SUM(F18:F21)</f>
        <v>1.1599999999999999E-2</v>
      </c>
      <c r="G22" s="65">
        <f t="shared" ref="G22:N22" si="2">SUM(G18:G21)</f>
        <v>1.17E-2</v>
      </c>
      <c r="H22" s="65">
        <f t="shared" si="2"/>
        <v>1.1900000000000001E-2</v>
      </c>
      <c r="I22" s="65">
        <f t="shared" si="2"/>
        <v>1.21E-2</v>
      </c>
      <c r="J22" s="65">
        <f t="shared" si="2"/>
        <v>9.9000000000000008E-3</v>
      </c>
      <c r="K22" s="65">
        <f t="shared" si="2"/>
        <v>6.7000000000000002E-3</v>
      </c>
      <c r="L22" s="65">
        <f t="shared" si="2"/>
        <v>3.3999999999999998E-3</v>
      </c>
      <c r="M22" s="65">
        <f t="shared" si="2"/>
        <v>0</v>
      </c>
      <c r="N22" s="65">
        <f t="shared" si="2"/>
        <v>0</v>
      </c>
      <c r="O22" s="76"/>
    </row>
    <row r="23" spans="1:15" s="63" customFormat="1">
      <c r="A23" s="62"/>
      <c r="B23" s="492" t="s">
        <v>513</v>
      </c>
      <c r="C23" s="482"/>
      <c r="D23" s="483"/>
      <c r="E23" s="484">
        <f t="shared" ref="E23:J23" si="3">ROUND(SUM(D22*E16+E22*E17)/12,4)</f>
        <v>8.6E-3</v>
      </c>
      <c r="F23" s="484">
        <f t="shared" si="3"/>
        <v>1.1599999999999999E-2</v>
      </c>
      <c r="G23" s="484">
        <f t="shared" si="3"/>
        <v>1.17E-2</v>
      </c>
      <c r="H23" s="484">
        <f t="shared" si="3"/>
        <v>1.1900000000000001E-2</v>
      </c>
      <c r="I23" s="484">
        <f t="shared" si="3"/>
        <v>1.21E-2</v>
      </c>
      <c r="J23" s="484">
        <f t="shared" si="3"/>
        <v>1.14E-2</v>
      </c>
      <c r="K23" s="484">
        <f t="shared" ref="K23:N23" si="4">ROUND(SUM(J22*K16+K22*K17)/12,4)</f>
        <v>6.7000000000000002E-3</v>
      </c>
      <c r="L23" s="484">
        <f t="shared" si="4"/>
        <v>3.3999999999999998E-3</v>
      </c>
      <c r="M23" s="484">
        <f t="shared" si="4"/>
        <v>0</v>
      </c>
      <c r="N23" s="484">
        <f t="shared" si="4"/>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842" t="str">
        <f>'2. LRAMVA Threshold'!E43</f>
        <v>kWh</v>
      </c>
      <c r="D25" s="46">
        <v>0.01</v>
      </c>
      <c r="E25" s="46">
        <v>0.01</v>
      </c>
      <c r="F25" s="46">
        <v>1.2500000000000001E-2</v>
      </c>
      <c r="G25" s="46">
        <v>1.2699999999999999E-2</v>
      </c>
      <c r="H25" s="46">
        <v>1.29E-2</v>
      </c>
      <c r="I25" s="46">
        <v>1.3100000000000001E-2</v>
      </c>
      <c r="J25" s="46">
        <v>1.8700000000000001E-2</v>
      </c>
      <c r="K25" s="46">
        <v>1.9E-2</v>
      </c>
      <c r="L25" s="46">
        <v>1.9199999999999998E-2</v>
      </c>
      <c r="M25" s="46">
        <v>1.95E-2</v>
      </c>
      <c r="N25" s="46">
        <v>1.9900000000000001E-2</v>
      </c>
      <c r="O25" s="69">
        <v>2.0299999999999999E-2</v>
      </c>
    </row>
    <row r="26" spans="1:15" s="18" customFormat="1" outlineLevel="1">
      <c r="A26" s="4"/>
      <c r="B26" s="536" t="s">
        <v>510</v>
      </c>
      <c r="C26" s="843"/>
      <c r="D26" s="46"/>
      <c r="E26" s="46"/>
      <c r="F26" s="46"/>
      <c r="G26" s="46"/>
      <c r="H26" s="46"/>
      <c r="I26" s="46"/>
      <c r="J26" s="46"/>
      <c r="K26" s="46"/>
      <c r="L26" s="46"/>
      <c r="M26" s="46"/>
      <c r="N26" s="46"/>
      <c r="O26" s="69"/>
    </row>
    <row r="27" spans="1:15" s="18" customFormat="1" outlineLevel="1">
      <c r="A27" s="4"/>
      <c r="B27" s="536" t="s">
        <v>511</v>
      </c>
      <c r="C27" s="843"/>
      <c r="D27" s="46"/>
      <c r="E27" s="46"/>
      <c r="F27" s="46"/>
      <c r="G27" s="46"/>
      <c r="H27" s="46"/>
      <c r="I27" s="46"/>
      <c r="J27" s="46"/>
      <c r="K27" s="46"/>
      <c r="L27" s="46"/>
      <c r="M27" s="46"/>
      <c r="N27" s="46"/>
      <c r="O27" s="69"/>
    </row>
    <row r="28" spans="1:15" s="18" customFormat="1" outlineLevel="1">
      <c r="A28" s="4"/>
      <c r="B28" s="536" t="s">
        <v>489</v>
      </c>
      <c r="C28" s="843"/>
      <c r="D28" s="46"/>
      <c r="E28" s="46"/>
      <c r="F28" s="46"/>
      <c r="G28" s="46"/>
      <c r="H28" s="46"/>
      <c r="I28" s="46"/>
      <c r="J28" s="46"/>
      <c r="K28" s="46"/>
      <c r="L28" s="46"/>
      <c r="M28" s="46"/>
      <c r="N28" s="46"/>
      <c r="O28" s="69"/>
    </row>
    <row r="29" spans="1:15" s="18" customFormat="1">
      <c r="A29" s="4"/>
      <c r="B29" s="536" t="s">
        <v>512</v>
      </c>
      <c r="C29" s="844"/>
      <c r="D29" s="65">
        <f>SUM(D25:D28)</f>
        <v>0.01</v>
      </c>
      <c r="E29" s="65">
        <f t="shared" ref="E29:N29" si="5">SUM(E25:E28)</f>
        <v>0.01</v>
      </c>
      <c r="F29" s="65">
        <f t="shared" si="5"/>
        <v>1.2500000000000001E-2</v>
      </c>
      <c r="G29" s="65">
        <f t="shared" si="5"/>
        <v>1.2699999999999999E-2</v>
      </c>
      <c r="H29" s="65">
        <f t="shared" si="5"/>
        <v>1.29E-2</v>
      </c>
      <c r="I29" s="65">
        <f t="shared" si="5"/>
        <v>1.3100000000000001E-2</v>
      </c>
      <c r="J29" s="65">
        <f t="shared" si="5"/>
        <v>1.8700000000000001E-2</v>
      </c>
      <c r="K29" s="65">
        <f t="shared" si="5"/>
        <v>1.9E-2</v>
      </c>
      <c r="L29" s="65">
        <f t="shared" si="5"/>
        <v>1.9199999999999998E-2</v>
      </c>
      <c r="M29" s="65">
        <f t="shared" si="5"/>
        <v>1.95E-2</v>
      </c>
      <c r="N29" s="65">
        <f t="shared" si="5"/>
        <v>1.9900000000000001E-2</v>
      </c>
      <c r="O29" s="76"/>
    </row>
    <row r="30" spans="1:15" s="18" customFormat="1">
      <c r="A30" s="4"/>
      <c r="B30" s="492" t="s">
        <v>513</v>
      </c>
      <c r="C30" s="488"/>
      <c r="D30" s="71"/>
      <c r="E30" s="484">
        <f>ROUND(SUM(D29*E16+E29*E17)/12,4)</f>
        <v>0.01</v>
      </c>
      <c r="F30" s="484">
        <f t="shared" ref="F30:N30" si="6">ROUND(SUM(E29*F16+F29*F17)/12,4)</f>
        <v>1.2500000000000001E-2</v>
      </c>
      <c r="G30" s="484">
        <f t="shared" si="6"/>
        <v>1.2699999999999999E-2</v>
      </c>
      <c r="H30" s="484">
        <f t="shared" si="6"/>
        <v>1.29E-2</v>
      </c>
      <c r="I30" s="484">
        <f t="shared" si="6"/>
        <v>1.3100000000000001E-2</v>
      </c>
      <c r="J30" s="484">
        <f>ROUND(SUM(I29*J16+J29*J17)/12,4)</f>
        <v>1.4999999999999999E-2</v>
      </c>
      <c r="K30" s="484">
        <f t="shared" si="6"/>
        <v>1.9E-2</v>
      </c>
      <c r="L30" s="484">
        <f t="shared" si="6"/>
        <v>1.9199999999999998E-2</v>
      </c>
      <c r="M30" s="484">
        <f t="shared" si="6"/>
        <v>1.95E-2</v>
      </c>
      <c r="N30" s="484">
        <f t="shared" si="6"/>
        <v>1.9900000000000001E-2</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4" t="str">
        <f>'1.  LRAMVA Summary'!B31</f>
        <v>GS 50 - 4,999 kW</v>
      </c>
      <c r="C32" s="842" t="str">
        <f>'2. LRAMVA Threshold'!F43</f>
        <v>kW</v>
      </c>
      <c r="D32" s="46">
        <v>1.4193</v>
      </c>
      <c r="E32" s="46">
        <v>1.4136</v>
      </c>
      <c r="F32" s="46">
        <v>1.6936</v>
      </c>
      <c r="G32" s="46">
        <v>1.7153</v>
      </c>
      <c r="H32" s="46">
        <v>1.7419</v>
      </c>
      <c r="I32" s="46">
        <v>1.7672000000000001</v>
      </c>
      <c r="J32" s="46">
        <v>2.9903</v>
      </c>
      <c r="K32" s="46">
        <v>3.0217000000000001</v>
      </c>
      <c r="L32" s="46">
        <v>3.0373000000000001</v>
      </c>
      <c r="M32" s="46">
        <v>3.0783</v>
      </c>
      <c r="N32" s="46">
        <v>3.1352000000000002</v>
      </c>
      <c r="O32" s="69">
        <v>3.2042000000000002</v>
      </c>
    </row>
    <row r="33" spans="1:15" s="18" customFormat="1" outlineLevel="1">
      <c r="A33" s="4"/>
      <c r="B33" s="536" t="s">
        <v>510</v>
      </c>
      <c r="C33" s="843"/>
      <c r="D33" s="46"/>
      <c r="E33" s="46"/>
      <c r="F33" s="46"/>
      <c r="G33" s="46"/>
      <c r="H33" s="46"/>
      <c r="I33" s="46"/>
      <c r="J33" s="46"/>
      <c r="K33" s="46"/>
      <c r="L33" s="46"/>
      <c r="M33" s="46"/>
      <c r="N33" s="46"/>
      <c r="O33" s="69"/>
    </row>
    <row r="34" spans="1:15" s="18" customFormat="1" outlineLevel="1">
      <c r="A34" s="4"/>
      <c r="B34" s="536" t="s">
        <v>511</v>
      </c>
      <c r="C34" s="843"/>
      <c r="D34" s="46"/>
      <c r="E34" s="46"/>
      <c r="F34" s="46"/>
      <c r="G34" s="46"/>
      <c r="H34" s="46"/>
      <c r="I34" s="46"/>
      <c r="J34" s="46"/>
      <c r="K34" s="46"/>
      <c r="L34" s="46"/>
      <c r="M34" s="46"/>
      <c r="N34" s="46"/>
      <c r="O34" s="69"/>
    </row>
    <row r="35" spans="1:15" s="18" customFormat="1" outlineLevel="1">
      <c r="A35" s="4"/>
      <c r="B35" s="536" t="s">
        <v>489</v>
      </c>
      <c r="C35" s="843"/>
      <c r="D35" s="46"/>
      <c r="E35" s="46"/>
      <c r="F35" s="46"/>
      <c r="G35" s="46"/>
      <c r="H35" s="46"/>
      <c r="I35" s="46"/>
      <c r="J35" s="46"/>
      <c r="K35" s="46"/>
      <c r="L35" s="46"/>
      <c r="M35" s="46"/>
      <c r="N35" s="46"/>
      <c r="O35" s="69"/>
    </row>
    <row r="36" spans="1:15" s="18" customFormat="1">
      <c r="A36" s="4"/>
      <c r="B36" s="536" t="s">
        <v>512</v>
      </c>
      <c r="C36" s="844"/>
      <c r="D36" s="65">
        <f>SUM(D32:D35)</f>
        <v>1.4193</v>
      </c>
      <c r="E36" s="65">
        <f>SUM(E32:E35)</f>
        <v>1.4136</v>
      </c>
      <c r="F36" s="65">
        <f t="shared" ref="F36:M36" si="7">SUM(F32:F35)</f>
        <v>1.6936</v>
      </c>
      <c r="G36" s="65">
        <f t="shared" si="7"/>
        <v>1.7153</v>
      </c>
      <c r="H36" s="65">
        <f t="shared" si="7"/>
        <v>1.7419</v>
      </c>
      <c r="I36" s="65">
        <f t="shared" si="7"/>
        <v>1.7672000000000001</v>
      </c>
      <c r="J36" s="65">
        <f t="shared" si="7"/>
        <v>2.9903</v>
      </c>
      <c r="K36" s="65">
        <f t="shared" si="7"/>
        <v>3.0217000000000001</v>
      </c>
      <c r="L36" s="65">
        <f t="shared" si="7"/>
        <v>3.0373000000000001</v>
      </c>
      <c r="M36" s="65">
        <f t="shared" si="7"/>
        <v>3.0783</v>
      </c>
      <c r="N36" s="65">
        <f>SUM(N32:N35)</f>
        <v>3.1352000000000002</v>
      </c>
      <c r="O36" s="76"/>
    </row>
    <row r="37" spans="1:15" s="18" customFormat="1">
      <c r="A37" s="4"/>
      <c r="B37" s="492" t="s">
        <v>513</v>
      </c>
      <c r="C37" s="488"/>
      <c r="D37" s="71"/>
      <c r="E37" s="484">
        <f t="shared" ref="E37:N37" si="8">ROUND(SUM(D36*E16+E36*E17)/12,4)</f>
        <v>1.4155</v>
      </c>
      <c r="F37" s="484">
        <f t="shared" si="8"/>
        <v>1.6936</v>
      </c>
      <c r="G37" s="484">
        <f t="shared" si="8"/>
        <v>1.7153</v>
      </c>
      <c r="H37" s="484">
        <f t="shared" si="8"/>
        <v>1.7419</v>
      </c>
      <c r="I37" s="484">
        <f t="shared" si="8"/>
        <v>1.7672000000000001</v>
      </c>
      <c r="J37" s="484">
        <f>ROUND(SUM(I36*J16+J36*J17)/12,4)</f>
        <v>2.1749000000000001</v>
      </c>
      <c r="K37" s="484">
        <f t="shared" si="8"/>
        <v>3.0217000000000001</v>
      </c>
      <c r="L37" s="484">
        <f t="shared" si="8"/>
        <v>3.0373000000000001</v>
      </c>
      <c r="M37" s="484">
        <f t="shared" si="8"/>
        <v>3.0783</v>
      </c>
      <c r="N37" s="484">
        <f t="shared" si="8"/>
        <v>3.1352000000000002</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4" t="str">
        <f>'1.  LRAMVA Summary'!B32</f>
        <v>Street Light</v>
      </c>
      <c r="C39" s="842" t="str">
        <f>'2. LRAMVA Threshold'!G43</f>
        <v>kW</v>
      </c>
      <c r="D39" s="46">
        <v>3.2494000000000001</v>
      </c>
      <c r="E39" s="46">
        <v>3.2363</v>
      </c>
      <c r="F39" s="46">
        <v>4.3468999999999998</v>
      </c>
      <c r="G39" s="46">
        <v>4.7760999999999996</v>
      </c>
      <c r="H39" s="46">
        <v>5.2229999999999999</v>
      </c>
      <c r="I39" s="46">
        <v>5.2987000000000002</v>
      </c>
      <c r="J39" s="46">
        <v>5.6254</v>
      </c>
      <c r="K39" s="46">
        <v>5.7237999999999998</v>
      </c>
      <c r="L39" s="46">
        <v>5.7839</v>
      </c>
      <c r="M39" s="46">
        <v>5.8620000000000001</v>
      </c>
      <c r="N39" s="46">
        <v>5.9703999999999997</v>
      </c>
      <c r="O39" s="69">
        <v>6.1017000000000001</v>
      </c>
    </row>
    <row r="40" spans="1:15" s="18" customFormat="1" outlineLevel="1">
      <c r="A40" s="4"/>
      <c r="B40" s="536" t="s">
        <v>510</v>
      </c>
      <c r="C40" s="843"/>
      <c r="D40" s="46"/>
      <c r="E40" s="46"/>
      <c r="F40" s="46"/>
      <c r="G40" s="46"/>
      <c r="H40" s="46"/>
      <c r="I40" s="46"/>
      <c r="J40" s="46"/>
      <c r="K40" s="46"/>
      <c r="L40" s="46"/>
      <c r="M40" s="46"/>
      <c r="N40" s="46"/>
      <c r="O40" s="69"/>
    </row>
    <row r="41" spans="1:15" s="18" customFormat="1" outlineLevel="1">
      <c r="A41" s="4"/>
      <c r="B41" s="536" t="s">
        <v>511</v>
      </c>
      <c r="C41" s="843"/>
      <c r="D41" s="46"/>
      <c r="E41" s="46"/>
      <c r="F41" s="46"/>
      <c r="G41" s="46"/>
      <c r="H41" s="46"/>
      <c r="I41" s="46"/>
      <c r="J41" s="46"/>
      <c r="K41" s="46"/>
      <c r="L41" s="46"/>
      <c r="M41" s="46"/>
      <c r="N41" s="46"/>
      <c r="O41" s="69"/>
    </row>
    <row r="42" spans="1:15" s="18" customFormat="1" outlineLevel="1">
      <c r="A42" s="4"/>
      <c r="B42" s="536" t="s">
        <v>489</v>
      </c>
      <c r="C42" s="843"/>
      <c r="D42" s="46"/>
      <c r="E42" s="46"/>
      <c r="F42" s="46"/>
      <c r="G42" s="46"/>
      <c r="H42" s="46"/>
      <c r="I42" s="46"/>
      <c r="J42" s="46"/>
      <c r="K42" s="46"/>
      <c r="L42" s="46"/>
      <c r="M42" s="46"/>
      <c r="N42" s="46"/>
      <c r="O42" s="69"/>
    </row>
    <row r="43" spans="1:15" s="18" customFormat="1">
      <c r="A43" s="4"/>
      <c r="B43" s="536" t="s">
        <v>512</v>
      </c>
      <c r="C43" s="844"/>
      <c r="D43" s="65">
        <f>SUM(D39:D42)</f>
        <v>3.2494000000000001</v>
      </c>
      <c r="E43" s="65">
        <f t="shared" ref="E43:N43" si="9">SUM(E39:E42)</f>
        <v>3.2363</v>
      </c>
      <c r="F43" s="65">
        <f t="shared" si="9"/>
        <v>4.3468999999999998</v>
      </c>
      <c r="G43" s="65">
        <f t="shared" si="9"/>
        <v>4.7760999999999996</v>
      </c>
      <c r="H43" s="65">
        <f t="shared" si="9"/>
        <v>5.2229999999999999</v>
      </c>
      <c r="I43" s="65">
        <f t="shared" si="9"/>
        <v>5.2987000000000002</v>
      </c>
      <c r="J43" s="65">
        <f t="shared" si="9"/>
        <v>5.6254</v>
      </c>
      <c r="K43" s="65">
        <f t="shared" si="9"/>
        <v>5.7237999999999998</v>
      </c>
      <c r="L43" s="65">
        <f t="shared" si="9"/>
        <v>5.7839</v>
      </c>
      <c r="M43" s="65">
        <f t="shared" si="9"/>
        <v>5.8620000000000001</v>
      </c>
      <c r="N43" s="65">
        <f t="shared" si="9"/>
        <v>5.9703999999999997</v>
      </c>
      <c r="O43" s="76"/>
    </row>
    <row r="44" spans="1:15" s="14" customFormat="1">
      <c r="A44" s="72"/>
      <c r="B44" s="492" t="s">
        <v>513</v>
      </c>
      <c r="C44" s="488"/>
      <c r="D44" s="71"/>
      <c r="E44" s="484">
        <f t="shared" ref="E44:N44" si="10">ROUND(SUM(D43*E16+E43*E17)/12,4)</f>
        <v>3.2406999999999999</v>
      </c>
      <c r="F44" s="484">
        <f t="shared" si="10"/>
        <v>4.3468999999999998</v>
      </c>
      <c r="G44" s="484">
        <f t="shared" si="10"/>
        <v>4.7760999999999996</v>
      </c>
      <c r="H44" s="484">
        <f t="shared" si="10"/>
        <v>5.2229999999999999</v>
      </c>
      <c r="I44" s="484">
        <f t="shared" si="10"/>
        <v>5.2987000000000002</v>
      </c>
      <c r="J44" s="484">
        <f t="shared" si="10"/>
        <v>5.4076000000000004</v>
      </c>
      <c r="K44" s="484">
        <f t="shared" si="10"/>
        <v>5.7237999999999998</v>
      </c>
      <c r="L44" s="484">
        <f t="shared" si="10"/>
        <v>5.7839</v>
      </c>
      <c r="M44" s="484">
        <f t="shared" si="10"/>
        <v>5.8620000000000001</v>
      </c>
      <c r="N44" s="484">
        <f t="shared" si="10"/>
        <v>5.9703999999999997</v>
      </c>
      <c r="O44" s="489"/>
    </row>
    <row r="45" spans="1:15" s="70" customFormat="1" ht="14.25">
      <c r="A45" s="72"/>
      <c r="B45" s="492"/>
      <c r="C45" s="488"/>
      <c r="D45" s="71"/>
      <c r="E45" s="71"/>
      <c r="F45" s="71"/>
      <c r="G45" s="71"/>
      <c r="H45" s="71"/>
      <c r="I45" s="71"/>
      <c r="J45" s="71"/>
      <c r="K45" s="71"/>
      <c r="L45" s="487"/>
      <c r="M45" s="487"/>
      <c r="N45" s="487"/>
      <c r="O45" s="493"/>
    </row>
    <row r="46" spans="1:15" s="64" customFormat="1">
      <c r="A46" s="62"/>
      <c r="B46" s="604" t="str">
        <f>'1.  LRAMVA Summary'!B33</f>
        <v>USL</v>
      </c>
      <c r="C46" s="842" t="str">
        <f>'2. LRAMVA Threshold'!H43</f>
        <v>kWh</v>
      </c>
      <c r="D46" s="46">
        <v>9.9000000000000008E-3</v>
      </c>
      <c r="E46" s="46">
        <v>9.9000000000000008E-3</v>
      </c>
      <c r="F46" s="46">
        <v>1.11E-2</v>
      </c>
      <c r="G46" s="46">
        <v>1.12E-2</v>
      </c>
      <c r="H46" s="46">
        <v>1.14E-2</v>
      </c>
      <c r="I46" s="46">
        <v>1.1599999999999999E-2</v>
      </c>
      <c r="J46" s="46">
        <v>1.6799999999999999E-2</v>
      </c>
      <c r="K46" s="46">
        <v>2.0400000000000001E-2</v>
      </c>
      <c r="L46" s="46">
        <v>2.3099999999999999E-2</v>
      </c>
      <c r="M46" s="46">
        <v>2.3400000000000001E-2</v>
      </c>
      <c r="N46" s="46">
        <v>2.3800000000000002E-2</v>
      </c>
      <c r="O46" s="69">
        <v>2.4299999999999999E-2</v>
      </c>
    </row>
    <row r="47" spans="1:15" s="18" customFormat="1" outlineLevel="1">
      <c r="A47" s="4"/>
      <c r="B47" s="536" t="s">
        <v>510</v>
      </c>
      <c r="C47" s="843"/>
      <c r="D47" s="46"/>
      <c r="E47" s="46"/>
      <c r="F47" s="46"/>
      <c r="G47" s="46"/>
      <c r="H47" s="46"/>
      <c r="I47" s="46"/>
      <c r="J47" s="46"/>
      <c r="K47" s="46"/>
      <c r="L47" s="46"/>
      <c r="M47" s="46"/>
      <c r="N47" s="46"/>
      <c r="O47" s="69"/>
    </row>
    <row r="48" spans="1:15" s="18" customFormat="1" outlineLevel="1">
      <c r="A48" s="4"/>
      <c r="B48" s="536" t="s">
        <v>511</v>
      </c>
      <c r="C48" s="843"/>
      <c r="D48" s="46"/>
      <c r="E48" s="46"/>
      <c r="F48" s="46"/>
      <c r="G48" s="46"/>
      <c r="H48" s="46"/>
      <c r="I48" s="46"/>
      <c r="J48" s="46"/>
      <c r="K48" s="46"/>
      <c r="L48" s="46"/>
      <c r="M48" s="46"/>
      <c r="N48" s="46"/>
      <c r="O48" s="69"/>
    </row>
    <row r="49" spans="1:15" s="18" customFormat="1" outlineLevel="1">
      <c r="A49" s="4"/>
      <c r="B49" s="536" t="s">
        <v>489</v>
      </c>
      <c r="C49" s="843"/>
      <c r="D49" s="46"/>
      <c r="E49" s="46"/>
      <c r="F49" s="46"/>
      <c r="G49" s="46"/>
      <c r="H49" s="46"/>
      <c r="I49" s="46"/>
      <c r="J49" s="46"/>
      <c r="K49" s="46"/>
      <c r="L49" s="46"/>
      <c r="M49" s="46"/>
      <c r="N49" s="46"/>
      <c r="O49" s="69"/>
    </row>
    <row r="50" spans="1:15" s="18" customFormat="1">
      <c r="A50" s="4"/>
      <c r="B50" s="536" t="s">
        <v>512</v>
      </c>
      <c r="C50" s="844"/>
      <c r="D50" s="65">
        <f>SUM(D46:D49)</f>
        <v>9.9000000000000008E-3</v>
      </c>
      <c r="E50" s="65">
        <f t="shared" ref="E50:N50" si="11">SUM(E46:E49)</f>
        <v>9.9000000000000008E-3</v>
      </c>
      <c r="F50" s="65">
        <f t="shared" si="11"/>
        <v>1.11E-2</v>
      </c>
      <c r="G50" s="65">
        <f t="shared" si="11"/>
        <v>1.12E-2</v>
      </c>
      <c r="H50" s="65">
        <f t="shared" si="11"/>
        <v>1.14E-2</v>
      </c>
      <c r="I50" s="65">
        <f t="shared" si="11"/>
        <v>1.1599999999999999E-2</v>
      </c>
      <c r="J50" s="65">
        <f t="shared" si="11"/>
        <v>1.6799999999999999E-2</v>
      </c>
      <c r="K50" s="65">
        <f t="shared" si="11"/>
        <v>2.0400000000000001E-2</v>
      </c>
      <c r="L50" s="65">
        <f t="shared" si="11"/>
        <v>2.3099999999999999E-2</v>
      </c>
      <c r="M50" s="65">
        <f t="shared" si="11"/>
        <v>2.3400000000000001E-2</v>
      </c>
      <c r="N50" s="65">
        <f t="shared" si="11"/>
        <v>2.3800000000000002E-2</v>
      </c>
      <c r="O50" s="76"/>
    </row>
    <row r="51" spans="1:15" s="14" customFormat="1">
      <c r="A51" s="72"/>
      <c r="B51" s="492" t="s">
        <v>513</v>
      </c>
      <c r="C51" s="488"/>
      <c r="D51" s="71"/>
      <c r="E51" s="484">
        <f t="shared" ref="E51:N51" si="12">ROUND(SUM(D50*E16+E50*E17)/12,4)</f>
        <v>9.9000000000000008E-3</v>
      </c>
      <c r="F51" s="484">
        <f t="shared" si="12"/>
        <v>1.11E-2</v>
      </c>
      <c r="G51" s="484">
        <f t="shared" si="12"/>
        <v>1.12E-2</v>
      </c>
      <c r="H51" s="484">
        <f t="shared" si="12"/>
        <v>1.14E-2</v>
      </c>
      <c r="I51" s="484">
        <f t="shared" si="12"/>
        <v>1.1599999999999999E-2</v>
      </c>
      <c r="J51" s="484">
        <f t="shared" si="12"/>
        <v>1.3299999999999999E-2</v>
      </c>
      <c r="K51" s="484">
        <f t="shared" si="12"/>
        <v>2.0400000000000001E-2</v>
      </c>
      <c r="L51" s="484">
        <f t="shared" si="12"/>
        <v>2.3099999999999999E-2</v>
      </c>
      <c r="M51" s="484">
        <f t="shared" si="12"/>
        <v>2.3400000000000001E-2</v>
      </c>
      <c r="N51" s="484">
        <f t="shared" si="12"/>
        <v>2.3800000000000002E-2</v>
      </c>
      <c r="O51" s="489"/>
    </row>
    <row r="52" spans="1:15" s="70" customFormat="1" ht="14.25">
      <c r="A52" s="72"/>
      <c r="B52" s="492"/>
      <c r="C52" s="488"/>
      <c r="D52" s="71"/>
      <c r="E52" s="71"/>
      <c r="F52" s="71"/>
      <c r="G52" s="71"/>
      <c r="H52" s="71"/>
      <c r="I52" s="71"/>
      <c r="J52" s="71"/>
      <c r="K52" s="71"/>
      <c r="L52" s="494"/>
      <c r="M52" s="494"/>
      <c r="N52" s="494"/>
      <c r="O52" s="493"/>
    </row>
    <row r="53" spans="1:15" s="64" customFormat="1">
      <c r="A53" s="62"/>
      <c r="B53" s="604" t="str">
        <f>'1.  LRAMVA Summary'!B34</f>
        <v>Embedded Distributor</v>
      </c>
      <c r="C53" s="842" t="str">
        <f>'2. LRAMVA Threshold'!I43</f>
        <v>kW</v>
      </c>
      <c r="D53" s="46"/>
      <c r="E53" s="46"/>
      <c r="F53" s="46"/>
      <c r="G53" s="46"/>
      <c r="H53" s="46"/>
      <c r="I53" s="46"/>
      <c r="J53" s="46">
        <v>1.3768</v>
      </c>
      <c r="K53" s="46">
        <v>1.4009</v>
      </c>
      <c r="L53" s="46">
        <v>1.4156</v>
      </c>
      <c r="M53" s="46">
        <v>1.4347000000000001</v>
      </c>
      <c r="N53" s="46">
        <v>1.4612000000000001</v>
      </c>
      <c r="O53" s="69">
        <v>1.4933000000000001</v>
      </c>
    </row>
    <row r="54" spans="1:15" s="18" customFormat="1" outlineLevel="1">
      <c r="A54" s="4"/>
      <c r="B54" s="536" t="s">
        <v>510</v>
      </c>
      <c r="C54" s="843"/>
      <c r="D54" s="46"/>
      <c r="E54" s="46"/>
      <c r="F54" s="46"/>
      <c r="G54" s="46"/>
      <c r="H54" s="46"/>
      <c r="I54" s="46"/>
      <c r="J54" s="46"/>
      <c r="K54" s="46"/>
      <c r="L54" s="46"/>
      <c r="M54" s="46"/>
      <c r="N54" s="46"/>
      <c r="O54" s="69"/>
    </row>
    <row r="55" spans="1:15" s="18" customFormat="1" outlineLevel="1">
      <c r="A55" s="4"/>
      <c r="B55" s="536" t="s">
        <v>511</v>
      </c>
      <c r="C55" s="843"/>
      <c r="D55" s="46"/>
      <c r="E55" s="46"/>
      <c r="F55" s="46"/>
      <c r="G55" s="46"/>
      <c r="H55" s="46"/>
      <c r="I55" s="46"/>
      <c r="J55" s="46"/>
      <c r="K55" s="46"/>
      <c r="L55" s="46"/>
      <c r="M55" s="46"/>
      <c r="N55" s="46"/>
      <c r="O55" s="69"/>
    </row>
    <row r="56" spans="1:15" s="18" customFormat="1" outlineLevel="1">
      <c r="A56" s="4"/>
      <c r="B56" s="536" t="s">
        <v>489</v>
      </c>
      <c r="C56" s="843"/>
      <c r="D56" s="46"/>
      <c r="E56" s="46"/>
      <c r="F56" s="46"/>
      <c r="G56" s="46"/>
      <c r="H56" s="46"/>
      <c r="I56" s="46"/>
      <c r="J56" s="46"/>
      <c r="K56" s="46"/>
      <c r="L56" s="46"/>
      <c r="M56" s="46"/>
      <c r="N56" s="46"/>
      <c r="O56" s="69"/>
    </row>
    <row r="57" spans="1:15" s="18" customFormat="1">
      <c r="A57" s="4"/>
      <c r="B57" s="536" t="s">
        <v>512</v>
      </c>
      <c r="C57" s="844"/>
      <c r="D57" s="65">
        <f>SUM(D53:D56)</f>
        <v>0</v>
      </c>
      <c r="E57" s="65">
        <f t="shared" ref="E57:N57" si="13">SUM(E53:E56)</f>
        <v>0</v>
      </c>
      <c r="F57" s="65">
        <f t="shared" si="13"/>
        <v>0</v>
      </c>
      <c r="G57" s="65">
        <f t="shared" si="13"/>
        <v>0</v>
      </c>
      <c r="H57" s="65">
        <f t="shared" si="13"/>
        <v>0</v>
      </c>
      <c r="I57" s="65">
        <f t="shared" si="13"/>
        <v>0</v>
      </c>
      <c r="J57" s="65">
        <f t="shared" si="13"/>
        <v>1.3768</v>
      </c>
      <c r="K57" s="65">
        <f t="shared" si="13"/>
        <v>1.4009</v>
      </c>
      <c r="L57" s="65">
        <f t="shared" si="13"/>
        <v>1.4156</v>
      </c>
      <c r="M57" s="65">
        <f t="shared" si="13"/>
        <v>1.4347000000000001</v>
      </c>
      <c r="N57" s="65">
        <f t="shared" si="13"/>
        <v>1.4612000000000001</v>
      </c>
      <c r="O57" s="77"/>
    </row>
    <row r="58" spans="1:15" s="14" customFormat="1">
      <c r="A58" s="72"/>
      <c r="B58" s="492" t="s">
        <v>513</v>
      </c>
      <c r="C58" s="488"/>
      <c r="D58" s="71"/>
      <c r="E58" s="484">
        <f t="shared" ref="E58:N58" si="14">ROUND(SUM(D57*E16+E57*E17)/12,4)</f>
        <v>0</v>
      </c>
      <c r="F58" s="484">
        <f t="shared" si="14"/>
        <v>0</v>
      </c>
      <c r="G58" s="484">
        <f t="shared" si="14"/>
        <v>0</v>
      </c>
      <c r="H58" s="484">
        <f t="shared" si="14"/>
        <v>0</v>
      </c>
      <c r="I58" s="484">
        <f t="shared" si="14"/>
        <v>0</v>
      </c>
      <c r="J58" s="484">
        <f t="shared" si="14"/>
        <v>0.45889999999999997</v>
      </c>
      <c r="K58" s="484">
        <f t="shared" si="14"/>
        <v>1.4009</v>
      </c>
      <c r="L58" s="484">
        <f t="shared" si="14"/>
        <v>1.4156</v>
      </c>
      <c r="M58" s="484">
        <f t="shared" si="14"/>
        <v>1.4347000000000001</v>
      </c>
      <c r="N58" s="484">
        <f t="shared" si="14"/>
        <v>1.4612000000000001</v>
      </c>
      <c r="O58" s="489"/>
    </row>
    <row r="59" spans="1:15" s="70" customFormat="1" ht="14.25">
      <c r="A59" s="72"/>
      <c r="B59" s="492"/>
      <c r="C59" s="488"/>
      <c r="D59" s="71"/>
      <c r="E59" s="71"/>
      <c r="F59" s="71"/>
      <c r="G59" s="71"/>
      <c r="H59" s="71"/>
      <c r="I59" s="71"/>
      <c r="J59" s="71"/>
      <c r="K59" s="71"/>
      <c r="L59" s="494"/>
      <c r="M59" s="494"/>
      <c r="N59" s="494"/>
      <c r="O59" s="493"/>
    </row>
    <row r="60" spans="1:15" s="64" customFormat="1">
      <c r="A60" s="62"/>
      <c r="B60" s="604">
        <f>'1.  LRAMVA Summary'!B35</f>
        <v>0</v>
      </c>
      <c r="C60" s="842">
        <f>'2. LRAMVA Threshold'!J43</f>
        <v>0</v>
      </c>
      <c r="D60" s="46"/>
      <c r="E60" s="46"/>
      <c r="F60" s="46"/>
      <c r="G60" s="46"/>
      <c r="H60" s="46"/>
      <c r="I60" s="46"/>
      <c r="J60" s="46"/>
      <c r="K60" s="46"/>
      <c r="L60" s="46"/>
      <c r="M60" s="46"/>
      <c r="N60" s="46"/>
      <c r="O60" s="69"/>
    </row>
    <row r="61" spans="1:15" s="18" customFormat="1" outlineLevel="1">
      <c r="A61" s="4"/>
      <c r="B61" s="536" t="s">
        <v>510</v>
      </c>
      <c r="C61" s="843"/>
      <c r="D61" s="46"/>
      <c r="E61" s="46"/>
      <c r="F61" s="46"/>
      <c r="G61" s="46"/>
      <c r="H61" s="46"/>
      <c r="I61" s="46"/>
      <c r="J61" s="46"/>
      <c r="K61" s="46"/>
      <c r="L61" s="46"/>
      <c r="M61" s="46"/>
      <c r="N61" s="46"/>
      <c r="O61" s="69"/>
    </row>
    <row r="62" spans="1:15" s="18" customFormat="1" outlineLevel="1">
      <c r="A62" s="4"/>
      <c r="B62" s="536" t="s">
        <v>511</v>
      </c>
      <c r="C62" s="843"/>
      <c r="D62" s="46"/>
      <c r="E62" s="46"/>
      <c r="F62" s="46"/>
      <c r="G62" s="46"/>
      <c r="H62" s="46"/>
      <c r="I62" s="46"/>
      <c r="J62" s="46"/>
      <c r="K62" s="46"/>
      <c r="L62" s="46"/>
      <c r="M62" s="46"/>
      <c r="N62" s="46"/>
      <c r="O62" s="69"/>
    </row>
    <row r="63" spans="1:15" s="18" customFormat="1" outlineLevel="1">
      <c r="A63" s="4"/>
      <c r="B63" s="536" t="s">
        <v>489</v>
      </c>
      <c r="C63" s="843"/>
      <c r="D63" s="46"/>
      <c r="E63" s="46"/>
      <c r="F63" s="46"/>
      <c r="G63" s="46"/>
      <c r="H63" s="46"/>
      <c r="I63" s="46"/>
      <c r="J63" s="46"/>
      <c r="K63" s="46"/>
      <c r="L63" s="46"/>
      <c r="M63" s="46"/>
      <c r="N63" s="46"/>
      <c r="O63" s="69"/>
    </row>
    <row r="64" spans="1:15" s="18" customFormat="1">
      <c r="A64" s="4"/>
      <c r="B64" s="536" t="s">
        <v>512</v>
      </c>
      <c r="C64" s="844"/>
      <c r="D64" s="65">
        <f>SUM(D60:D63)</f>
        <v>0</v>
      </c>
      <c r="E64" s="65">
        <f t="shared" ref="E64:N64" si="15">SUM(E60:E63)</f>
        <v>0</v>
      </c>
      <c r="F64" s="65">
        <f t="shared" si="15"/>
        <v>0</v>
      </c>
      <c r="G64" s="65">
        <f t="shared" si="15"/>
        <v>0</v>
      </c>
      <c r="H64" s="65">
        <f t="shared" si="15"/>
        <v>0</v>
      </c>
      <c r="I64" s="65">
        <f t="shared" si="15"/>
        <v>0</v>
      </c>
      <c r="J64" s="65">
        <f t="shared" si="15"/>
        <v>0</v>
      </c>
      <c r="K64" s="65">
        <f t="shared" si="15"/>
        <v>0</v>
      </c>
      <c r="L64" s="65">
        <f t="shared" si="15"/>
        <v>0</v>
      </c>
      <c r="M64" s="65">
        <f t="shared" si="15"/>
        <v>0</v>
      </c>
      <c r="N64" s="65">
        <f t="shared" si="15"/>
        <v>0</v>
      </c>
      <c r="O64" s="77"/>
    </row>
    <row r="65" spans="1:15" s="14" customFormat="1">
      <c r="A65" s="72"/>
      <c r="B65" s="492" t="s">
        <v>513</v>
      </c>
      <c r="C65" s="488"/>
      <c r="D65" s="71"/>
      <c r="E65" s="484">
        <f t="shared" ref="E65:N65" si="16">ROUND(SUM(D64*E16+E64*E17)/12,4)</f>
        <v>0</v>
      </c>
      <c r="F65" s="484">
        <f t="shared" si="16"/>
        <v>0</v>
      </c>
      <c r="G65" s="484">
        <f t="shared" si="16"/>
        <v>0</v>
      </c>
      <c r="H65" s="484">
        <f t="shared" si="16"/>
        <v>0</v>
      </c>
      <c r="I65" s="484">
        <f>ROUND(SUM(H64*I16+I64*I17)/12,4)</f>
        <v>0</v>
      </c>
      <c r="J65" s="484">
        <f t="shared" si="16"/>
        <v>0</v>
      </c>
      <c r="K65" s="484">
        <f t="shared" si="16"/>
        <v>0</v>
      </c>
      <c r="L65" s="484">
        <f t="shared" si="16"/>
        <v>0</v>
      </c>
      <c r="M65" s="484">
        <f t="shared" si="16"/>
        <v>0</v>
      </c>
      <c r="N65" s="484">
        <f t="shared" si="16"/>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4">
        <f>'1.  LRAMVA Summary'!B36</f>
        <v>0</v>
      </c>
      <c r="C67" s="842">
        <f>'2. LRAMVA Threshold'!K43</f>
        <v>0</v>
      </c>
      <c r="D67" s="46"/>
      <c r="E67" s="46"/>
      <c r="F67" s="46"/>
      <c r="G67" s="46"/>
      <c r="H67" s="46"/>
      <c r="I67" s="46"/>
      <c r="J67" s="46"/>
      <c r="K67" s="46"/>
      <c r="L67" s="46"/>
      <c r="M67" s="46"/>
      <c r="N67" s="46"/>
      <c r="O67" s="69"/>
    </row>
    <row r="68" spans="1:15" s="18" customFormat="1" outlineLevel="1">
      <c r="A68" s="4"/>
      <c r="B68" s="536" t="s">
        <v>510</v>
      </c>
      <c r="C68" s="843"/>
      <c r="D68" s="46"/>
      <c r="E68" s="46"/>
      <c r="F68" s="46"/>
      <c r="G68" s="46"/>
      <c r="H68" s="46"/>
      <c r="I68" s="46"/>
      <c r="J68" s="46"/>
      <c r="K68" s="46"/>
      <c r="L68" s="46"/>
      <c r="M68" s="46"/>
      <c r="N68" s="46"/>
      <c r="O68" s="69"/>
    </row>
    <row r="69" spans="1:15" s="18" customFormat="1" outlineLevel="1">
      <c r="A69" s="4"/>
      <c r="B69" s="536" t="s">
        <v>511</v>
      </c>
      <c r="C69" s="843"/>
      <c r="D69" s="46"/>
      <c r="E69" s="46"/>
      <c r="F69" s="46"/>
      <c r="G69" s="46"/>
      <c r="H69" s="46"/>
      <c r="I69" s="46"/>
      <c r="J69" s="46"/>
      <c r="K69" s="46"/>
      <c r="L69" s="46"/>
      <c r="M69" s="46"/>
      <c r="N69" s="46"/>
      <c r="O69" s="69"/>
    </row>
    <row r="70" spans="1:15" s="18" customFormat="1" outlineLevel="1">
      <c r="A70" s="4"/>
      <c r="B70" s="536" t="s">
        <v>489</v>
      </c>
      <c r="C70" s="843"/>
      <c r="D70" s="46"/>
      <c r="E70" s="46"/>
      <c r="F70" s="46"/>
      <c r="G70" s="46"/>
      <c r="H70" s="46"/>
      <c r="I70" s="46"/>
      <c r="J70" s="46"/>
      <c r="K70" s="46"/>
      <c r="L70" s="46"/>
      <c r="M70" s="46"/>
      <c r="N70" s="46"/>
      <c r="O70" s="69"/>
    </row>
    <row r="71" spans="1:15" s="18" customFormat="1">
      <c r="A71" s="4"/>
      <c r="B71" s="536" t="s">
        <v>512</v>
      </c>
      <c r="C71" s="844"/>
      <c r="D71" s="65">
        <f>SUM(D67:D70)</f>
        <v>0</v>
      </c>
      <c r="E71" s="65">
        <f t="shared" ref="E71:N71" si="17">SUM(E67:E70)</f>
        <v>0</v>
      </c>
      <c r="F71" s="65">
        <f>SUM(F67:F70)</f>
        <v>0</v>
      </c>
      <c r="G71" s="65">
        <f t="shared" si="17"/>
        <v>0</v>
      </c>
      <c r="H71" s="65">
        <f t="shared" si="17"/>
        <v>0</v>
      </c>
      <c r="I71" s="65">
        <f t="shared" si="17"/>
        <v>0</v>
      </c>
      <c r="J71" s="65">
        <f t="shared" si="17"/>
        <v>0</v>
      </c>
      <c r="K71" s="65">
        <f t="shared" si="17"/>
        <v>0</v>
      </c>
      <c r="L71" s="65">
        <f t="shared" si="17"/>
        <v>0</v>
      </c>
      <c r="M71" s="65">
        <f t="shared" si="17"/>
        <v>0</v>
      </c>
      <c r="N71" s="65">
        <f t="shared" si="17"/>
        <v>0</v>
      </c>
      <c r="O71" s="77"/>
    </row>
    <row r="72" spans="1:15" s="14" customFormat="1">
      <c r="A72" s="72"/>
      <c r="B72" s="492" t="s">
        <v>513</v>
      </c>
      <c r="C72" s="488"/>
      <c r="D72" s="71"/>
      <c r="E72" s="484">
        <f t="shared" ref="E72:N72" si="18">ROUND(SUM(D71*E16+E71*E17)/12,4)</f>
        <v>0</v>
      </c>
      <c r="F72" s="484">
        <f t="shared" si="18"/>
        <v>0</v>
      </c>
      <c r="G72" s="484">
        <f t="shared" si="18"/>
        <v>0</v>
      </c>
      <c r="H72" s="484">
        <f t="shared" si="18"/>
        <v>0</v>
      </c>
      <c r="I72" s="484">
        <f t="shared" si="18"/>
        <v>0</v>
      </c>
      <c r="J72" s="484">
        <f t="shared" si="18"/>
        <v>0</v>
      </c>
      <c r="K72" s="484">
        <f t="shared" si="18"/>
        <v>0</v>
      </c>
      <c r="L72" s="484">
        <f t="shared" si="18"/>
        <v>0</v>
      </c>
      <c r="M72" s="484">
        <f t="shared" si="18"/>
        <v>0</v>
      </c>
      <c r="N72" s="484">
        <f t="shared" si="18"/>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4">
        <f>'1.  LRAMVA Summary'!B37</f>
        <v>0</v>
      </c>
      <c r="C74" s="842">
        <f>'2. LRAMVA Threshold'!L43</f>
        <v>0</v>
      </c>
      <c r="D74" s="46"/>
      <c r="E74" s="46"/>
      <c r="F74" s="46"/>
      <c r="G74" s="46"/>
      <c r="H74" s="46"/>
      <c r="I74" s="46"/>
      <c r="J74" s="46"/>
      <c r="K74" s="46"/>
      <c r="L74" s="46"/>
      <c r="M74" s="46"/>
      <c r="N74" s="46"/>
      <c r="O74" s="69"/>
    </row>
    <row r="75" spans="1:15" s="18" customFormat="1" outlineLevel="1">
      <c r="A75" s="4"/>
      <c r="B75" s="536" t="s">
        <v>510</v>
      </c>
      <c r="C75" s="843"/>
      <c r="D75" s="46"/>
      <c r="E75" s="46"/>
      <c r="F75" s="46"/>
      <c r="G75" s="46"/>
      <c r="H75" s="46"/>
      <c r="I75" s="46"/>
      <c r="J75" s="46"/>
      <c r="K75" s="46"/>
      <c r="L75" s="46"/>
      <c r="M75" s="46"/>
      <c r="N75" s="46"/>
      <c r="O75" s="69"/>
    </row>
    <row r="76" spans="1:15" s="18" customFormat="1" outlineLevel="1">
      <c r="A76" s="4"/>
      <c r="B76" s="536" t="s">
        <v>511</v>
      </c>
      <c r="C76" s="843"/>
      <c r="D76" s="46"/>
      <c r="E76" s="46"/>
      <c r="F76" s="46"/>
      <c r="G76" s="46"/>
      <c r="H76" s="46"/>
      <c r="I76" s="46"/>
      <c r="J76" s="46"/>
      <c r="K76" s="46"/>
      <c r="L76" s="46"/>
      <c r="M76" s="46"/>
      <c r="N76" s="46"/>
      <c r="O76" s="69"/>
    </row>
    <row r="77" spans="1:15" s="18" customFormat="1" outlineLevel="1">
      <c r="A77" s="4"/>
      <c r="B77" s="536" t="s">
        <v>489</v>
      </c>
      <c r="C77" s="843"/>
      <c r="D77" s="46"/>
      <c r="E77" s="46"/>
      <c r="F77" s="46"/>
      <c r="G77" s="46"/>
      <c r="H77" s="46"/>
      <c r="I77" s="46"/>
      <c r="J77" s="46"/>
      <c r="K77" s="46"/>
      <c r="L77" s="46"/>
      <c r="M77" s="46"/>
      <c r="N77" s="46"/>
      <c r="O77" s="69"/>
    </row>
    <row r="78" spans="1:15" s="18" customFormat="1">
      <c r="A78" s="4"/>
      <c r="B78" s="536" t="s">
        <v>512</v>
      </c>
      <c r="C78" s="844"/>
      <c r="D78" s="65">
        <f>SUM(D74:D77)</f>
        <v>0</v>
      </c>
      <c r="E78" s="65">
        <f>SUM(E74:E77)</f>
        <v>0</v>
      </c>
      <c r="F78" s="65">
        <f t="shared" ref="F78:N78" si="19">SUM(F74:F77)</f>
        <v>0</v>
      </c>
      <c r="G78" s="65">
        <f t="shared" si="19"/>
        <v>0</v>
      </c>
      <c r="H78" s="65">
        <f t="shared" si="19"/>
        <v>0</v>
      </c>
      <c r="I78" s="65">
        <f t="shared" si="19"/>
        <v>0</v>
      </c>
      <c r="J78" s="65">
        <f t="shared" si="19"/>
        <v>0</v>
      </c>
      <c r="K78" s="65">
        <f t="shared" si="19"/>
        <v>0</v>
      </c>
      <c r="L78" s="65">
        <f t="shared" si="19"/>
        <v>0</v>
      </c>
      <c r="M78" s="65">
        <f t="shared" si="19"/>
        <v>0</v>
      </c>
      <c r="N78" s="65">
        <f t="shared" si="19"/>
        <v>0</v>
      </c>
      <c r="O78" s="77"/>
    </row>
    <row r="79" spans="1:15" s="14" customFormat="1">
      <c r="A79" s="72"/>
      <c r="B79" s="492" t="s">
        <v>513</v>
      </c>
      <c r="C79" s="488"/>
      <c r="D79" s="71"/>
      <c r="E79" s="484">
        <f t="shared" ref="E79:N79" si="20">ROUND(SUM(D78*E16+E78*E17)/12,4)</f>
        <v>0</v>
      </c>
      <c r="F79" s="484">
        <f t="shared" si="20"/>
        <v>0</v>
      </c>
      <c r="G79" s="484">
        <f t="shared" si="20"/>
        <v>0</v>
      </c>
      <c r="H79" s="484">
        <f t="shared" si="20"/>
        <v>0</v>
      </c>
      <c r="I79" s="484">
        <f t="shared" si="20"/>
        <v>0</v>
      </c>
      <c r="J79" s="484">
        <f t="shared" si="20"/>
        <v>0</v>
      </c>
      <c r="K79" s="484">
        <f t="shared" si="20"/>
        <v>0</v>
      </c>
      <c r="L79" s="484">
        <f t="shared" si="20"/>
        <v>0</v>
      </c>
      <c r="M79" s="484">
        <f t="shared" si="20"/>
        <v>0</v>
      </c>
      <c r="N79" s="484">
        <f t="shared" si="20"/>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4">
        <f>'1.  LRAMVA Summary'!B38</f>
        <v>0</v>
      </c>
      <c r="C81" s="842">
        <f>'2. LRAMVA Threshold'!M43</f>
        <v>0</v>
      </c>
      <c r="D81" s="46"/>
      <c r="E81" s="46"/>
      <c r="F81" s="46"/>
      <c r="G81" s="46"/>
      <c r="H81" s="46"/>
      <c r="I81" s="46"/>
      <c r="J81" s="46"/>
      <c r="K81" s="46"/>
      <c r="L81" s="46"/>
      <c r="M81" s="46"/>
      <c r="N81" s="46"/>
      <c r="O81" s="69"/>
    </row>
    <row r="82" spans="1:15" s="18" customFormat="1" outlineLevel="1">
      <c r="A82" s="4"/>
      <c r="B82" s="536" t="s">
        <v>510</v>
      </c>
      <c r="C82" s="843"/>
      <c r="D82" s="46"/>
      <c r="E82" s="46"/>
      <c r="F82" s="46"/>
      <c r="G82" s="46"/>
      <c r="H82" s="46"/>
      <c r="I82" s="46"/>
      <c r="J82" s="46"/>
      <c r="K82" s="46"/>
      <c r="L82" s="46"/>
      <c r="M82" s="46"/>
      <c r="N82" s="46"/>
      <c r="O82" s="69"/>
    </row>
    <row r="83" spans="1:15" s="18" customFormat="1" outlineLevel="1">
      <c r="A83" s="4"/>
      <c r="B83" s="536" t="s">
        <v>511</v>
      </c>
      <c r="C83" s="843"/>
      <c r="D83" s="46"/>
      <c r="E83" s="46"/>
      <c r="F83" s="46"/>
      <c r="G83" s="46"/>
      <c r="H83" s="46"/>
      <c r="I83" s="46"/>
      <c r="J83" s="46"/>
      <c r="K83" s="46"/>
      <c r="L83" s="46"/>
      <c r="M83" s="46"/>
      <c r="N83" s="46"/>
      <c r="O83" s="69"/>
    </row>
    <row r="84" spans="1:15" s="18" customFormat="1" outlineLevel="1">
      <c r="A84" s="4"/>
      <c r="B84" s="536" t="s">
        <v>489</v>
      </c>
      <c r="C84" s="843"/>
      <c r="D84" s="46"/>
      <c r="E84" s="46"/>
      <c r="F84" s="46"/>
      <c r="G84" s="46"/>
      <c r="H84" s="46"/>
      <c r="I84" s="46"/>
      <c r="J84" s="46"/>
      <c r="K84" s="46"/>
      <c r="L84" s="46"/>
      <c r="M84" s="46"/>
      <c r="N84" s="46"/>
      <c r="O84" s="69"/>
    </row>
    <row r="85" spans="1:15" s="18" customFormat="1">
      <c r="A85" s="4"/>
      <c r="B85" s="536" t="s">
        <v>512</v>
      </c>
      <c r="C85" s="844"/>
      <c r="D85" s="65">
        <f>SUM(D81:D84)</f>
        <v>0</v>
      </c>
      <c r="E85" s="65">
        <f>SUM(E81:E84)</f>
        <v>0</v>
      </c>
      <c r="F85" s="65">
        <f t="shared" ref="F85:N85" si="21">SUM(F81:F84)</f>
        <v>0</v>
      </c>
      <c r="G85" s="65">
        <f t="shared" si="21"/>
        <v>0</v>
      </c>
      <c r="H85" s="65">
        <f t="shared" si="21"/>
        <v>0</v>
      </c>
      <c r="I85" s="65">
        <f t="shared" si="21"/>
        <v>0</v>
      </c>
      <c r="J85" s="65">
        <f t="shared" si="21"/>
        <v>0</v>
      </c>
      <c r="K85" s="65">
        <f t="shared" si="21"/>
        <v>0</v>
      </c>
      <c r="L85" s="65">
        <f t="shared" si="21"/>
        <v>0</v>
      </c>
      <c r="M85" s="65">
        <f t="shared" si="21"/>
        <v>0</v>
      </c>
      <c r="N85" s="65">
        <f t="shared" si="21"/>
        <v>0</v>
      </c>
      <c r="O85" s="77"/>
    </row>
    <row r="86" spans="1:15" s="14" customFormat="1">
      <c r="A86" s="72"/>
      <c r="B86" s="492" t="s">
        <v>513</v>
      </c>
      <c r="C86" s="488"/>
      <c r="D86" s="71"/>
      <c r="E86" s="484">
        <f t="shared" ref="E86:N86" si="22">ROUND(SUM(D85*E16+E85*E17)/12,4)</f>
        <v>0</v>
      </c>
      <c r="F86" s="484">
        <f t="shared" si="22"/>
        <v>0</v>
      </c>
      <c r="G86" s="484">
        <f t="shared" si="22"/>
        <v>0</v>
      </c>
      <c r="H86" s="484">
        <f t="shared" si="22"/>
        <v>0</v>
      </c>
      <c r="I86" s="484">
        <f t="shared" si="22"/>
        <v>0</v>
      </c>
      <c r="J86" s="484">
        <f t="shared" si="22"/>
        <v>0</v>
      </c>
      <c r="K86" s="484">
        <f t="shared" si="22"/>
        <v>0</v>
      </c>
      <c r="L86" s="484">
        <f t="shared" si="22"/>
        <v>0</v>
      </c>
      <c r="M86" s="484">
        <f t="shared" si="22"/>
        <v>0</v>
      </c>
      <c r="N86" s="484">
        <f t="shared" si="22"/>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4">
        <f>'1.  LRAMVA Summary'!B39</f>
        <v>0</v>
      </c>
      <c r="C88" s="842">
        <f>'2. LRAMVA Threshold'!N43</f>
        <v>0</v>
      </c>
      <c r="D88" s="46"/>
      <c r="E88" s="46"/>
      <c r="F88" s="46"/>
      <c r="G88" s="46"/>
      <c r="H88" s="46"/>
      <c r="I88" s="46"/>
      <c r="J88" s="46"/>
      <c r="K88" s="46"/>
      <c r="L88" s="46"/>
      <c r="M88" s="46"/>
      <c r="N88" s="46"/>
      <c r="O88" s="69"/>
    </row>
    <row r="89" spans="1:15" s="18" customFormat="1" outlineLevel="1">
      <c r="A89" s="4"/>
      <c r="B89" s="536" t="s">
        <v>510</v>
      </c>
      <c r="C89" s="843"/>
      <c r="D89" s="46"/>
      <c r="E89" s="46"/>
      <c r="F89" s="46"/>
      <c r="G89" s="46"/>
      <c r="H89" s="46"/>
      <c r="I89" s="46"/>
      <c r="J89" s="46"/>
      <c r="K89" s="46"/>
      <c r="L89" s="46"/>
      <c r="M89" s="46"/>
      <c r="N89" s="46"/>
      <c r="O89" s="69"/>
    </row>
    <row r="90" spans="1:15" s="18" customFormat="1" outlineLevel="1">
      <c r="A90" s="4"/>
      <c r="B90" s="536" t="s">
        <v>511</v>
      </c>
      <c r="C90" s="843"/>
      <c r="D90" s="46"/>
      <c r="E90" s="46"/>
      <c r="F90" s="46"/>
      <c r="G90" s="46"/>
      <c r="H90" s="46"/>
      <c r="I90" s="46"/>
      <c r="J90" s="46"/>
      <c r="K90" s="46"/>
      <c r="L90" s="46"/>
      <c r="M90" s="46"/>
      <c r="N90" s="46"/>
      <c r="O90" s="69"/>
    </row>
    <row r="91" spans="1:15" s="18" customFormat="1" outlineLevel="1">
      <c r="A91" s="4"/>
      <c r="B91" s="536" t="s">
        <v>489</v>
      </c>
      <c r="C91" s="843"/>
      <c r="D91" s="46"/>
      <c r="E91" s="46"/>
      <c r="F91" s="46"/>
      <c r="G91" s="46"/>
      <c r="H91" s="46"/>
      <c r="I91" s="46"/>
      <c r="J91" s="46"/>
      <c r="K91" s="46"/>
      <c r="L91" s="46"/>
      <c r="M91" s="46"/>
      <c r="N91" s="46"/>
      <c r="O91" s="69"/>
    </row>
    <row r="92" spans="1:15" s="18" customFormat="1">
      <c r="A92" s="4"/>
      <c r="B92" s="536" t="s">
        <v>512</v>
      </c>
      <c r="C92" s="844"/>
      <c r="D92" s="65">
        <f>SUM(D88:D91)</f>
        <v>0</v>
      </c>
      <c r="E92" s="65">
        <f>SUM(E88:E91)</f>
        <v>0</v>
      </c>
      <c r="F92" s="65">
        <f t="shared" ref="F92:N92" si="23">SUM(F88:F91)</f>
        <v>0</v>
      </c>
      <c r="G92" s="65">
        <f t="shared" si="23"/>
        <v>0</v>
      </c>
      <c r="H92" s="65">
        <f t="shared" si="23"/>
        <v>0</v>
      </c>
      <c r="I92" s="65">
        <f t="shared" si="23"/>
        <v>0</v>
      </c>
      <c r="J92" s="65">
        <f t="shared" si="23"/>
        <v>0</v>
      </c>
      <c r="K92" s="65">
        <f t="shared" si="23"/>
        <v>0</v>
      </c>
      <c r="L92" s="65">
        <f t="shared" si="23"/>
        <v>0</v>
      </c>
      <c r="M92" s="65">
        <f t="shared" si="23"/>
        <v>0</v>
      </c>
      <c r="N92" s="65">
        <f t="shared" si="23"/>
        <v>0</v>
      </c>
      <c r="O92" s="77"/>
    </row>
    <row r="93" spans="1:15" s="14" customFormat="1">
      <c r="A93" s="72"/>
      <c r="B93" s="492" t="s">
        <v>513</v>
      </c>
      <c r="C93" s="488"/>
      <c r="D93" s="71"/>
      <c r="E93" s="484">
        <f t="shared" ref="E93:N93" si="24">ROUND(SUM(D92*E16+E92*E17)/12,4)</f>
        <v>0</v>
      </c>
      <c r="F93" s="484">
        <f t="shared" si="24"/>
        <v>0</v>
      </c>
      <c r="G93" s="484">
        <f t="shared" si="24"/>
        <v>0</v>
      </c>
      <c r="H93" s="484">
        <f t="shared" si="24"/>
        <v>0</v>
      </c>
      <c r="I93" s="484">
        <f t="shared" si="24"/>
        <v>0</v>
      </c>
      <c r="J93" s="484">
        <f t="shared" si="24"/>
        <v>0</v>
      </c>
      <c r="K93" s="484">
        <f t="shared" si="24"/>
        <v>0</v>
      </c>
      <c r="L93" s="484">
        <f t="shared" si="24"/>
        <v>0</v>
      </c>
      <c r="M93" s="484">
        <f t="shared" si="24"/>
        <v>0</v>
      </c>
      <c r="N93" s="484">
        <f t="shared" si="24"/>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4">
        <f>'1.  LRAMVA Summary'!B40</f>
        <v>0</v>
      </c>
      <c r="C95" s="842">
        <f>'2. LRAMVA Threshold'!O43</f>
        <v>0</v>
      </c>
      <c r="D95" s="46"/>
      <c r="E95" s="46"/>
      <c r="F95" s="46"/>
      <c r="G95" s="46"/>
      <c r="H95" s="46"/>
      <c r="I95" s="46"/>
      <c r="J95" s="46"/>
      <c r="K95" s="46"/>
      <c r="L95" s="46"/>
      <c r="M95" s="46"/>
      <c r="N95" s="46"/>
      <c r="O95" s="69"/>
    </row>
    <row r="96" spans="1:15" s="18" customFormat="1" outlineLevel="1">
      <c r="A96" s="4"/>
      <c r="B96" s="536" t="s">
        <v>510</v>
      </c>
      <c r="C96" s="843"/>
      <c r="D96" s="46"/>
      <c r="E96" s="46"/>
      <c r="F96" s="46"/>
      <c r="G96" s="46"/>
      <c r="H96" s="46"/>
      <c r="I96" s="46"/>
      <c r="J96" s="46"/>
      <c r="K96" s="46"/>
      <c r="L96" s="46"/>
      <c r="M96" s="46"/>
      <c r="N96" s="46"/>
      <c r="O96" s="69"/>
    </row>
    <row r="97" spans="1:15" s="18" customFormat="1" outlineLevel="1">
      <c r="A97" s="4"/>
      <c r="B97" s="536" t="s">
        <v>511</v>
      </c>
      <c r="C97" s="843"/>
      <c r="D97" s="46"/>
      <c r="E97" s="46"/>
      <c r="F97" s="46"/>
      <c r="G97" s="46"/>
      <c r="H97" s="46"/>
      <c r="I97" s="46"/>
      <c r="J97" s="46"/>
      <c r="K97" s="46"/>
      <c r="L97" s="46"/>
      <c r="M97" s="46"/>
      <c r="N97" s="46"/>
      <c r="O97" s="69"/>
    </row>
    <row r="98" spans="1:15" s="18" customFormat="1" outlineLevel="1">
      <c r="A98" s="4"/>
      <c r="B98" s="536" t="s">
        <v>489</v>
      </c>
      <c r="C98" s="843"/>
      <c r="D98" s="46"/>
      <c r="E98" s="46"/>
      <c r="F98" s="46"/>
      <c r="G98" s="46"/>
      <c r="H98" s="46"/>
      <c r="I98" s="46"/>
      <c r="J98" s="46"/>
      <c r="K98" s="46"/>
      <c r="L98" s="46"/>
      <c r="M98" s="46"/>
      <c r="N98" s="46"/>
      <c r="O98" s="69"/>
    </row>
    <row r="99" spans="1:15" s="18" customFormat="1">
      <c r="A99" s="4"/>
      <c r="B99" s="536" t="s">
        <v>512</v>
      </c>
      <c r="C99" s="844"/>
      <c r="D99" s="65">
        <f>SUM(D95:D98)</f>
        <v>0</v>
      </c>
      <c r="E99" s="65">
        <f>SUM(E95:E98)</f>
        <v>0</v>
      </c>
      <c r="F99" s="65">
        <f t="shared" ref="F99:N99" si="25">SUM(F95:F98)</f>
        <v>0</v>
      </c>
      <c r="G99" s="65">
        <f t="shared" si="25"/>
        <v>0</v>
      </c>
      <c r="H99" s="65">
        <f t="shared" si="25"/>
        <v>0</v>
      </c>
      <c r="I99" s="65">
        <f t="shared" si="25"/>
        <v>0</v>
      </c>
      <c r="J99" s="65">
        <f t="shared" si="25"/>
        <v>0</v>
      </c>
      <c r="K99" s="65">
        <f t="shared" si="25"/>
        <v>0</v>
      </c>
      <c r="L99" s="65">
        <f t="shared" si="25"/>
        <v>0</v>
      </c>
      <c r="M99" s="65">
        <f t="shared" si="25"/>
        <v>0</v>
      </c>
      <c r="N99" s="65">
        <f t="shared" si="25"/>
        <v>0</v>
      </c>
      <c r="O99" s="77"/>
    </row>
    <row r="100" spans="1:15" s="14" customFormat="1">
      <c r="A100" s="72"/>
      <c r="B100" s="492" t="s">
        <v>513</v>
      </c>
      <c r="C100" s="488"/>
      <c r="D100" s="71"/>
      <c r="E100" s="484">
        <f t="shared" ref="E100:N100" si="26">ROUND(SUM(D99*E16+E99*E17)/12,4)</f>
        <v>0</v>
      </c>
      <c r="F100" s="484">
        <f t="shared" si="26"/>
        <v>0</v>
      </c>
      <c r="G100" s="484">
        <f t="shared" si="26"/>
        <v>0</v>
      </c>
      <c r="H100" s="484">
        <f t="shared" si="26"/>
        <v>0</v>
      </c>
      <c r="I100" s="484">
        <f t="shared" si="26"/>
        <v>0</v>
      </c>
      <c r="J100" s="484">
        <f t="shared" si="26"/>
        <v>0</v>
      </c>
      <c r="K100" s="484">
        <f t="shared" si="26"/>
        <v>0</v>
      </c>
      <c r="L100" s="484">
        <f t="shared" si="26"/>
        <v>0</v>
      </c>
      <c r="M100" s="484">
        <f t="shared" si="26"/>
        <v>0</v>
      </c>
      <c r="N100" s="484">
        <f t="shared" si="26"/>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4">
        <f>'1.  LRAMVA Summary'!B41</f>
        <v>0</v>
      </c>
      <c r="C102" s="842">
        <f>'2. LRAMVA Threshold'!P43</f>
        <v>0</v>
      </c>
      <c r="D102" s="46"/>
      <c r="E102" s="46"/>
      <c r="F102" s="46"/>
      <c r="G102" s="46"/>
      <c r="H102" s="46"/>
      <c r="I102" s="46"/>
      <c r="J102" s="46"/>
      <c r="K102" s="46"/>
      <c r="L102" s="46"/>
      <c r="M102" s="46"/>
      <c r="N102" s="46"/>
      <c r="O102" s="69"/>
    </row>
    <row r="103" spans="1:15" s="18" customFormat="1" outlineLevel="1">
      <c r="A103" s="4"/>
      <c r="B103" s="536" t="s">
        <v>510</v>
      </c>
      <c r="C103" s="843"/>
      <c r="D103" s="46"/>
      <c r="E103" s="46"/>
      <c r="F103" s="46"/>
      <c r="G103" s="46"/>
      <c r="H103" s="46"/>
      <c r="I103" s="46"/>
      <c r="J103" s="46"/>
      <c r="K103" s="46"/>
      <c r="L103" s="46"/>
      <c r="M103" s="46"/>
      <c r="N103" s="46"/>
      <c r="O103" s="69"/>
    </row>
    <row r="104" spans="1:15" s="18" customFormat="1" outlineLevel="1">
      <c r="A104" s="4"/>
      <c r="B104" s="536" t="s">
        <v>511</v>
      </c>
      <c r="C104" s="843"/>
      <c r="D104" s="46"/>
      <c r="E104" s="46"/>
      <c r="F104" s="46"/>
      <c r="G104" s="46"/>
      <c r="H104" s="46"/>
      <c r="I104" s="46"/>
      <c r="J104" s="46"/>
      <c r="K104" s="46"/>
      <c r="L104" s="46"/>
      <c r="M104" s="46"/>
      <c r="N104" s="46"/>
      <c r="O104" s="69"/>
    </row>
    <row r="105" spans="1:15" s="18" customFormat="1" outlineLevel="1">
      <c r="A105" s="4"/>
      <c r="B105" s="536" t="s">
        <v>489</v>
      </c>
      <c r="C105" s="843"/>
      <c r="D105" s="46"/>
      <c r="E105" s="46"/>
      <c r="F105" s="46"/>
      <c r="G105" s="46"/>
      <c r="H105" s="46"/>
      <c r="I105" s="46"/>
      <c r="J105" s="46"/>
      <c r="K105" s="46"/>
      <c r="L105" s="46"/>
      <c r="M105" s="46"/>
      <c r="N105" s="46"/>
      <c r="O105" s="69"/>
    </row>
    <row r="106" spans="1:15" s="18" customFormat="1">
      <c r="A106" s="4"/>
      <c r="B106" s="536" t="s">
        <v>512</v>
      </c>
      <c r="C106" s="844"/>
      <c r="D106" s="65">
        <f>SUM(D102:D105)</f>
        <v>0</v>
      </c>
      <c r="E106" s="65">
        <f>SUM(E102:E105)</f>
        <v>0</v>
      </c>
      <c r="F106" s="65">
        <f>SUM(F102:F105)</f>
        <v>0</v>
      </c>
      <c r="G106" s="65">
        <f t="shared" ref="G106:N106" si="27">SUM(G102:G105)</f>
        <v>0</v>
      </c>
      <c r="H106" s="65">
        <f t="shared" si="27"/>
        <v>0</v>
      </c>
      <c r="I106" s="65">
        <f t="shared" si="27"/>
        <v>0</v>
      </c>
      <c r="J106" s="65">
        <f t="shared" si="27"/>
        <v>0</v>
      </c>
      <c r="K106" s="65">
        <f t="shared" si="27"/>
        <v>0</v>
      </c>
      <c r="L106" s="65">
        <f t="shared" si="27"/>
        <v>0</v>
      </c>
      <c r="M106" s="65">
        <f t="shared" si="27"/>
        <v>0</v>
      </c>
      <c r="N106" s="65">
        <f t="shared" si="27"/>
        <v>0</v>
      </c>
      <c r="O106" s="77"/>
    </row>
    <row r="107" spans="1:15" s="14" customFormat="1">
      <c r="A107" s="72"/>
      <c r="B107" s="492" t="s">
        <v>513</v>
      </c>
      <c r="C107" s="488"/>
      <c r="D107" s="71"/>
      <c r="E107" s="484">
        <f t="shared" ref="E107:N107" si="28">ROUND(SUM(D106*E16+E106*E17)/12,4)</f>
        <v>0</v>
      </c>
      <c r="F107" s="484">
        <f t="shared" si="28"/>
        <v>0</v>
      </c>
      <c r="G107" s="484">
        <f t="shared" si="28"/>
        <v>0</v>
      </c>
      <c r="H107" s="484">
        <f t="shared" si="28"/>
        <v>0</v>
      </c>
      <c r="I107" s="484">
        <f t="shared" si="28"/>
        <v>0</v>
      </c>
      <c r="J107" s="484">
        <f t="shared" si="28"/>
        <v>0</v>
      </c>
      <c r="K107" s="484">
        <f t="shared" si="28"/>
        <v>0</v>
      </c>
      <c r="L107" s="484">
        <f t="shared" si="28"/>
        <v>0</v>
      </c>
      <c r="M107" s="484">
        <f t="shared" si="28"/>
        <v>0</v>
      </c>
      <c r="N107" s="484">
        <f t="shared" si="28"/>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4">
        <f>'1.  LRAMVA Summary'!B42</f>
        <v>0</v>
      </c>
      <c r="C109" s="842">
        <f>'2. LRAMVA Threshold'!Q43</f>
        <v>0</v>
      </c>
      <c r="D109" s="46"/>
      <c r="E109" s="46"/>
      <c r="F109" s="46"/>
      <c r="G109" s="46"/>
      <c r="H109" s="46"/>
      <c r="I109" s="46"/>
      <c r="J109" s="46"/>
      <c r="K109" s="46"/>
      <c r="L109" s="46"/>
      <c r="M109" s="46"/>
      <c r="N109" s="46"/>
      <c r="O109" s="69"/>
    </row>
    <row r="110" spans="1:15" s="18" customFormat="1" outlineLevel="1">
      <c r="A110" s="4"/>
      <c r="B110" s="536" t="s">
        <v>510</v>
      </c>
      <c r="C110" s="843"/>
      <c r="D110" s="46"/>
      <c r="E110" s="46"/>
      <c r="F110" s="46"/>
      <c r="G110" s="46"/>
      <c r="H110" s="46"/>
      <c r="I110" s="46"/>
      <c r="J110" s="46"/>
      <c r="K110" s="46"/>
      <c r="L110" s="46"/>
      <c r="M110" s="46"/>
      <c r="N110" s="46"/>
      <c r="O110" s="69"/>
    </row>
    <row r="111" spans="1:15" s="18" customFormat="1" outlineLevel="1">
      <c r="A111" s="4"/>
      <c r="B111" s="536" t="s">
        <v>511</v>
      </c>
      <c r="C111" s="843"/>
      <c r="D111" s="46"/>
      <c r="E111" s="46"/>
      <c r="F111" s="46"/>
      <c r="G111" s="46"/>
      <c r="H111" s="46"/>
      <c r="I111" s="46"/>
      <c r="J111" s="46"/>
      <c r="K111" s="46"/>
      <c r="L111" s="46"/>
      <c r="M111" s="46"/>
      <c r="N111" s="46"/>
      <c r="O111" s="69"/>
    </row>
    <row r="112" spans="1:15" s="18" customFormat="1" outlineLevel="1">
      <c r="A112" s="4"/>
      <c r="B112" s="536" t="s">
        <v>489</v>
      </c>
      <c r="C112" s="843"/>
      <c r="D112" s="46"/>
      <c r="E112" s="46"/>
      <c r="F112" s="46"/>
      <c r="G112" s="46"/>
      <c r="H112" s="46"/>
      <c r="I112" s="46"/>
      <c r="J112" s="46"/>
      <c r="K112" s="46"/>
      <c r="L112" s="46"/>
      <c r="M112" s="46"/>
      <c r="N112" s="46"/>
      <c r="O112" s="69"/>
    </row>
    <row r="113" spans="1:17" s="18" customFormat="1">
      <c r="A113" s="4"/>
      <c r="B113" s="536" t="s">
        <v>512</v>
      </c>
      <c r="C113" s="844"/>
      <c r="D113" s="65">
        <f>SUM(D109:D112)</f>
        <v>0</v>
      </c>
      <c r="E113" s="65">
        <f>SUM(E109:E112)</f>
        <v>0</v>
      </c>
      <c r="F113" s="65">
        <f>SUM(F109:F112)</f>
        <v>0</v>
      </c>
      <c r="G113" s="65">
        <f>SUM(G109:G112)</f>
        <v>0</v>
      </c>
      <c r="H113" s="65">
        <f t="shared" ref="H113:N113" si="29">SUM(H109:H112)</f>
        <v>0</v>
      </c>
      <c r="I113" s="65">
        <f t="shared" si="29"/>
        <v>0</v>
      </c>
      <c r="J113" s="65">
        <f t="shared" si="29"/>
        <v>0</v>
      </c>
      <c r="K113" s="65">
        <f t="shared" si="29"/>
        <v>0</v>
      </c>
      <c r="L113" s="65">
        <f t="shared" si="29"/>
        <v>0</v>
      </c>
      <c r="M113" s="65">
        <f t="shared" si="29"/>
        <v>0</v>
      </c>
      <c r="N113" s="65">
        <f t="shared" si="29"/>
        <v>0</v>
      </c>
      <c r="O113" s="77"/>
    </row>
    <row r="114" spans="1:17" s="14" customFormat="1">
      <c r="A114" s="72"/>
      <c r="B114" s="492" t="s">
        <v>513</v>
      </c>
      <c r="C114" s="488"/>
      <c r="D114" s="71"/>
      <c r="E114" s="484">
        <f t="shared" ref="E114:N114" si="30">ROUND(SUM(D113*E16+E113*E17)/12,4)</f>
        <v>0</v>
      </c>
      <c r="F114" s="484">
        <f t="shared" si="30"/>
        <v>0</v>
      </c>
      <c r="G114" s="484">
        <f t="shared" si="30"/>
        <v>0</v>
      </c>
      <c r="H114" s="484">
        <f t="shared" si="30"/>
        <v>0</v>
      </c>
      <c r="I114" s="484">
        <f t="shared" si="30"/>
        <v>0</v>
      </c>
      <c r="J114" s="484">
        <f t="shared" si="30"/>
        <v>0</v>
      </c>
      <c r="K114" s="484">
        <f t="shared" si="30"/>
        <v>0</v>
      </c>
      <c r="L114" s="484">
        <f t="shared" si="30"/>
        <v>0</v>
      </c>
      <c r="M114" s="484">
        <f t="shared" si="30"/>
        <v>0</v>
      </c>
      <c r="N114" s="484">
        <f t="shared" si="30"/>
        <v>0</v>
      </c>
      <c r="O114" s="489"/>
    </row>
    <row r="115" spans="1:17" s="70" customFormat="1" ht="14.25">
      <c r="A115" s="72"/>
      <c r="B115" s="74"/>
      <c r="C115" s="81"/>
      <c r="D115" s="75"/>
      <c r="E115" s="75"/>
      <c r="F115" s="75"/>
      <c r="G115" s="75"/>
      <c r="H115" s="75"/>
      <c r="I115" s="75"/>
      <c r="J115" s="75"/>
      <c r="K115" s="495"/>
      <c r="L115" s="496"/>
      <c r="M115" s="496"/>
      <c r="N115" s="496"/>
      <c r="O115" s="497"/>
    </row>
    <row r="116" spans="1:17" s="3" customFormat="1" ht="21" customHeight="1">
      <c r="A116" s="4"/>
      <c r="B116" s="498" t="s">
        <v>607</v>
      </c>
      <c r="C116" s="98"/>
      <c r="D116" s="499"/>
      <c r="E116" s="499"/>
      <c r="F116" s="499"/>
      <c r="G116" s="499"/>
      <c r="H116" s="499"/>
      <c r="I116" s="499"/>
      <c r="J116" s="499"/>
      <c r="K116" s="499"/>
      <c r="L116" s="499"/>
      <c r="M116" s="499"/>
      <c r="N116" s="499"/>
      <c r="O116" s="499"/>
    </row>
    <row r="119" spans="1:17" ht="15.75">
      <c r="B119" s="118" t="s">
        <v>483</v>
      </c>
      <c r="J119" s="18"/>
    </row>
    <row r="120" spans="1:17" s="14" customFormat="1" ht="75.75" customHeight="1">
      <c r="A120" s="72"/>
      <c r="B120" s="846" t="s">
        <v>668</v>
      </c>
      <c r="C120" s="846"/>
      <c r="D120" s="846"/>
      <c r="E120" s="846"/>
      <c r="F120" s="846"/>
      <c r="G120" s="846"/>
      <c r="H120" s="846"/>
      <c r="I120" s="846"/>
      <c r="J120" s="846"/>
      <c r="K120" s="846"/>
      <c r="L120" s="846"/>
      <c r="M120" s="846"/>
      <c r="N120" s="846"/>
      <c r="O120" s="846"/>
      <c r="P120" s="846"/>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 50 - 4,999 kW</v>
      </c>
      <c r="F122" s="244" t="str">
        <f>'1.  LRAMVA Summary'!G52</f>
        <v>Street Light</v>
      </c>
      <c r="G122" s="244" t="str">
        <f>'1.  LRAMVA Summary'!H52</f>
        <v>USL</v>
      </c>
      <c r="H122" s="244" t="str">
        <f>'1.  LRAMVA Summary'!I52</f>
        <v>Embedded Distributor</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v>
      </c>
      <c r="G123" s="586" t="str">
        <f>'1.  LRAMVA Summary'!H53</f>
        <v>kWh</v>
      </c>
      <c r="H123" s="586" t="str">
        <f>'1.  LRAMVA Summary'!I53</f>
        <v>kW</v>
      </c>
      <c r="I123" s="586">
        <f>'1.  LRAMVA Summary'!J53</f>
        <v>0</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1">
        <f t="shared" ref="C124:C129" si="31">HLOOKUP(B124,$E$15:$O$114,9,FALSE)</f>
        <v>8.6E-3</v>
      </c>
      <c r="D124" s="682">
        <f>HLOOKUP(B124,$E$15:$O$114,16,FALSE)</f>
        <v>0.01</v>
      </c>
      <c r="E124" s="683">
        <f>HLOOKUP(B124,$E$15:$O$114,23,FALSE)</f>
        <v>1.4155</v>
      </c>
      <c r="F124" s="682">
        <f>HLOOKUP(B124,$E$15:$O$114,30,FALSE)</f>
        <v>3.2406999999999999</v>
      </c>
      <c r="G124" s="683">
        <f>HLOOKUP(B124,$E$15:$O$114,37,FALSE)</f>
        <v>9.9000000000000008E-3</v>
      </c>
      <c r="H124" s="682">
        <f>HLOOKUP(B124,$E$15:$O$114,44,FALSE)</f>
        <v>0</v>
      </c>
      <c r="I124" s="683">
        <f>HLOOKUP(B124,$E$15:$O$114,51,FALSE)</f>
        <v>0</v>
      </c>
      <c r="J124" s="683">
        <f>HLOOKUP(B124,$E$15:$O$114,58,FALSE)</f>
        <v>0</v>
      </c>
      <c r="K124" s="683">
        <f>HLOOKUP(B124,$E$15:$O$114,65,FALSE)</f>
        <v>0</v>
      </c>
      <c r="L124" s="683">
        <f>HLOOKUP(B124,$E$15:$O$114,72,FALSE)</f>
        <v>0</v>
      </c>
      <c r="M124" s="683">
        <f>HLOOKUP(B124,$E$15:$O$114,79,FALSE)</f>
        <v>0</v>
      </c>
      <c r="N124" s="683">
        <f>HLOOKUP(B124,$E$15:$O$114,86,FALSE)</f>
        <v>0</v>
      </c>
      <c r="O124" s="683">
        <f>HLOOKUP(B124,$E$15:$O$114,93,FALSE)</f>
        <v>0</v>
      </c>
      <c r="P124" s="683">
        <f>HLOOKUP(B124,$E$15:$O$114,100,FALSE)</f>
        <v>0</v>
      </c>
    </row>
    <row r="125" spans="1:17">
      <c r="B125" s="501">
        <v>2012</v>
      </c>
      <c r="C125" s="684">
        <f t="shared" si="31"/>
        <v>1.1599999999999999E-2</v>
      </c>
      <c r="D125" s="685">
        <f>HLOOKUP(B125,$E$15:$O$114,16,FALSE)</f>
        <v>1.2500000000000001E-2</v>
      </c>
      <c r="E125" s="686">
        <f>HLOOKUP(B125,$E$15:$O$114,23,FALSE)</f>
        <v>1.6936</v>
      </c>
      <c r="F125" s="685">
        <f>HLOOKUP(B125,$E$15:$O$114,30,FALSE)</f>
        <v>4.3468999999999998</v>
      </c>
      <c r="G125" s="686">
        <f>HLOOKUP(B125,$E$15:$O$114,37,FALSE)</f>
        <v>1.11E-2</v>
      </c>
      <c r="H125" s="685">
        <f>HLOOKUP(B125,$E$15:$O$114,44,FALSE)</f>
        <v>0</v>
      </c>
      <c r="I125" s="686">
        <f>HLOOKUP(B125,$E$15:$O$114,51,FALSE)</f>
        <v>0</v>
      </c>
      <c r="J125" s="686">
        <f>HLOOKUP(B125,$E$15:$O$114,58,FALSE)</f>
        <v>0</v>
      </c>
      <c r="K125" s="686">
        <f>HLOOKUP(B125,$E$15:$O$114,65,FALSE)</f>
        <v>0</v>
      </c>
      <c r="L125" s="686">
        <f>HLOOKUP(B125,$E$15:$O$114,72,FALSE)</f>
        <v>0</v>
      </c>
      <c r="M125" s="686">
        <f>HLOOKUP(B125,$E$15:$O$114,79,FALSE)</f>
        <v>0</v>
      </c>
      <c r="N125" s="686">
        <f>HLOOKUP(B125,$E$15:$O$114,86,FALSE)</f>
        <v>0</v>
      </c>
      <c r="O125" s="686">
        <f>HLOOKUP(B125,$E$15:$O$114,93,FALSE)</f>
        <v>0</v>
      </c>
      <c r="P125" s="686">
        <f t="shared" ref="P125:P133" si="32">HLOOKUP(B125,$E$15:$O$114,100,FALSE)</f>
        <v>0</v>
      </c>
    </row>
    <row r="126" spans="1:17">
      <c r="B126" s="501">
        <v>2013</v>
      </c>
      <c r="C126" s="684">
        <f t="shared" si="31"/>
        <v>1.17E-2</v>
      </c>
      <c r="D126" s="685">
        <f t="shared" ref="D126:D133" si="33">HLOOKUP(B126,$E$15:$O$114,16,FALSE)</f>
        <v>1.2699999999999999E-2</v>
      </c>
      <c r="E126" s="686">
        <f t="shared" ref="E126:E133" si="34">HLOOKUP(B126,$E$15:$O$114,23,FALSE)</f>
        <v>1.7153</v>
      </c>
      <c r="F126" s="685">
        <f t="shared" ref="F126:F133" si="35">HLOOKUP(B126,$E$15:$O$114,30,FALSE)</f>
        <v>4.7760999999999996</v>
      </c>
      <c r="G126" s="686">
        <f t="shared" ref="G126:G132" si="36">HLOOKUP(B126,$E$15:$O$114,37,FALSE)</f>
        <v>1.12E-2</v>
      </c>
      <c r="H126" s="685">
        <f t="shared" ref="H126:H133" si="37">HLOOKUP(B126,$E$15:$O$114,44,FALSE)</f>
        <v>0</v>
      </c>
      <c r="I126" s="686">
        <f t="shared" ref="I126:I133" si="38">HLOOKUP(B126,$E$15:$O$114,51,FALSE)</f>
        <v>0</v>
      </c>
      <c r="J126" s="686">
        <f t="shared" ref="J126:J133" si="39">HLOOKUP(B126,$E$15:$O$114,58,FALSE)</f>
        <v>0</v>
      </c>
      <c r="K126" s="686">
        <f t="shared" ref="K126:K133" si="40">HLOOKUP(B126,$E$15:$O$114,65,FALSE)</f>
        <v>0</v>
      </c>
      <c r="L126" s="686">
        <f>HLOOKUP(B126,$E$15:$O$114,72,FALSE)</f>
        <v>0</v>
      </c>
      <c r="M126" s="686">
        <f t="shared" ref="M126:M133" si="41">HLOOKUP(B126,$E$15:$O$114,79,FALSE)</f>
        <v>0</v>
      </c>
      <c r="N126" s="686">
        <f t="shared" ref="N126:N133" si="42">HLOOKUP(B126,$E$15:$O$114,86,FALSE)</f>
        <v>0</v>
      </c>
      <c r="O126" s="686">
        <f t="shared" ref="O126:O133" si="43">HLOOKUP(B126,$E$15:$O$114,93,FALSE)</f>
        <v>0</v>
      </c>
      <c r="P126" s="686">
        <f t="shared" si="32"/>
        <v>0</v>
      </c>
    </row>
    <row r="127" spans="1:17">
      <c r="B127" s="501">
        <v>2014</v>
      </c>
      <c r="C127" s="684">
        <f t="shared" si="31"/>
        <v>1.1900000000000001E-2</v>
      </c>
      <c r="D127" s="685">
        <f>HLOOKUP(B127,$E$15:$O$114,16,FALSE)</f>
        <v>1.29E-2</v>
      </c>
      <c r="E127" s="686">
        <f>HLOOKUP(B127,$E$15:$O$114,23,FALSE)</f>
        <v>1.7419</v>
      </c>
      <c r="F127" s="685">
        <f>HLOOKUP(B127,$E$15:$O$114,30,FALSE)</f>
        <v>5.2229999999999999</v>
      </c>
      <c r="G127" s="686">
        <f>HLOOKUP(B127,$E$15:$O$114,37,FALSE)</f>
        <v>1.14E-2</v>
      </c>
      <c r="H127" s="685">
        <f>HLOOKUP(B127,$E$15:$O$114,44,FALSE)</f>
        <v>0</v>
      </c>
      <c r="I127" s="686">
        <f>HLOOKUP(B127,$E$15:$O$114,51,FALSE)</f>
        <v>0</v>
      </c>
      <c r="J127" s="686">
        <f>HLOOKUP(B127,$E$15:$O$114,58,FALSE)</f>
        <v>0</v>
      </c>
      <c r="K127" s="686">
        <f>HLOOKUP(B127,$E$15:$O$114,65,FALSE)</f>
        <v>0</v>
      </c>
      <c r="L127" s="686">
        <f>HLOOKUP(B127,$E$15:$O$114,72,FALSE)</f>
        <v>0</v>
      </c>
      <c r="M127" s="686">
        <f>HLOOKUP(B127,$E$15:$O$114,79,FALSE)</f>
        <v>0</v>
      </c>
      <c r="N127" s="686">
        <f>HLOOKUP(B127,$E$15:$O$114,86,FALSE)</f>
        <v>0</v>
      </c>
      <c r="O127" s="686">
        <f>HLOOKUP(B127,$E$15:$O$114,93,FALSE)</f>
        <v>0</v>
      </c>
      <c r="P127" s="686">
        <f>HLOOKUP(B127,$E$15:$O$114,100,FALSE)</f>
        <v>0</v>
      </c>
    </row>
    <row r="128" spans="1:17">
      <c r="B128" s="501">
        <v>2015</v>
      </c>
      <c r="C128" s="684">
        <f t="shared" si="31"/>
        <v>1.21E-2</v>
      </c>
      <c r="D128" s="685">
        <f t="shared" si="33"/>
        <v>1.3100000000000001E-2</v>
      </c>
      <c r="E128" s="686">
        <f t="shared" si="34"/>
        <v>1.7672000000000001</v>
      </c>
      <c r="F128" s="685">
        <f t="shared" si="35"/>
        <v>5.2987000000000002</v>
      </c>
      <c r="G128" s="686">
        <f t="shared" si="36"/>
        <v>1.1599999999999999E-2</v>
      </c>
      <c r="H128" s="685">
        <f t="shared" si="37"/>
        <v>0</v>
      </c>
      <c r="I128" s="686">
        <f t="shared" si="38"/>
        <v>0</v>
      </c>
      <c r="J128" s="686">
        <f t="shared" si="39"/>
        <v>0</v>
      </c>
      <c r="K128" s="686">
        <f t="shared" si="40"/>
        <v>0</v>
      </c>
      <c r="L128" s="686">
        <f t="shared" ref="L128:L133" si="44">HLOOKUP(B128,$E$15:$O$114,72,FALSE)</f>
        <v>0</v>
      </c>
      <c r="M128" s="686">
        <f t="shared" si="41"/>
        <v>0</v>
      </c>
      <c r="N128" s="686">
        <f t="shared" si="42"/>
        <v>0</v>
      </c>
      <c r="O128" s="686">
        <f t="shared" si="43"/>
        <v>0</v>
      </c>
      <c r="P128" s="686">
        <f t="shared" si="32"/>
        <v>0</v>
      </c>
    </row>
    <row r="129" spans="2:16">
      <c r="B129" s="501">
        <v>2016</v>
      </c>
      <c r="C129" s="684">
        <f t="shared" si="31"/>
        <v>1.14E-2</v>
      </c>
      <c r="D129" s="685">
        <f t="shared" si="33"/>
        <v>1.4999999999999999E-2</v>
      </c>
      <c r="E129" s="686">
        <f t="shared" si="34"/>
        <v>2.1749000000000001</v>
      </c>
      <c r="F129" s="685">
        <f t="shared" si="35"/>
        <v>5.4076000000000004</v>
      </c>
      <c r="G129" s="686">
        <f t="shared" si="36"/>
        <v>1.3299999999999999E-2</v>
      </c>
      <c r="H129" s="685">
        <f t="shared" si="37"/>
        <v>0.45889999999999997</v>
      </c>
      <c r="I129" s="686">
        <f t="shared" si="38"/>
        <v>0</v>
      </c>
      <c r="J129" s="686">
        <f t="shared" si="39"/>
        <v>0</v>
      </c>
      <c r="K129" s="686">
        <f t="shared" si="40"/>
        <v>0</v>
      </c>
      <c r="L129" s="686">
        <f t="shared" si="44"/>
        <v>0</v>
      </c>
      <c r="M129" s="686">
        <f t="shared" si="41"/>
        <v>0</v>
      </c>
      <c r="N129" s="686">
        <f t="shared" si="42"/>
        <v>0</v>
      </c>
      <c r="O129" s="686">
        <f t="shared" si="43"/>
        <v>0</v>
      </c>
      <c r="P129" s="686">
        <f t="shared" si="32"/>
        <v>0</v>
      </c>
    </row>
    <row r="130" spans="2:16">
      <c r="B130" s="501">
        <v>2017</v>
      </c>
      <c r="C130" s="684">
        <f>HLOOKUP(B130,$E$15:$O$114,9,FALSE)</f>
        <v>6.7000000000000002E-3</v>
      </c>
      <c r="D130" s="685">
        <f t="shared" si="33"/>
        <v>1.9E-2</v>
      </c>
      <c r="E130" s="686">
        <f t="shared" si="34"/>
        <v>3.0217000000000001</v>
      </c>
      <c r="F130" s="685">
        <f t="shared" si="35"/>
        <v>5.7237999999999998</v>
      </c>
      <c r="G130" s="686">
        <f t="shared" si="36"/>
        <v>2.0400000000000001E-2</v>
      </c>
      <c r="H130" s="685">
        <f t="shared" si="37"/>
        <v>1.4009</v>
      </c>
      <c r="I130" s="686">
        <f t="shared" si="38"/>
        <v>0</v>
      </c>
      <c r="J130" s="686">
        <f t="shared" si="39"/>
        <v>0</v>
      </c>
      <c r="K130" s="686">
        <f t="shared" si="40"/>
        <v>0</v>
      </c>
      <c r="L130" s="686">
        <f t="shared" si="44"/>
        <v>0</v>
      </c>
      <c r="M130" s="686">
        <f t="shared" si="41"/>
        <v>0</v>
      </c>
      <c r="N130" s="686">
        <f t="shared" si="42"/>
        <v>0</v>
      </c>
      <c r="O130" s="686">
        <f t="shared" si="43"/>
        <v>0</v>
      </c>
      <c r="P130" s="686">
        <f t="shared" si="32"/>
        <v>0</v>
      </c>
    </row>
    <row r="131" spans="2:16">
      <c r="B131" s="501">
        <v>2018</v>
      </c>
      <c r="C131" s="684">
        <f t="shared" ref="C131:C133" si="45">HLOOKUP(B131,$E$15:$O$114,9,FALSE)</f>
        <v>3.3999999999999998E-3</v>
      </c>
      <c r="D131" s="685">
        <f t="shared" si="33"/>
        <v>1.9199999999999998E-2</v>
      </c>
      <c r="E131" s="686">
        <f t="shared" si="34"/>
        <v>3.0373000000000001</v>
      </c>
      <c r="F131" s="685">
        <f t="shared" si="35"/>
        <v>5.7839</v>
      </c>
      <c r="G131" s="686">
        <f t="shared" si="36"/>
        <v>2.3099999999999999E-2</v>
      </c>
      <c r="H131" s="685">
        <f t="shared" si="37"/>
        <v>1.4156</v>
      </c>
      <c r="I131" s="686">
        <f t="shared" si="38"/>
        <v>0</v>
      </c>
      <c r="J131" s="686">
        <f t="shared" si="39"/>
        <v>0</v>
      </c>
      <c r="K131" s="686">
        <f t="shared" si="40"/>
        <v>0</v>
      </c>
      <c r="L131" s="686">
        <f t="shared" si="44"/>
        <v>0</v>
      </c>
      <c r="M131" s="686">
        <f t="shared" si="41"/>
        <v>0</v>
      </c>
      <c r="N131" s="686">
        <f t="shared" si="42"/>
        <v>0</v>
      </c>
      <c r="O131" s="686">
        <f t="shared" si="43"/>
        <v>0</v>
      </c>
      <c r="P131" s="686">
        <f t="shared" si="32"/>
        <v>0</v>
      </c>
    </row>
    <row r="132" spans="2:16">
      <c r="B132" s="501">
        <v>2019</v>
      </c>
      <c r="C132" s="684">
        <f t="shared" si="45"/>
        <v>0</v>
      </c>
      <c r="D132" s="685">
        <f t="shared" si="33"/>
        <v>1.95E-2</v>
      </c>
      <c r="E132" s="686">
        <f t="shared" si="34"/>
        <v>3.0783</v>
      </c>
      <c r="F132" s="685">
        <f t="shared" si="35"/>
        <v>5.8620000000000001</v>
      </c>
      <c r="G132" s="686">
        <f t="shared" si="36"/>
        <v>2.3400000000000001E-2</v>
      </c>
      <c r="H132" s="685">
        <f t="shared" si="37"/>
        <v>1.4347000000000001</v>
      </c>
      <c r="I132" s="686">
        <f t="shared" si="38"/>
        <v>0</v>
      </c>
      <c r="J132" s="686">
        <f t="shared" si="39"/>
        <v>0</v>
      </c>
      <c r="K132" s="686">
        <f t="shared" si="40"/>
        <v>0</v>
      </c>
      <c r="L132" s="686">
        <f t="shared" si="44"/>
        <v>0</v>
      </c>
      <c r="M132" s="686">
        <f t="shared" si="41"/>
        <v>0</v>
      </c>
      <c r="N132" s="686">
        <f t="shared" si="42"/>
        <v>0</v>
      </c>
      <c r="O132" s="686">
        <f t="shared" si="43"/>
        <v>0</v>
      </c>
      <c r="P132" s="686">
        <f t="shared" si="32"/>
        <v>0</v>
      </c>
    </row>
    <row r="133" spans="2:16" hidden="1">
      <c r="B133" s="502">
        <v>2020</v>
      </c>
      <c r="C133" s="687">
        <f t="shared" si="45"/>
        <v>0</v>
      </c>
      <c r="D133" s="688">
        <f t="shared" si="33"/>
        <v>1.9900000000000001E-2</v>
      </c>
      <c r="E133" s="689">
        <f t="shared" si="34"/>
        <v>3.1352000000000002</v>
      </c>
      <c r="F133" s="688">
        <f t="shared" si="35"/>
        <v>5.9703999999999997</v>
      </c>
      <c r="G133" s="689">
        <f>HLOOKUP(B133,$E$15:$O$114,37,FALSE)</f>
        <v>2.3800000000000002E-2</v>
      </c>
      <c r="H133" s="688">
        <f t="shared" si="37"/>
        <v>1.4612000000000001</v>
      </c>
      <c r="I133" s="689">
        <f t="shared" si="38"/>
        <v>0</v>
      </c>
      <c r="J133" s="689">
        <f t="shared" si="39"/>
        <v>0</v>
      </c>
      <c r="K133" s="689">
        <f t="shared" si="40"/>
        <v>0</v>
      </c>
      <c r="L133" s="689">
        <f t="shared" si="44"/>
        <v>0</v>
      </c>
      <c r="M133" s="689">
        <f t="shared" si="41"/>
        <v>0</v>
      </c>
      <c r="N133" s="689">
        <f t="shared" si="42"/>
        <v>0</v>
      </c>
      <c r="O133" s="689">
        <f t="shared" si="43"/>
        <v>0</v>
      </c>
      <c r="P133" s="689">
        <f t="shared" si="32"/>
        <v>0</v>
      </c>
    </row>
    <row r="134" spans="2:16" ht="18.75" customHeight="1">
      <c r="B134" s="498" t="s">
        <v>624</v>
      </c>
      <c r="C134" s="598"/>
      <c r="D134" s="599"/>
      <c r="E134" s="600"/>
      <c r="F134" s="599"/>
      <c r="G134" s="599"/>
      <c r="H134" s="599"/>
      <c r="I134" s="599"/>
      <c r="J134" s="599"/>
      <c r="K134" s="599"/>
      <c r="L134" s="599"/>
      <c r="M134" s="599"/>
      <c r="N134" s="599"/>
      <c r="O134" s="599"/>
      <c r="P134" s="599"/>
    </row>
    <row r="136" spans="2:16">
      <c r="B136" s="592" t="s">
        <v>525</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4:X58"/>
  <sheetViews>
    <sheetView topLeftCell="A9" zoomScale="90" zoomScaleNormal="90" workbookViewId="0">
      <selection activeCell="H51" sqref="H51"/>
    </sheetView>
  </sheetViews>
  <sheetFormatPr defaultColWidth="9" defaultRowHeight="15"/>
  <cols>
    <col min="1" max="2" width="9" style="12"/>
    <col min="3" max="3" width="18.140625" style="12" customWidth="1"/>
    <col min="4" max="4" width="9" style="12"/>
    <col min="5" max="5" width="37.7109375" style="12" customWidth="1"/>
    <col min="6" max="6" width="10.85546875" style="12" customWidth="1"/>
    <col min="7" max="7" width="11" style="12" bestFit="1" customWidth="1"/>
    <col min="8" max="8" width="9" style="12"/>
    <col min="9" max="10" width="11.28515625" style="12" customWidth="1"/>
    <col min="11" max="11" width="11" style="12" bestFit="1" customWidth="1"/>
    <col min="12" max="16384" width="9" style="12"/>
  </cols>
  <sheetData>
    <row r="14" spans="2:24" ht="15.75">
      <c r="B14" s="588" t="s">
        <v>504</v>
      </c>
    </row>
    <row r="15" spans="2:24" ht="15.75">
      <c r="B15" s="588"/>
    </row>
    <row r="16" spans="2:24" s="668" customFormat="1" ht="28.5" customHeight="1">
      <c r="B16" s="852" t="s">
        <v>627</v>
      </c>
      <c r="C16" s="852"/>
      <c r="D16" s="852"/>
      <c r="E16" s="852"/>
      <c r="F16" s="852"/>
      <c r="G16" s="852"/>
      <c r="H16" s="852"/>
      <c r="I16" s="852"/>
      <c r="J16" s="852"/>
      <c r="K16" s="852"/>
      <c r="L16" s="852"/>
      <c r="M16" s="852"/>
      <c r="N16" s="852"/>
      <c r="O16" s="852"/>
      <c r="P16" s="852"/>
      <c r="Q16" s="852"/>
      <c r="R16" s="852"/>
      <c r="S16" s="852"/>
      <c r="T16" s="852"/>
      <c r="U16" s="852"/>
      <c r="V16" s="852"/>
      <c r="W16" s="852"/>
      <c r="X16" s="852"/>
    </row>
    <row r="17" spans="2:24" s="668" customFormat="1">
      <c r="B17" s="757"/>
      <c r="C17" s="757"/>
      <c r="D17" s="757"/>
      <c r="E17" s="757"/>
      <c r="F17" s="757"/>
      <c r="G17" s="757"/>
      <c r="H17" s="757"/>
      <c r="I17" s="757"/>
      <c r="J17" s="757"/>
      <c r="K17" s="757"/>
      <c r="L17" s="757"/>
      <c r="M17" s="757"/>
      <c r="N17" s="757"/>
      <c r="O17" s="757"/>
      <c r="P17" s="757"/>
      <c r="Q17" s="757"/>
      <c r="R17" s="757"/>
      <c r="S17" s="757"/>
      <c r="T17" s="757"/>
      <c r="U17" s="757"/>
      <c r="V17" s="757"/>
      <c r="W17" s="757"/>
      <c r="X17" s="757"/>
    </row>
    <row r="18" spans="2:24" ht="36" customHeight="1">
      <c r="B18" s="853" t="s">
        <v>751</v>
      </c>
      <c r="C18" s="853"/>
      <c r="D18" s="853"/>
      <c r="E18" s="853"/>
      <c r="F18" s="853"/>
      <c r="G18" s="853"/>
      <c r="H18" s="853"/>
      <c r="I18" s="853"/>
      <c r="J18" s="853"/>
      <c r="K18" s="853"/>
      <c r="L18" s="853"/>
      <c r="M18" s="853"/>
      <c r="N18" s="853"/>
      <c r="O18" s="853"/>
      <c r="P18" s="853"/>
      <c r="Q18" s="853"/>
      <c r="R18" s="853"/>
      <c r="S18" s="853"/>
      <c r="T18" s="853"/>
      <c r="U18" s="853"/>
      <c r="V18" s="853"/>
      <c r="W18" s="853"/>
      <c r="X18" s="853"/>
    </row>
    <row r="21" spans="2:24">
      <c r="G21" s="12" t="s">
        <v>807</v>
      </c>
      <c r="H21" s="12" t="s">
        <v>808</v>
      </c>
    </row>
    <row r="22" spans="2:24">
      <c r="D22" s="12">
        <v>2011</v>
      </c>
      <c r="E22" s="12" t="s">
        <v>806</v>
      </c>
      <c r="G22" s="767">
        <v>1</v>
      </c>
      <c r="H22" s="767">
        <v>0</v>
      </c>
    </row>
    <row r="23" spans="2:24">
      <c r="E23" s="12" t="s">
        <v>22</v>
      </c>
      <c r="G23" s="767">
        <v>1</v>
      </c>
      <c r="H23" s="767">
        <v>0</v>
      </c>
    </row>
    <row r="24" spans="2:24">
      <c r="E24" s="12" t="s">
        <v>809</v>
      </c>
      <c r="G24" s="767">
        <v>0</v>
      </c>
      <c r="H24" s="767">
        <v>1</v>
      </c>
    </row>
    <row r="26" spans="2:24">
      <c r="D26" s="12">
        <v>2012</v>
      </c>
      <c r="E26" s="12" t="s">
        <v>806</v>
      </c>
      <c r="G26" s="767">
        <v>1</v>
      </c>
      <c r="H26" s="767">
        <v>0</v>
      </c>
    </row>
    <row r="27" spans="2:24">
      <c r="E27" s="12" t="s">
        <v>22</v>
      </c>
      <c r="G27" s="770">
        <f>40602.89/633895.82</f>
        <v>6.4052938541225915E-2</v>
      </c>
      <c r="H27" s="770">
        <f>593292.93/633895.82</f>
        <v>0.93594706145877427</v>
      </c>
      <c r="J27" s="12" t="s">
        <v>810</v>
      </c>
    </row>
    <row r="28" spans="2:24">
      <c r="E28" s="12" t="s">
        <v>20</v>
      </c>
      <c r="G28" s="767">
        <v>1</v>
      </c>
      <c r="H28" s="767">
        <v>0</v>
      </c>
      <c r="J28" s="12" t="s">
        <v>811</v>
      </c>
    </row>
    <row r="29" spans="2:24">
      <c r="E29" s="12" t="s">
        <v>809</v>
      </c>
      <c r="G29" s="767">
        <v>1</v>
      </c>
      <c r="H29" s="767">
        <v>0</v>
      </c>
    </row>
    <row r="30" spans="2:24">
      <c r="G30" s="767"/>
      <c r="H30" s="767"/>
    </row>
    <row r="31" spans="2:24">
      <c r="D31" s="12">
        <v>2013</v>
      </c>
      <c r="E31" s="12" t="s">
        <v>806</v>
      </c>
      <c r="G31" s="767">
        <v>1</v>
      </c>
      <c r="H31" s="767">
        <v>0</v>
      </c>
    </row>
    <row r="32" spans="2:24">
      <c r="E32" s="12" t="s">
        <v>22</v>
      </c>
      <c r="G32" s="769">
        <f>135939.01/899705.79</f>
        <v>0.15109273666005862</v>
      </c>
      <c r="H32" s="769">
        <f>763766.78/899705.79</f>
        <v>0.84890726333994138</v>
      </c>
    </row>
    <row r="33" spans="4:8">
      <c r="E33" s="12" t="s">
        <v>775</v>
      </c>
      <c r="G33" s="767">
        <v>0</v>
      </c>
      <c r="H33" s="767">
        <v>1</v>
      </c>
    </row>
    <row r="35" spans="4:8">
      <c r="D35" s="12">
        <v>2014</v>
      </c>
      <c r="E35" s="12" t="s">
        <v>806</v>
      </c>
      <c r="G35" s="767">
        <v>1</v>
      </c>
      <c r="H35" s="767">
        <v>0</v>
      </c>
    </row>
    <row r="36" spans="4:8">
      <c r="E36" s="12" t="s">
        <v>22</v>
      </c>
      <c r="G36" s="768">
        <f>217187.98/314416.9</f>
        <v>0.69076433232437573</v>
      </c>
      <c r="H36" s="768">
        <f>97228.92/314416.9</f>
        <v>0.30923566767562427</v>
      </c>
    </row>
    <row r="37" spans="4:8">
      <c r="E37" s="12" t="s">
        <v>20</v>
      </c>
      <c r="G37" s="767">
        <v>1</v>
      </c>
      <c r="H37" s="767">
        <v>0</v>
      </c>
    </row>
    <row r="39" spans="4:8">
      <c r="D39" s="12">
        <v>2015</v>
      </c>
      <c r="E39" s="12" t="str">
        <f>'5.  2015-2020 LRAM'!B54</f>
        <v>Energy Audit Initiative</v>
      </c>
      <c r="G39" s="772"/>
      <c r="H39" s="772">
        <v>1</v>
      </c>
    </row>
    <row r="40" spans="4:8">
      <c r="E40" s="12" t="str">
        <f>'5.  2015-2020 LRAM'!B57</f>
        <v>Efficiency:  Equipment Replacement Incentive Initiative</v>
      </c>
      <c r="G40" s="772">
        <v>2.4118987915715571E-2</v>
      </c>
      <c r="H40" s="772">
        <v>0.97588101208428446</v>
      </c>
    </row>
    <row r="41" spans="4:8">
      <c r="E41" s="12" t="str">
        <f>'5.  2015-2020 LRAM'!B60</f>
        <v>Direct Install Lighting and Water Heating Initiative</v>
      </c>
      <c r="G41" s="772">
        <v>1</v>
      </c>
      <c r="H41" s="772"/>
    </row>
    <row r="42" spans="4:8">
      <c r="E42" s="12" t="str">
        <f>'5.  2015-2020 LRAM'!B118</f>
        <v>Save on Energy Audit Funding Program</v>
      </c>
      <c r="G42" s="772"/>
      <c r="H42" s="772">
        <v>1</v>
      </c>
    </row>
    <row r="43" spans="4:8">
      <c r="G43" s="773"/>
      <c r="H43" s="773"/>
    </row>
    <row r="44" spans="4:8">
      <c r="D44" s="12">
        <v>2016</v>
      </c>
      <c r="E44" s="12" t="str">
        <f>'5.  2015-2020 LRAM'!B304</f>
        <v>Save on Energy Retrofit Program</v>
      </c>
      <c r="G44" s="772">
        <v>2.0967417492661383E-2</v>
      </c>
      <c r="H44" s="772">
        <v>0.97903258250733871</v>
      </c>
    </row>
    <row r="45" spans="4:8">
      <c r="E45" s="12" t="str">
        <f>'5.  2015-2020 LRAM'!B307</f>
        <v>Save on Energy Small Business Lighting Program</v>
      </c>
      <c r="G45" s="772">
        <v>1</v>
      </c>
      <c r="H45" s="772"/>
    </row>
    <row r="46" spans="4:8">
      <c r="G46" s="773"/>
      <c r="H46" s="773"/>
    </row>
    <row r="47" spans="4:8">
      <c r="D47" s="12">
        <v>2017</v>
      </c>
      <c r="E47" s="12" t="str">
        <f>'5.  2015-2020 LRAM'!B484</f>
        <v>Save on Energy Audit Funding Program</v>
      </c>
      <c r="G47" s="772"/>
      <c r="H47" s="772">
        <v>1</v>
      </c>
    </row>
    <row r="48" spans="4:8">
      <c r="E48" s="12" t="str">
        <f>'5.  2015-2020 LRAM'!B487</f>
        <v>Save on Energy Retrofit Program</v>
      </c>
      <c r="G48" s="772">
        <v>0.20768934911639089</v>
      </c>
      <c r="H48" s="772">
        <v>0.79231065088360919</v>
      </c>
    </row>
    <row r="49" spans="4:8">
      <c r="E49" s="12" t="str">
        <f>'5.  2015-2020 LRAM'!B490</f>
        <v>Save on Energy Small Business Lighting Program</v>
      </c>
      <c r="G49" s="772">
        <v>1</v>
      </c>
      <c r="H49" s="772"/>
    </row>
    <row r="50" spans="4:8">
      <c r="E50" s="12" t="str">
        <f>'5.  2015-2020 LRAM'!B505</f>
        <v>Save on Energy Energy Manager Program</v>
      </c>
      <c r="G50" s="772"/>
      <c r="H50" s="772">
        <v>1</v>
      </c>
    </row>
    <row r="51" spans="4:8">
      <c r="G51" s="773"/>
      <c r="H51" s="773"/>
    </row>
    <row r="52" spans="4:8">
      <c r="D52" s="12">
        <v>2018</v>
      </c>
      <c r="E52" s="12" t="str">
        <f>'5.  2015-2020 LRAM'!B670</f>
        <v>Save on Energy Retrofit Program</v>
      </c>
      <c r="G52" s="772">
        <v>4.6274728328847867E-2</v>
      </c>
      <c r="H52" s="772">
        <v>0.95372527167115217</v>
      </c>
    </row>
    <row r="53" spans="4:8">
      <c r="E53" s="12" t="str">
        <f>'5.  2015-2020 LRAM'!B673</f>
        <v>Save on Energy Small Business Lighting Program</v>
      </c>
      <c r="G53" s="772">
        <v>1</v>
      </c>
      <c r="H53" s="772"/>
    </row>
    <row r="54" spans="4:8">
      <c r="E54" s="12" t="str">
        <f>'5.  2015-2020 LRAM'!B692</f>
        <v>Business Refrigeration Local Program</v>
      </c>
      <c r="G54" s="772">
        <v>1</v>
      </c>
      <c r="H54" s="772"/>
    </row>
    <row r="55" spans="4:8">
      <c r="G55" s="773"/>
      <c r="H55" s="773"/>
    </row>
    <row r="56" spans="4:8">
      <c r="D56" s="12">
        <v>2019</v>
      </c>
      <c r="E56" s="12" t="str">
        <f>'5.  2015-2020 LRAM'!B853</f>
        <v>Save on Energy Retrofit Program</v>
      </c>
      <c r="G56" s="772"/>
      <c r="H56" s="772">
        <v>1</v>
      </c>
    </row>
    <row r="57" spans="4:8">
      <c r="E57" s="12" t="str">
        <f>'5.  2015-2020 LRAM'!B856</f>
        <v>Save on Energy Small Business Lighting Program</v>
      </c>
      <c r="G57" s="772">
        <v>1</v>
      </c>
      <c r="H57" s="772"/>
    </row>
    <row r="58" spans="4:8">
      <c r="E58" s="12" t="str">
        <f>'5.  2015-2020 LRAM'!B875</f>
        <v>Business Refrigeration Local Program</v>
      </c>
      <c r="G58" s="772">
        <v>1</v>
      </c>
      <c r="H58" s="772"/>
    </row>
  </sheetData>
  <mergeCells count="2">
    <mergeCell ref="B16:X16"/>
    <mergeCell ref="B18:X1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Amy La Selva</cp:lastModifiedBy>
  <cp:lastPrinted>2017-05-24T00:43:43Z</cp:lastPrinted>
  <dcterms:created xsi:type="dcterms:W3CDTF">2012-03-05T18:56:04Z</dcterms:created>
  <dcterms:modified xsi:type="dcterms:W3CDTF">2021-09-08T17:41:45Z</dcterms:modified>
</cp:coreProperties>
</file>