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23064" windowHeight="4812" activeTab="1"/>
  </bookViews>
  <sheets>
    <sheet name="App.2-ZA_Com. Exp. Forecast" sheetId="1" r:id="rId1"/>
    <sheet name="App.2-ZB_Cost of Power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143" i="2" l="1"/>
  <c r="J133" i="2"/>
  <c r="F133" i="2"/>
  <c r="J132" i="2"/>
  <c r="F132" i="2"/>
  <c r="J131" i="2"/>
  <c r="J134" i="2" s="1"/>
  <c r="F131" i="2"/>
  <c r="F134" i="2" s="1"/>
  <c r="J126" i="2"/>
  <c r="F126" i="2"/>
  <c r="J125" i="2"/>
  <c r="F125" i="2"/>
  <c r="J124" i="2"/>
  <c r="F124" i="2"/>
  <c r="J123" i="2"/>
  <c r="F123" i="2"/>
  <c r="J122" i="2"/>
  <c r="F122" i="2"/>
  <c r="J121" i="2"/>
  <c r="F121" i="2"/>
  <c r="J120" i="2"/>
  <c r="F120" i="2"/>
  <c r="F127" i="2" s="1"/>
  <c r="J119" i="2"/>
  <c r="F119" i="2"/>
  <c r="J118" i="2"/>
  <c r="J127" i="2" s="1"/>
  <c r="F118" i="2"/>
  <c r="J113" i="2"/>
  <c r="F113" i="2"/>
  <c r="J112" i="2"/>
  <c r="F112" i="2"/>
  <c r="J111" i="2"/>
  <c r="F111" i="2"/>
  <c r="J110" i="2"/>
  <c r="F110" i="2"/>
  <c r="J109" i="2"/>
  <c r="F109" i="2"/>
  <c r="J108" i="2"/>
  <c r="F108" i="2"/>
  <c r="J107" i="2"/>
  <c r="F107" i="2"/>
  <c r="J106" i="2"/>
  <c r="J114" i="2" s="1"/>
  <c r="F106" i="2"/>
  <c r="J105" i="2"/>
  <c r="F105" i="2"/>
  <c r="J100" i="2"/>
  <c r="F100" i="2"/>
  <c r="J99" i="2"/>
  <c r="F99" i="2"/>
  <c r="J98" i="2"/>
  <c r="F98" i="2"/>
  <c r="J97" i="2"/>
  <c r="F97" i="2"/>
  <c r="J96" i="2"/>
  <c r="F96" i="2"/>
  <c r="J95" i="2"/>
  <c r="F95" i="2"/>
  <c r="J94" i="2"/>
  <c r="F94" i="2"/>
  <c r="J93" i="2"/>
  <c r="F93" i="2"/>
  <c r="J92" i="2"/>
  <c r="J101" i="2" s="1"/>
  <c r="F92" i="2"/>
  <c r="J87" i="2"/>
  <c r="F87" i="2"/>
  <c r="J86" i="2"/>
  <c r="F86" i="2"/>
  <c r="J85" i="2"/>
  <c r="F85" i="2"/>
  <c r="J84" i="2"/>
  <c r="F84" i="2"/>
  <c r="J83" i="2"/>
  <c r="F83" i="2"/>
  <c r="J82" i="2"/>
  <c r="F82" i="2"/>
  <c r="J81" i="2"/>
  <c r="F81" i="2"/>
  <c r="J80" i="2"/>
  <c r="J88" i="2" s="1"/>
  <c r="F80" i="2"/>
  <c r="J79" i="2"/>
  <c r="F79" i="2"/>
  <c r="F88" i="2" s="1"/>
  <c r="J74" i="2"/>
  <c r="F74" i="2"/>
  <c r="J73" i="2"/>
  <c r="F73" i="2"/>
  <c r="J72" i="2"/>
  <c r="F72" i="2"/>
  <c r="J71" i="2"/>
  <c r="F71" i="2"/>
  <c r="J70" i="2"/>
  <c r="F70" i="2"/>
  <c r="J69" i="2"/>
  <c r="F69" i="2"/>
  <c r="J68" i="2"/>
  <c r="F68" i="2"/>
  <c r="J67" i="2"/>
  <c r="F67" i="2"/>
  <c r="J66" i="2"/>
  <c r="J75" i="2" s="1"/>
  <c r="F66" i="2"/>
  <c r="J61" i="2"/>
  <c r="F61" i="2"/>
  <c r="J60" i="2"/>
  <c r="F60" i="2"/>
  <c r="J59" i="2"/>
  <c r="F59" i="2"/>
  <c r="J58" i="2"/>
  <c r="F58" i="2"/>
  <c r="J57" i="2"/>
  <c r="F57" i="2"/>
  <c r="J56" i="2"/>
  <c r="F56" i="2"/>
  <c r="J55" i="2"/>
  <c r="F55" i="2"/>
  <c r="J54" i="2"/>
  <c r="J62" i="2" s="1"/>
  <c r="F54" i="2"/>
  <c r="J53" i="2"/>
  <c r="F53" i="2"/>
  <c r="J48" i="2"/>
  <c r="F48" i="2"/>
  <c r="J47" i="2"/>
  <c r="F47" i="2"/>
  <c r="J46" i="2"/>
  <c r="F46" i="2"/>
  <c r="A46" i="2"/>
  <c r="A60" i="2" s="1"/>
  <c r="A73" i="2" s="1"/>
  <c r="J45" i="2"/>
  <c r="F45" i="2"/>
  <c r="J44" i="2"/>
  <c r="F44" i="2"/>
  <c r="J43" i="2"/>
  <c r="F43" i="2"/>
  <c r="F49" i="2" s="1"/>
  <c r="J42" i="2"/>
  <c r="F42" i="2"/>
  <c r="J41" i="2"/>
  <c r="F41" i="2"/>
  <c r="J40" i="2"/>
  <c r="F40" i="2"/>
  <c r="J39" i="2"/>
  <c r="F39" i="2"/>
  <c r="J35" i="2"/>
  <c r="F35" i="2"/>
  <c r="D35" i="2"/>
  <c r="F34" i="2"/>
  <c r="F33" i="2"/>
  <c r="A33" i="2"/>
  <c r="F32" i="2"/>
  <c r="F31" i="2"/>
  <c r="F30" i="2"/>
  <c r="F29" i="2"/>
  <c r="A29" i="2"/>
  <c r="A42" i="2" s="1"/>
  <c r="A56" i="2" s="1"/>
  <c r="A69" i="2" s="1"/>
  <c r="F28" i="2"/>
  <c r="F27" i="2"/>
  <c r="F26" i="2"/>
  <c r="A34" i="2"/>
  <c r="A47" i="2" s="1"/>
  <c r="A61" i="2" s="1"/>
  <c r="A74" i="2" s="1"/>
  <c r="A32" i="2"/>
  <c r="A45" i="2" s="1"/>
  <c r="A59" i="2" s="1"/>
  <c r="A72" i="2" s="1"/>
  <c r="A31" i="2"/>
  <c r="A44" i="2" s="1"/>
  <c r="A58" i="2" s="1"/>
  <c r="A71" i="2" s="1"/>
  <c r="A30" i="2"/>
  <c r="A43" i="2" s="1"/>
  <c r="A57" i="2" s="1"/>
  <c r="A70" i="2" s="1"/>
  <c r="A28" i="2"/>
  <c r="A41" i="2" s="1"/>
  <c r="A55" i="2" s="1"/>
  <c r="A68" i="2" s="1"/>
  <c r="A27" i="2"/>
  <c r="A40" i="2" s="1"/>
  <c r="A54" i="2" s="1"/>
  <c r="A67" i="2" s="1"/>
  <c r="H22" i="2"/>
  <c r="A26" i="2"/>
  <c r="A39" i="2" s="1"/>
  <c r="A53" i="2" s="1"/>
  <c r="A66" i="2" s="1"/>
  <c r="F12" i="2"/>
  <c r="H10" i="2"/>
  <c r="K58" i="1"/>
  <c r="L58" i="1" s="1"/>
  <c r="H58" i="1"/>
  <c r="B58" i="1"/>
  <c r="K57" i="1"/>
  <c r="H57" i="1"/>
  <c r="B57" i="1"/>
  <c r="K56" i="1"/>
  <c r="L56" i="1" s="1"/>
  <c r="H56" i="1"/>
  <c r="B56" i="1"/>
  <c r="K55" i="1"/>
  <c r="H55" i="1"/>
  <c r="B55" i="1"/>
  <c r="K54" i="1"/>
  <c r="H54" i="1"/>
  <c r="B54" i="1"/>
  <c r="K53" i="1"/>
  <c r="H53" i="1"/>
  <c r="B53" i="1"/>
  <c r="K52" i="1"/>
  <c r="H52" i="1"/>
  <c r="B52" i="1"/>
  <c r="K51" i="1"/>
  <c r="H51" i="1"/>
  <c r="H59" i="1" s="1"/>
  <c r="B51" i="1"/>
  <c r="G46" i="1"/>
  <c r="F46" i="1"/>
  <c r="L45" i="1"/>
  <c r="L44" i="1"/>
  <c r="L43" i="1"/>
  <c r="L46" i="1" s="1"/>
  <c r="G41" i="1"/>
  <c r="G48" i="1" s="1"/>
  <c r="K37" i="1"/>
  <c r="J37" i="1"/>
  <c r="J36" i="1"/>
  <c r="J35" i="1"/>
  <c r="J34" i="1"/>
  <c r="J33" i="1"/>
  <c r="J32" i="1"/>
  <c r="J31" i="1"/>
  <c r="J30" i="1"/>
  <c r="K29" i="1"/>
  <c r="J29" i="1"/>
  <c r="L29" i="1" s="1"/>
  <c r="H20" i="1"/>
  <c r="K36" i="1" s="1"/>
  <c r="K134" i="2" l="1"/>
  <c r="E150" i="2" s="1"/>
  <c r="F114" i="2"/>
  <c r="K114" i="2" s="1"/>
  <c r="F101" i="2"/>
  <c r="F75" i="2"/>
  <c r="F62" i="2"/>
  <c r="K62" i="2"/>
  <c r="E148" i="2" s="1"/>
  <c r="J49" i="2"/>
  <c r="K49" i="2" s="1"/>
  <c r="E147" i="2" s="1"/>
  <c r="K35" i="2"/>
  <c r="E145" i="2" s="1"/>
  <c r="L55" i="1"/>
  <c r="L51" i="1"/>
  <c r="L54" i="1"/>
  <c r="L57" i="1"/>
  <c r="L52" i="1"/>
  <c r="L53" i="1"/>
  <c r="K33" i="1"/>
  <c r="L33" i="1" s="1"/>
  <c r="K34" i="1"/>
  <c r="L34" i="1" s="1"/>
  <c r="K30" i="1"/>
  <c r="L30" i="1" s="1"/>
  <c r="L37" i="1"/>
  <c r="A109" i="2"/>
  <c r="A122" i="2" s="1"/>
  <c r="A83" i="2"/>
  <c r="A96" i="2" s="1"/>
  <c r="A79" i="2"/>
  <c r="A92" i="2" s="1"/>
  <c r="A105" i="2"/>
  <c r="A118" i="2" s="1"/>
  <c r="A87" i="2"/>
  <c r="A100" i="2" s="1"/>
  <c r="A113" i="2"/>
  <c r="A126" i="2" s="1"/>
  <c r="F22" i="2"/>
  <c r="A82" i="2"/>
  <c r="A95" i="2" s="1"/>
  <c r="A108" i="2"/>
  <c r="A121" i="2" s="1"/>
  <c r="J22" i="2"/>
  <c r="A106" i="2"/>
  <c r="A119" i="2" s="1"/>
  <c r="A80" i="2"/>
  <c r="A93" i="2" s="1"/>
  <c r="A107" i="2"/>
  <c r="A120" i="2" s="1"/>
  <c r="A81" i="2"/>
  <c r="A94" i="2" s="1"/>
  <c r="A84" i="2"/>
  <c r="A97" i="2" s="1"/>
  <c r="A110" i="2"/>
  <c r="A123" i="2" s="1"/>
  <c r="K88" i="2"/>
  <c r="L36" i="1"/>
  <c r="K75" i="2"/>
  <c r="K127" i="2"/>
  <c r="E149" i="2" s="1"/>
  <c r="L60" i="1"/>
  <c r="A85" i="2"/>
  <c r="A98" i="2" s="1"/>
  <c r="A111" i="2"/>
  <c r="A124" i="2" s="1"/>
  <c r="A112" i="2"/>
  <c r="A125" i="2" s="1"/>
  <c r="A86" i="2"/>
  <c r="A99" i="2" s="1"/>
  <c r="K101" i="2"/>
  <c r="D22" i="2"/>
  <c r="K31" i="1"/>
  <c r="L31" i="1" s="1"/>
  <c r="K32" i="1"/>
  <c r="L32" i="1" s="1"/>
  <c r="K35" i="1"/>
  <c r="L35" i="1" s="1"/>
  <c r="E146" i="2" l="1"/>
  <c r="J136" i="2"/>
  <c r="J138" i="2" s="1"/>
  <c r="L38" i="1"/>
  <c r="F136" i="2"/>
  <c r="K22" i="2"/>
  <c r="E144" i="2" s="1"/>
  <c r="F137" i="2" l="1"/>
  <c r="K137" i="2" s="1"/>
  <c r="E151" i="2" s="1"/>
  <c r="E152" i="2" s="1"/>
  <c r="K136" i="2"/>
  <c r="K138" i="2" l="1"/>
  <c r="F138" i="2"/>
</calcChain>
</file>

<file path=xl/sharedStrings.xml><?xml version="1.0" encoding="utf-8"?>
<sst xmlns="http://schemas.openxmlformats.org/spreadsheetml/2006/main" count="286" uniqueCount="100">
  <si>
    <t>File Number:</t>
  </si>
  <si>
    <t>Exhibit:</t>
  </si>
  <si>
    <t xml:space="preserve">Commodity Expense </t>
  </si>
  <si>
    <t>Tab:</t>
  </si>
  <si>
    <t>Schedule:</t>
  </si>
  <si>
    <t>Page:</t>
  </si>
  <si>
    <t>Date:</t>
  </si>
  <si>
    <t>Step 1:</t>
  </si>
  <si>
    <t>2021 Forecasted Commodity Prices</t>
  </si>
  <si>
    <t> </t>
  </si>
  <si>
    <t>Forecasted Commodity Prices</t>
  </si>
  <si>
    <t xml:space="preserve"> Table 1: Average RPP Supply Cost Summary*</t>
  </si>
  <si>
    <t>non-RPP</t>
  </si>
  <si>
    <t>RPP</t>
  </si>
  <si>
    <t>HOEP ($/MWh)</t>
  </si>
  <si>
    <t>Load-Weighted Price for RPP Consumers</t>
  </si>
  <si>
    <t>Global Adjustment ($/MWh)</t>
  </si>
  <si>
    <t>Impact of the Global Adjustment</t>
  </si>
  <si>
    <t>Adjustments ($/MWh)</t>
  </si>
  <si>
    <t>TOTAL ($/MWh)</t>
  </si>
  <si>
    <t>Average Supply Cost for RPP Consumers</t>
  </si>
  <si>
    <t>Step 2:</t>
  </si>
  <si>
    <t>Commodity Expense</t>
  </si>
  <si>
    <t>(volumes for the bridge and test year are loss adjusted)</t>
  </si>
  <si>
    <t>Commodity</t>
  </si>
  <si>
    <t>2021 Test Year</t>
  </si>
  <si>
    <t>Customer</t>
  </si>
  <si>
    <t>Revenue</t>
  </si>
  <si>
    <t>Expense</t>
  </si>
  <si>
    <t>Class Name</t>
  </si>
  <si>
    <t>UoM</t>
  </si>
  <si>
    <t>USA #</t>
  </si>
  <si>
    <t>Class A Non-RPP Volume**</t>
  </si>
  <si>
    <t>Class B Non-RPP Volume**</t>
  </si>
  <si>
    <t>Class B RPP Volume**</t>
  </si>
  <si>
    <t>Average HOEP</t>
  </si>
  <si>
    <t>Average RPP Rate</t>
  </si>
  <si>
    <t>Amount</t>
  </si>
  <si>
    <t>Residential</t>
  </si>
  <si>
    <t>kWh</t>
  </si>
  <si>
    <t>General Service &lt; 50 kW</t>
  </si>
  <si>
    <t>General Service 50 to 2999 kW</t>
  </si>
  <si>
    <t>Unmetered Scattered Load</t>
  </si>
  <si>
    <t>Sentinel Lighting</t>
  </si>
  <si>
    <t xml:space="preserve">Street Lighting </t>
  </si>
  <si>
    <t>Embedded Distributor</t>
  </si>
  <si>
    <t>TOTAL</t>
  </si>
  <si>
    <t>Class A - non-RPP Global Adjustment</t>
  </si>
  <si>
    <t>kWh Volume</t>
  </si>
  <si>
    <t>Hist. Avg GA/kWh ***</t>
  </si>
  <si>
    <t>General Service &gt; 50 to 4999 kW</t>
  </si>
  <si>
    <t>Class B - non-RPP Global Adjustment</t>
  </si>
  <si>
    <t>Class B Non-RPP Volume</t>
  </si>
  <si>
    <t>GA Rate/kWh</t>
  </si>
  <si>
    <t>Total Volume</t>
  </si>
  <si>
    <t>*Regulated Price Plan Prices for the Period November 1, 2019 – October 31, 2020</t>
  </si>
  <si>
    <t>** Enter 2021 load forecast data by class based on the most recent 12-month historic Class A and Class B RPP/Non-RPP proportions</t>
  </si>
  <si>
    <t>*** Based on average $ GA per kWh billed to class A customers for most recent 12-month historical year.</t>
  </si>
  <si>
    <t>Cost of Power Calculation</t>
  </si>
  <si>
    <t>1. Volumns for Electricity Commodity and Global Adjustment non-RPP in kWh</t>
  </si>
  <si>
    <t>2. All Volume should be loss adjusted with the exception of:</t>
  </si>
  <si>
    <t xml:space="preserve">  - Volume for Electricity Commodity, Wholesale Market Services, Class A and B should loss adjusted less WMP</t>
  </si>
  <si>
    <t xml:space="preserve">  - Low Voltage Charges - No loss adjustment for kWh</t>
  </si>
  <si>
    <t>Total</t>
  </si>
  <si>
    <t>Electricity Commodity</t>
  </si>
  <si>
    <t>Units</t>
  </si>
  <si>
    <t>Volume</t>
  </si>
  <si>
    <t>Rate</t>
  </si>
  <si>
    <t xml:space="preserve">$ </t>
  </si>
  <si>
    <t>$</t>
  </si>
  <si>
    <t>Class per Load Forecast</t>
  </si>
  <si>
    <t>SUB-TOTAL</t>
  </si>
  <si>
    <t>OK</t>
  </si>
  <si>
    <t>Global Adjustment non-RPP</t>
  </si>
  <si>
    <t xml:space="preserve">Class per Load Forecast </t>
  </si>
  <si>
    <t>Transmission - Network</t>
  </si>
  <si>
    <t xml:space="preserve"> Volume</t>
  </si>
  <si>
    <t>kW</t>
  </si>
  <si>
    <t>Transmission - Connection</t>
  </si>
  <si>
    <t>Wholesale Market Service</t>
  </si>
  <si>
    <t xml:space="preserve">Class A CBR </t>
  </si>
  <si>
    <r>
      <t>Rate</t>
    </r>
    <r>
      <rPr>
        <vertAlign val="superscript"/>
        <sz val="11"/>
        <color theme="1"/>
        <rFont val="Calibri"/>
        <family val="2"/>
        <scheme val="minor"/>
      </rPr>
      <t>4</t>
    </r>
  </si>
  <si>
    <t xml:space="preserve">Class B CBR </t>
  </si>
  <si>
    <t>RRRP</t>
  </si>
  <si>
    <t>Low Voltage - No TLF adjustment</t>
  </si>
  <si>
    <t>Smart Meter Entity Charge</t>
  </si>
  <si>
    <t>Customers</t>
  </si>
  <si>
    <t xml:space="preserve">Residential </t>
  </si>
  <si>
    <t>SUB- TOTAL</t>
  </si>
  <si>
    <r>
      <t>OER CREDIT</t>
    </r>
    <r>
      <rPr>
        <b/>
        <vertAlign val="superscript"/>
        <sz val="11"/>
        <color theme="1"/>
        <rFont val="Calibri"/>
        <family val="2"/>
        <scheme val="minor"/>
      </rPr>
      <t>3</t>
    </r>
  </si>
  <si>
    <t xml:space="preserve">3.The OER Credit of 31.8% will only apply to RPP proportion of the listed components. Impacts on distribution charges are excluded for the purpose of calculating the cost of power. </t>
  </si>
  <si>
    <t>4. Class A CBR: use the average CBR per kWh, similar to how the Class A GA cost is calculated. A Class A customer is a customer who participate in the ICI, pays global adjustment (GA) based on their percentage contribution to the top five peak Ontario demand hours over a 12-month period</t>
  </si>
  <si>
    <t>4705 -Power Purchased</t>
  </si>
  <si>
    <t>4707- Global Adjustment</t>
  </si>
  <si>
    <t>4708-Charges-WMS</t>
  </si>
  <si>
    <t>4714-Charges-NW</t>
  </si>
  <si>
    <t>4716-Charges-CN</t>
  </si>
  <si>
    <t>4750-Charges-LV</t>
  </si>
  <si>
    <t>4751-IESO SME</t>
  </si>
  <si>
    <t>Misc A/R or A/P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</si>
</sst>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$#,##0.00_);&quot;($&quot;#,##0.00\)"/>
    <numFmt numFmtId="165" formatCode="_-* #,##0_-;\-* #,##0_-;_-* &quot;-&quot;??_-;_-@_-"/>
    <numFmt numFmtId="166" formatCode="_(&quot;$&quot;* #,##0.00000_);_(&quot;$&quot;* \(#,##0.00000\);_(&quot;$&quot;* &quot;-&quot;??_);_(@_)"/>
    <numFmt numFmtId="167" formatCode="\$#,##0"/>
    <numFmt numFmtId="168" formatCode="_(* #,##0_);_(* \(#,##0\);_(* &quot;-&quot;??_);_(@_)"/>
    <numFmt numFmtId="169" formatCode="_(* #,##0.0000_);_(* \(#,##0.0000\);_(* &quot;-&quot;??_);_(@_)"/>
    <numFmt numFmtId="170" formatCode="_(&quot;$&quot;* #,##0.0000_);_(&quot;$&quot;* \(#,##0.0000\);_(&quot;$&quot;* &quot;-&quot;??_);_(@_)"/>
    <numFmt numFmtId="171" formatCode="_-* #,##0_-;\-* #,##0_-;_-* \-??_-;_-@_-"/>
    <numFmt numFmtId="172" formatCode="_-* #,##0.00_-;\-* #,##0.00_-;_-* \-??_-;_-@_-"/>
    <numFmt numFmtId="173" formatCode="_(&quot;$&quot;* #,##0_);_(&quot;$&quot;* \(#,##0\);_(&quot;$&quot;* &quot;-&quot;??_);_(@_)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indexed="22"/>
      <name val="Arial"/>
      <family val="2"/>
    </font>
    <font>
      <strike/>
      <sz val="11"/>
      <color rgb="FFFF0000"/>
      <name val="Calibri"/>
      <family val="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  <charset val="1"/>
    </font>
    <font>
      <sz val="11"/>
      <name val="Arial"/>
      <family val="2"/>
      <charset val="1"/>
    </font>
    <font>
      <i/>
      <sz val="10"/>
      <name val="Arial"/>
      <family val="2"/>
      <charset val="1"/>
    </font>
    <font>
      <sz val="10"/>
      <name val="Mangal"/>
      <family val="2"/>
      <charset val="1"/>
    </font>
    <font>
      <b/>
      <i/>
      <sz val="11"/>
      <name val="Arial"/>
      <family val="2"/>
    </font>
    <font>
      <b/>
      <u/>
      <sz val="12"/>
      <name val="Arial"/>
      <family val="2"/>
      <charset val="1"/>
    </font>
    <font>
      <b/>
      <u/>
      <sz val="11"/>
      <name val="Arial"/>
      <family val="2"/>
      <charset val="1"/>
    </font>
    <font>
      <b/>
      <sz val="11"/>
      <name val="Arial"/>
      <family val="2"/>
    </font>
    <font>
      <b/>
      <u/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i/>
      <sz val="10"/>
      <color rgb="FFFF0000"/>
      <name val="Arial"/>
      <family val="2"/>
      <charset val="1"/>
    </font>
    <font>
      <b/>
      <sz val="12"/>
      <name val="Arial"/>
      <family val="2"/>
    </font>
    <font>
      <sz val="10"/>
      <name val="Arial"/>
      <family val="2"/>
    </font>
    <font>
      <b/>
      <sz val="10"/>
      <color theme="0" tint="-0.499984740745262"/>
      <name val="Arial"/>
      <family val="2"/>
      <charset val="1"/>
    </font>
    <font>
      <sz val="10"/>
      <color theme="0" tint="-0.499984740745262"/>
      <name val="Arial"/>
      <family val="2"/>
      <charset val="1"/>
    </font>
    <font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58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0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10" fillId="0" borderId="0" applyFill="0" applyBorder="0" applyAlignment="0" applyProtection="0"/>
    <xf numFmtId="0" fontId="20" fillId="0" borderId="0"/>
  </cellStyleXfs>
  <cellXfs count="235">
    <xf numFmtId="0" fontId="0" fillId="0" borderId="0" xfId="0"/>
    <xf numFmtId="0" fontId="1" fillId="0" borderId="0" xfId="2" applyProtection="1"/>
    <xf numFmtId="0" fontId="3" fillId="0" borderId="0" xfId="2" applyFont="1" applyAlignment="1" applyProtection="1">
      <alignment horizontal="left" vertical="center"/>
    </xf>
    <xf numFmtId="0" fontId="4" fillId="0" borderId="0" xfId="2" applyFont="1" applyAlignment="1" applyProtection="1">
      <alignment wrapText="1"/>
    </xf>
    <xf numFmtId="0" fontId="5" fillId="0" borderId="0" xfId="2" applyFont="1" applyAlignment="1" applyProtection="1">
      <alignment horizontal="left"/>
    </xf>
    <xf numFmtId="0" fontId="6" fillId="2" borderId="0" xfId="2" applyFont="1" applyFill="1" applyAlignment="1" applyProtection="1">
      <alignment horizontal="right" vertical="top"/>
      <protection locked="0"/>
    </xf>
    <xf numFmtId="0" fontId="7" fillId="0" borderId="0" xfId="2" applyFont="1" applyBorder="1" applyAlignment="1" applyProtection="1">
      <alignment vertical="top"/>
    </xf>
    <xf numFmtId="0" fontId="6" fillId="2" borderId="1" xfId="2" applyFont="1" applyFill="1" applyBorder="1" applyAlignment="1" applyProtection="1">
      <alignment horizontal="right" vertical="top"/>
      <protection locked="0"/>
    </xf>
    <xf numFmtId="0" fontId="1" fillId="0" borderId="0" xfId="2" applyAlignment="1" applyProtection="1">
      <alignment horizontal="center"/>
    </xf>
    <xf numFmtId="0" fontId="6" fillId="0" borderId="0" xfId="2" applyFont="1" applyAlignment="1" applyProtection="1">
      <alignment horizontal="right" vertical="top"/>
    </xf>
    <xf numFmtId="0" fontId="1" fillId="0" borderId="0" xfId="2" applyBorder="1" applyProtection="1"/>
    <xf numFmtId="0" fontId="8" fillId="0" borderId="2" xfId="2" applyFont="1" applyBorder="1" applyProtection="1"/>
    <xf numFmtId="0" fontId="9" fillId="0" borderId="2" xfId="2" applyFont="1" applyFill="1" applyBorder="1" applyAlignment="1" applyProtection="1">
      <alignment horizontal="left" indent="1"/>
    </xf>
    <xf numFmtId="0" fontId="9" fillId="0" borderId="2" xfId="2" applyFont="1" applyFill="1" applyBorder="1" applyProtection="1"/>
    <xf numFmtId="10" fontId="9" fillId="0" borderId="2" xfId="3" applyNumberFormat="1" applyFont="1" applyFill="1" applyBorder="1" applyAlignment="1" applyProtection="1">
      <alignment horizontal="right"/>
    </xf>
    <xf numFmtId="0" fontId="9" fillId="0" borderId="0" xfId="2" applyFont="1" applyFill="1" applyBorder="1" applyAlignment="1" applyProtection="1">
      <alignment horizontal="left" indent="1"/>
    </xf>
    <xf numFmtId="0" fontId="9" fillId="0" borderId="0" xfId="2" applyFont="1" applyFill="1" applyBorder="1" applyProtection="1"/>
    <xf numFmtId="10" fontId="9" fillId="0" borderId="0" xfId="3" applyNumberFormat="1" applyFont="1" applyFill="1" applyBorder="1" applyAlignment="1" applyProtection="1">
      <alignment horizontal="right"/>
    </xf>
    <xf numFmtId="0" fontId="8" fillId="0" borderId="0" xfId="2" applyFont="1" applyProtection="1"/>
    <xf numFmtId="0" fontId="11" fillId="0" borderId="0" xfId="2" applyFont="1" applyProtection="1"/>
    <xf numFmtId="0" fontId="12" fillId="0" borderId="0" xfId="2" applyFont="1" applyBorder="1" applyProtection="1"/>
    <xf numFmtId="0" fontId="8" fillId="0" borderId="0" xfId="2" applyFont="1" applyFill="1" applyBorder="1" applyProtection="1"/>
    <xf numFmtId="44" fontId="5" fillId="0" borderId="3" xfId="2" applyNumberFormat="1" applyFont="1" applyFill="1" applyBorder="1" applyAlignment="1" applyProtection="1">
      <alignment horizontal="center"/>
    </xf>
    <xf numFmtId="44" fontId="5" fillId="0" borderId="4" xfId="2" applyNumberFormat="1" applyFont="1" applyFill="1" applyBorder="1" applyAlignment="1" applyProtection="1">
      <alignment horizontal="center"/>
    </xf>
    <xf numFmtId="44" fontId="5" fillId="0" borderId="0" xfId="2" applyNumberFormat="1" applyFont="1" applyFill="1" applyBorder="1" applyAlignment="1" applyProtection="1">
      <alignment horizontal="center"/>
    </xf>
    <xf numFmtId="0" fontId="13" fillId="0" borderId="0" xfId="2" applyFont="1" applyFill="1" applyBorder="1" applyProtection="1"/>
    <xf numFmtId="0" fontId="8" fillId="0" borderId="0" xfId="2" applyFont="1" applyBorder="1" applyProtection="1"/>
    <xf numFmtId="0" fontId="14" fillId="0" borderId="5" xfId="2" applyFont="1" applyFill="1" applyBorder="1" applyAlignment="1" applyProtection="1">
      <alignment horizontal="center"/>
    </xf>
    <xf numFmtId="0" fontId="14" fillId="0" borderId="6" xfId="2" applyFont="1" applyFill="1" applyBorder="1" applyAlignment="1" applyProtection="1">
      <alignment horizontal="center"/>
    </xf>
    <xf numFmtId="0" fontId="14" fillId="0" borderId="0" xfId="2" applyFont="1" applyFill="1" applyBorder="1" applyAlignment="1" applyProtection="1">
      <alignment horizontal="center"/>
    </xf>
    <xf numFmtId="0" fontId="15" fillId="0" borderId="0" xfId="2" applyFont="1" applyFill="1" applyBorder="1" applyProtection="1"/>
    <xf numFmtId="0" fontId="14" fillId="0" borderId="7" xfId="2" applyFont="1" applyFill="1" applyBorder="1" applyAlignment="1" applyProtection="1">
      <alignment horizontal="center"/>
    </xf>
    <xf numFmtId="0" fontId="14" fillId="0" borderId="8" xfId="2" applyFont="1" applyFill="1" applyBorder="1" applyAlignment="1" applyProtection="1">
      <alignment horizontal="center"/>
    </xf>
    <xf numFmtId="0" fontId="16" fillId="0" borderId="9" xfId="2" applyFont="1" applyFill="1" applyBorder="1" applyProtection="1"/>
    <xf numFmtId="0" fontId="16" fillId="3" borderId="13" xfId="2" applyFont="1" applyFill="1" applyBorder="1" applyAlignment="1" applyProtection="1">
      <alignment horizontal="center" wrapText="1"/>
    </xf>
    <xf numFmtId="164" fontId="16" fillId="4" borderId="14" xfId="2" applyNumberFormat="1" applyFont="1" applyFill="1" applyBorder="1" applyProtection="1">
      <protection locked="0"/>
    </xf>
    <xf numFmtId="164" fontId="16" fillId="2" borderId="15" xfId="2" applyNumberFormat="1" applyFont="1" applyFill="1" applyBorder="1" applyProtection="1">
      <protection locked="0"/>
    </xf>
    <xf numFmtId="164" fontId="16" fillId="0" borderId="0" xfId="2" applyNumberFormat="1" applyFont="1" applyFill="1" applyBorder="1" applyProtection="1"/>
    <xf numFmtId="0" fontId="16" fillId="3" borderId="16" xfId="2" applyFont="1" applyFill="1" applyBorder="1" applyAlignment="1" applyProtection="1">
      <alignment horizontal="center" wrapText="1"/>
    </xf>
    <xf numFmtId="164" fontId="8" fillId="0" borderId="17" xfId="2" applyNumberFormat="1" applyFont="1" applyFill="1" applyBorder="1" applyProtection="1"/>
    <xf numFmtId="164" fontId="8" fillId="0" borderId="0" xfId="2" applyNumberFormat="1" applyFont="1" applyFill="1" applyBorder="1" applyProtection="1"/>
    <xf numFmtId="0" fontId="17" fillId="0" borderId="9" xfId="2" applyFont="1" applyFill="1" applyBorder="1" applyAlignment="1" applyProtection="1">
      <alignment horizontal="left" indent="1"/>
    </xf>
    <xf numFmtId="164" fontId="17" fillId="0" borderId="17" xfId="2" applyNumberFormat="1" applyFont="1" applyFill="1" applyBorder="1" applyProtection="1"/>
    <xf numFmtId="164" fontId="17" fillId="0" borderId="18" xfId="2" applyNumberFormat="1" applyFont="1" applyFill="1" applyBorder="1" applyProtection="1"/>
    <xf numFmtId="164" fontId="17" fillId="0" borderId="0" xfId="2" applyNumberFormat="1" applyFont="1" applyFill="1" applyBorder="1" applyProtection="1"/>
    <xf numFmtId="0" fontId="18" fillId="0" borderId="0" xfId="2" applyFont="1" applyBorder="1" applyProtection="1"/>
    <xf numFmtId="0" fontId="19" fillId="0" borderId="0" xfId="2" applyFont="1" applyProtection="1"/>
    <xf numFmtId="0" fontId="1" fillId="0" borderId="19" xfId="2" applyBorder="1" applyProtection="1"/>
    <xf numFmtId="1" fontId="17" fillId="5" borderId="12" xfId="2" applyNumberFormat="1" applyFont="1" applyFill="1" applyBorder="1" applyAlignment="1" applyProtection="1">
      <alignment horizontal="center"/>
    </xf>
    <xf numFmtId="0" fontId="17" fillId="0" borderId="20" xfId="2" applyFont="1" applyBorder="1" applyProtection="1"/>
    <xf numFmtId="0" fontId="17" fillId="0" borderId="20" xfId="2" applyFont="1" applyBorder="1" applyAlignment="1" applyProtection="1">
      <alignment horizontal="center"/>
    </xf>
    <xf numFmtId="0" fontId="17" fillId="0" borderId="9" xfId="2" applyFont="1" applyBorder="1" applyAlignment="1" applyProtection="1">
      <alignment horizontal="center"/>
    </xf>
    <xf numFmtId="0" fontId="17" fillId="0" borderId="17" xfId="2" applyFont="1" applyBorder="1" applyAlignment="1" applyProtection="1">
      <alignment horizontal="center"/>
    </xf>
    <xf numFmtId="0" fontId="1" fillId="0" borderId="20" xfId="2" applyFont="1" applyBorder="1" applyProtection="1"/>
    <xf numFmtId="0" fontId="1" fillId="0" borderId="20" xfId="2" applyBorder="1" applyAlignment="1" applyProtection="1">
      <alignment horizontal="center"/>
    </xf>
    <xf numFmtId="0" fontId="1" fillId="0" borderId="9" xfId="2" applyBorder="1" applyAlignment="1" applyProtection="1">
      <alignment horizontal="center"/>
    </xf>
    <xf numFmtId="0" fontId="16" fillId="0" borderId="17" xfId="2" applyFont="1" applyBorder="1" applyAlignment="1" applyProtection="1">
      <alignment horizontal="center" wrapText="1"/>
    </xf>
    <xf numFmtId="0" fontId="1" fillId="0" borderId="17" xfId="2" applyBorder="1" applyAlignment="1" applyProtection="1">
      <alignment horizontal="center"/>
    </xf>
    <xf numFmtId="0" fontId="16" fillId="2" borderId="20" xfId="2" applyFont="1" applyFill="1" applyBorder="1" applyAlignment="1" applyProtection="1">
      <alignment vertical="center"/>
      <protection locked="0"/>
    </xf>
    <xf numFmtId="0" fontId="1" fillId="6" borderId="20" xfId="2" applyFill="1" applyBorder="1" applyAlignment="1" applyProtection="1">
      <alignment horizontal="center"/>
    </xf>
    <xf numFmtId="0" fontId="1" fillId="6" borderId="9" xfId="2" applyFill="1" applyBorder="1" applyAlignment="1" applyProtection="1">
      <alignment horizontal="center"/>
    </xf>
    <xf numFmtId="0" fontId="1" fillId="3" borderId="0" xfId="2" applyFill="1" applyProtection="1"/>
    <xf numFmtId="165" fontId="16" fillId="2" borderId="20" xfId="1" applyNumberFormat="1" applyFont="1" applyFill="1" applyBorder="1" applyAlignment="1" applyProtection="1">
      <alignment vertical="center"/>
      <protection locked="0"/>
    </xf>
    <xf numFmtId="166" fontId="0" fillId="0" borderId="17" xfId="4" quotePrefix="1" applyNumberFormat="1" applyFont="1" applyFill="1" applyBorder="1" applyAlignment="1" applyProtection="1">
      <alignment horizontal="right"/>
    </xf>
    <xf numFmtId="167" fontId="1" fillId="0" borderId="17" xfId="2" applyNumberFormat="1" applyFill="1" applyBorder="1" applyAlignment="1" applyProtection="1">
      <alignment horizontal="right"/>
    </xf>
    <xf numFmtId="0" fontId="17" fillId="0" borderId="21" xfId="2" applyFont="1" applyBorder="1" applyProtection="1"/>
    <xf numFmtId="49" fontId="1" fillId="0" borderId="21" xfId="2" applyNumberFormat="1" applyBorder="1" applyAlignment="1" applyProtection="1">
      <alignment horizontal="center"/>
    </xf>
    <xf numFmtId="0" fontId="17" fillId="0" borderId="21" xfId="2" applyFont="1" applyBorder="1" applyAlignment="1" applyProtection="1">
      <alignment horizontal="center"/>
    </xf>
    <xf numFmtId="0" fontId="17" fillId="0" borderId="22" xfId="2" applyFont="1" applyBorder="1" applyAlignment="1" applyProtection="1">
      <alignment horizontal="center"/>
    </xf>
    <xf numFmtId="37" fontId="17" fillId="0" borderId="17" xfId="2" applyNumberFormat="1" applyFont="1" applyBorder="1" applyAlignment="1" applyProtection="1">
      <alignment horizontal="right"/>
    </xf>
    <xf numFmtId="168" fontId="2" fillId="0" borderId="17" xfId="5" applyNumberFormat="1" applyFont="1" applyBorder="1" applyProtection="1"/>
    <xf numFmtId="37" fontId="17" fillId="0" borderId="12" xfId="2" applyNumberFormat="1" applyFont="1" applyBorder="1" applyAlignment="1" applyProtection="1">
      <alignment horizontal="right"/>
    </xf>
    <xf numFmtId="167" fontId="17" fillId="0" borderId="17" xfId="2" applyNumberFormat="1" applyFont="1" applyBorder="1" applyAlignment="1" applyProtection="1">
      <alignment horizontal="right"/>
    </xf>
    <xf numFmtId="0" fontId="15" fillId="0" borderId="0" xfId="2" applyFont="1" applyBorder="1" applyProtection="1"/>
    <xf numFmtId="169" fontId="8" fillId="0" borderId="0" xfId="2" applyNumberFormat="1" applyFont="1" applyProtection="1"/>
    <xf numFmtId="1" fontId="17" fillId="5" borderId="23" xfId="2" applyNumberFormat="1" applyFont="1" applyFill="1" applyBorder="1" applyAlignment="1" applyProtection="1">
      <alignment horizontal="center"/>
    </xf>
    <xf numFmtId="0" fontId="21" fillId="3" borderId="0" xfId="2" applyFont="1" applyFill="1" applyBorder="1" applyAlignment="1" applyProtection="1">
      <alignment horizontal="center"/>
    </xf>
    <xf numFmtId="0" fontId="17" fillId="0" borderId="27" xfId="2" applyFont="1" applyBorder="1" applyAlignment="1" applyProtection="1">
      <alignment horizontal="center"/>
    </xf>
    <xf numFmtId="0" fontId="17" fillId="3" borderId="26" xfId="2" applyFont="1" applyFill="1" applyBorder="1" applyAlignment="1" applyProtection="1">
      <alignment horizontal="center"/>
    </xf>
    <xf numFmtId="0" fontId="17" fillId="0" borderId="27" xfId="2" applyFont="1" applyBorder="1" applyAlignment="1" applyProtection="1">
      <alignment horizontal="center" wrapText="1"/>
    </xf>
    <xf numFmtId="0" fontId="22" fillId="3" borderId="0" xfId="2" applyFont="1" applyFill="1" applyBorder="1" applyAlignment="1" applyProtection="1">
      <alignment vertical="center"/>
      <protection locked="0"/>
    </xf>
    <xf numFmtId="168" fontId="0" fillId="3" borderId="0" xfId="5" applyNumberFormat="1" applyFont="1" applyFill="1" applyBorder="1" applyAlignment="1" applyProtection="1">
      <alignment horizontal="center"/>
    </xf>
    <xf numFmtId="170" fontId="16" fillId="2" borderId="20" xfId="2" applyNumberFormat="1" applyFont="1" applyFill="1" applyBorder="1" applyAlignment="1" applyProtection="1">
      <alignment vertical="center"/>
      <protection locked="0"/>
    </xf>
    <xf numFmtId="167" fontId="1" fillId="0" borderId="20" xfId="2" applyNumberFormat="1" applyFill="1" applyBorder="1" applyAlignment="1" applyProtection="1">
      <alignment horizontal="right"/>
    </xf>
    <xf numFmtId="43" fontId="0" fillId="3" borderId="0" xfId="5" applyFont="1" applyFill="1" applyBorder="1" applyAlignment="1" applyProtection="1">
      <alignment horizontal="center"/>
    </xf>
    <xf numFmtId="168" fontId="23" fillId="3" borderId="0" xfId="2" applyNumberFormat="1" applyFont="1" applyFill="1" applyBorder="1" applyAlignment="1" applyProtection="1">
      <alignment horizontal="center"/>
    </xf>
    <xf numFmtId="171" fontId="1" fillId="6" borderId="27" xfId="2" applyNumberFormat="1" applyFill="1" applyBorder="1" applyAlignment="1" applyProtection="1">
      <alignment horizontal="center"/>
    </xf>
    <xf numFmtId="171" fontId="1" fillId="3" borderId="0" xfId="2" applyNumberFormat="1" applyFill="1" applyBorder="1" applyAlignment="1" applyProtection="1">
      <alignment horizontal="center"/>
    </xf>
    <xf numFmtId="0" fontId="1" fillId="6" borderId="27" xfId="2" applyFill="1" applyBorder="1" applyAlignment="1" applyProtection="1">
      <alignment horizontal="center"/>
    </xf>
    <xf numFmtId="167" fontId="2" fillId="0" borderId="20" xfId="2" applyNumberFormat="1" applyFont="1" applyFill="1" applyBorder="1" applyAlignment="1" applyProtection="1">
      <alignment horizontal="right"/>
    </xf>
    <xf numFmtId="0" fontId="8" fillId="0" borderId="0" xfId="2" applyFont="1" applyFill="1" applyProtection="1"/>
    <xf numFmtId="0" fontId="17" fillId="0" borderId="0" xfId="2" applyFont="1" applyProtection="1"/>
    <xf numFmtId="0" fontId="16" fillId="0" borderId="17" xfId="2" applyFont="1" applyBorder="1" applyAlignment="1" applyProtection="1">
      <alignment horizontal="center"/>
    </xf>
    <xf numFmtId="0" fontId="16" fillId="0" borderId="13" xfId="2" applyFont="1" applyBorder="1" applyAlignment="1" applyProtection="1">
      <alignment horizontal="center"/>
    </xf>
    <xf numFmtId="0" fontId="16" fillId="0" borderId="20" xfId="2" applyFont="1" applyFill="1" applyBorder="1" applyAlignment="1" applyProtection="1">
      <alignment vertical="center"/>
    </xf>
    <xf numFmtId="37" fontId="1" fillId="3" borderId="0" xfId="2" quotePrefix="1" applyNumberFormat="1" applyFill="1" applyBorder="1" applyAlignment="1" applyProtection="1">
      <alignment horizontal="right"/>
    </xf>
    <xf numFmtId="37" fontId="1" fillId="7" borderId="11" xfId="2" quotePrefix="1" applyNumberFormat="1" applyFill="1" applyBorder="1" applyAlignment="1" applyProtection="1">
      <alignment horizontal="right"/>
    </xf>
    <xf numFmtId="166" fontId="0" fillId="7" borderId="12" xfId="4" quotePrefix="1" applyNumberFormat="1" applyFont="1" applyFill="1" applyBorder="1" applyAlignment="1" applyProtection="1">
      <alignment horizontal="right"/>
    </xf>
    <xf numFmtId="0" fontId="1" fillId="0" borderId="20" xfId="2" applyFill="1" applyBorder="1" applyAlignment="1" applyProtection="1">
      <alignment horizontal="center"/>
    </xf>
    <xf numFmtId="0" fontId="1" fillId="0" borderId="9" xfId="2" applyFill="1" applyBorder="1" applyAlignment="1" applyProtection="1">
      <alignment horizontal="center"/>
    </xf>
    <xf numFmtId="37" fontId="1" fillId="0" borderId="17" xfId="2" quotePrefix="1" applyNumberFormat="1" applyFill="1" applyBorder="1" applyAlignment="1" applyProtection="1">
      <alignment horizontal="right"/>
    </xf>
    <xf numFmtId="37" fontId="2" fillId="7" borderId="17" xfId="2" quotePrefix="1" applyNumberFormat="1" applyFont="1" applyFill="1" applyBorder="1" applyAlignment="1" applyProtection="1">
      <alignment horizontal="right"/>
    </xf>
    <xf numFmtId="37" fontId="1" fillId="7" borderId="12" xfId="2" quotePrefix="1" applyNumberFormat="1" applyFill="1" applyBorder="1" applyAlignment="1" applyProtection="1">
      <alignment horizontal="right"/>
    </xf>
    <xf numFmtId="49" fontId="1" fillId="0" borderId="20" xfId="2" applyNumberFormat="1" applyFill="1" applyBorder="1" applyAlignment="1" applyProtection="1">
      <alignment horizontal="center"/>
    </xf>
    <xf numFmtId="0" fontId="17" fillId="0" borderId="20" xfId="2" applyFont="1" applyFill="1" applyBorder="1" applyAlignment="1" applyProtection="1">
      <alignment horizontal="center"/>
    </xf>
    <xf numFmtId="0" fontId="17" fillId="0" borderId="9" xfId="2" applyFont="1" applyFill="1" applyBorder="1" applyAlignment="1" applyProtection="1">
      <alignment horizontal="center"/>
    </xf>
    <xf numFmtId="37" fontId="17" fillId="0" borderId="14" xfId="2" applyNumberFormat="1" applyFont="1" applyBorder="1" applyAlignment="1" applyProtection="1">
      <alignment horizontal="right"/>
    </xf>
    <xf numFmtId="37" fontId="17" fillId="0" borderId="14" xfId="2" applyNumberFormat="1" applyFont="1" applyFill="1" applyBorder="1" applyAlignment="1" applyProtection="1">
      <alignment horizontal="right"/>
    </xf>
    <xf numFmtId="167" fontId="2" fillId="0" borderId="17" xfId="2" applyNumberFormat="1" applyFont="1" applyBorder="1" applyAlignment="1" applyProtection="1">
      <alignment horizontal="right"/>
    </xf>
    <xf numFmtId="0" fontId="17" fillId="0" borderId="0" xfId="2" applyFont="1" applyBorder="1" applyProtection="1"/>
    <xf numFmtId="49" fontId="1" fillId="0" borderId="0" xfId="2" applyNumberFormat="1" applyFill="1" applyBorder="1" applyAlignment="1" applyProtection="1">
      <alignment horizontal="center"/>
    </xf>
    <xf numFmtId="0" fontId="17" fillId="0" borderId="0" xfId="2" applyFont="1" applyFill="1" applyBorder="1" applyAlignment="1" applyProtection="1">
      <alignment horizontal="center"/>
    </xf>
    <xf numFmtId="37" fontId="17" fillId="0" borderId="0" xfId="2" applyNumberFormat="1" applyFont="1" applyBorder="1" applyAlignment="1" applyProtection="1">
      <alignment horizontal="right"/>
    </xf>
    <xf numFmtId="37" fontId="17" fillId="0" borderId="0" xfId="2" applyNumberFormat="1" applyFont="1" applyFill="1" applyBorder="1" applyAlignment="1" applyProtection="1">
      <alignment horizontal="right"/>
    </xf>
    <xf numFmtId="0" fontId="1" fillId="0" borderId="0" xfId="2" applyBorder="1" applyAlignment="1" applyProtection="1">
      <alignment horizontal="center"/>
    </xf>
    <xf numFmtId="167" fontId="1" fillId="0" borderId="0" xfId="2" applyNumberFormat="1" applyProtection="1"/>
    <xf numFmtId="171" fontId="10" fillId="0" borderId="0" xfId="6" applyNumberFormat="1" applyProtection="1"/>
    <xf numFmtId="0" fontId="1" fillId="0" borderId="0" xfId="2" applyFont="1" applyProtection="1"/>
    <xf numFmtId="43" fontId="1" fillId="0" borderId="0" xfId="2" applyNumberFormat="1" applyProtection="1"/>
    <xf numFmtId="0" fontId="2" fillId="0" borderId="0" xfId="2" applyFont="1" applyAlignment="1" applyProtection="1">
      <alignment horizontal="center"/>
    </xf>
    <xf numFmtId="0" fontId="1" fillId="0" borderId="0" xfId="2" applyFont="1" applyAlignment="1" applyProtection="1">
      <alignment horizontal="left"/>
    </xf>
    <xf numFmtId="0" fontId="1" fillId="0" borderId="0" xfId="2" applyFont="1" applyBorder="1" applyProtection="1"/>
    <xf numFmtId="0" fontId="1" fillId="0" borderId="0" xfId="2" applyBorder="1" applyAlignment="1" applyProtection="1">
      <alignment wrapText="1"/>
    </xf>
    <xf numFmtId="0" fontId="2" fillId="0" borderId="0" xfId="2" applyFont="1" applyBorder="1" applyAlignment="1" applyProtection="1">
      <alignment wrapText="1"/>
    </xf>
    <xf numFmtId="0" fontId="2" fillId="0" borderId="17" xfId="2" applyFont="1" applyBorder="1" applyAlignment="1" applyProtection="1">
      <alignment horizontal="center"/>
    </xf>
    <xf numFmtId="0" fontId="2" fillId="0" borderId="0" xfId="2" applyFont="1" applyBorder="1" applyAlignment="1" applyProtection="1"/>
    <xf numFmtId="0" fontId="2" fillId="0" borderId="12" xfId="2" applyFont="1" applyBorder="1" applyAlignment="1" applyProtection="1">
      <alignment horizontal="center" vertical="center"/>
    </xf>
    <xf numFmtId="0" fontId="24" fillId="0" borderId="17" xfId="2" applyFont="1" applyBorder="1" applyProtection="1"/>
    <xf numFmtId="0" fontId="1" fillId="0" borderId="16" xfId="2" applyBorder="1" applyAlignment="1" applyProtection="1">
      <alignment horizontal="center"/>
    </xf>
    <xf numFmtId="0" fontId="1" fillId="0" borderId="17" xfId="2" applyBorder="1" applyAlignment="1" applyProtection="1">
      <alignment horizontal="center" wrapText="1"/>
    </xf>
    <xf numFmtId="0" fontId="1" fillId="0" borderId="12" xfId="2" applyBorder="1" applyAlignment="1" applyProtection="1">
      <alignment horizontal="center"/>
    </xf>
    <xf numFmtId="0" fontId="2" fillId="0" borderId="17" xfId="2" applyFont="1" applyBorder="1" applyProtection="1"/>
    <xf numFmtId="0" fontId="1" fillId="0" borderId="16" xfId="2" applyFill="1" applyBorder="1" applyProtection="1"/>
    <xf numFmtId="37" fontId="1" fillId="0" borderId="17" xfId="2" applyNumberFormat="1" applyFill="1" applyBorder="1" applyProtection="1"/>
    <xf numFmtId="0" fontId="1" fillId="0" borderId="13" xfId="2" applyFill="1" applyBorder="1" applyProtection="1"/>
    <xf numFmtId="168" fontId="0" fillId="0" borderId="12" xfId="5" applyNumberFormat="1" applyFont="1" applyFill="1" applyBorder="1" applyProtection="1"/>
    <xf numFmtId="0" fontId="1" fillId="0" borderId="0" xfId="2" applyFill="1" applyBorder="1" applyProtection="1"/>
    <xf numFmtId="168" fontId="0" fillId="0" borderId="12" xfId="5" applyNumberFormat="1" applyFont="1" applyBorder="1" applyProtection="1"/>
    <xf numFmtId="0" fontId="1" fillId="2" borderId="17" xfId="2" applyFont="1" applyFill="1" applyBorder="1" applyProtection="1">
      <protection locked="0"/>
    </xf>
    <xf numFmtId="0" fontId="1" fillId="0" borderId="16" xfId="2" applyBorder="1" applyProtection="1"/>
    <xf numFmtId="0" fontId="20" fillId="3" borderId="16" xfId="7" applyFill="1" applyBorder="1" applyProtection="1"/>
    <xf numFmtId="168" fontId="0" fillId="0" borderId="17" xfId="5" applyNumberFormat="1" applyFont="1" applyBorder="1" applyProtection="1"/>
    <xf numFmtId="0" fontId="1" fillId="3" borderId="16" xfId="2" applyFill="1" applyBorder="1" applyProtection="1"/>
    <xf numFmtId="0" fontId="1" fillId="0" borderId="28" xfId="2" applyBorder="1" applyProtection="1"/>
    <xf numFmtId="0" fontId="1" fillId="3" borderId="29" xfId="2" applyFill="1" applyBorder="1" applyProtection="1"/>
    <xf numFmtId="0" fontId="1" fillId="0" borderId="14" xfId="2" applyBorder="1" applyAlignment="1" applyProtection="1">
      <alignment horizontal="center"/>
    </xf>
    <xf numFmtId="0" fontId="1" fillId="0" borderId="17" xfId="2" applyFill="1" applyBorder="1" applyProtection="1"/>
    <xf numFmtId="0" fontId="1" fillId="0" borderId="14" xfId="2" applyFill="1" applyBorder="1" applyProtection="1"/>
    <xf numFmtId="0" fontId="1" fillId="0" borderId="17" xfId="2" applyBorder="1" applyProtection="1"/>
    <xf numFmtId="0" fontId="1" fillId="0" borderId="30" xfId="2" applyFill="1" applyBorder="1" applyProtection="1"/>
    <xf numFmtId="168" fontId="1" fillId="0" borderId="17" xfId="2" applyNumberFormat="1" applyFill="1" applyBorder="1" applyProtection="1"/>
    <xf numFmtId="173" fontId="0" fillId="0" borderId="17" xfId="4" applyNumberFormat="1" applyFont="1" applyBorder="1" applyProtection="1"/>
    <xf numFmtId="0" fontId="1" fillId="0" borderId="31" xfId="2" applyBorder="1" applyProtection="1"/>
    <xf numFmtId="0" fontId="1" fillId="3" borderId="0" xfId="2" applyFill="1" applyBorder="1" applyProtection="1"/>
    <xf numFmtId="0" fontId="1" fillId="0" borderId="12" xfId="2" applyBorder="1" applyProtection="1"/>
    <xf numFmtId="37" fontId="1" fillId="3" borderId="0" xfId="2" applyNumberFormat="1" applyFill="1" applyBorder="1" applyProtection="1"/>
    <xf numFmtId="169" fontId="0" fillId="2" borderId="17" xfId="5" applyNumberFormat="1" applyFont="1" applyFill="1" applyBorder="1" applyProtection="1">
      <protection locked="0"/>
    </xf>
    <xf numFmtId="0" fontId="1" fillId="0" borderId="23" xfId="2" applyBorder="1" applyProtection="1"/>
    <xf numFmtId="0" fontId="1" fillId="0" borderId="10" xfId="2" applyBorder="1" applyAlignment="1" applyProtection="1">
      <alignment horizontal="left"/>
    </xf>
    <xf numFmtId="0" fontId="1" fillId="0" borderId="14" xfId="2" applyBorder="1" applyProtection="1"/>
    <xf numFmtId="168" fontId="0" fillId="0" borderId="17" xfId="5" applyNumberFormat="1" applyFont="1" applyFill="1" applyBorder="1" applyProtection="1"/>
    <xf numFmtId="173" fontId="1" fillId="0" borderId="0" xfId="2" applyNumberFormat="1" applyProtection="1"/>
    <xf numFmtId="0" fontId="24" fillId="0" borderId="17" xfId="2" applyFont="1" applyFill="1" applyBorder="1" applyProtection="1"/>
    <xf numFmtId="0" fontId="1" fillId="0" borderId="28" xfId="2" applyBorder="1" applyAlignment="1" applyProtection="1">
      <alignment horizontal="center"/>
    </xf>
    <xf numFmtId="168" fontId="0" fillId="2" borderId="17" xfId="5" applyNumberFormat="1" applyFont="1" applyFill="1" applyBorder="1" applyProtection="1">
      <protection locked="0"/>
    </xf>
    <xf numFmtId="0" fontId="1" fillId="0" borderId="10" xfId="2" applyBorder="1" applyAlignment="1" applyProtection="1">
      <alignment horizontal="center"/>
    </xf>
    <xf numFmtId="37" fontId="1" fillId="0" borderId="17" xfId="2" applyNumberFormat="1" applyBorder="1" applyProtection="1"/>
    <xf numFmtId="0" fontId="1" fillId="0" borderId="10" xfId="2" applyBorder="1" applyProtection="1"/>
    <xf numFmtId="0" fontId="1" fillId="0" borderId="32" xfId="2" applyBorder="1" applyProtection="1"/>
    <xf numFmtId="0" fontId="1" fillId="0" borderId="32" xfId="2" applyFill="1" applyBorder="1" applyProtection="1"/>
    <xf numFmtId="0" fontId="1" fillId="0" borderId="29" xfId="2" applyBorder="1" applyAlignment="1" applyProtection="1">
      <alignment horizontal="center"/>
    </xf>
    <xf numFmtId="168" fontId="0" fillId="3" borderId="0" xfId="5" applyNumberFormat="1" applyFont="1" applyFill="1" applyBorder="1" applyProtection="1">
      <protection locked="0"/>
    </xf>
    <xf numFmtId="169" fontId="0" fillId="3" borderId="0" xfId="5" applyNumberFormat="1" applyFont="1" applyFill="1" applyBorder="1" applyProtection="1">
      <protection locked="0"/>
    </xf>
    <xf numFmtId="0" fontId="1" fillId="0" borderId="0" xfId="2" applyFont="1" applyFill="1" applyProtection="1"/>
    <xf numFmtId="168" fontId="0" fillId="0" borderId="14" xfId="5" applyNumberFormat="1" applyFont="1" applyFill="1" applyBorder="1" applyProtection="1"/>
    <xf numFmtId="0" fontId="1" fillId="0" borderId="32" xfId="2" applyBorder="1" applyAlignment="1" applyProtection="1">
      <alignment horizontal="center"/>
    </xf>
    <xf numFmtId="168" fontId="0" fillId="0" borderId="23" xfId="5" applyNumberFormat="1" applyFont="1" applyFill="1" applyBorder="1" applyProtection="1"/>
    <xf numFmtId="0" fontId="1" fillId="0" borderId="13" xfId="2" applyBorder="1" applyProtection="1"/>
    <xf numFmtId="168" fontId="0" fillId="0" borderId="13" xfId="5" applyNumberFormat="1" applyFont="1" applyBorder="1" applyProtection="1"/>
    <xf numFmtId="0" fontId="1" fillId="0" borderId="28" xfId="2" applyFill="1" applyBorder="1" applyProtection="1"/>
    <xf numFmtId="0" fontId="1" fillId="0" borderId="29" xfId="2" applyBorder="1" applyProtection="1"/>
    <xf numFmtId="168" fontId="0" fillId="2" borderId="12" xfId="5" applyNumberFormat="1" applyFont="1" applyFill="1" applyBorder="1" applyProtection="1">
      <protection locked="0"/>
    </xf>
    <xf numFmtId="0" fontId="1" fillId="0" borderId="12" xfId="2" applyFill="1" applyBorder="1" applyProtection="1"/>
    <xf numFmtId="43" fontId="0" fillId="2" borderId="17" xfId="1" applyFont="1" applyFill="1" applyBorder="1" applyProtection="1">
      <protection locked="0"/>
    </xf>
    <xf numFmtId="165" fontId="1" fillId="0" borderId="17" xfId="1" applyNumberFormat="1" applyFont="1" applyFill="1" applyBorder="1" applyProtection="1"/>
    <xf numFmtId="0" fontId="1" fillId="0" borderId="28" xfId="2" applyFont="1" applyBorder="1" applyProtection="1"/>
    <xf numFmtId="0" fontId="1" fillId="0" borderId="31" xfId="2" applyBorder="1" applyAlignment="1" applyProtection="1">
      <alignment horizontal="center"/>
    </xf>
    <xf numFmtId="0" fontId="2" fillId="0" borderId="17" xfId="2" applyFont="1" applyFill="1" applyBorder="1" applyProtection="1"/>
    <xf numFmtId="168" fontId="1" fillId="0" borderId="17" xfId="2" applyNumberFormat="1" applyBorder="1" applyProtection="1"/>
    <xf numFmtId="10" fontId="1" fillId="0" borderId="17" xfId="2" applyNumberFormat="1" applyBorder="1" applyProtection="1"/>
    <xf numFmtId="168" fontId="0" fillId="0" borderId="34" xfId="5" applyNumberFormat="1" applyFont="1" applyBorder="1" applyProtection="1"/>
    <xf numFmtId="10" fontId="2" fillId="0" borderId="17" xfId="2" applyNumberFormat="1" applyFont="1" applyBorder="1" applyProtection="1"/>
    <xf numFmtId="0" fontId="2" fillId="0" borderId="16" xfId="2" applyFont="1" applyBorder="1" applyProtection="1"/>
    <xf numFmtId="168" fontId="2" fillId="0" borderId="35" xfId="5" applyNumberFormat="1" applyFont="1" applyBorder="1" applyProtection="1"/>
    <xf numFmtId="0" fontId="1" fillId="0" borderId="16" xfId="2" applyFont="1" applyBorder="1" applyProtection="1"/>
    <xf numFmtId="10" fontId="2" fillId="0" borderId="0" xfId="2" applyNumberFormat="1" applyFont="1" applyBorder="1" applyProtection="1"/>
    <xf numFmtId="0" fontId="2" fillId="0" borderId="0" xfId="2" applyFont="1" applyBorder="1" applyProtection="1"/>
    <xf numFmtId="168" fontId="2" fillId="0" borderId="0" xfId="5" applyNumberFormat="1" applyFont="1" applyBorder="1" applyProtection="1"/>
    <xf numFmtId="0" fontId="1" fillId="0" borderId="16" xfId="2" applyFont="1" applyFill="1" applyBorder="1" applyProtection="1"/>
    <xf numFmtId="0" fontId="2" fillId="0" borderId="0" xfId="2" applyFont="1" applyFill="1" applyBorder="1" applyProtection="1"/>
    <xf numFmtId="173" fontId="1" fillId="0" borderId="17" xfId="2" applyNumberFormat="1" applyBorder="1" applyProtection="1"/>
    <xf numFmtId="173" fontId="2" fillId="0" borderId="17" xfId="2" applyNumberFormat="1" applyFont="1" applyBorder="1" applyProtection="1"/>
    <xf numFmtId="1" fontId="17" fillId="5" borderId="24" xfId="2" applyNumberFormat="1" applyFont="1" applyFill="1" applyBorder="1" applyAlignment="1" applyProtection="1">
      <alignment horizontal="center"/>
    </xf>
    <xf numFmtId="1" fontId="17" fillId="5" borderId="25" xfId="2" applyNumberFormat="1" applyFont="1" applyFill="1" applyBorder="1" applyAlignment="1" applyProtection="1">
      <alignment horizontal="center"/>
    </xf>
    <xf numFmtId="1" fontId="17" fillId="5" borderId="26" xfId="2" applyNumberFormat="1" applyFont="1" applyFill="1" applyBorder="1" applyAlignment="1" applyProtection="1">
      <alignment horizontal="center"/>
    </xf>
    <xf numFmtId="1" fontId="17" fillId="5" borderId="17" xfId="2" applyNumberFormat="1" applyFont="1" applyFill="1" applyBorder="1" applyAlignment="1" applyProtection="1">
      <alignment horizontal="center"/>
    </xf>
    <xf numFmtId="0" fontId="7" fillId="0" borderId="0" xfId="2" applyFont="1" applyBorder="1" applyAlignment="1" applyProtection="1">
      <alignment horizontal="center" vertical="top"/>
    </xf>
    <xf numFmtId="0" fontId="16" fillId="0" borderId="10" xfId="2" applyFont="1" applyFill="1" applyBorder="1" applyAlignment="1" applyProtection="1">
      <alignment horizontal="center" vertical="center" wrapText="1"/>
    </xf>
    <xf numFmtId="0" fontId="16" fillId="0" borderId="11" xfId="2" applyFont="1" applyFill="1" applyBorder="1" applyAlignment="1" applyProtection="1">
      <alignment horizontal="center" vertical="center" wrapText="1"/>
    </xf>
    <xf numFmtId="0" fontId="16" fillId="0" borderId="12" xfId="2" applyFont="1" applyFill="1" applyBorder="1" applyAlignment="1" applyProtection="1">
      <alignment horizontal="center" vertical="center" wrapText="1"/>
    </xf>
    <xf numFmtId="0" fontId="8" fillId="0" borderId="10" xfId="2" applyFont="1" applyFill="1" applyBorder="1" applyAlignment="1" applyProtection="1">
      <alignment horizontal="center" vertical="center" wrapText="1"/>
    </xf>
    <xf numFmtId="0" fontId="8" fillId="0" borderId="11" xfId="2" applyFont="1" applyFill="1" applyBorder="1" applyAlignment="1" applyProtection="1">
      <alignment horizontal="center" vertical="center" wrapText="1"/>
    </xf>
    <xf numFmtId="0" fontId="8" fillId="0" borderId="12" xfId="2" applyFont="1" applyFill="1" applyBorder="1" applyAlignment="1" applyProtection="1">
      <alignment horizontal="center" vertical="center" wrapText="1"/>
    </xf>
    <xf numFmtId="0" fontId="1" fillId="0" borderId="0" xfId="2" applyBorder="1" applyAlignment="1" applyProtection="1">
      <alignment horizontal="center"/>
    </xf>
    <xf numFmtId="0" fontId="1" fillId="8" borderId="17" xfId="2" applyFill="1" applyBorder="1" applyAlignment="1" applyProtection="1">
      <alignment horizontal="center"/>
    </xf>
    <xf numFmtId="0" fontId="1" fillId="0" borderId="17" xfId="2" applyBorder="1" applyAlignment="1" applyProtection="1">
      <alignment horizontal="center"/>
    </xf>
    <xf numFmtId="0" fontId="1" fillId="0" borderId="13" xfId="2" applyBorder="1" applyAlignment="1" applyProtection="1">
      <alignment horizontal="center"/>
    </xf>
    <xf numFmtId="0" fontId="2" fillId="0" borderId="13" xfId="2" applyFont="1" applyBorder="1" applyAlignment="1" applyProtection="1">
      <alignment horizontal="center" vertical="center" wrapText="1"/>
    </xf>
    <xf numFmtId="0" fontId="2" fillId="0" borderId="14" xfId="2" applyFont="1" applyBorder="1" applyAlignment="1" applyProtection="1">
      <alignment horizontal="center" vertical="center" wrapText="1"/>
    </xf>
    <xf numFmtId="0" fontId="1" fillId="0" borderId="23" xfId="2" applyBorder="1" applyAlignment="1" applyProtection="1">
      <alignment horizontal="center"/>
    </xf>
    <xf numFmtId="0" fontId="1" fillId="0" borderId="30" xfId="2" applyBorder="1" applyAlignment="1" applyProtection="1">
      <alignment horizontal="center"/>
    </xf>
    <xf numFmtId="0" fontId="1" fillId="0" borderId="32" xfId="2" applyBorder="1" applyAlignment="1" applyProtection="1">
      <alignment horizontal="center"/>
    </xf>
    <xf numFmtId="0" fontId="1" fillId="0" borderId="33" xfId="2" applyBorder="1" applyAlignment="1" applyProtection="1">
      <alignment horizontal="center"/>
    </xf>
    <xf numFmtId="0" fontId="1" fillId="0" borderId="14" xfId="2" applyBorder="1" applyAlignment="1" applyProtection="1">
      <alignment horizontal="center"/>
    </xf>
    <xf numFmtId="0" fontId="1" fillId="0" borderId="13" xfId="2" applyBorder="1" applyAlignment="1" applyProtection="1">
      <alignment horizontal="center" wrapText="1"/>
    </xf>
    <xf numFmtId="0" fontId="1" fillId="0" borderId="14" xfId="2" applyBorder="1" applyAlignment="1" applyProtection="1">
      <alignment horizontal="center" wrapText="1"/>
    </xf>
    <xf numFmtId="0" fontId="1" fillId="0" borderId="16" xfId="2" applyBorder="1" applyAlignment="1" applyProtection="1">
      <alignment horizontal="center"/>
    </xf>
    <xf numFmtId="0" fontId="1" fillId="0" borderId="17" xfId="2" applyFont="1" applyBorder="1" applyAlignment="1" applyProtection="1">
      <alignment horizontal="center"/>
    </xf>
    <xf numFmtId="0" fontId="1" fillId="0" borderId="29" xfId="2" applyBorder="1" applyAlignment="1" applyProtection="1">
      <alignment horizontal="center"/>
    </xf>
    <xf numFmtId="0" fontId="1" fillId="0" borderId="28" xfId="2" applyBorder="1" applyAlignment="1" applyProtection="1">
      <alignment horizontal="center"/>
    </xf>
    <xf numFmtId="0" fontId="1" fillId="0" borderId="16" xfId="2" applyBorder="1" applyAlignment="1" applyProtection="1">
      <alignment horizontal="center" wrapText="1"/>
    </xf>
    <xf numFmtId="0" fontId="1" fillId="0" borderId="13" xfId="2" applyFont="1" applyBorder="1" applyAlignment="1" applyProtection="1">
      <alignment horizontal="center"/>
    </xf>
    <xf numFmtId="0" fontId="1" fillId="0" borderId="14" xfId="2" applyFont="1" applyBorder="1" applyAlignment="1" applyProtection="1">
      <alignment horizontal="center"/>
    </xf>
    <xf numFmtId="0" fontId="2" fillId="0" borderId="0" xfId="2" applyFont="1" applyAlignment="1" applyProtection="1">
      <alignment horizontal="center"/>
    </xf>
    <xf numFmtId="0" fontId="2" fillId="0" borderId="17" xfId="2" applyFont="1" applyBorder="1" applyAlignment="1" applyProtection="1">
      <alignment horizontal="center"/>
    </xf>
  </cellXfs>
  <cellStyles count="8">
    <cellStyle name="Comma" xfId="1" builtinId="3"/>
    <cellStyle name="Comma 6" xfId="6"/>
    <cellStyle name="Comma 7 2" xfId="5"/>
    <cellStyle name="Currency 5 2" xfId="4"/>
    <cellStyle name="Normal" xfId="0" builtinId="0"/>
    <cellStyle name="Normal 2" xfId="7"/>
    <cellStyle name="Normal 4 2 2" xfId="2"/>
    <cellStyle name="Percent 6" xfId="3"/>
  </cellStyles>
  <dxfs count="1">
    <dxf>
      <font>
        <b/>
        <i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opLeftCell="A53" zoomScale="70" zoomScaleNormal="70" workbookViewId="0">
      <selection activeCell="K43" sqref="K43"/>
    </sheetView>
  </sheetViews>
  <sheetFormatPr defaultRowHeight="14.4"/>
  <cols>
    <col min="1" max="1" width="9.33203125" style="1" customWidth="1"/>
    <col min="2" max="2" width="43.33203125" style="1" customWidth="1"/>
    <col min="3" max="3" width="7.33203125" style="1" customWidth="1"/>
    <col min="4" max="4" width="10.33203125" style="1" customWidth="1"/>
    <col min="5" max="5" width="7.6640625" style="1" customWidth="1"/>
    <col min="6" max="6" width="20.33203125" style="1" customWidth="1"/>
    <col min="7" max="7" width="14.5546875" style="1" customWidth="1"/>
    <col min="8" max="10" width="17.33203125" style="1" customWidth="1"/>
    <col min="11" max="11" width="21.33203125" style="1" customWidth="1"/>
    <col min="12" max="12" width="16.5546875" style="1" customWidth="1"/>
  </cols>
  <sheetData>
    <row r="1" spans="1:12">
      <c r="B1" s="2"/>
    </row>
    <row r="2" spans="1:12">
      <c r="A2" s="3"/>
      <c r="B2" s="3"/>
      <c r="C2" s="3"/>
      <c r="D2" s="3"/>
      <c r="E2" s="3"/>
      <c r="K2" s="4" t="s">
        <v>0</v>
      </c>
      <c r="L2" s="5"/>
    </row>
    <row r="3" spans="1:12" ht="17.399999999999999">
      <c r="A3" s="3"/>
      <c r="C3" s="6"/>
      <c r="D3" s="6"/>
      <c r="E3" s="6"/>
      <c r="F3" s="6"/>
      <c r="G3" s="6"/>
      <c r="H3" s="6"/>
      <c r="I3" s="6"/>
      <c r="J3" s="6"/>
      <c r="K3" s="4" t="s">
        <v>1</v>
      </c>
      <c r="L3" s="7"/>
    </row>
    <row r="4" spans="1:12">
      <c r="B4" s="206" t="s">
        <v>2</v>
      </c>
      <c r="C4" s="206"/>
      <c r="D4" s="206"/>
      <c r="E4" s="206"/>
      <c r="F4" s="206"/>
      <c r="G4" s="206"/>
      <c r="H4" s="206"/>
      <c r="I4" s="206"/>
      <c r="K4" s="4" t="s">
        <v>3</v>
      </c>
      <c r="L4" s="7"/>
    </row>
    <row r="5" spans="1:12" ht="17.399999999999999">
      <c r="B5" s="206"/>
      <c r="C5" s="206"/>
      <c r="D5" s="206"/>
      <c r="E5" s="206"/>
      <c r="F5" s="206"/>
      <c r="G5" s="206"/>
      <c r="H5" s="206"/>
      <c r="I5" s="206"/>
      <c r="J5" s="6"/>
      <c r="K5" s="4" t="s">
        <v>4</v>
      </c>
      <c r="L5" s="7"/>
    </row>
    <row r="6" spans="1:12" ht="17.399999999999999">
      <c r="B6" s="206"/>
      <c r="C6" s="206"/>
      <c r="D6" s="206"/>
      <c r="E6" s="206"/>
      <c r="F6" s="206"/>
      <c r="G6" s="206"/>
      <c r="H6" s="206"/>
      <c r="I6" s="206"/>
      <c r="J6" s="6"/>
      <c r="K6" s="4" t="s">
        <v>5</v>
      </c>
      <c r="L6" s="5"/>
    </row>
    <row r="7" spans="1:12">
      <c r="B7" s="8"/>
      <c r="K7" s="4"/>
      <c r="L7" s="9"/>
    </row>
    <row r="8" spans="1:12">
      <c r="B8" s="8"/>
      <c r="K8" s="4" t="s">
        <v>6</v>
      </c>
      <c r="L8" s="5"/>
    </row>
    <row r="9" spans="1:12">
      <c r="B9" s="8"/>
      <c r="K9" s="10"/>
    </row>
    <row r="10" spans="1:12" ht="15" thickBot="1">
      <c r="A10" s="11"/>
      <c r="B10" s="12"/>
      <c r="C10" s="13"/>
      <c r="D10" s="14"/>
      <c r="E10" s="14"/>
      <c r="F10" s="14"/>
      <c r="G10" s="11"/>
      <c r="H10" s="11"/>
      <c r="I10" s="11"/>
      <c r="J10" s="11"/>
      <c r="K10" s="11"/>
      <c r="L10" s="14"/>
    </row>
    <row r="11" spans="1:12">
      <c r="A11" s="15"/>
      <c r="B11" s="16"/>
      <c r="C11" s="17"/>
      <c r="D11" s="17"/>
      <c r="E11" s="17"/>
      <c r="F11" s="17"/>
      <c r="G11" s="18"/>
      <c r="H11" s="17"/>
      <c r="I11" s="17"/>
      <c r="J11" s="17"/>
      <c r="K11" s="17"/>
      <c r="L11" s="19"/>
    </row>
    <row r="12" spans="1:12" ht="15.6">
      <c r="A12" s="19" t="s">
        <v>7</v>
      </c>
      <c r="B12" s="20" t="s">
        <v>8</v>
      </c>
      <c r="C12" s="16"/>
      <c r="D12" s="17"/>
      <c r="E12" s="17"/>
      <c r="F12" s="17"/>
      <c r="G12" s="18"/>
      <c r="H12" s="17"/>
      <c r="I12" s="17"/>
      <c r="J12" s="17"/>
      <c r="K12" s="17"/>
      <c r="L12" s="19"/>
    </row>
    <row r="13" spans="1:12" ht="15" thickBot="1">
      <c r="A13" s="15"/>
      <c r="B13" s="16"/>
      <c r="C13" s="17"/>
      <c r="D13" s="17"/>
      <c r="E13" s="17"/>
      <c r="F13" s="17"/>
      <c r="G13" s="18"/>
      <c r="H13" s="17"/>
      <c r="I13" s="17"/>
      <c r="J13" s="17"/>
      <c r="K13" s="17"/>
      <c r="L13" s="19"/>
    </row>
    <row r="14" spans="1:12" ht="15" thickBot="1">
      <c r="A14" s="18"/>
      <c r="B14" s="21" t="s">
        <v>9</v>
      </c>
      <c r="C14" s="21"/>
      <c r="D14" s="21"/>
      <c r="E14" s="21"/>
      <c r="F14" s="18"/>
      <c r="G14" s="22"/>
      <c r="H14" s="23"/>
      <c r="J14" s="24"/>
      <c r="K14" s="24"/>
      <c r="L14" s="10"/>
    </row>
    <row r="15" spans="1:12">
      <c r="A15" s="19"/>
      <c r="B15" s="25" t="s">
        <v>10</v>
      </c>
      <c r="C15" s="21" t="s">
        <v>11</v>
      </c>
      <c r="D15" s="21"/>
      <c r="E15" s="21"/>
      <c r="F15" s="26"/>
      <c r="G15" s="27" t="s">
        <v>12</v>
      </c>
      <c r="H15" s="28" t="s">
        <v>13</v>
      </c>
      <c r="J15" s="29"/>
      <c r="K15" s="29"/>
      <c r="L15" s="10"/>
    </row>
    <row r="16" spans="1:12" ht="15" thickBot="1">
      <c r="A16" s="18"/>
      <c r="B16" s="30"/>
      <c r="C16" s="18"/>
      <c r="D16" s="21"/>
      <c r="E16" s="21"/>
      <c r="F16" s="18"/>
      <c r="G16" s="31"/>
      <c r="H16" s="32"/>
      <c r="J16" s="29"/>
      <c r="K16" s="29"/>
      <c r="L16" s="10"/>
    </row>
    <row r="17" spans="1:12" ht="34.799999999999997" customHeight="1">
      <c r="A17" s="18"/>
      <c r="B17" s="33" t="s">
        <v>14</v>
      </c>
      <c r="C17" s="207" t="s">
        <v>15</v>
      </c>
      <c r="D17" s="208"/>
      <c r="E17" s="209"/>
      <c r="F17" s="34"/>
      <c r="G17" s="35">
        <v>19.25</v>
      </c>
      <c r="H17" s="36">
        <v>19.25</v>
      </c>
      <c r="J17" s="37"/>
      <c r="K17" s="37"/>
      <c r="L17" s="10"/>
    </row>
    <row r="18" spans="1:12" ht="22.8" customHeight="1">
      <c r="A18" s="18"/>
      <c r="B18" s="33" t="s">
        <v>16</v>
      </c>
      <c r="C18" s="207" t="s">
        <v>17</v>
      </c>
      <c r="D18" s="208"/>
      <c r="E18" s="209"/>
      <c r="F18" s="38"/>
      <c r="G18" s="35">
        <v>85.18</v>
      </c>
      <c r="H18" s="36">
        <v>85.18</v>
      </c>
      <c r="J18" s="37"/>
      <c r="K18" s="37"/>
      <c r="L18" s="10"/>
    </row>
    <row r="19" spans="1:12">
      <c r="A19" s="18"/>
      <c r="B19" s="33" t="s">
        <v>18</v>
      </c>
      <c r="C19" s="210"/>
      <c r="D19" s="211"/>
      <c r="E19" s="212"/>
      <c r="F19" s="38"/>
      <c r="G19" s="39"/>
      <c r="H19" s="36">
        <v>-0.79</v>
      </c>
      <c r="J19" s="40"/>
      <c r="K19" s="37"/>
      <c r="L19" s="10"/>
    </row>
    <row r="20" spans="1:12" ht="32.4" customHeight="1">
      <c r="A20" s="18"/>
      <c r="B20" s="41" t="s">
        <v>19</v>
      </c>
      <c r="C20" s="207" t="s">
        <v>20</v>
      </c>
      <c r="D20" s="208"/>
      <c r="E20" s="209"/>
      <c r="F20" s="38"/>
      <c r="G20" s="42"/>
      <c r="H20" s="43">
        <f>SUM(H17:H19)</f>
        <v>103.64</v>
      </c>
      <c r="J20" s="44"/>
      <c r="K20" s="44"/>
      <c r="L20" s="10"/>
    </row>
    <row r="21" spans="1:12" ht="15" thickBo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1:1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15.6">
      <c r="A23" s="19" t="s">
        <v>21</v>
      </c>
      <c r="B23" s="20" t="s">
        <v>22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>
      <c r="A24" s="18"/>
      <c r="B24" s="45" t="s">
        <v>23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>
      <c r="A25" s="18"/>
      <c r="B25" s="45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5.6">
      <c r="A26" s="18"/>
      <c r="B26" s="46" t="s">
        <v>24</v>
      </c>
      <c r="E26" s="47"/>
      <c r="F26" s="48"/>
      <c r="G26" s="205" t="s">
        <v>25</v>
      </c>
      <c r="H26" s="205"/>
      <c r="I26" s="205"/>
      <c r="J26" s="205"/>
      <c r="K26" s="205"/>
      <c r="L26" s="205"/>
    </row>
    <row r="27" spans="1:12">
      <c r="A27" s="18"/>
      <c r="B27" s="49" t="s">
        <v>26</v>
      </c>
      <c r="C27" s="50"/>
      <c r="D27" s="50" t="s">
        <v>27</v>
      </c>
      <c r="E27" s="51" t="s">
        <v>28</v>
      </c>
      <c r="F27" s="52"/>
      <c r="G27" s="52"/>
      <c r="H27" s="52"/>
      <c r="I27" s="52"/>
      <c r="J27" s="52"/>
      <c r="K27" s="52"/>
      <c r="L27" s="52"/>
    </row>
    <row r="28" spans="1:12" ht="27">
      <c r="A28" s="18"/>
      <c r="B28" s="53" t="s">
        <v>29</v>
      </c>
      <c r="C28" s="54" t="s">
        <v>30</v>
      </c>
      <c r="D28" s="54" t="s">
        <v>31</v>
      </c>
      <c r="E28" s="55" t="s">
        <v>31</v>
      </c>
      <c r="F28" s="56" t="s">
        <v>32</v>
      </c>
      <c r="G28" s="56"/>
      <c r="H28" s="56" t="s">
        <v>33</v>
      </c>
      <c r="I28" s="56" t="s">
        <v>34</v>
      </c>
      <c r="J28" s="56" t="s">
        <v>35</v>
      </c>
      <c r="K28" s="56" t="s">
        <v>36</v>
      </c>
      <c r="L28" s="57" t="s">
        <v>37</v>
      </c>
    </row>
    <row r="29" spans="1:12">
      <c r="A29" s="18"/>
      <c r="B29" s="58" t="s">
        <v>38</v>
      </c>
      <c r="C29" s="59" t="s">
        <v>39</v>
      </c>
      <c r="D29" s="59">
        <v>4006</v>
      </c>
      <c r="E29" s="60">
        <v>4705</v>
      </c>
      <c r="F29" s="58"/>
      <c r="G29" s="61"/>
      <c r="H29" s="62">
        <v>7802307.5116051938</v>
      </c>
      <c r="I29" s="62">
        <v>308604225.30333328</v>
      </c>
      <c r="J29" s="63">
        <f t="shared" ref="J29:J37" si="0">+$G$17/1000</f>
        <v>1.925E-2</v>
      </c>
      <c r="K29" s="63">
        <f t="shared" ref="K29:K37" si="1">+$H$20/1000</f>
        <v>0.10364</v>
      </c>
      <c r="L29" s="64">
        <f t="shared" ref="L29:L37" si="2">(+F29+H29)*J29+(I29*K29)</f>
        <v>32133936.330035862</v>
      </c>
    </row>
    <row r="30" spans="1:12">
      <c r="A30" s="18"/>
      <c r="B30" s="58" t="s">
        <v>40</v>
      </c>
      <c r="C30" s="59" t="s">
        <v>39</v>
      </c>
      <c r="D30" s="59">
        <v>4010</v>
      </c>
      <c r="E30" s="60">
        <v>4705</v>
      </c>
      <c r="F30" s="58"/>
      <c r="G30" s="61"/>
      <c r="H30" s="62">
        <v>13909879.106009673</v>
      </c>
      <c r="I30" s="62">
        <v>68042192.089325041</v>
      </c>
      <c r="J30" s="63">
        <f t="shared" si="0"/>
        <v>1.925E-2</v>
      </c>
      <c r="K30" s="63">
        <f t="shared" si="1"/>
        <v>0.10364</v>
      </c>
      <c r="L30" s="64">
        <f t="shared" si="2"/>
        <v>7319657.9609283339</v>
      </c>
    </row>
    <row r="31" spans="1:12">
      <c r="A31" s="18"/>
      <c r="B31" s="58" t="s">
        <v>41</v>
      </c>
      <c r="C31" s="59" t="s">
        <v>39</v>
      </c>
      <c r="D31" s="59">
        <v>4035</v>
      </c>
      <c r="E31" s="60">
        <v>4705</v>
      </c>
      <c r="F31" s="62">
        <v>214322460.33701998</v>
      </c>
      <c r="G31" s="61"/>
      <c r="H31" s="62">
        <v>285306059.06908703</v>
      </c>
      <c r="I31" s="62">
        <v>20356218.203671396</v>
      </c>
      <c r="J31" s="63">
        <f t="shared" si="0"/>
        <v>1.925E-2</v>
      </c>
      <c r="K31" s="63">
        <f t="shared" si="1"/>
        <v>0.10364</v>
      </c>
      <c r="L31" s="64">
        <f t="shared" si="2"/>
        <v>11727567.453196064</v>
      </c>
    </row>
    <row r="32" spans="1:12">
      <c r="A32" s="18"/>
      <c r="B32" s="58" t="s">
        <v>42</v>
      </c>
      <c r="C32" s="59" t="s">
        <v>39</v>
      </c>
      <c r="D32" s="59">
        <v>4010</v>
      </c>
      <c r="E32" s="60">
        <v>4705</v>
      </c>
      <c r="F32" s="62"/>
      <c r="G32" s="61"/>
      <c r="H32" s="62">
        <v>0</v>
      </c>
      <c r="I32" s="62">
        <v>1546300.4928166368</v>
      </c>
      <c r="J32" s="63">
        <f t="shared" si="0"/>
        <v>1.925E-2</v>
      </c>
      <c r="K32" s="63">
        <f t="shared" si="1"/>
        <v>0.10364</v>
      </c>
      <c r="L32" s="64">
        <f t="shared" si="2"/>
        <v>160258.58307551625</v>
      </c>
    </row>
    <row r="33" spans="1:12">
      <c r="A33" s="18"/>
      <c r="B33" s="58" t="s">
        <v>43</v>
      </c>
      <c r="C33" s="59" t="s">
        <v>39</v>
      </c>
      <c r="D33" s="59">
        <v>4025</v>
      </c>
      <c r="E33" s="60">
        <v>4705</v>
      </c>
      <c r="F33" s="58"/>
      <c r="G33" s="61"/>
      <c r="H33" s="62">
        <v>5043.5339217131605</v>
      </c>
      <c r="I33" s="62">
        <v>153830.59820512275</v>
      </c>
      <c r="J33" s="63">
        <f t="shared" si="0"/>
        <v>1.925E-2</v>
      </c>
      <c r="K33" s="63">
        <f t="shared" si="1"/>
        <v>0.10364</v>
      </c>
      <c r="L33" s="64">
        <f t="shared" si="2"/>
        <v>16040.091225971899</v>
      </c>
    </row>
    <row r="34" spans="1:12">
      <c r="A34" s="18"/>
      <c r="B34" s="58" t="s">
        <v>44</v>
      </c>
      <c r="C34" s="59" t="s">
        <v>39</v>
      </c>
      <c r="D34" s="59">
        <v>4025</v>
      </c>
      <c r="E34" s="60">
        <v>4705</v>
      </c>
      <c r="F34" s="58"/>
      <c r="G34" s="61"/>
      <c r="H34" s="62">
        <v>6872732.0942203924</v>
      </c>
      <c r="I34" s="62">
        <v>0</v>
      </c>
      <c r="J34" s="63">
        <f t="shared" si="0"/>
        <v>1.925E-2</v>
      </c>
      <c r="K34" s="63">
        <f t="shared" si="1"/>
        <v>0.10364</v>
      </c>
      <c r="L34" s="64">
        <f t="shared" si="2"/>
        <v>132300.09281374255</v>
      </c>
    </row>
    <row r="35" spans="1:12">
      <c r="A35" s="18"/>
      <c r="B35" s="58" t="s">
        <v>45</v>
      </c>
      <c r="C35" s="59" t="s">
        <v>39</v>
      </c>
      <c r="D35" s="59">
        <v>4025</v>
      </c>
      <c r="E35" s="60">
        <v>4705</v>
      </c>
      <c r="F35" s="58"/>
      <c r="G35" s="61"/>
      <c r="H35" s="62">
        <v>0</v>
      </c>
      <c r="I35" s="62">
        <v>0</v>
      </c>
      <c r="J35" s="63">
        <f t="shared" si="0"/>
        <v>1.925E-2</v>
      </c>
      <c r="K35" s="63">
        <f t="shared" si="1"/>
        <v>0.10364</v>
      </c>
      <c r="L35" s="64">
        <f t="shared" si="2"/>
        <v>0</v>
      </c>
    </row>
    <row r="36" spans="1:12">
      <c r="A36" s="18"/>
      <c r="B36" s="58"/>
      <c r="C36" s="59" t="s">
        <v>39</v>
      </c>
      <c r="D36" s="59">
        <v>4025</v>
      </c>
      <c r="E36" s="60">
        <v>4705</v>
      </c>
      <c r="F36" s="58"/>
      <c r="G36" s="61"/>
      <c r="H36" s="62"/>
      <c r="I36" s="62"/>
      <c r="J36" s="63">
        <f t="shared" si="0"/>
        <v>1.925E-2</v>
      </c>
      <c r="K36" s="63">
        <f t="shared" si="1"/>
        <v>0.10364</v>
      </c>
      <c r="L36" s="64">
        <f t="shared" si="2"/>
        <v>0</v>
      </c>
    </row>
    <row r="37" spans="1:12">
      <c r="A37" s="18"/>
      <c r="B37" s="58"/>
      <c r="C37" s="59" t="s">
        <v>39</v>
      </c>
      <c r="D37" s="59">
        <v>4025</v>
      </c>
      <c r="E37" s="60">
        <v>4705</v>
      </c>
      <c r="F37" s="58"/>
      <c r="G37" s="61"/>
      <c r="H37" s="58"/>
      <c r="I37" s="58"/>
      <c r="J37" s="63">
        <f t="shared" si="0"/>
        <v>1.925E-2</v>
      </c>
      <c r="K37" s="63">
        <f t="shared" si="1"/>
        <v>0.10364</v>
      </c>
      <c r="L37" s="64">
        <f t="shared" si="2"/>
        <v>0</v>
      </c>
    </row>
    <row r="38" spans="1:12">
      <c r="A38" s="18"/>
      <c r="B38" s="65" t="s">
        <v>46</v>
      </c>
      <c r="C38" s="66"/>
      <c r="D38" s="67"/>
      <c r="E38" s="68"/>
      <c r="F38" s="69"/>
      <c r="G38" s="70"/>
      <c r="H38" s="69"/>
      <c r="I38" s="71"/>
      <c r="J38" s="71"/>
      <c r="K38" s="69"/>
      <c r="L38" s="72">
        <f>SUM(L29:L37)</f>
        <v>51489760.511275493</v>
      </c>
    </row>
    <row r="39" spans="1:12">
      <c r="A39" s="18"/>
      <c r="B39" s="45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>
      <c r="A40" s="18"/>
      <c r="B40" s="73"/>
      <c r="C40" s="18"/>
      <c r="D40" s="18"/>
      <c r="E40" s="18"/>
      <c r="F40" s="74"/>
      <c r="G40" s="74"/>
      <c r="H40" s="18"/>
      <c r="I40" s="18"/>
      <c r="J40" s="18"/>
      <c r="K40" s="18"/>
      <c r="L40" s="18"/>
    </row>
    <row r="41" spans="1:12" ht="15.6">
      <c r="A41" s="18"/>
      <c r="B41" s="46" t="s">
        <v>47</v>
      </c>
      <c r="E41" s="47"/>
      <c r="F41" s="75"/>
      <c r="G41" s="202" t="str">
        <f>G26</f>
        <v>2021 Test Year</v>
      </c>
      <c r="H41" s="203"/>
      <c r="I41" s="203"/>
      <c r="J41" s="204"/>
      <c r="K41" s="203"/>
      <c r="L41" s="203"/>
    </row>
    <row r="42" spans="1:12">
      <c r="A42" s="18"/>
      <c r="B42" s="49" t="s">
        <v>26</v>
      </c>
      <c r="C42" s="54"/>
      <c r="D42" s="50" t="s">
        <v>27</v>
      </c>
      <c r="E42" s="51" t="s">
        <v>28</v>
      </c>
      <c r="F42" s="76"/>
      <c r="G42" s="77" t="s">
        <v>48</v>
      </c>
      <c r="H42" s="61"/>
      <c r="I42" s="61"/>
      <c r="J42" s="78"/>
      <c r="K42" s="79" t="s">
        <v>49</v>
      </c>
      <c r="L42" s="50" t="s">
        <v>37</v>
      </c>
    </row>
    <row r="43" spans="1:12">
      <c r="A43" s="18"/>
      <c r="B43" s="58" t="s">
        <v>50</v>
      </c>
      <c r="C43" s="59"/>
      <c r="D43" s="59">
        <v>4035</v>
      </c>
      <c r="E43" s="60">
        <v>4707</v>
      </c>
      <c r="F43" s="80"/>
      <c r="G43" s="62">
        <v>214322460.33701998</v>
      </c>
      <c r="H43" s="61"/>
      <c r="I43" s="61"/>
      <c r="J43" s="81"/>
      <c r="K43" s="82">
        <v>6.9025322062545802E-2</v>
      </c>
      <c r="L43" s="83">
        <f>+K43*G43</f>
        <v>14793676.850000003</v>
      </c>
    </row>
    <row r="44" spans="1:12">
      <c r="A44" s="18"/>
      <c r="B44" s="58"/>
      <c r="C44" s="59"/>
      <c r="D44" s="59">
        <v>4010</v>
      </c>
      <c r="E44" s="60">
        <v>4707</v>
      </c>
      <c r="F44" s="80"/>
      <c r="G44" s="62"/>
      <c r="H44" s="61"/>
      <c r="I44" s="61"/>
      <c r="J44" s="81"/>
      <c r="K44" s="58"/>
      <c r="L44" s="83">
        <f>+K44*G44</f>
        <v>0</v>
      </c>
    </row>
    <row r="45" spans="1:12">
      <c r="A45" s="18"/>
      <c r="B45" s="58"/>
      <c r="C45" s="59"/>
      <c r="D45" s="59">
        <v>4010</v>
      </c>
      <c r="E45" s="60">
        <v>4707</v>
      </c>
      <c r="F45" s="80"/>
      <c r="G45" s="58"/>
      <c r="H45" s="61"/>
      <c r="I45" s="61"/>
      <c r="J45" s="84"/>
      <c r="K45" s="58"/>
      <c r="L45" s="83">
        <f>+K45*G45</f>
        <v>0</v>
      </c>
    </row>
    <row r="46" spans="1:12">
      <c r="A46" s="18"/>
      <c r="F46" s="85">
        <f>+F43+F44</f>
        <v>0</v>
      </c>
      <c r="G46" s="86">
        <f>SUM(G43:G45)</f>
        <v>214322460.33701998</v>
      </c>
      <c r="H46" s="61"/>
      <c r="I46" s="61"/>
      <c r="J46" s="87"/>
      <c r="K46" s="88"/>
      <c r="L46" s="89">
        <f>SUM(L43:L45)</f>
        <v>14793676.850000003</v>
      </c>
    </row>
    <row r="47" spans="1:12">
      <c r="A47" s="18"/>
      <c r="B47" s="18"/>
      <c r="C47" s="18"/>
      <c r="D47" s="18"/>
      <c r="E47" s="18"/>
      <c r="F47" s="18"/>
      <c r="G47" s="18"/>
      <c r="H47" s="18"/>
      <c r="I47" s="18"/>
      <c r="J47" s="90"/>
      <c r="K47" s="18"/>
      <c r="L47" s="18"/>
    </row>
    <row r="48" spans="1:12" ht="15.6">
      <c r="B48" s="46" t="s">
        <v>51</v>
      </c>
      <c r="E48" s="47"/>
      <c r="F48" s="48"/>
      <c r="G48" s="205" t="str">
        <f>G41</f>
        <v>2021 Test Year</v>
      </c>
      <c r="H48" s="205"/>
      <c r="I48" s="205"/>
      <c r="J48" s="205"/>
      <c r="K48" s="205"/>
      <c r="L48" s="205"/>
    </row>
    <row r="49" spans="1:12">
      <c r="A49" s="91"/>
      <c r="B49" s="49" t="s">
        <v>26</v>
      </c>
      <c r="C49" s="50"/>
      <c r="D49" s="50" t="s">
        <v>27</v>
      </c>
      <c r="E49" s="51" t="s">
        <v>28</v>
      </c>
      <c r="F49" s="52"/>
      <c r="G49" s="52"/>
      <c r="H49" s="52"/>
      <c r="I49" s="52"/>
      <c r="J49" s="52"/>
      <c r="K49" s="52"/>
      <c r="L49" s="57" t="s">
        <v>37</v>
      </c>
    </row>
    <row r="50" spans="1:12" ht="27">
      <c r="B50" s="53" t="s">
        <v>29</v>
      </c>
      <c r="C50" s="54" t="s">
        <v>30</v>
      </c>
      <c r="D50" s="54" t="s">
        <v>31</v>
      </c>
      <c r="E50" s="55" t="s">
        <v>31</v>
      </c>
      <c r="F50" s="92"/>
      <c r="G50" s="92"/>
      <c r="H50" s="56" t="s">
        <v>52</v>
      </c>
      <c r="I50" s="93"/>
      <c r="J50" s="93"/>
      <c r="K50" s="92" t="s">
        <v>53</v>
      </c>
    </row>
    <row r="51" spans="1:12">
      <c r="B51" s="94" t="str">
        <f>IF(B29=0,"",B29)</f>
        <v>Residential</v>
      </c>
      <c r="C51" s="59" t="s">
        <v>39</v>
      </c>
      <c r="D51" s="59">
        <v>4006</v>
      </c>
      <c r="E51" s="59">
        <v>4707</v>
      </c>
      <c r="F51" s="95"/>
      <c r="G51" s="95"/>
      <c r="H51" s="96">
        <f>+H29</f>
        <v>7802307.5116051938</v>
      </c>
      <c r="I51" s="95"/>
      <c r="J51" s="95"/>
      <c r="K51" s="97">
        <f t="shared" ref="K51:K58" si="3">+$G$18/1000</f>
        <v>8.5180000000000006E-2</v>
      </c>
      <c r="L51" s="64">
        <f t="shared" ref="L51:L56" si="4">+K51*H51</f>
        <v>664600.55383853044</v>
      </c>
    </row>
    <row r="52" spans="1:12">
      <c r="B52" s="94" t="str">
        <f t="shared" ref="B52:B58" si="5">IF(B30=0,"",B30)</f>
        <v>General Service &lt; 50 kW</v>
      </c>
      <c r="C52" s="59" t="s">
        <v>39</v>
      </c>
      <c r="D52" s="59">
        <v>4010</v>
      </c>
      <c r="E52" s="59">
        <v>4707</v>
      </c>
      <c r="F52" s="95"/>
      <c r="G52" s="95"/>
      <c r="H52" s="96">
        <f t="shared" ref="H52:H58" si="6">+H30</f>
        <v>13909879.106009673</v>
      </c>
      <c r="I52" s="95"/>
      <c r="J52" s="95"/>
      <c r="K52" s="97">
        <f t="shared" si="3"/>
        <v>8.5180000000000006E-2</v>
      </c>
      <c r="L52" s="64">
        <f t="shared" si="4"/>
        <v>1184843.502249904</v>
      </c>
    </row>
    <row r="53" spans="1:12">
      <c r="B53" s="94" t="str">
        <f t="shared" si="5"/>
        <v>General Service 50 to 2999 kW</v>
      </c>
      <c r="C53" s="59" t="s">
        <v>39</v>
      </c>
      <c r="D53" s="59">
        <v>4035</v>
      </c>
      <c r="E53" s="59">
        <v>4707</v>
      </c>
      <c r="F53" s="95"/>
      <c r="G53" s="95"/>
      <c r="H53" s="96">
        <f t="shared" si="6"/>
        <v>285306059.06908703</v>
      </c>
      <c r="I53" s="95"/>
      <c r="J53" s="95"/>
      <c r="K53" s="97">
        <f t="shared" si="3"/>
        <v>8.5180000000000006E-2</v>
      </c>
      <c r="L53" s="64">
        <f t="shared" si="4"/>
        <v>24302370.111504834</v>
      </c>
    </row>
    <row r="54" spans="1:12">
      <c r="B54" s="94" t="str">
        <f t="shared" si="5"/>
        <v>Unmetered Scattered Load</v>
      </c>
      <c r="C54" s="59" t="s">
        <v>39</v>
      </c>
      <c r="D54" s="59">
        <v>4010</v>
      </c>
      <c r="E54" s="59">
        <v>4707</v>
      </c>
      <c r="F54" s="95"/>
      <c r="G54" s="95"/>
      <c r="H54" s="96">
        <f t="shared" si="6"/>
        <v>0</v>
      </c>
      <c r="I54" s="95"/>
      <c r="J54" s="95"/>
      <c r="K54" s="97">
        <f t="shared" si="3"/>
        <v>8.5180000000000006E-2</v>
      </c>
      <c r="L54" s="64">
        <f t="shared" si="4"/>
        <v>0</v>
      </c>
    </row>
    <row r="55" spans="1:12">
      <c r="B55" s="94" t="str">
        <f t="shared" si="5"/>
        <v>Sentinel Lighting</v>
      </c>
      <c r="C55" s="59" t="s">
        <v>39</v>
      </c>
      <c r="D55" s="59">
        <v>4025</v>
      </c>
      <c r="E55" s="59">
        <v>4707</v>
      </c>
      <c r="F55" s="95"/>
      <c r="G55" s="95"/>
      <c r="H55" s="96">
        <f t="shared" si="6"/>
        <v>5043.5339217131605</v>
      </c>
      <c r="I55" s="95"/>
      <c r="J55" s="95"/>
      <c r="K55" s="97">
        <f t="shared" si="3"/>
        <v>8.5180000000000006E-2</v>
      </c>
      <c r="L55" s="64">
        <f t="shared" si="4"/>
        <v>429.60821945152702</v>
      </c>
    </row>
    <row r="56" spans="1:12">
      <c r="B56" s="94" t="str">
        <f t="shared" si="5"/>
        <v xml:space="preserve">Street Lighting </v>
      </c>
      <c r="C56" s="59" t="s">
        <v>39</v>
      </c>
      <c r="D56" s="59">
        <v>4025</v>
      </c>
      <c r="E56" s="59">
        <v>4707</v>
      </c>
      <c r="F56" s="95"/>
      <c r="G56" s="95"/>
      <c r="H56" s="96">
        <f t="shared" si="6"/>
        <v>6872732.0942203924</v>
      </c>
      <c r="I56" s="95"/>
      <c r="J56" s="95"/>
      <c r="K56" s="97">
        <f t="shared" si="3"/>
        <v>8.5180000000000006E-2</v>
      </c>
      <c r="L56" s="64">
        <f t="shared" si="4"/>
        <v>585419.31978569308</v>
      </c>
    </row>
    <row r="57" spans="1:12">
      <c r="B57" s="94" t="str">
        <f t="shared" si="5"/>
        <v>Embedded Distributor</v>
      </c>
      <c r="C57" s="59" t="s">
        <v>39</v>
      </c>
      <c r="D57" s="59">
        <v>4025</v>
      </c>
      <c r="E57" s="59">
        <v>4707</v>
      </c>
      <c r="F57" s="95"/>
      <c r="G57" s="95"/>
      <c r="H57" s="96">
        <f t="shared" si="6"/>
        <v>0</v>
      </c>
      <c r="I57" s="95"/>
      <c r="J57" s="95"/>
      <c r="K57" s="97">
        <f t="shared" si="3"/>
        <v>8.5180000000000006E-2</v>
      </c>
      <c r="L57" s="64">
        <f>K57*H57</f>
        <v>0</v>
      </c>
    </row>
    <row r="58" spans="1:12">
      <c r="B58" s="94" t="str">
        <f t="shared" si="5"/>
        <v/>
      </c>
      <c r="C58" s="59" t="s">
        <v>39</v>
      </c>
      <c r="D58" s="59">
        <v>4025</v>
      </c>
      <c r="E58" s="59">
        <v>4707</v>
      </c>
      <c r="F58" s="95"/>
      <c r="G58" s="95"/>
      <c r="H58" s="96">
        <f t="shared" si="6"/>
        <v>0</v>
      </c>
      <c r="I58" s="95"/>
      <c r="J58" s="95"/>
      <c r="K58" s="97">
        <f t="shared" si="3"/>
        <v>8.5180000000000006E-2</v>
      </c>
      <c r="L58" s="64">
        <f>K58*H58</f>
        <v>0</v>
      </c>
    </row>
    <row r="59" spans="1:12">
      <c r="B59" s="94" t="s">
        <v>54</v>
      </c>
      <c r="C59" s="98"/>
      <c r="D59" s="98"/>
      <c r="E59" s="99"/>
      <c r="F59" s="100"/>
      <c r="G59" s="100"/>
      <c r="H59" s="101">
        <f>SUM(H51:H58)</f>
        <v>313896021.31484401</v>
      </c>
      <c r="I59" s="100"/>
      <c r="J59" s="100"/>
      <c r="K59" s="102"/>
      <c r="L59" s="72"/>
    </row>
    <row r="60" spans="1:12">
      <c r="B60" s="49" t="s">
        <v>46</v>
      </c>
      <c r="C60" s="103"/>
      <c r="D60" s="104"/>
      <c r="E60" s="105"/>
      <c r="F60" s="106"/>
      <c r="G60" s="107"/>
      <c r="H60" s="106"/>
      <c r="I60" s="106"/>
      <c r="J60" s="106"/>
      <c r="K60" s="69"/>
      <c r="L60" s="108">
        <f>SUM(L51:L58)</f>
        <v>26737663.095598415</v>
      </c>
    </row>
    <row r="61" spans="1:12">
      <c r="B61" s="109"/>
      <c r="C61" s="110"/>
      <c r="D61" s="111"/>
      <c r="E61" s="111"/>
      <c r="F61" s="112"/>
      <c r="G61" s="113"/>
      <c r="H61" s="112"/>
      <c r="I61" s="112"/>
      <c r="J61" s="112"/>
      <c r="K61" s="112"/>
      <c r="L61" s="114"/>
    </row>
    <row r="62" spans="1:12">
      <c r="F62" s="10"/>
      <c r="L62" s="115"/>
    </row>
    <row r="63" spans="1:12">
      <c r="A63" s="1" t="s">
        <v>55</v>
      </c>
      <c r="F63" s="116"/>
      <c r="G63" s="116"/>
      <c r="H63" s="116"/>
      <c r="I63" s="116"/>
      <c r="J63" s="116"/>
      <c r="K63" s="116"/>
    </row>
    <row r="64" spans="1:12">
      <c r="A64" s="117" t="s">
        <v>56</v>
      </c>
      <c r="G64" s="118"/>
      <c r="H64" s="118"/>
      <c r="I64" s="118"/>
      <c r="J64" s="118"/>
      <c r="K64" s="118"/>
    </row>
    <row r="65" spans="1:8">
      <c r="A65" s="1" t="s">
        <v>57</v>
      </c>
      <c r="H65" s="10"/>
    </row>
    <row r="66" spans="1:8">
      <c r="H66" s="10"/>
    </row>
  </sheetData>
  <mergeCells count="8">
    <mergeCell ref="G41:L41"/>
    <mergeCell ref="G48:L48"/>
    <mergeCell ref="B4:I6"/>
    <mergeCell ref="C17:E17"/>
    <mergeCell ref="C18:E18"/>
    <mergeCell ref="C19:E19"/>
    <mergeCell ref="C20:E20"/>
    <mergeCell ref="G26:L26"/>
  </mergeCells>
  <conditionalFormatting sqref="B1">
    <cfRule type="expression" dxfId="0" priority="1" stopIfTrue="1">
      <formula>LEFT($C1,6)="Macros"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tabSelected="1" topLeftCell="A141" zoomScale="85" zoomScaleNormal="85" workbookViewId="0">
      <selection activeCell="H131" sqref="H131:I132"/>
    </sheetView>
  </sheetViews>
  <sheetFormatPr defaultRowHeight="14.4"/>
  <cols>
    <col min="1" max="1" width="27.33203125" style="1" customWidth="1"/>
    <col min="2" max="2" width="8" style="1" bestFit="1" customWidth="1"/>
    <col min="3" max="3" width="1.5546875" style="1" customWidth="1"/>
    <col min="4" max="4" width="23.33203125" style="1" bestFit="1" customWidth="1"/>
    <col min="5" max="5" width="15.33203125" style="1" bestFit="1" customWidth="1"/>
    <col min="6" max="6" width="12.33203125" style="1" customWidth="1"/>
    <col min="7" max="7" width="2.33203125" style="1" customWidth="1"/>
    <col min="8" max="8" width="19.33203125" style="1" customWidth="1"/>
    <col min="9" max="9" width="11.33203125" style="1" customWidth="1"/>
    <col min="10" max="10" width="16.109375" style="1" bestFit="1" customWidth="1"/>
    <col min="11" max="11" width="16.33203125" style="1" bestFit="1" customWidth="1"/>
    <col min="12" max="12" width="12" style="1" bestFit="1" customWidth="1"/>
  </cols>
  <sheetData>
    <row r="1" spans="1:11">
      <c r="A1" s="233" t="s">
        <v>58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1">
      <c r="A2" s="119"/>
      <c r="B2" s="119"/>
      <c r="C2" s="119"/>
      <c r="D2" s="119"/>
      <c r="E2" s="119"/>
      <c r="F2" s="119"/>
      <c r="G2" s="119"/>
      <c r="H2" s="119"/>
      <c r="I2" s="119"/>
      <c r="J2" s="4" t="s">
        <v>0</v>
      </c>
      <c r="K2" s="5"/>
    </row>
    <row r="3" spans="1:11">
      <c r="A3" s="119"/>
      <c r="B3" s="119"/>
      <c r="C3" s="119"/>
      <c r="D3" s="119"/>
      <c r="E3" s="119"/>
      <c r="F3" s="119"/>
      <c r="G3" s="119"/>
      <c r="H3" s="119"/>
      <c r="I3" s="119"/>
      <c r="J3" s="4" t="s">
        <v>1</v>
      </c>
      <c r="K3" s="5"/>
    </row>
    <row r="4" spans="1:11">
      <c r="A4" s="119"/>
      <c r="B4" s="119"/>
      <c r="C4" s="119"/>
      <c r="D4" s="119"/>
      <c r="E4" s="119"/>
      <c r="F4" s="119"/>
      <c r="G4" s="119"/>
      <c r="H4" s="119"/>
      <c r="I4" s="119"/>
      <c r="J4" s="4" t="s">
        <v>3</v>
      </c>
      <c r="K4" s="5"/>
    </row>
    <row r="5" spans="1:11">
      <c r="A5" s="119"/>
      <c r="B5" s="119"/>
      <c r="C5" s="119"/>
      <c r="D5" s="119"/>
      <c r="E5" s="119"/>
      <c r="F5" s="119"/>
      <c r="G5" s="119"/>
      <c r="H5" s="119"/>
      <c r="I5" s="119"/>
      <c r="J5" s="4" t="s">
        <v>4</v>
      </c>
      <c r="K5" s="5"/>
    </row>
    <row r="6" spans="1:11">
      <c r="A6" s="120" t="s">
        <v>59</v>
      </c>
      <c r="B6" s="119"/>
      <c r="C6" s="119"/>
      <c r="D6" s="119"/>
      <c r="E6" s="119"/>
      <c r="F6" s="119"/>
      <c r="G6" s="119"/>
      <c r="H6" s="119"/>
      <c r="I6" s="119"/>
      <c r="J6" s="4" t="s">
        <v>5</v>
      </c>
      <c r="K6" s="5"/>
    </row>
    <row r="7" spans="1:11">
      <c r="A7" s="117" t="s">
        <v>60</v>
      </c>
      <c r="J7" s="4"/>
      <c r="K7" s="9"/>
    </row>
    <row r="8" spans="1:11">
      <c r="A8" s="117" t="s">
        <v>61</v>
      </c>
      <c r="J8" s="4" t="s">
        <v>6</v>
      </c>
      <c r="K8" s="5"/>
    </row>
    <row r="9" spans="1:11">
      <c r="A9" s="121" t="s">
        <v>62</v>
      </c>
      <c r="E9" s="213"/>
      <c r="F9" s="213"/>
      <c r="G9" s="114"/>
      <c r="H9" s="114"/>
      <c r="I9" s="213"/>
      <c r="J9" s="213"/>
    </row>
    <row r="10" spans="1:11">
      <c r="A10" s="10"/>
      <c r="B10" s="122"/>
      <c r="C10" s="123"/>
      <c r="D10" s="124" t="s">
        <v>25</v>
      </c>
      <c r="E10" s="234" t="s">
        <v>13</v>
      </c>
      <c r="F10" s="234"/>
      <c r="G10" s="125"/>
      <c r="H10" s="124" t="str">
        <f>D10</f>
        <v>2021 Test Year</v>
      </c>
      <c r="I10" s="234" t="s">
        <v>12</v>
      </c>
      <c r="J10" s="234"/>
      <c r="K10" s="126" t="s">
        <v>63</v>
      </c>
    </row>
    <row r="11" spans="1:11">
      <c r="A11" s="127" t="s">
        <v>64</v>
      </c>
      <c r="B11" s="217" t="s">
        <v>65</v>
      </c>
      <c r="C11" s="128"/>
      <c r="D11" s="129" t="s">
        <v>66</v>
      </c>
      <c r="E11" s="129" t="s">
        <v>67</v>
      </c>
      <c r="F11" s="57" t="s">
        <v>68</v>
      </c>
      <c r="G11" s="114"/>
      <c r="H11" s="129" t="s">
        <v>66</v>
      </c>
      <c r="I11" s="129" t="s">
        <v>67</v>
      </c>
      <c r="J11" s="57" t="s">
        <v>68</v>
      </c>
      <c r="K11" s="130" t="s">
        <v>69</v>
      </c>
    </row>
    <row r="12" spans="1:11">
      <c r="A12" s="131" t="s">
        <v>70</v>
      </c>
      <c r="B12" s="218"/>
      <c r="C12" s="132"/>
      <c r="D12" s="133"/>
      <c r="E12" s="134"/>
      <c r="F12" s="135">
        <f>D12*E12</f>
        <v>0</v>
      </c>
      <c r="G12" s="136"/>
      <c r="H12" s="133"/>
      <c r="I12" s="134"/>
      <c r="J12" s="135"/>
      <c r="K12" s="215"/>
    </row>
    <row r="13" spans="1:11">
      <c r="A13" s="137" t="s">
        <v>38</v>
      </c>
      <c r="B13" s="138" t="s">
        <v>39</v>
      </c>
      <c r="C13" s="139"/>
      <c r="D13" s="137">
        <v>308604225.30333328</v>
      </c>
      <c r="E13" s="140"/>
      <c r="F13" s="137">
        <v>31983741.910437461</v>
      </c>
      <c r="G13" s="10"/>
      <c r="H13" s="141">
        <v>7802307.5116051938</v>
      </c>
      <c r="I13" s="142"/>
      <c r="J13" s="135">
        <v>150194.41959839998</v>
      </c>
      <c r="K13" s="215"/>
    </row>
    <row r="14" spans="1:11">
      <c r="A14" s="137" t="s">
        <v>40</v>
      </c>
      <c r="B14" s="138" t="s">
        <v>39</v>
      </c>
      <c r="C14" s="139"/>
      <c r="D14" s="137">
        <v>68042192.089325041</v>
      </c>
      <c r="E14" s="140"/>
      <c r="F14" s="137">
        <v>7051892.7881376473</v>
      </c>
      <c r="G14" s="10"/>
      <c r="H14" s="141">
        <v>13909879.106009673</v>
      </c>
      <c r="I14" s="142"/>
      <c r="J14" s="135">
        <v>267765.17279068619</v>
      </c>
      <c r="K14" s="215"/>
    </row>
    <row r="15" spans="1:11">
      <c r="A15" s="137" t="s">
        <v>41</v>
      </c>
      <c r="B15" s="138" t="s">
        <v>39</v>
      </c>
      <c r="C15" s="139"/>
      <c r="D15" s="137">
        <v>20356218.203671396</v>
      </c>
      <c r="E15" s="140"/>
      <c r="F15" s="137">
        <v>2109718.4546285034</v>
      </c>
      <c r="G15" s="10"/>
      <c r="H15" s="141">
        <v>499628519.40610701</v>
      </c>
      <c r="I15" s="142"/>
      <c r="J15" s="135">
        <v>9617848.9985675607</v>
      </c>
      <c r="K15" s="215"/>
    </row>
    <row r="16" spans="1:11">
      <c r="A16" s="137" t="s">
        <v>42</v>
      </c>
      <c r="B16" s="138" t="s">
        <v>39</v>
      </c>
      <c r="C16" s="139"/>
      <c r="D16" s="137">
        <v>1546300.4928166368</v>
      </c>
      <c r="E16" s="140"/>
      <c r="F16" s="137">
        <v>160258.58307551625</v>
      </c>
      <c r="G16" s="10"/>
      <c r="H16" s="141">
        <v>0</v>
      </c>
      <c r="I16" s="142"/>
      <c r="J16" s="135">
        <v>0</v>
      </c>
      <c r="K16" s="215"/>
    </row>
    <row r="17" spans="1:12" ht="34.799999999999997" customHeight="1">
      <c r="A17" s="137" t="s">
        <v>43</v>
      </c>
      <c r="B17" s="138" t="s">
        <v>39</v>
      </c>
      <c r="C17" s="139"/>
      <c r="D17" s="137">
        <v>153830.59820512275</v>
      </c>
      <c r="E17" s="140"/>
      <c r="F17" s="137">
        <v>15943.00319797892</v>
      </c>
      <c r="G17" s="10"/>
      <c r="H17" s="141">
        <v>5043.5339217131605</v>
      </c>
      <c r="I17" s="142"/>
      <c r="J17" s="135">
        <v>97.08802799297834</v>
      </c>
      <c r="K17" s="215"/>
    </row>
    <row r="18" spans="1:12" ht="22.8" customHeight="1">
      <c r="A18" s="137" t="s">
        <v>44</v>
      </c>
      <c r="B18" s="138" t="s">
        <v>39</v>
      </c>
      <c r="C18" s="143"/>
      <c r="D18" s="137">
        <v>0</v>
      </c>
      <c r="E18" s="140"/>
      <c r="F18" s="137">
        <v>0</v>
      </c>
      <c r="G18" s="10"/>
      <c r="H18" s="141">
        <v>6872732.0942203924</v>
      </c>
      <c r="I18" s="142"/>
      <c r="J18" s="135">
        <v>132300.09281374255</v>
      </c>
      <c r="K18" s="215"/>
    </row>
    <row r="19" spans="1:12">
      <c r="A19" s="137" t="s">
        <v>45</v>
      </c>
      <c r="B19" s="138" t="s">
        <v>39</v>
      </c>
      <c r="C19" s="139"/>
      <c r="D19" s="137">
        <v>0</v>
      </c>
      <c r="E19" s="140"/>
      <c r="F19" s="137">
        <v>0</v>
      </c>
      <c r="G19" s="10"/>
      <c r="H19" s="141">
        <v>0</v>
      </c>
      <c r="I19" s="142"/>
      <c r="J19" s="135">
        <v>0</v>
      </c>
      <c r="K19" s="216"/>
      <c r="L19" s="10"/>
    </row>
    <row r="20" spans="1:12" ht="32.4" customHeight="1">
      <c r="A20" s="137">
        <v>0</v>
      </c>
      <c r="B20" s="138"/>
      <c r="C20" s="139"/>
      <c r="D20" s="137">
        <v>0</v>
      </c>
      <c r="E20" s="140"/>
      <c r="F20" s="137">
        <v>0</v>
      </c>
      <c r="G20" s="10"/>
      <c r="H20" s="141">
        <v>0</v>
      </c>
      <c r="I20" s="144"/>
      <c r="J20" s="135">
        <v>0</v>
      </c>
      <c r="K20" s="128"/>
      <c r="L20" s="10"/>
    </row>
    <row r="21" spans="1:12">
      <c r="A21" s="137">
        <v>0</v>
      </c>
      <c r="B21" s="138"/>
      <c r="C21" s="139"/>
      <c r="D21" s="137">
        <v>0</v>
      </c>
      <c r="E21" s="140"/>
      <c r="F21" s="137">
        <v>0</v>
      </c>
      <c r="G21" s="10"/>
      <c r="H21" s="141">
        <v>0</v>
      </c>
      <c r="I21" s="144"/>
      <c r="J21" s="135">
        <v>0</v>
      </c>
      <c r="K21" s="145"/>
      <c r="L21" s="10"/>
    </row>
    <row r="22" spans="1:12">
      <c r="A22" s="131" t="s">
        <v>71</v>
      </c>
      <c r="B22" s="146"/>
      <c r="C22" s="139"/>
      <c r="D22" s="137">
        <f>SUM(D13:D19)</f>
        <v>398702766.68735152</v>
      </c>
      <c r="E22" s="147"/>
      <c r="F22" s="137">
        <f>SUM(F13:F20)</f>
        <v>41321554.739477105</v>
      </c>
      <c r="G22" s="148"/>
      <c r="H22" s="137">
        <f>SUM(H13:H19)</f>
        <v>528218481.65186399</v>
      </c>
      <c r="I22" s="149"/>
      <c r="J22" s="150">
        <f>SUM(J13:J20)</f>
        <v>10168205.771798383</v>
      </c>
      <c r="K22" s="151">
        <f>F22+J22</f>
        <v>51489760.511275485</v>
      </c>
      <c r="L22" s="10" t="s">
        <v>72</v>
      </c>
    </row>
    <row r="23" spans="1:12">
      <c r="D23" s="152"/>
      <c r="G23" s="10"/>
      <c r="H23" s="10"/>
      <c r="I23" s="228"/>
      <c r="J23" s="229"/>
      <c r="L23" s="10"/>
    </row>
    <row r="24" spans="1:12">
      <c r="A24" s="127" t="s">
        <v>73</v>
      </c>
      <c r="B24" s="217" t="s">
        <v>65</v>
      </c>
      <c r="C24" s="128"/>
      <c r="D24" s="216" t="s">
        <v>66</v>
      </c>
      <c r="E24" s="221" t="s">
        <v>67</v>
      </c>
      <c r="F24" s="219" t="s">
        <v>68</v>
      </c>
      <c r="G24" s="114"/>
      <c r="H24" s="224" t="s">
        <v>66</v>
      </c>
      <c r="I24" s="221" t="s">
        <v>67</v>
      </c>
      <c r="J24" s="219" t="s">
        <v>68</v>
      </c>
      <c r="K24" s="231" t="s">
        <v>63</v>
      </c>
    </row>
    <row r="25" spans="1:12">
      <c r="A25" s="131" t="s">
        <v>74</v>
      </c>
      <c r="B25" s="218"/>
      <c r="C25" s="128"/>
      <c r="D25" s="228"/>
      <c r="E25" s="229"/>
      <c r="F25" s="220"/>
      <c r="G25" s="8"/>
      <c r="H25" s="230"/>
      <c r="I25" s="229"/>
      <c r="J25" s="220"/>
      <c r="K25" s="232"/>
    </row>
    <row r="26" spans="1:12">
      <c r="A26" s="148" t="str">
        <f t="shared" ref="A26:A34" si="0">IF(A13=0,"",A13)</f>
        <v>Residential</v>
      </c>
      <c r="B26" s="138"/>
      <c r="C26" s="139"/>
      <c r="D26" s="153"/>
      <c r="E26" s="153"/>
      <c r="F26" s="154">
        <f>D26*E26</f>
        <v>0</v>
      </c>
      <c r="H26" s="155"/>
      <c r="I26" s="153"/>
      <c r="J26" s="156">
        <v>664600.55383853044</v>
      </c>
      <c r="K26" s="215"/>
    </row>
    <row r="27" spans="1:12">
      <c r="A27" s="148" t="str">
        <f t="shared" si="0"/>
        <v>General Service &lt; 50 kW</v>
      </c>
      <c r="B27" s="138"/>
      <c r="C27" s="139"/>
      <c r="D27" s="153"/>
      <c r="E27" s="153"/>
      <c r="F27" s="154">
        <f t="shared" ref="F27:F34" si="1">D27*E27</f>
        <v>0</v>
      </c>
      <c r="H27" s="155"/>
      <c r="I27" s="153"/>
      <c r="J27" s="156">
        <v>1184843.502249904</v>
      </c>
      <c r="K27" s="215"/>
    </row>
    <row r="28" spans="1:12">
      <c r="A28" s="148" t="str">
        <f t="shared" si="0"/>
        <v>General Service 50 to 2999 kW</v>
      </c>
      <c r="B28" s="138"/>
      <c r="C28" s="139"/>
      <c r="D28" s="153"/>
      <c r="E28" s="153"/>
      <c r="F28" s="154">
        <f t="shared" si="1"/>
        <v>0</v>
      </c>
      <c r="H28" s="155"/>
      <c r="I28" s="153"/>
      <c r="J28" s="156">
        <v>39096046.961504839</v>
      </c>
      <c r="K28" s="215"/>
      <c r="L28" s="10"/>
    </row>
    <row r="29" spans="1:12">
      <c r="A29" s="148" t="str">
        <f t="shared" si="0"/>
        <v>Unmetered Scattered Load</v>
      </c>
      <c r="B29" s="138"/>
      <c r="C29" s="139"/>
      <c r="D29" s="153"/>
      <c r="E29" s="153"/>
      <c r="F29" s="154">
        <f t="shared" si="1"/>
        <v>0</v>
      </c>
      <c r="H29" s="155"/>
      <c r="I29" s="153"/>
      <c r="J29" s="156">
        <v>0</v>
      </c>
      <c r="K29" s="215"/>
    </row>
    <row r="30" spans="1:12">
      <c r="A30" s="148" t="str">
        <f t="shared" si="0"/>
        <v>Sentinel Lighting</v>
      </c>
      <c r="B30" s="138"/>
      <c r="C30" s="139"/>
      <c r="D30" s="153"/>
      <c r="E30" s="153"/>
      <c r="F30" s="154">
        <f t="shared" si="1"/>
        <v>0</v>
      </c>
      <c r="H30" s="155"/>
      <c r="I30" s="153"/>
      <c r="J30" s="156">
        <v>429.60821945152702</v>
      </c>
      <c r="K30" s="215"/>
      <c r="L30" s="8"/>
    </row>
    <row r="31" spans="1:12">
      <c r="A31" s="148" t="str">
        <f t="shared" si="0"/>
        <v xml:space="preserve">Street Lighting </v>
      </c>
      <c r="B31" s="138"/>
      <c r="C31" s="139"/>
      <c r="D31" s="153"/>
      <c r="E31" s="153"/>
      <c r="F31" s="154">
        <f t="shared" si="1"/>
        <v>0</v>
      </c>
      <c r="H31" s="155"/>
      <c r="I31" s="153"/>
      <c r="J31" s="156">
        <v>585419.31978569308</v>
      </c>
      <c r="K31" s="215"/>
    </row>
    <row r="32" spans="1:12">
      <c r="A32" s="148" t="str">
        <f t="shared" si="0"/>
        <v>Embedded Distributor</v>
      </c>
      <c r="B32" s="138"/>
      <c r="C32" s="139"/>
      <c r="D32" s="153"/>
      <c r="E32" s="153"/>
      <c r="F32" s="157">
        <f t="shared" si="1"/>
        <v>0</v>
      </c>
      <c r="H32" s="155"/>
      <c r="I32" s="153"/>
      <c r="J32" s="156">
        <v>0</v>
      </c>
      <c r="K32" s="216"/>
    </row>
    <row r="33" spans="1:12">
      <c r="A33" s="148" t="str">
        <f t="shared" si="0"/>
        <v/>
      </c>
      <c r="B33" s="138"/>
      <c r="C33" s="139"/>
      <c r="D33" s="153"/>
      <c r="E33" s="153"/>
      <c r="F33" s="157">
        <f t="shared" si="1"/>
        <v>0</v>
      </c>
      <c r="H33" s="155"/>
      <c r="I33" s="153"/>
      <c r="J33" s="156"/>
      <c r="K33" s="128"/>
    </row>
    <row r="34" spans="1:12">
      <c r="A34" s="148" t="str">
        <f t="shared" si="0"/>
        <v/>
      </c>
      <c r="B34" s="138"/>
      <c r="C34" s="139"/>
      <c r="D34" s="153"/>
      <c r="E34" s="153"/>
      <c r="F34" s="157">
        <f t="shared" si="1"/>
        <v>0</v>
      </c>
      <c r="H34" s="155"/>
      <c r="I34" s="153"/>
      <c r="J34" s="156"/>
      <c r="K34" s="145"/>
    </row>
    <row r="35" spans="1:12">
      <c r="A35" s="131" t="s">
        <v>71</v>
      </c>
      <c r="B35" s="158"/>
      <c r="C35" s="132"/>
      <c r="D35" s="149">
        <f>SUM(D26:D32)</f>
        <v>0</v>
      </c>
      <c r="E35" s="147"/>
      <c r="F35" s="146">
        <f>SUM(F26:F34)</f>
        <v>0</v>
      </c>
      <c r="G35" s="146"/>
      <c r="H35" s="159"/>
      <c r="I35" s="147"/>
      <c r="J35" s="160">
        <f>SUM(J26:J34)</f>
        <v>41531339.945598416</v>
      </c>
      <c r="K35" s="151">
        <f>F35+J35</f>
        <v>41531339.945598416</v>
      </c>
      <c r="L35" s="161" t="s">
        <v>72</v>
      </c>
    </row>
    <row r="36" spans="1:12">
      <c r="B36" s="152"/>
      <c r="C36" s="10"/>
      <c r="D36" s="152"/>
    </row>
    <row r="37" spans="1:12">
      <c r="A37" s="162" t="s">
        <v>75</v>
      </c>
      <c r="B37" s="217" t="s">
        <v>65</v>
      </c>
      <c r="C37" s="128"/>
      <c r="D37" s="228" t="s">
        <v>76</v>
      </c>
      <c r="E37" s="215" t="s">
        <v>67</v>
      </c>
      <c r="F37" s="219" t="s">
        <v>68</v>
      </c>
      <c r="G37" s="114"/>
      <c r="H37" s="224" t="s">
        <v>66</v>
      </c>
      <c r="I37" s="215" t="s">
        <v>67</v>
      </c>
      <c r="J37" s="219" t="s">
        <v>68</v>
      </c>
      <c r="K37" s="216" t="s">
        <v>63</v>
      </c>
    </row>
    <row r="38" spans="1:12">
      <c r="A38" s="131" t="s">
        <v>74</v>
      </c>
      <c r="B38" s="218"/>
      <c r="C38" s="163"/>
      <c r="D38" s="223"/>
      <c r="E38" s="215"/>
      <c r="F38" s="220"/>
      <c r="G38" s="8"/>
      <c r="H38" s="225"/>
      <c r="I38" s="215"/>
      <c r="J38" s="220"/>
      <c r="K38" s="223"/>
    </row>
    <row r="39" spans="1:12">
      <c r="A39" s="148" t="str">
        <f t="shared" ref="A39:A47" si="2">IF(A26=0,"",A26)</f>
        <v>Residential</v>
      </c>
      <c r="B39" s="138" t="s">
        <v>39</v>
      </c>
      <c r="C39" s="139"/>
      <c r="D39" s="164">
        <v>308604225.30333328</v>
      </c>
      <c r="E39" s="156">
        <v>1.0421379704337288E-2</v>
      </c>
      <c r="F39" s="141">
        <f>D39*E39</f>
        <v>3216081.810248889</v>
      </c>
      <c r="H39" s="164">
        <v>7802307.5116051938</v>
      </c>
      <c r="I39" s="156">
        <v>1.0421379704337288E-2</v>
      </c>
      <c r="J39" s="141">
        <f>H39*I39</f>
        <v>81310.809148440734</v>
      </c>
      <c r="K39" s="215"/>
    </row>
    <row r="40" spans="1:12">
      <c r="A40" s="148" t="str">
        <f t="shared" si="2"/>
        <v>General Service &lt; 50 kW</v>
      </c>
      <c r="B40" s="138" t="s">
        <v>39</v>
      </c>
      <c r="C40" s="143"/>
      <c r="D40" s="164">
        <v>68042192.089325041</v>
      </c>
      <c r="E40" s="156">
        <v>9.1657917088862947E-3</v>
      </c>
      <c r="F40" s="141">
        <f t="shared" ref="F40:F48" si="3">D40*E40</f>
        <v>623660.56010678411</v>
      </c>
      <c r="H40" s="164">
        <v>13909879.106009673</v>
      </c>
      <c r="I40" s="156">
        <v>9.1657917088862947E-3</v>
      </c>
      <c r="J40" s="141">
        <f t="shared" ref="J40:J48" si="4">H40*I40</f>
        <v>127495.05458147416</v>
      </c>
      <c r="K40" s="215"/>
    </row>
    <row r="41" spans="1:12">
      <c r="A41" s="148" t="str">
        <f t="shared" si="2"/>
        <v>General Service 50 to 2999 kW</v>
      </c>
      <c r="B41" s="138" t="s">
        <v>77</v>
      </c>
      <c r="C41" s="139"/>
      <c r="D41" s="164">
        <v>52182.948779264698</v>
      </c>
      <c r="E41" s="156">
        <v>3.1640815486253304</v>
      </c>
      <c r="F41" s="141">
        <f t="shared" si="3"/>
        <v>165111.10538533214</v>
      </c>
      <c r="H41" s="164">
        <v>792771.1232990541</v>
      </c>
      <c r="I41" s="156">
        <v>3.1640815486253304</v>
      </c>
      <c r="J41" s="141">
        <f t="shared" si="4"/>
        <v>2508392.483513514</v>
      </c>
      <c r="K41" s="215"/>
    </row>
    <row r="42" spans="1:12">
      <c r="A42" s="148" t="str">
        <f t="shared" si="2"/>
        <v>Unmetered Scattered Load</v>
      </c>
      <c r="B42" s="138" t="s">
        <v>39</v>
      </c>
      <c r="C42" s="139"/>
      <c r="D42" s="164">
        <v>1546300.4928166368</v>
      </c>
      <c r="E42" s="156">
        <v>5.5245892730460752E-3</v>
      </c>
      <c r="F42" s="141">
        <f t="shared" si="3"/>
        <v>8542.6751155206512</v>
      </c>
      <c r="H42" s="164">
        <v>0</v>
      </c>
      <c r="I42" s="156">
        <v>5.5245892730460752E-3</v>
      </c>
      <c r="J42" s="141">
        <f t="shared" si="4"/>
        <v>0</v>
      </c>
      <c r="K42" s="215"/>
    </row>
    <row r="43" spans="1:12">
      <c r="A43" s="148" t="str">
        <f t="shared" si="2"/>
        <v>Sentinel Lighting</v>
      </c>
      <c r="B43" s="138" t="s">
        <v>77</v>
      </c>
      <c r="C43" s="139"/>
      <c r="D43" s="164">
        <v>462.47742761880238</v>
      </c>
      <c r="E43" s="156">
        <v>2.954389906315904</v>
      </c>
      <c r="F43" s="141">
        <f t="shared" si="3"/>
        <v>1366.3386440559339</v>
      </c>
      <c r="H43" s="164">
        <v>0</v>
      </c>
      <c r="I43" s="156">
        <v>2.954389906315904</v>
      </c>
      <c r="J43" s="141">
        <f t="shared" si="4"/>
        <v>0</v>
      </c>
      <c r="K43" s="215"/>
    </row>
    <row r="44" spans="1:12">
      <c r="A44" s="148" t="str">
        <f t="shared" si="2"/>
        <v xml:space="preserve">Street Lighting </v>
      </c>
      <c r="B44" s="138" t="s">
        <v>77</v>
      </c>
      <c r="C44" s="139"/>
      <c r="D44" s="164">
        <v>0</v>
      </c>
      <c r="E44" s="156">
        <v>3.0440475704674808</v>
      </c>
      <c r="F44" s="141">
        <f t="shared" si="3"/>
        <v>0</v>
      </c>
      <c r="H44" s="164">
        <v>19589.674778344517</v>
      </c>
      <c r="I44" s="156">
        <v>3.0440475704674808</v>
      </c>
      <c r="J44" s="141">
        <f t="shared" si="4"/>
        <v>59631.901915267714</v>
      </c>
      <c r="K44" s="215"/>
    </row>
    <row r="45" spans="1:12">
      <c r="A45" s="148" t="str">
        <f t="shared" si="2"/>
        <v>Embedded Distributor</v>
      </c>
      <c r="B45" s="138" t="s">
        <v>77</v>
      </c>
      <c r="C45" s="139"/>
      <c r="D45" s="164">
        <v>0</v>
      </c>
      <c r="E45" s="156">
        <v>3.1640816145506268</v>
      </c>
      <c r="F45" s="141">
        <f t="shared" si="3"/>
        <v>0</v>
      </c>
      <c r="H45" s="164">
        <v>102608.71709200002</v>
      </c>
      <c r="I45" s="156">
        <v>3.1640816145506268</v>
      </c>
      <c r="J45" s="141">
        <f t="shared" si="4"/>
        <v>324662.3552434239</v>
      </c>
      <c r="K45" s="216"/>
    </row>
    <row r="46" spans="1:12">
      <c r="A46" s="148" t="str">
        <f t="shared" si="2"/>
        <v/>
      </c>
      <c r="B46" s="138"/>
      <c r="C46" s="139"/>
      <c r="D46" s="164"/>
      <c r="E46" s="164"/>
      <c r="F46" s="141">
        <f t="shared" si="3"/>
        <v>0</v>
      </c>
      <c r="H46" s="164"/>
      <c r="I46" s="164"/>
      <c r="J46" s="141">
        <f t="shared" si="4"/>
        <v>0</v>
      </c>
      <c r="K46" s="128"/>
    </row>
    <row r="47" spans="1:12">
      <c r="A47" s="148" t="str">
        <f t="shared" si="2"/>
        <v/>
      </c>
      <c r="B47" s="138"/>
      <c r="C47" s="139"/>
      <c r="D47" s="164"/>
      <c r="E47" s="164"/>
      <c r="F47" s="141">
        <f t="shared" si="3"/>
        <v>0</v>
      </c>
      <c r="H47" s="164"/>
      <c r="I47" s="164"/>
      <c r="J47" s="141">
        <f t="shared" si="4"/>
        <v>0</v>
      </c>
      <c r="K47" s="128"/>
    </row>
    <row r="48" spans="1:12">
      <c r="A48" s="148"/>
      <c r="B48" s="138"/>
      <c r="C48" s="139"/>
      <c r="D48" s="164"/>
      <c r="E48" s="164"/>
      <c r="F48" s="141">
        <f t="shared" si="3"/>
        <v>0</v>
      </c>
      <c r="H48" s="164"/>
      <c r="I48" s="164"/>
      <c r="J48" s="141">
        <f t="shared" si="4"/>
        <v>0</v>
      </c>
      <c r="K48" s="145"/>
    </row>
    <row r="49" spans="1:11">
      <c r="A49" s="131" t="s">
        <v>71</v>
      </c>
      <c r="B49" s="165"/>
      <c r="C49" s="132"/>
      <c r="D49" s="160"/>
      <c r="E49" s="146"/>
      <c r="F49" s="160">
        <f>SUM(F39:F48)</f>
        <v>4014762.4895005822</v>
      </c>
      <c r="G49" s="146"/>
      <c r="H49" s="166"/>
      <c r="I49" s="146"/>
      <c r="J49" s="160">
        <f>SUM(J39:J48)</f>
        <v>3101492.6044021207</v>
      </c>
      <c r="K49" s="141">
        <f>F49+J49</f>
        <v>7116255.0939027034</v>
      </c>
    </row>
    <row r="50" spans="1:11">
      <c r="C50" s="10"/>
    </row>
    <row r="51" spans="1:11">
      <c r="A51" s="127" t="s">
        <v>78</v>
      </c>
      <c r="B51" s="217" t="s">
        <v>65</v>
      </c>
      <c r="C51" s="128"/>
      <c r="D51" s="216" t="s">
        <v>66</v>
      </c>
      <c r="E51" s="215" t="s">
        <v>67</v>
      </c>
      <c r="F51" s="219" t="s">
        <v>68</v>
      </c>
      <c r="G51" s="114"/>
      <c r="H51" s="224" t="s">
        <v>66</v>
      </c>
      <c r="I51" s="215" t="s">
        <v>67</v>
      </c>
      <c r="J51" s="219" t="s">
        <v>68</v>
      </c>
      <c r="K51" s="216" t="s">
        <v>63</v>
      </c>
    </row>
    <row r="52" spans="1:11">
      <c r="A52" s="131" t="s">
        <v>74</v>
      </c>
      <c r="B52" s="218"/>
      <c r="C52" s="163"/>
      <c r="D52" s="223"/>
      <c r="E52" s="215"/>
      <c r="F52" s="220"/>
      <c r="G52" s="8"/>
      <c r="H52" s="225"/>
      <c r="I52" s="215"/>
      <c r="J52" s="220"/>
      <c r="K52" s="223"/>
    </row>
    <row r="53" spans="1:11">
      <c r="A53" s="148" t="str">
        <f t="shared" ref="A53:A61" si="5">IF(A39=0,"",A39)</f>
        <v>Residential</v>
      </c>
      <c r="B53" s="138" t="s">
        <v>39</v>
      </c>
      <c r="C53" s="139"/>
      <c r="D53" s="164">
        <v>308604225.30333328</v>
      </c>
      <c r="E53" s="156">
        <v>6.1784604359060163E-3</v>
      </c>
      <c r="F53" s="141">
        <f>D53*E53</f>
        <v>1906698.996390071</v>
      </c>
      <c r="H53" s="164">
        <v>7802307.5116051938</v>
      </c>
      <c r="I53" s="156">
        <v>6.1784604359060163E-3</v>
      </c>
      <c r="J53" s="141">
        <f>H53*I53</f>
        <v>48206.248269225012</v>
      </c>
      <c r="K53" s="215"/>
    </row>
    <row r="54" spans="1:11">
      <c r="A54" s="148" t="str">
        <f t="shared" si="5"/>
        <v>General Service &lt; 50 kW</v>
      </c>
      <c r="B54" s="138" t="s">
        <v>39</v>
      </c>
      <c r="C54" s="159"/>
      <c r="D54" s="164">
        <v>68042192.089325041</v>
      </c>
      <c r="E54" s="156">
        <v>5.5606144735533894E-3</v>
      </c>
      <c r="F54" s="141">
        <f t="shared" ref="F54:F61" si="6">D54*E54</f>
        <v>378356.39814420074</v>
      </c>
      <c r="H54" s="164">
        <v>13909879.106009673</v>
      </c>
      <c r="I54" s="156">
        <v>5.5606144735533894E-3</v>
      </c>
      <c r="J54" s="141">
        <f t="shared" ref="J54:J61" si="7">H54*I54</f>
        <v>77347.475082255274</v>
      </c>
      <c r="K54" s="215"/>
    </row>
    <row r="55" spans="1:11">
      <c r="A55" s="148" t="str">
        <f t="shared" si="5"/>
        <v>General Service 50 to 2999 kW</v>
      </c>
      <c r="B55" s="138" t="s">
        <v>77</v>
      </c>
      <c r="C55" s="167"/>
      <c r="D55" s="164">
        <v>0</v>
      </c>
      <c r="E55" s="156">
        <v>1.8728973038283301</v>
      </c>
      <c r="F55" s="141">
        <f t="shared" si="6"/>
        <v>0</v>
      </c>
      <c r="H55" s="164">
        <v>1368735.5790783188</v>
      </c>
      <c r="I55" s="156">
        <v>1.8728973038283301</v>
      </c>
      <c r="J55" s="141">
        <f t="shared" si="7"/>
        <v>2563501.1757096914</v>
      </c>
      <c r="K55" s="215"/>
    </row>
    <row r="56" spans="1:11">
      <c r="A56" s="148" t="str">
        <f t="shared" si="5"/>
        <v>Unmetered Scattered Load</v>
      </c>
      <c r="B56" s="138" t="s">
        <v>77</v>
      </c>
      <c r="C56" s="167"/>
      <c r="D56" s="164">
        <v>1546300.4928166368</v>
      </c>
      <c r="E56" s="156">
        <v>5.56061534931865E-3</v>
      </c>
      <c r="F56" s="141">
        <f t="shared" si="6"/>
        <v>8598.3822550151835</v>
      </c>
      <c r="H56" s="164">
        <v>0</v>
      </c>
      <c r="I56" s="156">
        <v>5.56061534931865E-3</v>
      </c>
      <c r="J56" s="141">
        <f t="shared" si="7"/>
        <v>0</v>
      </c>
      <c r="K56" s="215"/>
    </row>
    <row r="57" spans="1:11">
      <c r="A57" s="148" t="str">
        <f t="shared" si="5"/>
        <v>Sentinel Lighting</v>
      </c>
      <c r="B57" s="138" t="s">
        <v>77</v>
      </c>
      <c r="C57" s="167"/>
      <c r="D57" s="164">
        <v>462.47742761880238</v>
      </c>
      <c r="E57" s="156">
        <v>1.749325777267096</v>
      </c>
      <c r="F57" s="141">
        <f t="shared" si="6"/>
        <v>809.02368553774863</v>
      </c>
      <c r="H57" s="164">
        <v>0</v>
      </c>
      <c r="I57" s="156">
        <v>1.749325777267096</v>
      </c>
      <c r="J57" s="141">
        <f t="shared" si="7"/>
        <v>0</v>
      </c>
      <c r="K57" s="215"/>
    </row>
    <row r="58" spans="1:11">
      <c r="A58" s="148" t="str">
        <f t="shared" si="5"/>
        <v xml:space="preserve">Street Lighting </v>
      </c>
      <c r="B58" s="138" t="s">
        <v>77</v>
      </c>
      <c r="C58" s="167"/>
      <c r="D58" s="164">
        <v>0</v>
      </c>
      <c r="E58" s="156">
        <v>1.7290423214333368</v>
      </c>
      <c r="F58" s="141">
        <f t="shared" si="6"/>
        <v>0</v>
      </c>
      <c r="H58" s="164">
        <v>19589.674778344517</v>
      </c>
      <c r="I58" s="156">
        <v>1.7290423214333368</v>
      </c>
      <c r="J58" s="141">
        <f t="shared" si="7"/>
        <v>33871.376754872894</v>
      </c>
      <c r="K58" s="215"/>
    </row>
    <row r="59" spans="1:11">
      <c r="A59" s="148" t="str">
        <f t="shared" si="5"/>
        <v>Embedded Distributor</v>
      </c>
      <c r="B59" s="138" t="s">
        <v>77</v>
      </c>
      <c r="C59" s="167"/>
      <c r="D59" s="164">
        <v>0</v>
      </c>
      <c r="E59" s="156">
        <v>1.8728973167353948</v>
      </c>
      <c r="F59" s="141">
        <f t="shared" si="6"/>
        <v>0</v>
      </c>
      <c r="H59" s="164">
        <v>102608.71709200002</v>
      </c>
      <c r="I59" s="156">
        <v>1.8728973167353948</v>
      </c>
      <c r="J59" s="141">
        <f t="shared" si="7"/>
        <v>192175.59091526808</v>
      </c>
      <c r="K59" s="216"/>
    </row>
    <row r="60" spans="1:11">
      <c r="A60" s="148" t="str">
        <f t="shared" si="5"/>
        <v/>
      </c>
      <c r="B60" s="138"/>
      <c r="C60" s="168"/>
      <c r="D60" s="164"/>
      <c r="E60" s="164"/>
      <c r="F60" s="141">
        <f t="shared" si="6"/>
        <v>0</v>
      </c>
      <c r="H60" s="164"/>
      <c r="I60" s="164"/>
      <c r="J60" s="141">
        <f t="shared" si="7"/>
        <v>0</v>
      </c>
      <c r="K60" s="128"/>
    </row>
    <row r="61" spans="1:11">
      <c r="A61" s="148" t="str">
        <f t="shared" si="5"/>
        <v/>
      </c>
      <c r="B61" s="138"/>
      <c r="C61" s="168"/>
      <c r="D61" s="164"/>
      <c r="E61" s="164"/>
      <c r="F61" s="141">
        <f t="shared" si="6"/>
        <v>0</v>
      </c>
      <c r="H61" s="164"/>
      <c r="I61" s="164"/>
      <c r="J61" s="141">
        <f t="shared" si="7"/>
        <v>0</v>
      </c>
      <c r="K61" s="145"/>
    </row>
    <row r="62" spans="1:11">
      <c r="A62" s="131" t="s">
        <v>71</v>
      </c>
      <c r="B62" s="165"/>
      <c r="C62" s="169"/>
      <c r="D62" s="160"/>
      <c r="E62" s="146"/>
      <c r="F62" s="160">
        <f>SUM(F53:F61)</f>
        <v>2294462.8004748244</v>
      </c>
      <c r="G62" s="146"/>
      <c r="H62" s="148"/>
      <c r="I62" s="146"/>
      <c r="J62" s="160">
        <f>SUM(J53:J61)</f>
        <v>2915101.8667313131</v>
      </c>
      <c r="K62" s="141">
        <f>F62+J62</f>
        <v>5209564.6672061374</v>
      </c>
    </row>
    <row r="63" spans="1:11">
      <c r="C63" s="10"/>
    </row>
    <row r="64" spans="1:11">
      <c r="A64" s="127" t="s">
        <v>79</v>
      </c>
      <c r="B64" s="217" t="s">
        <v>65</v>
      </c>
      <c r="C64" s="170"/>
      <c r="D64" s="216" t="s">
        <v>76</v>
      </c>
      <c r="E64" s="215" t="s">
        <v>67</v>
      </c>
      <c r="F64" s="219" t="s">
        <v>68</v>
      </c>
      <c r="G64" s="114"/>
      <c r="H64" s="224" t="s">
        <v>66</v>
      </c>
      <c r="I64" s="215" t="s">
        <v>67</v>
      </c>
      <c r="J64" s="215" t="s">
        <v>68</v>
      </c>
      <c r="K64" s="216" t="s">
        <v>63</v>
      </c>
    </row>
    <row r="65" spans="1:12">
      <c r="A65" s="131" t="s">
        <v>74</v>
      </c>
      <c r="B65" s="218"/>
      <c r="C65" s="114"/>
      <c r="D65" s="223"/>
      <c r="E65" s="215"/>
      <c r="F65" s="220"/>
      <c r="G65" s="8"/>
      <c r="H65" s="225"/>
      <c r="I65" s="215"/>
      <c r="J65" s="215"/>
      <c r="K65" s="223"/>
    </row>
    <row r="66" spans="1:12">
      <c r="A66" s="148" t="str">
        <f t="shared" ref="A66:A74" si="8">IF(A53=0,"",A53)</f>
        <v>Residential</v>
      </c>
      <c r="B66" s="138" t="s">
        <v>39</v>
      </c>
      <c r="C66" s="139"/>
      <c r="D66" s="164">
        <v>308604225.30333328</v>
      </c>
      <c r="E66" s="156">
        <v>3.0000000000000001E-3</v>
      </c>
      <c r="F66" s="141">
        <f>D66*E66</f>
        <v>925812.67590999987</v>
      </c>
      <c r="H66" s="164">
        <v>7802307.5116051938</v>
      </c>
      <c r="I66" s="156">
        <v>3.0000000000000001E-3</v>
      </c>
      <c r="J66" s="141">
        <f>H66*I66</f>
        <v>23406.922534815581</v>
      </c>
      <c r="K66" s="215"/>
    </row>
    <row r="67" spans="1:12">
      <c r="A67" s="148" t="str">
        <f t="shared" si="8"/>
        <v>General Service &lt; 50 kW</v>
      </c>
      <c r="B67" s="138" t="s">
        <v>39</v>
      </c>
      <c r="C67" s="139"/>
      <c r="D67" s="164">
        <v>68042192.089325041</v>
      </c>
      <c r="E67" s="156">
        <v>3.0000000000000001E-3</v>
      </c>
      <c r="F67" s="141">
        <f t="shared" ref="F67:F74" si="9">D67*E67</f>
        <v>204126.57626797512</v>
      </c>
      <c r="H67" s="164">
        <v>13909879.106009673</v>
      </c>
      <c r="I67" s="156">
        <v>3.0000000000000001E-3</v>
      </c>
      <c r="J67" s="141">
        <f t="shared" ref="J67:J74" si="10">H67*I67</f>
        <v>41729.637318029017</v>
      </c>
      <c r="K67" s="215"/>
    </row>
    <row r="68" spans="1:12">
      <c r="A68" s="148" t="str">
        <f t="shared" si="8"/>
        <v>General Service 50 to 2999 kW</v>
      </c>
      <c r="B68" s="138" t="s">
        <v>39</v>
      </c>
      <c r="C68" s="139"/>
      <c r="D68" s="164">
        <v>20356218.203671396</v>
      </c>
      <c r="E68" s="156">
        <v>3.0000000000000001E-3</v>
      </c>
      <c r="F68" s="141">
        <f t="shared" si="9"/>
        <v>61068.654611014186</v>
      </c>
      <c r="H68" s="164">
        <v>499628519.40610701</v>
      </c>
      <c r="I68" s="156">
        <v>3.0000000000000001E-3</v>
      </c>
      <c r="J68" s="141">
        <f t="shared" si="10"/>
        <v>1498885.5582183211</v>
      </c>
      <c r="K68" s="215"/>
    </row>
    <row r="69" spans="1:12">
      <c r="A69" s="148" t="str">
        <f t="shared" si="8"/>
        <v>Unmetered Scattered Load</v>
      </c>
      <c r="B69" s="138" t="s">
        <v>39</v>
      </c>
      <c r="C69" s="139"/>
      <c r="D69" s="164">
        <v>1546300.4928166368</v>
      </c>
      <c r="E69" s="156">
        <v>3.0000000000000001E-3</v>
      </c>
      <c r="F69" s="141">
        <f t="shared" si="9"/>
        <v>4638.9014784499104</v>
      </c>
      <c r="H69" s="164">
        <v>0</v>
      </c>
      <c r="I69" s="156">
        <v>3.0000000000000001E-3</v>
      </c>
      <c r="J69" s="141">
        <f t="shared" si="10"/>
        <v>0</v>
      </c>
      <c r="K69" s="215"/>
    </row>
    <row r="70" spans="1:12">
      <c r="A70" s="148" t="str">
        <f t="shared" si="8"/>
        <v>Sentinel Lighting</v>
      </c>
      <c r="B70" s="138" t="s">
        <v>39</v>
      </c>
      <c r="C70" s="139"/>
      <c r="D70" s="164">
        <v>153830.59820512275</v>
      </c>
      <c r="E70" s="156">
        <v>3.0000000000000001E-3</v>
      </c>
      <c r="F70" s="141">
        <f t="shared" si="9"/>
        <v>461.49179461536824</v>
      </c>
      <c r="H70" s="164">
        <v>5043.5339217131605</v>
      </c>
      <c r="I70" s="156">
        <v>3.0000000000000001E-3</v>
      </c>
      <c r="J70" s="141">
        <f t="shared" si="10"/>
        <v>15.130601765139481</v>
      </c>
      <c r="K70" s="215"/>
    </row>
    <row r="71" spans="1:12">
      <c r="A71" s="148" t="str">
        <f t="shared" si="8"/>
        <v xml:space="preserve">Street Lighting </v>
      </c>
      <c r="B71" s="138" t="s">
        <v>39</v>
      </c>
      <c r="C71" s="139"/>
      <c r="D71" s="164">
        <v>0</v>
      </c>
      <c r="E71" s="164">
        <v>3.0000000000000001E-3</v>
      </c>
      <c r="F71" s="141">
        <f t="shared" si="9"/>
        <v>0</v>
      </c>
      <c r="H71" s="164">
        <v>6872732.0942203924</v>
      </c>
      <c r="I71" s="164">
        <v>3.0000000000000001E-3</v>
      </c>
      <c r="J71" s="141">
        <f t="shared" si="10"/>
        <v>20618.196282661178</v>
      </c>
      <c r="K71" s="215"/>
    </row>
    <row r="72" spans="1:12">
      <c r="A72" s="148" t="str">
        <f t="shared" si="8"/>
        <v>Embedded Distributor</v>
      </c>
      <c r="B72" s="138" t="s">
        <v>39</v>
      </c>
      <c r="C72" s="139"/>
      <c r="D72" s="164">
        <v>0</v>
      </c>
      <c r="E72" s="164">
        <v>3.0000000000000001E-3</v>
      </c>
      <c r="F72" s="141">
        <f t="shared" si="9"/>
        <v>0</v>
      </c>
      <c r="H72" s="164">
        <v>0</v>
      </c>
      <c r="I72" s="164">
        <v>3.0000000000000001E-3</v>
      </c>
      <c r="J72" s="141">
        <f t="shared" si="10"/>
        <v>0</v>
      </c>
      <c r="K72" s="216"/>
    </row>
    <row r="73" spans="1:12">
      <c r="A73" s="148" t="str">
        <f t="shared" si="8"/>
        <v/>
      </c>
      <c r="B73" s="138"/>
      <c r="C73" s="139"/>
      <c r="D73" s="164"/>
      <c r="E73" s="164"/>
      <c r="F73" s="141">
        <f t="shared" si="9"/>
        <v>0</v>
      </c>
      <c r="H73" s="164"/>
      <c r="I73" s="164"/>
      <c r="J73" s="141">
        <f t="shared" si="10"/>
        <v>0</v>
      </c>
      <c r="K73" s="128"/>
    </row>
    <row r="74" spans="1:12">
      <c r="A74" s="148" t="str">
        <f t="shared" si="8"/>
        <v/>
      </c>
      <c r="B74" s="138"/>
      <c r="C74" s="139"/>
      <c r="D74" s="164"/>
      <c r="E74" s="164"/>
      <c r="F74" s="141">
        <f t="shared" si="9"/>
        <v>0</v>
      </c>
      <c r="H74" s="164"/>
      <c r="I74" s="164"/>
      <c r="J74" s="141">
        <f t="shared" si="10"/>
        <v>0</v>
      </c>
      <c r="K74" s="145"/>
    </row>
    <row r="75" spans="1:12">
      <c r="A75" s="131" t="s">
        <v>71</v>
      </c>
      <c r="B75" s="165"/>
      <c r="C75" s="132"/>
      <c r="D75" s="160"/>
      <c r="E75" s="146"/>
      <c r="F75" s="160">
        <f>SUM(F66:F74)</f>
        <v>1196108.3000620543</v>
      </c>
      <c r="G75" s="146"/>
      <c r="H75" s="148"/>
      <c r="I75" s="146"/>
      <c r="J75" s="160">
        <f>SUM(J66:J74)</f>
        <v>1584655.444955592</v>
      </c>
      <c r="K75" s="141">
        <f>F75+J75</f>
        <v>2780763.7450176463</v>
      </c>
    </row>
    <row r="77" spans="1:12">
      <c r="A77" s="127" t="s">
        <v>80</v>
      </c>
      <c r="B77" s="217" t="s">
        <v>65</v>
      </c>
      <c r="C77" s="170"/>
      <c r="D77" s="216" t="s">
        <v>76</v>
      </c>
      <c r="E77" s="215" t="s">
        <v>67</v>
      </c>
      <c r="F77" s="219" t="s">
        <v>68</v>
      </c>
      <c r="G77" s="114"/>
      <c r="H77" s="224" t="s">
        <v>66</v>
      </c>
      <c r="I77" s="227" t="s">
        <v>81</v>
      </c>
      <c r="J77" s="215" t="s">
        <v>68</v>
      </c>
      <c r="K77" s="216" t="s">
        <v>63</v>
      </c>
    </row>
    <row r="78" spans="1:12">
      <c r="A78" s="131" t="s">
        <v>74</v>
      </c>
      <c r="B78" s="218"/>
      <c r="C78" s="114"/>
      <c r="D78" s="226"/>
      <c r="E78" s="216"/>
      <c r="F78" s="220"/>
      <c r="G78" s="8"/>
      <c r="H78" s="225"/>
      <c r="I78" s="215"/>
      <c r="J78" s="215"/>
      <c r="K78" s="223"/>
    </row>
    <row r="79" spans="1:12">
      <c r="A79" s="148" t="str">
        <f t="shared" ref="A79:A87" si="11">IF(A66=0,"",A66)</f>
        <v>Residential</v>
      </c>
      <c r="B79" s="138" t="s">
        <v>39</v>
      </c>
      <c r="C79" s="143"/>
      <c r="D79" s="171"/>
      <c r="E79" s="172"/>
      <c r="F79" s="137">
        <f>D79*E79</f>
        <v>0</v>
      </c>
      <c r="H79" s="164"/>
      <c r="I79" s="164"/>
      <c r="J79" s="141">
        <f>H79*I79</f>
        <v>0</v>
      </c>
      <c r="K79" s="215"/>
      <c r="L79" s="117"/>
    </row>
    <row r="80" spans="1:12">
      <c r="A80" s="148" t="str">
        <f t="shared" si="11"/>
        <v>General Service &lt; 50 kW</v>
      </c>
      <c r="B80" s="138" t="s">
        <v>39</v>
      </c>
      <c r="C80" s="143"/>
      <c r="D80" s="171"/>
      <c r="E80" s="172"/>
      <c r="F80" s="137">
        <f t="shared" ref="F80:F87" si="12">D80*E80</f>
        <v>0</v>
      </c>
      <c r="H80" s="164"/>
      <c r="I80" s="164"/>
      <c r="J80" s="141">
        <f t="shared" ref="J80:J87" si="13">H80*I80</f>
        <v>0</v>
      </c>
      <c r="K80" s="215"/>
    </row>
    <row r="81" spans="1:12">
      <c r="A81" s="148" t="str">
        <f t="shared" si="11"/>
        <v>General Service 50 to 2999 kW</v>
      </c>
      <c r="B81" s="138" t="s">
        <v>39</v>
      </c>
      <c r="C81" s="143"/>
      <c r="D81" s="171"/>
      <c r="E81" s="172"/>
      <c r="F81" s="137">
        <f t="shared" si="12"/>
        <v>0</v>
      </c>
      <c r="H81" s="164">
        <v>214322460.33701998</v>
      </c>
      <c r="I81" s="156">
        <v>4.5879666482633854E-4</v>
      </c>
      <c r="J81" s="141">
        <f t="shared" si="13"/>
        <v>98330.43</v>
      </c>
      <c r="K81" s="215"/>
      <c r="L81" s="173"/>
    </row>
    <row r="82" spans="1:12">
      <c r="A82" s="148" t="str">
        <f t="shared" si="11"/>
        <v>Unmetered Scattered Load</v>
      </c>
      <c r="B82" s="138" t="s">
        <v>39</v>
      </c>
      <c r="C82" s="143"/>
      <c r="D82" s="171"/>
      <c r="E82" s="172"/>
      <c r="F82" s="137">
        <f t="shared" si="12"/>
        <v>0</v>
      </c>
      <c r="H82" s="164"/>
      <c r="I82" s="164"/>
      <c r="J82" s="141">
        <f t="shared" si="13"/>
        <v>0</v>
      </c>
      <c r="K82" s="215"/>
    </row>
    <row r="83" spans="1:12">
      <c r="A83" s="148" t="str">
        <f t="shared" si="11"/>
        <v>Sentinel Lighting</v>
      </c>
      <c r="B83" s="138" t="s">
        <v>39</v>
      </c>
      <c r="C83" s="143"/>
      <c r="D83" s="171"/>
      <c r="E83" s="172"/>
      <c r="F83" s="137">
        <f t="shared" si="12"/>
        <v>0</v>
      </c>
      <c r="H83" s="164"/>
      <c r="I83" s="164"/>
      <c r="J83" s="141">
        <f t="shared" si="13"/>
        <v>0</v>
      </c>
      <c r="K83" s="215"/>
    </row>
    <row r="84" spans="1:12">
      <c r="A84" s="148" t="str">
        <f t="shared" si="11"/>
        <v xml:space="preserve">Street Lighting </v>
      </c>
      <c r="B84" s="138" t="s">
        <v>39</v>
      </c>
      <c r="C84" s="143"/>
      <c r="D84" s="171"/>
      <c r="E84" s="172"/>
      <c r="F84" s="137">
        <f t="shared" si="12"/>
        <v>0</v>
      </c>
      <c r="H84" s="164"/>
      <c r="I84" s="164"/>
      <c r="J84" s="141">
        <f t="shared" si="13"/>
        <v>0</v>
      </c>
      <c r="K84" s="215"/>
    </row>
    <row r="85" spans="1:12">
      <c r="A85" s="148" t="str">
        <f t="shared" si="11"/>
        <v>Embedded Distributor</v>
      </c>
      <c r="B85" s="138" t="s">
        <v>39</v>
      </c>
      <c r="C85" s="143"/>
      <c r="D85" s="171"/>
      <c r="E85" s="172"/>
      <c r="F85" s="137">
        <f t="shared" si="12"/>
        <v>0</v>
      </c>
      <c r="H85" s="164"/>
      <c r="I85" s="164"/>
      <c r="J85" s="141">
        <f t="shared" si="13"/>
        <v>0</v>
      </c>
      <c r="K85" s="216"/>
    </row>
    <row r="86" spans="1:12">
      <c r="A86" s="148" t="str">
        <f t="shared" si="11"/>
        <v/>
      </c>
      <c r="B86" s="138"/>
      <c r="C86" s="143"/>
      <c r="D86" s="171"/>
      <c r="E86" s="172"/>
      <c r="F86" s="137">
        <f t="shared" si="12"/>
        <v>0</v>
      </c>
      <c r="H86" s="164"/>
      <c r="I86" s="164"/>
      <c r="J86" s="141">
        <f t="shared" si="13"/>
        <v>0</v>
      </c>
      <c r="K86" s="128"/>
    </row>
    <row r="87" spans="1:12">
      <c r="A87" s="148" t="str">
        <f t="shared" si="11"/>
        <v/>
      </c>
      <c r="B87" s="138"/>
      <c r="C87" s="143"/>
      <c r="D87" s="171"/>
      <c r="E87" s="172"/>
      <c r="F87" s="137">
        <f t="shared" si="12"/>
        <v>0</v>
      </c>
      <c r="H87" s="164"/>
      <c r="I87" s="164"/>
      <c r="J87" s="141">
        <f t="shared" si="13"/>
        <v>0</v>
      </c>
      <c r="K87" s="145"/>
    </row>
    <row r="88" spans="1:12">
      <c r="A88" s="131" t="s">
        <v>71</v>
      </c>
      <c r="B88" s="165"/>
      <c r="C88" s="132"/>
      <c r="D88" s="174"/>
      <c r="E88" s="147"/>
      <c r="F88" s="137">
        <f>SUM(F79:F87)</f>
        <v>0</v>
      </c>
      <c r="G88" s="146"/>
      <c r="H88" s="148"/>
      <c r="I88" s="146"/>
      <c r="J88" s="160">
        <f>SUM(J79:J87)</f>
        <v>98330.43</v>
      </c>
      <c r="K88" s="141">
        <f>F88+J88</f>
        <v>98330.43</v>
      </c>
    </row>
    <row r="89" spans="1:12">
      <c r="A89" s="131"/>
      <c r="B89" s="175"/>
      <c r="C89" s="132"/>
      <c r="D89" s="176"/>
      <c r="E89" s="169"/>
      <c r="F89" s="160"/>
      <c r="G89" s="136"/>
      <c r="H89" s="177"/>
      <c r="I89" s="169"/>
      <c r="J89" s="160"/>
      <c r="K89" s="178"/>
    </row>
    <row r="90" spans="1:12">
      <c r="A90" s="127" t="s">
        <v>82</v>
      </c>
      <c r="B90" s="217" t="s">
        <v>65</v>
      </c>
      <c r="C90" s="170"/>
      <c r="D90" s="216" t="s">
        <v>76</v>
      </c>
      <c r="E90" s="215" t="s">
        <v>67</v>
      </c>
      <c r="F90" s="219" t="s">
        <v>68</v>
      </c>
      <c r="G90" s="114"/>
      <c r="H90" s="224" t="s">
        <v>66</v>
      </c>
      <c r="I90" s="215" t="s">
        <v>67</v>
      </c>
      <c r="J90" s="215" t="s">
        <v>68</v>
      </c>
      <c r="K90" s="216" t="s">
        <v>63</v>
      </c>
    </row>
    <row r="91" spans="1:12">
      <c r="A91" s="131" t="s">
        <v>74</v>
      </c>
      <c r="B91" s="218"/>
      <c r="C91" s="114"/>
      <c r="D91" s="223"/>
      <c r="E91" s="215"/>
      <c r="F91" s="220"/>
      <c r="G91" s="8"/>
      <c r="H91" s="225"/>
      <c r="I91" s="215"/>
      <c r="J91" s="215"/>
      <c r="K91" s="223"/>
    </row>
    <row r="92" spans="1:12">
      <c r="A92" s="148" t="str">
        <f t="shared" ref="A92:A100" si="14">IF(A79=0,"",A79)</f>
        <v>Residential</v>
      </c>
      <c r="B92" s="138" t="s">
        <v>39</v>
      </c>
      <c r="C92" s="139"/>
      <c r="D92" s="164">
        <v>7802307.5116051938</v>
      </c>
      <c r="E92" s="156">
        <v>4.0000000000000002E-4</v>
      </c>
      <c r="F92" s="141">
        <f>D92*E92</f>
        <v>3120.9230046420776</v>
      </c>
      <c r="H92" s="164">
        <v>308604225.30333328</v>
      </c>
      <c r="I92" s="156">
        <v>4.0000000000000002E-4</v>
      </c>
      <c r="J92" s="141">
        <f>H92*I92</f>
        <v>123441.69012133332</v>
      </c>
      <c r="K92" s="215"/>
    </row>
    <row r="93" spans="1:12">
      <c r="A93" s="148" t="str">
        <f t="shared" si="14"/>
        <v>General Service &lt; 50 kW</v>
      </c>
      <c r="B93" s="138" t="s">
        <v>39</v>
      </c>
      <c r="C93" s="139"/>
      <c r="D93" s="164">
        <v>13909879.106009673</v>
      </c>
      <c r="E93" s="156">
        <v>4.0000000000000002E-4</v>
      </c>
      <c r="F93" s="141">
        <f t="shared" ref="F93:F100" si="15">D93*E93</f>
        <v>5563.9516424038693</v>
      </c>
      <c r="H93" s="164">
        <v>68042192.089325041</v>
      </c>
      <c r="I93" s="156">
        <v>4.0000000000000002E-4</v>
      </c>
      <c r="J93" s="141">
        <f t="shared" ref="J93:J100" si="16">H93*I93</f>
        <v>27216.876835730018</v>
      </c>
      <c r="K93" s="215"/>
    </row>
    <row r="94" spans="1:12">
      <c r="A94" s="148" t="str">
        <f t="shared" si="14"/>
        <v>General Service 50 to 2999 kW</v>
      </c>
      <c r="B94" s="138" t="s">
        <v>39</v>
      </c>
      <c r="C94" s="139"/>
      <c r="D94" s="164">
        <v>285306059.06908703</v>
      </c>
      <c r="E94" s="156">
        <v>4.0000000000000002E-4</v>
      </c>
      <c r="F94" s="141">
        <f t="shared" si="15"/>
        <v>114122.42362763482</v>
      </c>
      <c r="H94" s="164">
        <v>20356218.203671396</v>
      </c>
      <c r="I94" s="156">
        <v>4.0000000000000002E-4</v>
      </c>
      <c r="J94" s="141">
        <f t="shared" si="16"/>
        <v>8142.4872814685586</v>
      </c>
      <c r="K94" s="215"/>
    </row>
    <row r="95" spans="1:12">
      <c r="A95" s="148" t="str">
        <f t="shared" si="14"/>
        <v>Unmetered Scattered Load</v>
      </c>
      <c r="B95" s="138" t="s">
        <v>39</v>
      </c>
      <c r="C95" s="139"/>
      <c r="D95" s="164">
        <v>0</v>
      </c>
      <c r="E95" s="156">
        <v>4.0000000000000002E-4</v>
      </c>
      <c r="F95" s="141">
        <f t="shared" si="15"/>
        <v>0</v>
      </c>
      <c r="H95" s="164">
        <v>1546300.4928166368</v>
      </c>
      <c r="I95" s="156">
        <v>4.0000000000000002E-4</v>
      </c>
      <c r="J95" s="141">
        <f t="shared" si="16"/>
        <v>618.52019712665481</v>
      </c>
      <c r="K95" s="215"/>
    </row>
    <row r="96" spans="1:12">
      <c r="A96" s="148" t="str">
        <f t="shared" si="14"/>
        <v>Sentinel Lighting</v>
      </c>
      <c r="B96" s="138" t="s">
        <v>39</v>
      </c>
      <c r="C96" s="139"/>
      <c r="D96" s="164">
        <v>5043.5339217131605</v>
      </c>
      <c r="E96" s="156">
        <v>4.0000000000000002E-4</v>
      </c>
      <c r="F96" s="141">
        <f t="shared" si="15"/>
        <v>2.0174135686852641</v>
      </c>
      <c r="H96" s="164">
        <v>153830.59820512275</v>
      </c>
      <c r="I96" s="156">
        <v>4.0000000000000002E-4</v>
      </c>
      <c r="J96" s="141">
        <f t="shared" si="16"/>
        <v>61.532239282049105</v>
      </c>
      <c r="K96" s="215"/>
    </row>
    <row r="97" spans="1:11">
      <c r="A97" s="148" t="str">
        <f t="shared" si="14"/>
        <v xml:space="preserve">Street Lighting </v>
      </c>
      <c r="B97" s="138" t="s">
        <v>39</v>
      </c>
      <c r="C97" s="139"/>
      <c r="D97" s="164">
        <v>6872732.0942203924</v>
      </c>
      <c r="E97" s="156">
        <v>4.0000000000000002E-4</v>
      </c>
      <c r="F97" s="141">
        <f t="shared" si="15"/>
        <v>2749.092837688157</v>
      </c>
      <c r="H97" s="164">
        <v>0</v>
      </c>
      <c r="I97" s="156">
        <v>4.0000000000000002E-4</v>
      </c>
      <c r="J97" s="141">
        <f t="shared" si="16"/>
        <v>0</v>
      </c>
      <c r="K97" s="215"/>
    </row>
    <row r="98" spans="1:11">
      <c r="A98" s="148" t="str">
        <f t="shared" si="14"/>
        <v>Embedded Distributor</v>
      </c>
      <c r="B98" s="138" t="s">
        <v>39</v>
      </c>
      <c r="C98" s="139"/>
      <c r="D98" s="164">
        <v>0</v>
      </c>
      <c r="E98" s="156">
        <v>4.0000000000000002E-4</v>
      </c>
      <c r="F98" s="141">
        <f t="shared" si="15"/>
        <v>0</v>
      </c>
      <c r="H98" s="164">
        <v>0</v>
      </c>
      <c r="I98" s="156">
        <v>4.0000000000000002E-4</v>
      </c>
      <c r="J98" s="141">
        <f t="shared" si="16"/>
        <v>0</v>
      </c>
      <c r="K98" s="216"/>
    </row>
    <row r="99" spans="1:11">
      <c r="A99" s="148" t="str">
        <f t="shared" si="14"/>
        <v/>
      </c>
      <c r="B99" s="138"/>
      <c r="C99" s="139"/>
      <c r="D99" s="164"/>
      <c r="E99" s="164"/>
      <c r="F99" s="141">
        <f t="shared" si="15"/>
        <v>0</v>
      </c>
      <c r="H99" s="164"/>
      <c r="I99" s="164"/>
      <c r="J99" s="141">
        <f t="shared" si="16"/>
        <v>0</v>
      </c>
      <c r="K99" s="128"/>
    </row>
    <row r="100" spans="1:11">
      <c r="A100" s="148" t="str">
        <f t="shared" si="14"/>
        <v/>
      </c>
      <c r="B100" s="138"/>
      <c r="C100" s="139"/>
      <c r="D100" s="164"/>
      <c r="E100" s="164"/>
      <c r="F100" s="141">
        <f t="shared" si="15"/>
        <v>0</v>
      </c>
      <c r="H100" s="164"/>
      <c r="I100" s="164"/>
      <c r="J100" s="141">
        <f t="shared" si="16"/>
        <v>0</v>
      </c>
      <c r="K100" s="145"/>
    </row>
    <row r="101" spans="1:11">
      <c r="A101" s="131" t="s">
        <v>71</v>
      </c>
      <c r="B101" s="165"/>
      <c r="C101" s="132"/>
      <c r="D101" s="160"/>
      <c r="E101" s="146"/>
      <c r="F101" s="160">
        <f>SUM(F92:F100)</f>
        <v>125558.40852593762</v>
      </c>
      <c r="G101" s="146"/>
      <c r="H101" s="148"/>
      <c r="I101" s="146"/>
      <c r="J101" s="160">
        <f>SUM(J92:J100)</f>
        <v>159481.10667494059</v>
      </c>
      <c r="K101" s="141">
        <f>F101+J101</f>
        <v>285039.5152008782</v>
      </c>
    </row>
    <row r="102" spans="1:11">
      <c r="A102" s="131"/>
      <c r="B102" s="175"/>
      <c r="C102" s="132"/>
      <c r="D102" s="176"/>
      <c r="E102" s="169"/>
      <c r="F102" s="160"/>
      <c r="G102" s="136"/>
      <c r="H102" s="177"/>
      <c r="I102" s="169"/>
      <c r="J102" s="160"/>
      <c r="K102" s="178"/>
    </row>
    <row r="103" spans="1:11">
      <c r="A103" s="127" t="s">
        <v>83</v>
      </c>
      <c r="B103" s="217" t="s">
        <v>65</v>
      </c>
      <c r="C103" s="128"/>
      <c r="D103" s="219" t="s">
        <v>76</v>
      </c>
      <c r="E103" s="221" t="s">
        <v>67</v>
      </c>
      <c r="F103" s="215" t="s">
        <v>68</v>
      </c>
      <c r="G103" s="114"/>
      <c r="H103" s="224" t="s">
        <v>66</v>
      </c>
      <c r="I103" s="221" t="s">
        <v>67</v>
      </c>
      <c r="J103" s="215" t="s">
        <v>68</v>
      </c>
      <c r="K103" s="216" t="s">
        <v>63</v>
      </c>
    </row>
    <row r="104" spans="1:11">
      <c r="A104" s="131" t="s">
        <v>74</v>
      </c>
      <c r="B104" s="218"/>
      <c r="C104" s="128"/>
      <c r="D104" s="220"/>
      <c r="E104" s="222"/>
      <c r="F104" s="215"/>
      <c r="G104" s="8"/>
      <c r="H104" s="225"/>
      <c r="I104" s="222"/>
      <c r="J104" s="215"/>
      <c r="K104" s="223"/>
    </row>
    <row r="105" spans="1:11">
      <c r="A105" s="148" t="str">
        <f t="shared" ref="A105:A113" si="17">IF(A66=0,"",A66)</f>
        <v>Residential</v>
      </c>
      <c r="B105" s="138" t="s">
        <v>39</v>
      </c>
      <c r="C105" s="139"/>
      <c r="D105" s="164">
        <v>308604225.30333328</v>
      </c>
      <c r="E105" s="156">
        <v>5.0000000000000001E-4</v>
      </c>
      <c r="F105" s="141">
        <f>D105*E105</f>
        <v>154302.11265166666</v>
      </c>
      <c r="H105" s="164">
        <v>7802307.5116051938</v>
      </c>
      <c r="I105" s="156">
        <v>5.0000000000000001E-4</v>
      </c>
      <c r="J105" s="141">
        <f>H105*I105</f>
        <v>3901.1537558025971</v>
      </c>
      <c r="K105" s="215"/>
    </row>
    <row r="106" spans="1:11">
      <c r="A106" s="148" t="str">
        <f t="shared" si="17"/>
        <v>General Service &lt; 50 kW</v>
      </c>
      <c r="B106" s="138" t="s">
        <v>39</v>
      </c>
      <c r="C106" s="139"/>
      <c r="D106" s="164">
        <v>68042192.089325041</v>
      </c>
      <c r="E106" s="156">
        <v>5.0000000000000001E-4</v>
      </c>
      <c r="F106" s="141">
        <f t="shared" ref="F106:F113" si="18">D106*E106</f>
        <v>34021.096044662518</v>
      </c>
      <c r="H106" s="164">
        <v>13909879.106009673</v>
      </c>
      <c r="I106" s="156">
        <v>5.0000000000000001E-4</v>
      </c>
      <c r="J106" s="141">
        <f t="shared" ref="J106:J113" si="19">H106*I106</f>
        <v>6954.9395530048369</v>
      </c>
      <c r="K106" s="215"/>
    </row>
    <row r="107" spans="1:11">
      <c r="A107" s="148" t="str">
        <f t="shared" si="17"/>
        <v>General Service 50 to 2999 kW</v>
      </c>
      <c r="B107" s="138" t="s">
        <v>39</v>
      </c>
      <c r="C107" s="139"/>
      <c r="D107" s="164">
        <v>20356218.203671396</v>
      </c>
      <c r="E107" s="156">
        <v>5.0000000000000001E-4</v>
      </c>
      <c r="F107" s="141">
        <f t="shared" si="18"/>
        <v>10178.109101835698</v>
      </c>
      <c r="H107" s="164">
        <v>499628519.40610701</v>
      </c>
      <c r="I107" s="156">
        <v>5.0000000000000001E-4</v>
      </c>
      <c r="J107" s="141">
        <f t="shared" si="19"/>
        <v>249814.25970305351</v>
      </c>
      <c r="K107" s="215"/>
    </row>
    <row r="108" spans="1:11">
      <c r="A108" s="148" t="str">
        <f t="shared" si="17"/>
        <v>Unmetered Scattered Load</v>
      </c>
      <c r="B108" s="138" t="s">
        <v>39</v>
      </c>
      <c r="C108" s="139"/>
      <c r="D108" s="164">
        <v>1546300.4928166368</v>
      </c>
      <c r="E108" s="156">
        <v>0</v>
      </c>
      <c r="F108" s="141">
        <f t="shared" si="18"/>
        <v>0</v>
      </c>
      <c r="H108" s="164">
        <v>0</v>
      </c>
      <c r="I108" s="156">
        <v>0</v>
      </c>
      <c r="J108" s="141">
        <f t="shared" si="19"/>
        <v>0</v>
      </c>
      <c r="K108" s="215"/>
    </row>
    <row r="109" spans="1:11">
      <c r="A109" s="148" t="str">
        <f t="shared" si="17"/>
        <v>Sentinel Lighting</v>
      </c>
      <c r="B109" s="138" t="s">
        <v>39</v>
      </c>
      <c r="C109" s="139"/>
      <c r="D109" s="164">
        <v>153830.59820512275</v>
      </c>
      <c r="E109" s="156">
        <v>5.0000000000000001E-4</v>
      </c>
      <c r="F109" s="141">
        <f t="shared" si="18"/>
        <v>76.915299102561377</v>
      </c>
      <c r="H109" s="164">
        <v>5043.5339217131605</v>
      </c>
      <c r="I109" s="156">
        <v>5.0000000000000001E-4</v>
      </c>
      <c r="J109" s="141">
        <f t="shared" si="19"/>
        <v>2.5217669608565805</v>
      </c>
      <c r="K109" s="215"/>
    </row>
    <row r="110" spans="1:11">
      <c r="A110" s="148" t="str">
        <f t="shared" si="17"/>
        <v xml:space="preserve">Street Lighting </v>
      </c>
      <c r="B110" s="138" t="s">
        <v>39</v>
      </c>
      <c r="C110" s="139"/>
      <c r="D110" s="164">
        <v>0</v>
      </c>
      <c r="E110" s="156">
        <v>5.0000000000000001E-4</v>
      </c>
      <c r="F110" s="141">
        <f t="shared" si="18"/>
        <v>0</v>
      </c>
      <c r="H110" s="164">
        <v>6872732.0942203924</v>
      </c>
      <c r="I110" s="156">
        <v>5.0000000000000001E-4</v>
      </c>
      <c r="J110" s="141">
        <f t="shared" si="19"/>
        <v>3436.3660471101962</v>
      </c>
      <c r="K110" s="215"/>
    </row>
    <row r="111" spans="1:11">
      <c r="A111" s="148" t="str">
        <f t="shared" si="17"/>
        <v>Embedded Distributor</v>
      </c>
      <c r="B111" s="138" t="s">
        <v>39</v>
      </c>
      <c r="C111" s="139"/>
      <c r="D111" s="164">
        <v>0</v>
      </c>
      <c r="E111" s="156">
        <v>5.0000000000000001E-4</v>
      </c>
      <c r="F111" s="141">
        <f t="shared" si="18"/>
        <v>0</v>
      </c>
      <c r="H111" s="164">
        <v>0</v>
      </c>
      <c r="I111" s="156">
        <v>5.0000000000000001E-4</v>
      </c>
      <c r="J111" s="141">
        <f t="shared" si="19"/>
        <v>0</v>
      </c>
      <c r="K111" s="216"/>
    </row>
    <row r="112" spans="1:11">
      <c r="A112" s="148" t="str">
        <f t="shared" si="17"/>
        <v/>
      </c>
      <c r="B112" s="138"/>
      <c r="C112" s="143"/>
      <c r="D112" s="164"/>
      <c r="E112" s="164"/>
      <c r="F112" s="141">
        <f t="shared" si="18"/>
        <v>0</v>
      </c>
      <c r="H112" s="164"/>
      <c r="I112" s="164"/>
      <c r="J112" s="141">
        <f t="shared" si="19"/>
        <v>0</v>
      </c>
      <c r="K112" s="128"/>
    </row>
    <row r="113" spans="1:11">
      <c r="A113" s="148" t="str">
        <f t="shared" si="17"/>
        <v/>
      </c>
      <c r="B113" s="138"/>
      <c r="C113" s="143"/>
      <c r="D113" s="164"/>
      <c r="E113" s="164"/>
      <c r="F113" s="141">
        <f t="shared" si="18"/>
        <v>0</v>
      </c>
      <c r="H113" s="164"/>
      <c r="I113" s="164"/>
      <c r="J113" s="141">
        <f t="shared" si="19"/>
        <v>0</v>
      </c>
      <c r="K113" s="145"/>
    </row>
    <row r="114" spans="1:11">
      <c r="A114" s="131" t="s">
        <v>71</v>
      </c>
      <c r="B114" s="165"/>
      <c r="C114" s="179"/>
      <c r="D114" s="160"/>
      <c r="E114" s="146"/>
      <c r="F114" s="160">
        <f>SUM(F105:F113)</f>
        <v>198578.23309726742</v>
      </c>
      <c r="G114" s="146"/>
      <c r="H114" s="148"/>
      <c r="I114" s="146"/>
      <c r="J114" s="160">
        <f>SUM(J105:J113)</f>
        <v>264109.24082593201</v>
      </c>
      <c r="K114" s="141">
        <f>F114+J114</f>
        <v>462687.47392319946</v>
      </c>
    </row>
    <row r="115" spans="1:11">
      <c r="C115" s="10"/>
    </row>
    <row r="116" spans="1:11">
      <c r="A116" s="127" t="s">
        <v>84</v>
      </c>
      <c r="B116" s="217" t="s">
        <v>65</v>
      </c>
      <c r="C116" s="128"/>
      <c r="D116" s="219" t="s">
        <v>66</v>
      </c>
      <c r="E116" s="221" t="s">
        <v>67</v>
      </c>
      <c r="F116" s="215" t="s">
        <v>68</v>
      </c>
      <c r="G116" s="114"/>
      <c r="H116" s="224" t="s">
        <v>66</v>
      </c>
      <c r="I116" s="221" t="s">
        <v>67</v>
      </c>
      <c r="J116" s="215" t="s">
        <v>68</v>
      </c>
      <c r="K116" s="216" t="s">
        <v>63</v>
      </c>
    </row>
    <row r="117" spans="1:11">
      <c r="A117" s="131" t="s">
        <v>74</v>
      </c>
      <c r="B117" s="218"/>
      <c r="C117" s="128"/>
      <c r="D117" s="220"/>
      <c r="E117" s="222"/>
      <c r="F117" s="215"/>
      <c r="G117" s="8"/>
      <c r="H117" s="225"/>
      <c r="I117" s="222"/>
      <c r="J117" s="215"/>
      <c r="K117" s="223"/>
    </row>
    <row r="118" spans="1:11">
      <c r="A118" s="148" t="str">
        <f t="shared" ref="A118:A126" si="20">IF(A105=0,"",A105)</f>
        <v>Residential</v>
      </c>
      <c r="B118" s="138"/>
      <c r="C118" s="139"/>
      <c r="D118" s="164"/>
      <c r="E118" s="164"/>
      <c r="F118" s="141">
        <f>D118*E118</f>
        <v>0</v>
      </c>
      <c r="H118" s="164"/>
      <c r="I118" s="164"/>
      <c r="J118" s="141">
        <f>H118*I118</f>
        <v>0</v>
      </c>
      <c r="K118" s="215"/>
    </row>
    <row r="119" spans="1:11">
      <c r="A119" s="148" t="str">
        <f t="shared" si="20"/>
        <v>General Service &lt; 50 kW</v>
      </c>
      <c r="B119" s="138"/>
      <c r="C119" s="139"/>
      <c r="D119" s="164"/>
      <c r="E119" s="164"/>
      <c r="F119" s="141">
        <f t="shared" ref="F119:F126" si="21">D119*E119</f>
        <v>0</v>
      </c>
      <c r="H119" s="164"/>
      <c r="I119" s="164"/>
      <c r="J119" s="141">
        <f t="shared" ref="J119:J126" si="22">H119*I119</f>
        <v>0</v>
      </c>
      <c r="K119" s="215"/>
    </row>
    <row r="120" spans="1:11">
      <c r="A120" s="148" t="str">
        <f t="shared" si="20"/>
        <v>General Service 50 to 2999 kW</v>
      </c>
      <c r="B120" s="138"/>
      <c r="C120" s="180"/>
      <c r="D120" s="164"/>
      <c r="E120" s="164"/>
      <c r="F120" s="141">
        <f t="shared" si="21"/>
        <v>0</v>
      </c>
      <c r="H120" s="164"/>
      <c r="I120" s="164"/>
      <c r="J120" s="141">
        <f t="shared" si="22"/>
        <v>0</v>
      </c>
      <c r="K120" s="215"/>
    </row>
    <row r="121" spans="1:11">
      <c r="A121" s="148" t="str">
        <f t="shared" si="20"/>
        <v>Unmetered Scattered Load</v>
      </c>
      <c r="B121" s="138"/>
      <c r="C121" s="180"/>
      <c r="D121" s="164"/>
      <c r="E121" s="164"/>
      <c r="F121" s="141">
        <f t="shared" si="21"/>
        <v>0</v>
      </c>
      <c r="H121" s="164"/>
      <c r="I121" s="164"/>
      <c r="J121" s="141">
        <f t="shared" si="22"/>
        <v>0</v>
      </c>
      <c r="K121" s="215"/>
    </row>
    <row r="122" spans="1:11">
      <c r="A122" s="148" t="str">
        <f t="shared" si="20"/>
        <v>Sentinel Lighting</v>
      </c>
      <c r="B122" s="138"/>
      <c r="C122" s="180"/>
      <c r="D122" s="164"/>
      <c r="E122" s="164"/>
      <c r="F122" s="141">
        <f t="shared" si="21"/>
        <v>0</v>
      </c>
      <c r="H122" s="164"/>
      <c r="I122" s="164"/>
      <c r="J122" s="141">
        <f t="shared" si="22"/>
        <v>0</v>
      </c>
      <c r="K122" s="215"/>
    </row>
    <row r="123" spans="1:11">
      <c r="A123" s="148" t="str">
        <f t="shared" si="20"/>
        <v xml:space="preserve">Street Lighting </v>
      </c>
      <c r="B123" s="138"/>
      <c r="C123" s="139"/>
      <c r="D123" s="164"/>
      <c r="E123" s="164"/>
      <c r="F123" s="141">
        <f t="shared" si="21"/>
        <v>0</v>
      </c>
      <c r="H123" s="164"/>
      <c r="I123" s="164"/>
      <c r="J123" s="141">
        <f t="shared" si="22"/>
        <v>0</v>
      </c>
      <c r="K123" s="215"/>
    </row>
    <row r="124" spans="1:11">
      <c r="A124" s="148" t="str">
        <f t="shared" si="20"/>
        <v>Embedded Distributor</v>
      </c>
      <c r="B124" s="138"/>
      <c r="C124" s="139"/>
      <c r="D124" s="164"/>
      <c r="E124" s="164"/>
      <c r="F124" s="141">
        <f t="shared" si="21"/>
        <v>0</v>
      </c>
      <c r="H124" s="164"/>
      <c r="I124" s="164"/>
      <c r="J124" s="141">
        <f t="shared" si="22"/>
        <v>0</v>
      </c>
      <c r="K124" s="216"/>
    </row>
    <row r="125" spans="1:11">
      <c r="A125" s="148" t="str">
        <f t="shared" si="20"/>
        <v/>
      </c>
      <c r="B125" s="138"/>
      <c r="C125" s="139"/>
      <c r="D125" s="181"/>
      <c r="E125" s="164"/>
      <c r="F125" s="141">
        <f t="shared" si="21"/>
        <v>0</v>
      </c>
      <c r="H125" s="164"/>
      <c r="I125" s="164"/>
      <c r="J125" s="141">
        <f t="shared" si="22"/>
        <v>0</v>
      </c>
      <c r="K125" s="128"/>
    </row>
    <row r="126" spans="1:11">
      <c r="A126" s="148" t="str">
        <f t="shared" si="20"/>
        <v/>
      </c>
      <c r="B126" s="138"/>
      <c r="C126" s="139"/>
      <c r="D126" s="181"/>
      <c r="E126" s="164"/>
      <c r="F126" s="141">
        <f t="shared" si="21"/>
        <v>0</v>
      </c>
      <c r="H126" s="164"/>
      <c r="I126" s="164"/>
      <c r="J126" s="141">
        <f t="shared" si="22"/>
        <v>0</v>
      </c>
      <c r="K126" s="145"/>
    </row>
    <row r="127" spans="1:11">
      <c r="A127" s="131" t="s">
        <v>71</v>
      </c>
      <c r="B127" s="165"/>
      <c r="C127" s="132"/>
      <c r="D127" s="182"/>
      <c r="E127" s="146"/>
      <c r="F127" s="141">
        <f>SUM(F118:F126)</f>
        <v>0</v>
      </c>
      <c r="G127" s="146"/>
      <c r="H127" s="148"/>
      <c r="I127" s="146"/>
      <c r="J127" s="141">
        <f>SUM(J118:J126)</f>
        <v>0</v>
      </c>
      <c r="K127" s="141">
        <f>F127+J127</f>
        <v>0</v>
      </c>
    </row>
    <row r="128" spans="1:11">
      <c r="C128" s="10"/>
    </row>
    <row r="129" spans="1:12">
      <c r="A129" s="127" t="s">
        <v>85</v>
      </c>
      <c r="B129" s="217"/>
      <c r="C129" s="128"/>
      <c r="D129" s="219" t="s">
        <v>86</v>
      </c>
      <c r="E129" s="221" t="s">
        <v>67</v>
      </c>
      <c r="F129" s="215" t="s">
        <v>68</v>
      </c>
      <c r="G129" s="114"/>
      <c r="H129" s="216" t="s">
        <v>86</v>
      </c>
      <c r="I129" s="221" t="s">
        <v>67</v>
      </c>
      <c r="J129" s="215" t="s">
        <v>68</v>
      </c>
      <c r="K129" s="219" t="s">
        <v>63</v>
      </c>
    </row>
    <row r="130" spans="1:12">
      <c r="A130" s="131" t="s">
        <v>74</v>
      </c>
      <c r="B130" s="218"/>
      <c r="C130" s="128"/>
      <c r="D130" s="220"/>
      <c r="E130" s="222"/>
      <c r="F130" s="215"/>
      <c r="G130" s="8"/>
      <c r="H130" s="223"/>
      <c r="I130" s="222"/>
      <c r="J130" s="215"/>
      <c r="K130" s="213"/>
      <c r="L130" s="143"/>
    </row>
    <row r="131" spans="1:12">
      <c r="A131" s="138" t="s">
        <v>87</v>
      </c>
      <c r="B131" s="165"/>
      <c r="C131" s="139"/>
      <c r="D131" s="164">
        <v>37472.380837080171</v>
      </c>
      <c r="E131" s="183">
        <v>0.56999999999999995</v>
      </c>
      <c r="F131" s="141">
        <f>D131*E131*12</f>
        <v>256311.08492562833</v>
      </c>
      <c r="H131" s="164">
        <v>795</v>
      </c>
      <c r="I131" s="183">
        <v>0.56999999999999995</v>
      </c>
      <c r="J131" s="184">
        <f>H131*I131*12</f>
        <v>5437.7999999999993</v>
      </c>
      <c r="K131" s="213"/>
      <c r="L131" s="185"/>
    </row>
    <row r="132" spans="1:12">
      <c r="A132" s="138" t="s">
        <v>40</v>
      </c>
      <c r="B132" s="165"/>
      <c r="C132" s="139"/>
      <c r="D132" s="164">
        <v>2583.8440378460755</v>
      </c>
      <c r="E132" s="183">
        <v>0.56999999999999995</v>
      </c>
      <c r="F132" s="141">
        <f>D132*E132*12</f>
        <v>17673.493218867156</v>
      </c>
      <c r="H132" s="164">
        <v>236</v>
      </c>
      <c r="I132" s="183">
        <v>0.56999999999999995</v>
      </c>
      <c r="J132" s="184">
        <f>H132*I132*12</f>
        <v>1614.2399999999998</v>
      </c>
      <c r="K132" s="213"/>
      <c r="L132" s="143"/>
    </row>
    <row r="133" spans="1:12">
      <c r="A133" s="138"/>
      <c r="B133" s="165"/>
      <c r="C133" s="139"/>
      <c r="D133" s="164"/>
      <c r="E133" s="183"/>
      <c r="F133" s="141">
        <f>D133*E133*12</f>
        <v>0</v>
      </c>
      <c r="H133" s="164"/>
      <c r="I133" s="164"/>
      <c r="J133" s="184">
        <f>H133*I133*12</f>
        <v>0</v>
      </c>
      <c r="K133" s="186"/>
      <c r="L133" s="143"/>
    </row>
    <row r="134" spans="1:12">
      <c r="A134" s="187" t="s">
        <v>71</v>
      </c>
      <c r="B134" s="165"/>
      <c r="C134" s="139"/>
      <c r="D134" s="148"/>
      <c r="E134" s="148"/>
      <c r="F134" s="141">
        <f>SUM(F131:F133)</f>
        <v>273984.57814449549</v>
      </c>
      <c r="G134" s="148"/>
      <c r="H134" s="148"/>
      <c r="I134" s="148"/>
      <c r="J134" s="184">
        <f>SUM(J131:J133)</f>
        <v>7052.0399999999991</v>
      </c>
      <c r="K134" s="141">
        <f>F134+J134</f>
        <v>281036.61814449547</v>
      </c>
    </row>
    <row r="135" spans="1:12">
      <c r="A135" s="148"/>
      <c r="B135" s="148"/>
      <c r="C135" s="139"/>
      <c r="D135" s="148"/>
      <c r="E135" s="148"/>
      <c r="F135" s="148"/>
      <c r="G135" s="148"/>
      <c r="H135" s="148"/>
      <c r="I135" s="148"/>
      <c r="J135" s="146"/>
    </row>
    <row r="136" spans="1:12">
      <c r="A136" s="131" t="s">
        <v>88</v>
      </c>
      <c r="B136" s="148"/>
      <c r="C136" s="139"/>
      <c r="D136" s="148"/>
      <c r="E136" s="148"/>
      <c r="F136" s="141">
        <f>SUM(F22+F49+F62+F75+F101+F114+F127+F134)</f>
        <v>49425009.549282268</v>
      </c>
      <c r="G136" s="148"/>
      <c r="H136" s="148"/>
      <c r="I136" s="148"/>
      <c r="J136" s="141">
        <f>SUM(J22+J35+J49+J62+J75+J88+J101+J114+J127+J134)</f>
        <v>59829768.450986691</v>
      </c>
      <c r="K136" s="188">
        <f>+F136+J136</f>
        <v>109254778.00026897</v>
      </c>
    </row>
    <row r="137" spans="1:12" ht="16.8" thickBot="1">
      <c r="A137" s="131" t="s">
        <v>89</v>
      </c>
      <c r="B137" s="189">
        <v>0.21199999999999999</v>
      </c>
      <c r="C137" s="139"/>
      <c r="D137" s="148"/>
      <c r="E137" s="148"/>
      <c r="F137" s="190">
        <f>-F136*B137</f>
        <v>-10478102.02444784</v>
      </c>
      <c r="G137" s="148"/>
      <c r="H137" s="148"/>
      <c r="I137" s="148"/>
      <c r="J137" s="148">
        <v>0</v>
      </c>
      <c r="K137" s="188">
        <f>+F137+J137</f>
        <v>-10478102.02444784</v>
      </c>
    </row>
    <row r="138" spans="1:12" ht="15" thickBot="1">
      <c r="A138" s="131" t="s">
        <v>46</v>
      </c>
      <c r="B138" s="191"/>
      <c r="C138" s="192"/>
      <c r="D138" s="131"/>
      <c r="E138" s="131"/>
      <c r="F138" s="193">
        <f>+F136+F137</f>
        <v>38946907.524834424</v>
      </c>
      <c r="G138" s="131"/>
      <c r="H138" s="131"/>
      <c r="I138" s="131"/>
      <c r="J138" s="193">
        <f>+J136+J137</f>
        <v>59829768.450986691</v>
      </c>
      <c r="K138" s="193">
        <f>+K136+K137</f>
        <v>98776675.975821123</v>
      </c>
    </row>
    <row r="139" spans="1:12" ht="15" thickTop="1">
      <c r="A139" s="194"/>
      <c r="B139" s="195"/>
      <c r="C139" s="196"/>
      <c r="D139" s="196"/>
      <c r="E139" s="196"/>
      <c r="F139" s="197"/>
      <c r="G139" s="196"/>
      <c r="H139" s="196"/>
      <c r="I139" s="196"/>
      <c r="J139" s="197"/>
      <c r="K139" s="197"/>
    </row>
    <row r="140" spans="1:12">
      <c r="A140" s="198" t="s">
        <v>90</v>
      </c>
    </row>
    <row r="141" spans="1:12">
      <c r="A141" s="198" t="s">
        <v>91</v>
      </c>
    </row>
    <row r="142" spans="1:12">
      <c r="A142" s="199"/>
    </row>
    <row r="143" spans="1:12">
      <c r="D143" s="214" t="str">
        <f>D10 &amp; " - Cop"</f>
        <v>2021 Test Year - Cop</v>
      </c>
      <c r="E143" s="214"/>
    </row>
    <row r="144" spans="1:12">
      <c r="D144" s="148" t="s">
        <v>92</v>
      </c>
      <c r="E144" s="200">
        <f>K22</f>
        <v>51489760.511275485</v>
      </c>
      <c r="H144" s="10"/>
    </row>
    <row r="145" spans="4:5">
      <c r="D145" s="148" t="s">
        <v>93</v>
      </c>
      <c r="E145" s="151">
        <f>K35</f>
        <v>41531339.945598416</v>
      </c>
    </row>
    <row r="146" spans="4:5">
      <c r="D146" s="148" t="s">
        <v>94</v>
      </c>
      <c r="E146" s="151">
        <f>(K75+K88+K101+K114)</f>
        <v>3626821.1641417239</v>
      </c>
    </row>
    <row r="147" spans="4:5">
      <c r="D147" s="148" t="s">
        <v>95</v>
      </c>
      <c r="E147" s="151">
        <f>K49</f>
        <v>7116255.0939027034</v>
      </c>
    </row>
    <row r="148" spans="4:5">
      <c r="D148" s="148" t="s">
        <v>96</v>
      </c>
      <c r="E148" s="151">
        <f>K62</f>
        <v>5209564.6672061374</v>
      </c>
    </row>
    <row r="149" spans="4:5">
      <c r="D149" s="148" t="s">
        <v>97</v>
      </c>
      <c r="E149" s="151">
        <f>K127</f>
        <v>0</v>
      </c>
    </row>
    <row r="150" spans="4:5">
      <c r="D150" s="148" t="s">
        <v>98</v>
      </c>
      <c r="E150" s="151">
        <f>K134</f>
        <v>281036.61814449547</v>
      </c>
    </row>
    <row r="151" spans="4:5">
      <c r="D151" s="148" t="s">
        <v>99</v>
      </c>
      <c r="E151" s="151">
        <f>+K137</f>
        <v>-10478102.02444784</v>
      </c>
    </row>
    <row r="152" spans="4:5">
      <c r="D152" s="131" t="s">
        <v>46</v>
      </c>
      <c r="E152" s="201">
        <f>SUM(E144:E151)</f>
        <v>98776675.975821123</v>
      </c>
    </row>
    <row r="153" spans="4:5">
      <c r="E153" s="118"/>
    </row>
  </sheetData>
  <mergeCells count="90">
    <mergeCell ref="A1:J1"/>
    <mergeCell ref="E9:F9"/>
    <mergeCell ref="I9:J9"/>
    <mergeCell ref="E10:F10"/>
    <mergeCell ref="I10:J10"/>
    <mergeCell ref="K12:K19"/>
    <mergeCell ref="I23:J23"/>
    <mergeCell ref="B24:B25"/>
    <mergeCell ref="D24:D25"/>
    <mergeCell ref="E24:E25"/>
    <mergeCell ref="F24:F25"/>
    <mergeCell ref="H24:H25"/>
    <mergeCell ref="I24:I25"/>
    <mergeCell ref="J24:J25"/>
    <mergeCell ref="K24:K25"/>
    <mergeCell ref="B11:B12"/>
    <mergeCell ref="K26:K32"/>
    <mergeCell ref="B37:B38"/>
    <mergeCell ref="D37:D38"/>
    <mergeCell ref="E37:E38"/>
    <mergeCell ref="F37:F38"/>
    <mergeCell ref="H37:H38"/>
    <mergeCell ref="I37:I38"/>
    <mergeCell ref="J37:J38"/>
    <mergeCell ref="K37:K38"/>
    <mergeCell ref="K39:K45"/>
    <mergeCell ref="B51:B52"/>
    <mergeCell ref="D51:D52"/>
    <mergeCell ref="E51:E52"/>
    <mergeCell ref="F51:F52"/>
    <mergeCell ref="H51:H52"/>
    <mergeCell ref="I51:I52"/>
    <mergeCell ref="J51:J52"/>
    <mergeCell ref="K51:K52"/>
    <mergeCell ref="K53:K59"/>
    <mergeCell ref="B64:B65"/>
    <mergeCell ref="D64:D65"/>
    <mergeCell ref="E64:E65"/>
    <mergeCell ref="F64:F65"/>
    <mergeCell ref="H64:H65"/>
    <mergeCell ref="I64:I65"/>
    <mergeCell ref="J64:J65"/>
    <mergeCell ref="K64:K65"/>
    <mergeCell ref="K66:K72"/>
    <mergeCell ref="B77:B78"/>
    <mergeCell ref="D77:D78"/>
    <mergeCell ref="E77:E78"/>
    <mergeCell ref="F77:F78"/>
    <mergeCell ref="H77:H78"/>
    <mergeCell ref="I77:I78"/>
    <mergeCell ref="J77:J78"/>
    <mergeCell ref="K77:K78"/>
    <mergeCell ref="K79:K85"/>
    <mergeCell ref="B90:B91"/>
    <mergeCell ref="D90:D91"/>
    <mergeCell ref="E90:E91"/>
    <mergeCell ref="F90:F91"/>
    <mergeCell ref="H90:H91"/>
    <mergeCell ref="I90:I91"/>
    <mergeCell ref="J90:J91"/>
    <mergeCell ref="K90:K91"/>
    <mergeCell ref="K92:K98"/>
    <mergeCell ref="B103:B104"/>
    <mergeCell ref="D103:D104"/>
    <mergeCell ref="E103:E104"/>
    <mergeCell ref="F103:F104"/>
    <mergeCell ref="H103:H104"/>
    <mergeCell ref="I103:I104"/>
    <mergeCell ref="J103:J104"/>
    <mergeCell ref="K103:K104"/>
    <mergeCell ref="K105:K111"/>
    <mergeCell ref="B116:B117"/>
    <mergeCell ref="D116:D117"/>
    <mergeCell ref="E116:E117"/>
    <mergeCell ref="F116:F117"/>
    <mergeCell ref="H116:H117"/>
    <mergeCell ref="I116:I117"/>
    <mergeCell ref="J116:J117"/>
    <mergeCell ref="K116:K117"/>
    <mergeCell ref="K131:K132"/>
    <mergeCell ref="D143:E143"/>
    <mergeCell ref="K118:K124"/>
    <mergeCell ref="B129:B130"/>
    <mergeCell ref="D129:D130"/>
    <mergeCell ref="E129:E130"/>
    <mergeCell ref="F129:F130"/>
    <mergeCell ref="H129:H130"/>
    <mergeCell ref="I129:I130"/>
    <mergeCell ref="J129:J130"/>
    <mergeCell ref="K129:K1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8" sqref="C18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App.2-ZA_Com. Exp. Forecast</vt:lpstr>
      <vt:lpstr>App.2-ZB_Cost of Power</vt:lpstr>
      <vt:lpstr>Sheet3</vt:lpstr>
    </vt:vector>
  </TitlesOfParts>
  <Company>Corporation Of The City Of Brantford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Teri Bohar</dc:creator>
  <cp:lastModifiedBy>Teri Bohar</cp:lastModifiedBy>
  <dcterms:created xsi:type="dcterms:W3CDTF">2021-08-08T15:46:44Z</dcterms:created>
  <dcterms:modified xsi:type="dcterms:W3CDTF">2021-08-28T18:51:19Z</dcterms:modified>
</cp:coreProperties>
</file>