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ORPC\ORPC COS 2022 - Aug 31\Models\Unlinked Final Models\"/>
    </mc:Choice>
  </mc:AlternateContent>
  <xr:revisionPtr revIDLastSave="0" documentId="8_{456F2F57-375E-49A1-8E98-096CAEE23878}" xr6:coauthVersionLast="47" xr6:coauthVersionMax="47" xr10:uidLastSave="{00000000-0000-0000-0000-000000000000}"/>
  <bookViews>
    <workbookView xWindow="2340" yWindow="615" windowWidth="28830" windowHeight="1558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K27" i="4" l="1"/>
  <c r="L27" i="4"/>
  <c r="M27" i="4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H17" i="4" l="1"/>
  <c r="I17" i="4" s="1"/>
  <c r="J17" i="4" s="1"/>
  <c r="M145" i="1" s="1"/>
  <c r="M157" i="1" s="1"/>
  <c r="G22" i="4"/>
  <c r="H22" i="4" s="1"/>
  <c r="I22" i="4" s="1"/>
  <c r="J22" i="4" s="1"/>
  <c r="M110" i="1" s="1"/>
  <c r="H21" i="4"/>
  <c r="I21" i="4" s="1"/>
  <c r="J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H16" i="4" s="1"/>
  <c r="I16" i="4" s="1"/>
  <c r="J16" i="4" s="1"/>
  <c r="G13" i="4"/>
  <c r="G10" i="4"/>
  <c r="H10" i="4" s="1"/>
  <c r="I10" i="4" s="1"/>
  <c r="J10" i="4" s="1"/>
  <c r="M93" i="1" s="1"/>
  <c r="M115" i="1" s="1"/>
  <c r="G9" i="4"/>
  <c r="L222" i="1"/>
  <c r="F10" i="5"/>
  <c r="H145" i="1" l="1"/>
  <c r="H110" i="4"/>
  <c r="H15" i="4"/>
  <c r="I15" i="4" s="1"/>
  <c r="J15" i="4" s="1"/>
  <c r="M98" i="1" s="1"/>
  <c r="M130" i="1" s="1"/>
  <c r="H113" i="4"/>
  <c r="G121" i="4"/>
  <c r="H115" i="4"/>
  <c r="G120" i="4"/>
  <c r="M97" i="1"/>
  <c r="M96" i="1"/>
  <c r="G119" i="4"/>
  <c r="M92" i="1"/>
  <c r="M114" i="1" s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37" i="4"/>
  <c r="I37" i="4" s="1"/>
  <c r="J37" i="4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I35" i="4" s="1"/>
  <c r="I27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H35" i="4"/>
  <c r="H27" i="4" s="1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L110" i="4"/>
  <c r="M110" i="4"/>
  <c r="M87" i="4"/>
  <c r="L87" i="4"/>
  <c r="K122" i="4"/>
  <c r="K119" i="4"/>
  <c r="L113" i="4"/>
  <c r="M113" i="4"/>
  <c r="J116" i="4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5" i="4"/>
  <c r="J27" i="4" s="1"/>
  <c r="H256" i="1"/>
  <c r="G10" i="5"/>
  <c r="K29" i="4"/>
  <c r="L122" i="4"/>
  <c r="L119" i="4"/>
  <c r="L121" i="4"/>
  <c r="L79" i="4"/>
  <c r="L65" i="4"/>
  <c r="M120" i="4"/>
  <c r="L120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L29" i="4" s="1"/>
  <c r="L31" i="4" s="1"/>
  <c r="L89" i="1" s="1"/>
  <c r="L107" i="1" s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6" i="4" l="1"/>
  <c r="M29" i="4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<sst xmlns="http://schemas.openxmlformats.org/spreadsheetml/2006/main" count="512" uniqueCount="268">
  <si>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</si>
  <si>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</si>
  <si>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</si>
  <si>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</si>
  <si>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</si>
  <si>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</si>
  <si>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</si>
  <si>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</si>
  <si>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</si>
  <si>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</si>
  <si>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</si>
  <si>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</si>
  <si>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</si>
  <si>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</si>
  <si>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</si>
  <si>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</si>
  <si>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</si>
  <si>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</si>
  <si>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</si>
  <si>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</si>
  <si>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</si>
  <si>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</si>
  <si>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</si>
  <si>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</si>
  <si>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</si>
  <si>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</si>
  <si>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</si>
  <si>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</si>
  <si>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</si>
  <si>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</si>
  <si>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</si>
  <si>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</si>
  <si>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</si>
  <si>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</si>
  <si>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</si>
  <si>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</si>
  <si>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</si>
  <si>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</si>
  <si>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</si>
  <si>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</si>
  <si>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</si>
  <si>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</si>
  <si>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</si>
  <si>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</si>
  <si>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</si>
  <si>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</si>
  <si>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</si>
  <si>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</si>
  <si>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</si>
  <si>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</si>
  <si>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</si>
  <si>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</si>
  <si>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</si>
  <si>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</si>
  <si>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</si>
  <si>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</si>
  <si>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</si>
  <si>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</si>
  <si>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</si>
  <si>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</si>
  <si>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</si>
  <si>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</si>
  <si>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</si>
  <si>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</si>
  <si>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</si>
  <si>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</si>
  <si>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</si>
  <si>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</si>
  <si>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</si>
  <si>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</si>
  <si>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</si>
  <si>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</si>
  <si>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</si>
  <si>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</si>
  <si>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</si>
  <si>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</si>
  <si>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</si>
  <si>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</si>
  <si>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</si>
  <si>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</si>
  <si>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</si>
  <si>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</si>
  <si>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</si>
  <si>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</si>
  <si>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</si>
  <si>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</si>
  <si>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</si>
  <si>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</si>
  <si>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</si>
  <si>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</si>
  <si>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</si>
  <si>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</si>
  <si>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</si>
  <si>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</si>
  <si>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</si>
  <si>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</si>
  <si>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</si>
  <si>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</si>
  <si>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</si>
  <si>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</si>
  <si>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</si>
  <si>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</si>
  <si>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</si>
  <si>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</si>
  <si>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</si>
  <si>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</si>
  <si>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</si>
  <si>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</si>
  <si>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</si>
  <si>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</si>
  <si>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</si>
  <si>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</si>
  <si>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</si>
  <si>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</si>
  <si>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</si>
  <si>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</si>
  <si>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</si>
  <si>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</si>
  <si>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</si>
  <si>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</si>
  <si>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</si>
  <si>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</si>
  <si>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</si>
  <si>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</si>
  <si>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</si>
  <si>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</si>
  <si>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</si>
  <si>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</si>
  <si>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</si>
  <si>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</si>
  <si>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</si>
  <si>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</si>
  <si>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</si>
  <si>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</si>
  <si>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</si>
  <si>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</si>
  <si>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</si>
  <si>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</si>
  <si>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</si>
  <si>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</si>
  <si>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</si>
  <si>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</si>
  <si>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</si>
  <si>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</si>
  <si>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</si>
  <si>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</si>
  <si>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</si>
  <si>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</si>
  <si>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</si>
  <si>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</si>
  <si>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</si>
  <si>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</si>
  <si>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</si>
  <si>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</si>
  <si>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</si>
  <si>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</si>
  <si>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</si>
  <si>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</si>
  <si>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</si>
  <si>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</si>
  <si>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</si>
  <si>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</si>
  <si>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</si>
  <si>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</si>
  <si>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</si>
  <si>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</si>
  <si>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</si>
  <si>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</si>
  <si>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</si>
  <si>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</si>
  <si>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</si>
  <si>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</si>
  <si>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</si>
  <si>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</si>
  <si>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</si>
  <si>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</si>
  <si>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</si>
  <si>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</si>
  <si>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</si>
  <si>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</si>
  <si>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</si>
  <si>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</si>
  <si>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</si>
  <si>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</si>
  <si>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</si>
  <si>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</si>
  <si>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</si>
  <si>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</si>
  <si>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</si>
  <si>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</si>
  <si>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</si>
  <si>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</si>
  <si>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</si>
  <si>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</si>
  <si>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</si>
  <si>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</si>
  <si>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</si>
  <si>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</si>
  <si>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</si>
  <si>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</si>
  <si>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</si>
  <si>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</si>
  <si>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</si>
  <si>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</si>
  <si>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</si>
  <si>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</si>
  <si>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</si>
  <si>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</si>
  <si>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</si>
  <si>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</si>
  <si>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</si>
  <si>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</si>
  <si>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</si>
  <si>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</si>
  <si>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</si>
  <si>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</si>
  <si>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</si>
  <si>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</si>
  <si>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</si>
  <si>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</si>
  <si>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</si>
  <si>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</si>
  <si>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</si>
  <si>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</si>
  <si>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</si>
  <si>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</si>
  <si>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</si>
  <si>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</si>
  <si>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</si>
  <si>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</si>
  <si>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</si>
  <si>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</si>
  <si>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</si>
  <si>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</si>
  <si>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</si>
  <si>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</si>
  <si>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</si>
  <si>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</si>
  <si>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</si>
  <si>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</si>
  <si>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</si>
  <si>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</si>
  <si>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</si>
  <si>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</si>
  <si>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</si>
  <si>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</si>
  <si>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</si>
  <si>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</si>
  <si>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</si>
  <si>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</si>
  <si>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</si>
  <si>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</si>
  <si>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</si>
  <si>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</si>
  <si>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</si>
  <si>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</si>
  <si>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</si>
  <si>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</si>
  <si>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</si>
  <si>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</si>
  <si>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</si>
  <si>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</si>
  <si>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</si>
  <si>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</si>
  <si>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</si>
  <si>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</si>
  <si>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2021-2026 are placeholder values that must be replaced</t>
  </si>
  <si>
    <t>Overhead Subtransmission Feeders -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</si>
</sst>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5"/>
  <sheetViews>
    <sheetView topLeftCell="A10" zoomScale="90" zoomScaleNormal="90" workbookViewId="0">
      <selection activeCell="H35" sqref="H3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68" t="s">
        <v>190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15" ht="19.5" customHeight="1" x14ac:dyDescent="0.25">
      <c r="C3" s="269" t="str">
        <f>IF(F5="Click to Choose an LDC","",F5)</f>
        <v>Ottawa River Power Corporation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240</v>
      </c>
      <c r="G5" s="13" t="s">
        <v>175</v>
      </c>
      <c r="H5" s="13" t="s">
        <v>175</v>
      </c>
      <c r="I5" s="13" t="s">
        <v>176</v>
      </c>
      <c r="J5" s="37" t="s">
        <v>174</v>
      </c>
      <c r="K5" s="271" t="s">
        <v>177</v>
      </c>
      <c r="L5" s="271"/>
      <c r="M5" s="271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1487372.31</v>
      </c>
      <c r="H9" s="118">
        <v>408005.62999999989</v>
      </c>
      <c r="I9" s="118">
        <v>1061217.02</v>
      </c>
      <c r="J9" s="118">
        <v>1901689.2100000004</v>
      </c>
      <c r="K9" s="118"/>
      <c r="L9" s="118"/>
      <c r="M9" s="118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:J10" si="1">H10</f>
        <v>0</v>
      </c>
      <c r="J10" s="118">
        <f t="shared" si="1"/>
        <v>0</v>
      </c>
      <c r="K10" s="118"/>
      <c r="L10" s="118"/>
      <c r="M10" s="118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11320</v>
      </c>
      <c r="H13" s="118">
        <v>11385.666666666666</v>
      </c>
      <c r="I13" s="118">
        <v>11495.248515986066</v>
      </c>
      <c r="J13" s="118">
        <v>11606.203125697693</v>
      </c>
      <c r="K13" s="118"/>
      <c r="L13" s="118"/>
      <c r="M13" s="118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181716053</v>
      </c>
      <c r="H14" s="118">
        <v>178353238</v>
      </c>
      <c r="I14" s="118">
        <v>183202753.91276294</v>
      </c>
      <c r="J14" s="118">
        <v>182877726.56043118</v>
      </c>
      <c r="K14" s="118"/>
      <c r="L14" s="118"/>
      <c r="M14" s="118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35702</v>
      </c>
      <c r="H15" s="118">
        <f t="shared" ref="H15:J16" si="2">G15</f>
        <v>35702</v>
      </c>
      <c r="I15" s="118">
        <f t="shared" si="2"/>
        <v>35702</v>
      </c>
      <c r="J15" s="118">
        <f t="shared" si="2"/>
        <v>35702</v>
      </c>
      <c r="K15" s="118"/>
      <c r="L15" s="118"/>
      <c r="M15" s="118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510</v>
      </c>
      <c r="H16" s="118">
        <f t="shared" si="2"/>
        <v>510</v>
      </c>
      <c r="I16" s="118">
        <f t="shared" si="2"/>
        <v>510</v>
      </c>
      <c r="J16" s="118">
        <f t="shared" si="2"/>
        <v>510</v>
      </c>
      <c r="K16" s="118"/>
      <c r="L16" s="118"/>
      <c r="M16" s="118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8.9614014823370877E-2</v>
      </c>
      <c r="H17" s="262">
        <f>G17</f>
        <v>8.9614014823370877E-2</v>
      </c>
      <c r="I17" s="262">
        <f t="shared" ref="I17:J17" si="3">H17</f>
        <v>8.9614014823370877E-2</v>
      </c>
      <c r="J17" s="262">
        <f t="shared" si="3"/>
        <v>8.9614014823370877E-2</v>
      </c>
      <c r="K17" s="262"/>
      <c r="L17" s="262"/>
      <c r="M17" s="262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f>G20</f>
        <v>2.7168734507591063E-2</v>
      </c>
      <c r="I20" s="117">
        <f t="shared" ref="I20:J20" si="4">H20</f>
        <v>2.7168734507591063E-2</v>
      </c>
      <c r="J20" s="117">
        <f t="shared" si="4"/>
        <v>2.7168734507591063E-2</v>
      </c>
      <c r="K20" s="117"/>
      <c r="L20" s="117"/>
      <c r="M20" s="117"/>
      <c r="N20" s="75" t="s">
        <v>260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f t="shared" ref="H21:J22" si="5">G21</f>
        <v>1.9544596072970565E-2</v>
      </c>
      <c r="I21" s="117">
        <f t="shared" si="5"/>
        <v>1.9544596072970565E-2</v>
      </c>
      <c r="J21" s="117">
        <f t="shared" si="5"/>
        <v>1.9544596072970565E-2</v>
      </c>
      <c r="K21" s="117"/>
      <c r="L21" s="117"/>
      <c r="M21" s="117"/>
      <c r="N21" s="75" t="s">
        <v>260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f t="shared" si="5"/>
        <v>6.0176E-2</v>
      </c>
      <c r="I22" s="117">
        <f t="shared" si="5"/>
        <v>6.0176E-2</v>
      </c>
      <c r="J22" s="117">
        <f t="shared" si="5"/>
        <v>6.0176E-2</v>
      </c>
      <c r="K22" s="117"/>
      <c r="L22" s="117"/>
      <c r="M22" s="117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197</v>
      </c>
      <c r="G27" s="50">
        <f>G35-G36+G37</f>
        <v>3337203.24</v>
      </c>
      <c r="H27" s="50">
        <f t="shared" ref="H27:M27" si="6">H35-H36+H37</f>
        <v>3383331.64</v>
      </c>
      <c r="I27" s="50">
        <f t="shared" si="6"/>
        <v>3497640.6746499999</v>
      </c>
      <c r="J27" s="50">
        <f>J35-J36+J37</f>
        <v>3686813.6042000004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201</v>
      </c>
      <c r="G29" s="50">
        <f>G116-G122+G123</f>
        <v>3337203.24</v>
      </c>
      <c r="H29" s="50">
        <f>H116-H122+H123</f>
        <v>3383331.64</v>
      </c>
      <c r="I29" s="50">
        <f t="shared" ref="I29:M29" si="7">I116-I122+I123</f>
        <v>3497640.6746499999</v>
      </c>
      <c r="J29" s="50">
        <f t="shared" si="7"/>
        <v>3686813.6042000004</v>
      </c>
      <c r="K29" s="50">
        <f t="shared" si="7"/>
        <v>87419.270000000019</v>
      </c>
      <c r="L29" s="50">
        <f t="shared" si="7"/>
        <v>87419.270000000019</v>
      </c>
      <c r="M29" s="50">
        <f t="shared" si="7"/>
        <v>87419.270000000019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8">IF($E$27="Y",G27,IF($E$29="Y",G29,"Error: Please enter Y for one method"))</f>
        <v>3337203.24</v>
      </c>
      <c r="H31" s="50">
        <f>IF($E$27="Y",H27,IF($E$29="Y",H29,"Error: Please enter Y for one method"))</f>
        <v>3383331.64</v>
      </c>
      <c r="I31" s="50">
        <f t="shared" si="8"/>
        <v>3497640.6746499999</v>
      </c>
      <c r="J31" s="50">
        <f t="shared" si="8"/>
        <v>3686813.6042000004</v>
      </c>
      <c r="K31" s="50">
        <f t="shared" si="8"/>
        <v>87419.270000000019</v>
      </c>
      <c r="L31" s="50">
        <f t="shared" si="8"/>
        <v>87419.270000000019</v>
      </c>
      <c r="M31" s="50">
        <f t="shared" si="8"/>
        <v>87419.270000000019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67" t="s">
        <v>183</v>
      </c>
      <c r="I34" s="267"/>
      <c r="J34" s="267"/>
      <c r="K34" s="267"/>
      <c r="L34" s="267"/>
      <c r="M34" s="267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G116</f>
        <v>3249783.97</v>
      </c>
      <c r="H35" s="118">
        <f>H116</f>
        <v>3295912.37</v>
      </c>
      <c r="I35" s="118">
        <f t="shared" ref="I35:J35" si="9">I116</f>
        <v>3410221.4046499999</v>
      </c>
      <c r="J35" s="118">
        <f t="shared" si="9"/>
        <v>3599394.3342000004</v>
      </c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G122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G123</f>
        <v>87419.270000000019</v>
      </c>
      <c r="H37" s="118">
        <f>G37</f>
        <v>87419.270000000019</v>
      </c>
      <c r="I37" s="118">
        <f t="shared" ref="I37:J37" si="10">H37</f>
        <v>87419.270000000019</v>
      </c>
      <c r="J37" s="118">
        <f t="shared" si="10"/>
        <v>87419.270000000019</v>
      </c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66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66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66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66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96865.72</v>
      </c>
      <c r="H44" s="123">
        <v>84627.32</v>
      </c>
      <c r="I44" s="123">
        <v>151202.71000000002</v>
      </c>
      <c r="J44" s="123">
        <v>251799.54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5417.5</v>
      </c>
      <c r="H45" s="123">
        <v>5518.44</v>
      </c>
      <c r="I45" s="123">
        <v>5953.7</v>
      </c>
      <c r="J45" s="123">
        <v>3331.26</v>
      </c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66000.990000000005</v>
      </c>
      <c r="H46" s="123">
        <v>80415.33</v>
      </c>
      <c r="I46" s="123">
        <v>103954.21</v>
      </c>
      <c r="J46" s="123">
        <v>108615.99</v>
      </c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/>
      <c r="L48" s="123"/>
      <c r="M48" s="123"/>
      <c r="N48" s="135" t="s">
        <v>172</v>
      </c>
    </row>
    <row r="49" spans="2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113.77</v>
      </c>
      <c r="H49" s="123">
        <v>12774.69</v>
      </c>
      <c r="I49" s="123">
        <v>20946.39</v>
      </c>
      <c r="J49" s="123">
        <v>21500.61</v>
      </c>
      <c r="K49" s="123"/>
      <c r="L49" s="123"/>
      <c r="M49" s="123"/>
      <c r="N49" s="135" t="s">
        <v>172</v>
      </c>
    </row>
    <row r="50" spans="2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8203.32</v>
      </c>
      <c r="H50" s="123">
        <v>8262.4500000000007</v>
      </c>
      <c r="I50" s="123">
        <v>9000</v>
      </c>
      <c r="J50" s="123">
        <v>9600</v>
      </c>
      <c r="K50" s="123"/>
      <c r="L50" s="123"/>
      <c r="M50" s="123"/>
      <c r="N50" s="135" t="s">
        <v>172</v>
      </c>
    </row>
    <row r="51" spans="2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1490.25</v>
      </c>
      <c r="H51" s="123">
        <v>36185.24</v>
      </c>
      <c r="I51" s="123">
        <v>16751.73</v>
      </c>
      <c r="J51" s="123">
        <v>17195.07</v>
      </c>
      <c r="K51" s="123"/>
      <c r="L51" s="123"/>
      <c r="M51" s="123"/>
      <c r="N51" s="135" t="s">
        <v>172</v>
      </c>
    </row>
    <row r="52" spans="2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993.31</v>
      </c>
      <c r="H52" s="123">
        <v>0</v>
      </c>
      <c r="I52" s="123">
        <v>3500</v>
      </c>
      <c r="J52" s="123">
        <v>3500</v>
      </c>
      <c r="K52" s="123"/>
      <c r="L52" s="123"/>
      <c r="M52" s="123"/>
      <c r="N52" s="135" t="s">
        <v>172</v>
      </c>
    </row>
    <row r="53" spans="2:14" s="89" customFormat="1" x14ac:dyDescent="0.2">
      <c r="B53" s="2"/>
      <c r="C53" s="139"/>
      <c r="D53" s="25"/>
      <c r="E53" s="75">
        <v>5030</v>
      </c>
      <c r="F53" s="131" t="s">
        <v>267</v>
      </c>
      <c r="G53" s="57">
        <v>0</v>
      </c>
      <c r="H53" s="123">
        <v>0</v>
      </c>
      <c r="I53" s="123">
        <v>18079.13</v>
      </c>
      <c r="J53" s="123">
        <v>18557.599999999999</v>
      </c>
      <c r="K53" s="123"/>
      <c r="L53" s="123"/>
      <c r="M53" s="123"/>
      <c r="N53" s="135"/>
    </row>
    <row r="54" spans="2:14" x14ac:dyDescent="0.2">
      <c r="C54" s="139"/>
      <c r="D54" s="25"/>
      <c r="E54" s="75">
        <v>5035</v>
      </c>
      <c r="F54" s="131" t="s">
        <v>17</v>
      </c>
      <c r="G54" s="57">
        <f>'Benchmarking Calculations'!G19</f>
        <v>105.2</v>
      </c>
      <c r="H54" s="123">
        <v>6120.7</v>
      </c>
      <c r="I54" s="123">
        <v>8783.7000000000007</v>
      </c>
      <c r="J54" s="123">
        <v>9016.09</v>
      </c>
      <c r="K54" s="123"/>
      <c r="L54" s="123"/>
      <c r="M54" s="123"/>
      <c r="N54" s="135" t="s">
        <v>172</v>
      </c>
    </row>
    <row r="55" spans="2:14" ht="25.5" x14ac:dyDescent="0.2">
      <c r="C55" s="139"/>
      <c r="D55" s="25"/>
      <c r="E55" s="75">
        <v>5040</v>
      </c>
      <c r="F55" s="131" t="s">
        <v>18</v>
      </c>
      <c r="G55" s="57">
        <f>'Benchmarking Calculations'!G20</f>
        <v>0</v>
      </c>
      <c r="H55" s="123">
        <v>6529.44</v>
      </c>
      <c r="I55" s="123">
        <v>0</v>
      </c>
      <c r="J55" s="123">
        <v>0</v>
      </c>
      <c r="K55" s="123"/>
      <c r="L55" s="123"/>
      <c r="M55" s="123"/>
      <c r="N55" s="135" t="s">
        <v>172</v>
      </c>
    </row>
    <row r="56" spans="2:14" ht="25.5" x14ac:dyDescent="0.2">
      <c r="C56" s="139"/>
      <c r="D56" s="25"/>
      <c r="E56" s="75">
        <v>5045</v>
      </c>
      <c r="F56" s="131" t="s">
        <v>19</v>
      </c>
      <c r="G56" s="57">
        <f>'Benchmarking Calculations'!G21</f>
        <v>0</v>
      </c>
      <c r="H56" s="123">
        <v>0</v>
      </c>
      <c r="I56" s="123">
        <v>0</v>
      </c>
      <c r="J56" s="123">
        <v>0</v>
      </c>
      <c r="K56" s="123"/>
      <c r="L56" s="123"/>
      <c r="M56" s="123"/>
      <c r="N56" s="135" t="s">
        <v>172</v>
      </c>
    </row>
    <row r="57" spans="2:14" x14ac:dyDescent="0.2">
      <c r="C57" s="139"/>
      <c r="D57" s="25"/>
      <c r="E57" s="75">
        <v>5055</v>
      </c>
      <c r="F57" s="131" t="s">
        <v>20</v>
      </c>
      <c r="G57" s="57">
        <f>'Benchmarking Calculations'!G22</f>
        <v>49.85</v>
      </c>
      <c r="H57" s="123">
        <v>868.15</v>
      </c>
      <c r="I57" s="123">
        <v>8783.7000000000007</v>
      </c>
      <c r="J57" s="123">
        <v>8556.64</v>
      </c>
      <c r="K57" s="123"/>
      <c r="L57" s="123"/>
      <c r="M57" s="123"/>
      <c r="N57" s="135" t="s">
        <v>172</v>
      </c>
    </row>
    <row r="58" spans="2:14" x14ac:dyDescent="0.2">
      <c r="C58" s="139"/>
      <c r="D58" s="25"/>
      <c r="E58" s="75">
        <v>5065</v>
      </c>
      <c r="F58" s="131" t="s">
        <v>21</v>
      </c>
      <c r="G58" s="57">
        <f>'Benchmarking Calculations'!G23</f>
        <v>143923.53</v>
      </c>
      <c r="H58" s="123">
        <v>82585.12000000001</v>
      </c>
      <c r="I58" s="123">
        <v>67520.5</v>
      </c>
      <c r="J58" s="123">
        <v>69061.91</v>
      </c>
      <c r="K58" s="123"/>
      <c r="L58" s="123"/>
      <c r="M58" s="123"/>
      <c r="N58" s="135" t="s">
        <v>172</v>
      </c>
    </row>
    <row r="59" spans="2:14" x14ac:dyDescent="0.2">
      <c r="C59" s="139"/>
      <c r="D59" s="25"/>
      <c r="E59" s="75">
        <v>5070</v>
      </c>
      <c r="F59" s="131" t="s">
        <v>22</v>
      </c>
      <c r="G59" s="57">
        <f>'Benchmarking Calculations'!G24</f>
        <v>94926.27</v>
      </c>
      <c r="H59" s="123">
        <v>113772.28</v>
      </c>
      <c r="I59" s="123">
        <v>29183.4</v>
      </c>
      <c r="J59" s="123">
        <v>29955.82</v>
      </c>
      <c r="K59" s="123"/>
      <c r="L59" s="123"/>
      <c r="M59" s="123"/>
      <c r="N59" s="135" t="s">
        <v>172</v>
      </c>
    </row>
    <row r="60" spans="2:14" ht="25.5" x14ac:dyDescent="0.2">
      <c r="C60" s="139"/>
      <c r="D60" s="25"/>
      <c r="E60" s="75">
        <v>5075</v>
      </c>
      <c r="F60" s="131" t="s">
        <v>23</v>
      </c>
      <c r="G60" s="57">
        <f>'Benchmarking Calculations'!G25</f>
        <v>484.79</v>
      </c>
      <c r="H60" s="123">
        <v>2798.59</v>
      </c>
      <c r="I60" s="123">
        <v>8780</v>
      </c>
      <c r="J60" s="123">
        <v>9370</v>
      </c>
      <c r="K60" s="123"/>
      <c r="L60" s="123"/>
      <c r="M60" s="123"/>
      <c r="N60" s="135" t="s">
        <v>172</v>
      </c>
    </row>
    <row r="61" spans="2:14" x14ac:dyDescent="0.2">
      <c r="C61" s="139"/>
      <c r="D61" s="25"/>
      <c r="E61" s="75">
        <v>5085</v>
      </c>
      <c r="F61" s="131" t="s">
        <v>24</v>
      </c>
      <c r="G61" s="57">
        <f>'Benchmarking Calculations'!G26</f>
        <v>93652.79</v>
      </c>
      <c r="H61" s="123">
        <v>301418.55</v>
      </c>
      <c r="I61" s="123">
        <v>318160.01</v>
      </c>
      <c r="J61" s="123">
        <v>295739.38</v>
      </c>
      <c r="K61" s="123"/>
      <c r="L61" s="123"/>
      <c r="M61" s="123"/>
      <c r="N61" s="135" t="s">
        <v>172</v>
      </c>
    </row>
    <row r="62" spans="2:14" ht="25.5" x14ac:dyDescent="0.2">
      <c r="C62" s="139"/>
      <c r="D62" s="25"/>
      <c r="E62" s="75">
        <v>5090</v>
      </c>
      <c r="F62" s="131" t="s">
        <v>25</v>
      </c>
      <c r="G62" s="57">
        <f>'Benchmarking Calculations'!G27</f>
        <v>0</v>
      </c>
      <c r="H62" s="123">
        <v>0</v>
      </c>
      <c r="I62" s="123">
        <v>0</v>
      </c>
      <c r="J62" s="123">
        <v>0</v>
      </c>
      <c r="K62" s="123"/>
      <c r="L62" s="123"/>
      <c r="M62" s="123"/>
      <c r="N62" s="135" t="s">
        <v>172</v>
      </c>
    </row>
    <row r="63" spans="2:14" ht="25.5" x14ac:dyDescent="0.2">
      <c r="C63" s="139"/>
      <c r="D63" s="25"/>
      <c r="E63" s="75">
        <v>5095</v>
      </c>
      <c r="F63" s="131" t="s">
        <v>26</v>
      </c>
      <c r="G63" s="57">
        <f>'Benchmarking Calculations'!G28</f>
        <v>0</v>
      </c>
      <c r="H63" s="123">
        <v>37264.31</v>
      </c>
      <c r="I63" s="123">
        <v>37823.274649999992</v>
      </c>
      <c r="J63" s="123">
        <v>38390.620000000003</v>
      </c>
      <c r="K63" s="123"/>
      <c r="L63" s="123"/>
      <c r="M63" s="123"/>
      <c r="N63" s="135" t="s">
        <v>172</v>
      </c>
    </row>
    <row r="64" spans="2:14" x14ac:dyDescent="0.2">
      <c r="C64" s="139"/>
      <c r="D64" s="25"/>
      <c r="E64" s="106">
        <v>5096</v>
      </c>
      <c r="F64" s="149" t="s">
        <v>27</v>
      </c>
      <c r="G64" s="107">
        <f>'Benchmarking Calculations'!G29</f>
        <v>1100</v>
      </c>
      <c r="H64" s="123">
        <v>6600</v>
      </c>
      <c r="I64" s="123">
        <v>6900</v>
      </c>
      <c r="J64" s="123">
        <v>6900</v>
      </c>
      <c r="K64" s="123"/>
      <c r="L64" s="123"/>
      <c r="M64" s="123"/>
      <c r="N64" s="135" t="s">
        <v>172</v>
      </c>
    </row>
    <row r="65" spans="3:14" x14ac:dyDescent="0.2">
      <c r="C65" s="139"/>
      <c r="D65" s="25"/>
      <c r="E65" s="15"/>
      <c r="F65" s="77" t="s">
        <v>28</v>
      </c>
      <c r="G65" s="105">
        <f>'Benchmarking Calculations'!G30</f>
        <v>513327.29000000004</v>
      </c>
      <c r="H65" s="78">
        <f>SUM(H44:H64)</f>
        <v>785740.6100000001</v>
      </c>
      <c r="I65" s="78">
        <f t="shared" ref="I65:M65" si="11">SUM(I44:I64)</f>
        <v>815322.4546500002</v>
      </c>
      <c r="J65" s="78">
        <f t="shared" si="11"/>
        <v>901090.53</v>
      </c>
      <c r="K65" s="78">
        <f t="shared" si="11"/>
        <v>0</v>
      </c>
      <c r="L65" s="78">
        <f t="shared" si="11"/>
        <v>0</v>
      </c>
      <c r="M65" s="78">
        <f t="shared" si="11"/>
        <v>0</v>
      </c>
      <c r="N65" s="140" t="s">
        <v>29</v>
      </c>
    </row>
    <row r="66" spans="3:14" x14ac:dyDescent="0.2">
      <c r="C66" s="139"/>
      <c r="D66" s="25"/>
      <c r="E66" s="75">
        <v>5105</v>
      </c>
      <c r="F66" s="131" t="s">
        <v>30</v>
      </c>
      <c r="G66" s="57">
        <f>'Benchmarking Calculations'!G31</f>
        <v>2599.62</v>
      </c>
      <c r="H66" s="123">
        <v>48717.75</v>
      </c>
      <c r="I66" s="123">
        <v>64401.37</v>
      </c>
      <c r="J66" s="123">
        <v>66106.25</v>
      </c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5110</v>
      </c>
      <c r="F67" s="131" t="s">
        <v>31</v>
      </c>
      <c r="G67" s="57">
        <f>'Benchmarking Calculations'!G32</f>
        <v>8566.36</v>
      </c>
      <c r="H67" s="123">
        <v>15363.380000000001</v>
      </c>
      <c r="I67" s="123">
        <v>67127.73</v>
      </c>
      <c r="J67" s="123">
        <v>68744.75</v>
      </c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5112</v>
      </c>
      <c r="F68" s="131" t="s">
        <v>32</v>
      </c>
      <c r="G68" s="57">
        <f>'Benchmarking Calculations'!G33</f>
        <v>0</v>
      </c>
      <c r="H68" s="123">
        <v>0</v>
      </c>
      <c r="I68" s="123">
        <v>0</v>
      </c>
      <c r="J68" s="123">
        <v>0</v>
      </c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5114</v>
      </c>
      <c r="F69" s="131" t="s">
        <v>33</v>
      </c>
      <c r="G69" s="57">
        <f>'Benchmarking Calculations'!G34</f>
        <v>104681.31</v>
      </c>
      <c r="H69" s="123">
        <v>33341.79</v>
      </c>
      <c r="I69" s="123">
        <v>76590.92</v>
      </c>
      <c r="J69" s="123">
        <v>78617.62</v>
      </c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5120</v>
      </c>
      <c r="F70" s="131" t="s">
        <v>34</v>
      </c>
      <c r="G70" s="57">
        <f>'Benchmarking Calculations'!G35</f>
        <v>4648.87</v>
      </c>
      <c r="H70" s="123">
        <v>6055.12</v>
      </c>
      <c r="I70" s="123">
        <v>17001.73</v>
      </c>
      <c r="J70" s="123">
        <v>17445.07</v>
      </c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5125</v>
      </c>
      <c r="F71" s="131" t="s">
        <v>35</v>
      </c>
      <c r="G71" s="57">
        <f>'Benchmarking Calculations'!G36</f>
        <v>135076.67000000001</v>
      </c>
      <c r="H71" s="123">
        <v>72996.540000000008</v>
      </c>
      <c r="I71" s="123">
        <v>43963.48</v>
      </c>
      <c r="J71" s="123">
        <v>45047.49</v>
      </c>
      <c r="K71" s="123"/>
      <c r="L71" s="123"/>
      <c r="M71" s="123"/>
      <c r="N71" s="135" t="s">
        <v>172</v>
      </c>
    </row>
    <row r="72" spans="3:14" x14ac:dyDescent="0.2">
      <c r="C72" s="139"/>
      <c r="D72" s="25"/>
      <c r="E72" s="75">
        <v>5130</v>
      </c>
      <c r="F72" s="131" t="s">
        <v>36</v>
      </c>
      <c r="G72" s="57">
        <f>'Benchmarking Calculations'!G37</f>
        <v>74832.679999999993</v>
      </c>
      <c r="H72" s="123">
        <v>50155.03</v>
      </c>
      <c r="I72" s="123">
        <v>46445.68</v>
      </c>
      <c r="J72" s="123">
        <v>47635.07</v>
      </c>
      <c r="K72" s="123"/>
      <c r="L72" s="123"/>
      <c r="M72" s="123"/>
      <c r="N72" s="135" t="s">
        <v>172</v>
      </c>
    </row>
    <row r="73" spans="3:14" ht="25.5" x14ac:dyDescent="0.2">
      <c r="C73" s="139"/>
      <c r="D73" s="25"/>
      <c r="E73" s="75">
        <v>5135</v>
      </c>
      <c r="F73" s="131" t="s">
        <v>37</v>
      </c>
      <c r="G73" s="57">
        <f>'Benchmarking Calculations'!G38</f>
        <v>217305.15</v>
      </c>
      <c r="H73" s="123">
        <v>100547.27</v>
      </c>
      <c r="I73" s="123">
        <v>152456.29</v>
      </c>
      <c r="J73" s="123">
        <v>156225.98000000001</v>
      </c>
      <c r="K73" s="123"/>
      <c r="L73" s="123"/>
      <c r="M73" s="123"/>
      <c r="N73" s="135" t="s">
        <v>172</v>
      </c>
    </row>
    <row r="74" spans="3:14" x14ac:dyDescent="0.2">
      <c r="C74" s="139"/>
      <c r="D74" s="25"/>
      <c r="E74" s="75">
        <v>5145</v>
      </c>
      <c r="F74" s="131" t="s">
        <v>38</v>
      </c>
      <c r="G74" s="57">
        <f>'Benchmarking Calculations'!G39</f>
        <v>0</v>
      </c>
      <c r="H74" s="123">
        <v>1367.94</v>
      </c>
      <c r="I74" s="123">
        <v>8872.36</v>
      </c>
      <c r="J74" s="123">
        <v>9075.36</v>
      </c>
      <c r="K74" s="123"/>
      <c r="L74" s="123"/>
      <c r="M74" s="123"/>
      <c r="N74" s="135" t="s">
        <v>172</v>
      </c>
    </row>
    <row r="75" spans="3:14" ht="25.5" x14ac:dyDescent="0.2">
      <c r="C75" s="139"/>
      <c r="D75" s="25"/>
      <c r="E75" s="75">
        <v>5150</v>
      </c>
      <c r="F75" s="131" t="s">
        <v>39</v>
      </c>
      <c r="G75" s="57">
        <f>'Benchmarking Calculations'!G40</f>
        <v>11377.09</v>
      </c>
      <c r="H75" s="123">
        <v>11112.66</v>
      </c>
      <c r="I75" s="123">
        <v>11898.82</v>
      </c>
      <c r="J75" s="123">
        <v>12181.97</v>
      </c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5155</v>
      </c>
      <c r="F76" s="131" t="s">
        <v>40</v>
      </c>
      <c r="G76" s="57">
        <f>'Benchmarking Calculations'!G41</f>
        <v>23294.62</v>
      </c>
      <c r="H76" s="123">
        <v>11437.96</v>
      </c>
      <c r="I76" s="123">
        <v>17551.73</v>
      </c>
      <c r="J76" s="123">
        <v>17995.07</v>
      </c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75">
        <v>5160</v>
      </c>
      <c r="F77" s="131" t="s">
        <v>41</v>
      </c>
      <c r="G77" s="57">
        <f>'Benchmarking Calculations'!G42</f>
        <v>61738.98</v>
      </c>
      <c r="H77" s="123">
        <v>144059.16</v>
      </c>
      <c r="I77" s="123">
        <v>42101.22</v>
      </c>
      <c r="J77" s="123">
        <v>42686.03</v>
      </c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06">
        <v>5175</v>
      </c>
      <c r="F78" s="149" t="s">
        <v>42</v>
      </c>
      <c r="G78" s="107">
        <f>'Benchmarking Calculations'!G43</f>
        <v>1445.86</v>
      </c>
      <c r="H78" s="123">
        <v>6081.16</v>
      </c>
      <c r="I78" s="123">
        <v>14564.15</v>
      </c>
      <c r="J78" s="123">
        <v>14986.28</v>
      </c>
      <c r="K78" s="123"/>
      <c r="L78" s="123"/>
      <c r="M78" s="123"/>
      <c r="N78" s="135" t="s">
        <v>172</v>
      </c>
    </row>
    <row r="79" spans="3:14" x14ac:dyDescent="0.2">
      <c r="C79" s="139"/>
      <c r="D79" s="25"/>
      <c r="E79" s="15"/>
      <c r="F79" s="77" t="s">
        <v>43</v>
      </c>
      <c r="G79" s="105">
        <f>'Benchmarking Calculations'!G44</f>
        <v>645567.21</v>
      </c>
      <c r="H79" s="78">
        <f>SUM(H66:H78)</f>
        <v>501235.75999999995</v>
      </c>
      <c r="I79" s="78">
        <f t="shared" ref="I79:M79" si="12">SUM(I66:I78)</f>
        <v>562975.4800000001</v>
      </c>
      <c r="J79" s="78">
        <f t="shared" si="12"/>
        <v>576746.93999999994</v>
      </c>
      <c r="K79" s="78">
        <f t="shared" si="12"/>
        <v>0</v>
      </c>
      <c r="L79" s="78">
        <f t="shared" si="12"/>
        <v>0</v>
      </c>
      <c r="M79" s="78">
        <f t="shared" si="12"/>
        <v>0</v>
      </c>
      <c r="N79" s="140" t="s">
        <v>29</v>
      </c>
    </row>
    <row r="80" spans="3:14" x14ac:dyDescent="0.2">
      <c r="C80" s="139"/>
      <c r="D80" s="25"/>
      <c r="E80" s="75">
        <v>5305</v>
      </c>
      <c r="F80" s="75" t="s">
        <v>44</v>
      </c>
      <c r="G80" s="57">
        <f>'Benchmarking Calculations'!G45</f>
        <v>0</v>
      </c>
      <c r="H80" s="123">
        <v>0</v>
      </c>
      <c r="I80" s="123">
        <v>59554.17</v>
      </c>
      <c r="J80" s="123">
        <v>61128.59</v>
      </c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5310</v>
      </c>
      <c r="F81" s="75" t="s">
        <v>45</v>
      </c>
      <c r="G81" s="57">
        <f>'Benchmarking Calculations'!G46</f>
        <v>52758.28</v>
      </c>
      <c r="H81" s="123">
        <v>55012.88</v>
      </c>
      <c r="I81" s="123">
        <v>58032.51</v>
      </c>
      <c r="J81" s="123">
        <v>61176.35</v>
      </c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5315</v>
      </c>
      <c r="F82" s="75" t="s">
        <v>46</v>
      </c>
      <c r="G82" s="57">
        <f>'Benchmarking Calculations'!G47</f>
        <v>441086.32</v>
      </c>
      <c r="H82" s="123">
        <v>588954.37999999989</v>
      </c>
      <c r="I82" s="123">
        <v>609757.81000000006</v>
      </c>
      <c r="J82" s="123">
        <v>611928.63</v>
      </c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5320</v>
      </c>
      <c r="F83" s="75" t="s">
        <v>47</v>
      </c>
      <c r="G83" s="57">
        <f>'Benchmarking Calculations'!G48</f>
        <v>160340.6</v>
      </c>
      <c r="H83" s="123">
        <v>142897.52999999997</v>
      </c>
      <c r="I83" s="123">
        <v>123897.97</v>
      </c>
      <c r="J83" s="123">
        <v>127046.75</v>
      </c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5325</v>
      </c>
      <c r="F84" s="75" t="s">
        <v>48</v>
      </c>
      <c r="G84" s="57">
        <f>'Benchmarking Calculations'!G49</f>
        <v>-10.1</v>
      </c>
      <c r="H84" s="123">
        <v>-1121.08</v>
      </c>
      <c r="I84" s="123">
        <v>0</v>
      </c>
      <c r="J84" s="123">
        <v>0</v>
      </c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75">
        <v>5330</v>
      </c>
      <c r="F85" s="75" t="s">
        <v>49</v>
      </c>
      <c r="G85" s="57">
        <f>'Benchmarking Calculations'!G50</f>
        <v>-10775</v>
      </c>
      <c r="H85" s="123">
        <v>-6180</v>
      </c>
      <c r="I85" s="123">
        <v>0</v>
      </c>
      <c r="J85" s="123">
        <v>0</v>
      </c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06">
        <v>5340</v>
      </c>
      <c r="F86" s="106" t="s">
        <v>50</v>
      </c>
      <c r="G86" s="107">
        <f>'Benchmarking Calculations'!G51</f>
        <v>-326.79000000000002</v>
      </c>
      <c r="H86" s="123">
        <v>-42.91</v>
      </c>
      <c r="I86" s="123">
        <v>80</v>
      </c>
      <c r="J86" s="123">
        <v>80</v>
      </c>
      <c r="K86" s="123"/>
      <c r="L86" s="123"/>
      <c r="M86" s="123"/>
      <c r="N86" s="135" t="s">
        <v>172</v>
      </c>
    </row>
    <row r="87" spans="3:14" x14ac:dyDescent="0.2">
      <c r="C87" s="139"/>
      <c r="D87" s="25"/>
      <c r="E87" s="15"/>
      <c r="F87" s="77" t="s">
        <v>51</v>
      </c>
      <c r="G87" s="105">
        <f>'Benchmarking Calculations'!G52</f>
        <v>643073.30999999994</v>
      </c>
      <c r="H87" s="78">
        <f>SUM(H80:H86)</f>
        <v>779520.79999999981</v>
      </c>
      <c r="I87" s="78">
        <f t="shared" ref="I87:M87" si="13">SUM(I80:I86)</f>
        <v>851322.46</v>
      </c>
      <c r="J87" s="78">
        <f t="shared" si="13"/>
        <v>861360.32000000007</v>
      </c>
      <c r="K87" s="78">
        <f t="shared" si="13"/>
        <v>0</v>
      </c>
      <c r="L87" s="78">
        <f t="shared" si="13"/>
        <v>0</v>
      </c>
      <c r="M87" s="78">
        <f t="shared" si="13"/>
        <v>0</v>
      </c>
      <c r="N87" s="140" t="s">
        <v>29</v>
      </c>
    </row>
    <row r="88" spans="3:14" x14ac:dyDescent="0.2">
      <c r="C88" s="139"/>
      <c r="D88" s="25"/>
      <c r="E88" s="75">
        <v>5405</v>
      </c>
      <c r="F88" s="75" t="s">
        <v>52</v>
      </c>
      <c r="G88" s="57">
        <f>'Benchmarking Calculations'!G53</f>
        <v>0</v>
      </c>
      <c r="H88" s="123">
        <v>430.7</v>
      </c>
      <c r="I88" s="123">
        <v>0</v>
      </c>
      <c r="J88" s="123">
        <v>0</v>
      </c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5410</v>
      </c>
      <c r="F89" s="75" t="s">
        <v>53</v>
      </c>
      <c r="G89" s="57">
        <f>'Benchmarking Calculations'!G54</f>
        <v>28477.75</v>
      </c>
      <c r="H89" s="123">
        <v>28495.68</v>
      </c>
      <c r="I89" s="123">
        <v>13009.7</v>
      </c>
      <c r="J89" s="123">
        <v>13336.81</v>
      </c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75">
        <v>5420</v>
      </c>
      <c r="F90" s="75" t="s">
        <v>54</v>
      </c>
      <c r="G90" s="57">
        <f>'Benchmarking Calculations'!G55</f>
        <v>35779.199999999997</v>
      </c>
      <c r="H90" s="123">
        <v>1411.4499999999998</v>
      </c>
      <c r="I90" s="123">
        <v>28351.85</v>
      </c>
      <c r="J90" s="123">
        <v>28981.62</v>
      </c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06">
        <v>5425</v>
      </c>
      <c r="F91" s="106" t="s">
        <v>55</v>
      </c>
      <c r="G91" s="107">
        <f>'Benchmarking Calculations'!G56</f>
        <v>0</v>
      </c>
      <c r="H91" s="123">
        <v>0</v>
      </c>
      <c r="I91" s="123">
        <v>0</v>
      </c>
      <c r="J91" s="123">
        <v>0</v>
      </c>
      <c r="K91" s="123"/>
      <c r="L91" s="123"/>
      <c r="M91" s="123"/>
      <c r="N91" s="135" t="s">
        <v>172</v>
      </c>
    </row>
    <row r="92" spans="3:14" x14ac:dyDescent="0.2">
      <c r="C92" s="139"/>
      <c r="D92" s="25"/>
      <c r="E92" s="15"/>
      <c r="F92" s="77" t="s">
        <v>56</v>
      </c>
      <c r="G92" s="105">
        <f>'Benchmarking Calculations'!G57</f>
        <v>64256.95</v>
      </c>
      <c r="H92" s="78">
        <f>SUM(H88:H91)</f>
        <v>30337.83</v>
      </c>
      <c r="I92" s="78">
        <f t="shared" ref="I92:M92" si="14">SUM(I88:I91)</f>
        <v>41361.550000000003</v>
      </c>
      <c r="J92" s="78">
        <f t="shared" si="14"/>
        <v>42318.43</v>
      </c>
      <c r="K92" s="78">
        <f t="shared" si="14"/>
        <v>0</v>
      </c>
      <c r="L92" s="78">
        <f t="shared" si="14"/>
        <v>0</v>
      </c>
      <c r="M92" s="78">
        <f t="shared" si="14"/>
        <v>0</v>
      </c>
      <c r="N92" s="140" t="s">
        <v>29</v>
      </c>
    </row>
    <row r="93" spans="3:14" x14ac:dyDescent="0.2">
      <c r="C93" s="139"/>
      <c r="D93" s="25"/>
      <c r="E93" s="75">
        <v>5605</v>
      </c>
      <c r="F93" s="75" t="s">
        <v>57</v>
      </c>
      <c r="G93" s="57">
        <f>'Benchmarking Calculations'!G58</f>
        <v>48402.559999999998</v>
      </c>
      <c r="H93" s="123">
        <v>39963.460000000006</v>
      </c>
      <c r="I93" s="123">
        <v>44929.8</v>
      </c>
      <c r="J93" s="123">
        <v>46047.39</v>
      </c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5610</v>
      </c>
      <c r="F94" s="75" t="s">
        <v>58</v>
      </c>
      <c r="G94" s="57">
        <f>'Benchmarking Calculations'!G59</f>
        <v>287263.61</v>
      </c>
      <c r="H94" s="123">
        <v>341441.83999999997</v>
      </c>
      <c r="I94" s="123">
        <v>418038.27999999997</v>
      </c>
      <c r="J94" s="123">
        <v>418242.04</v>
      </c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5615</v>
      </c>
      <c r="F95" s="75" t="s">
        <v>59</v>
      </c>
      <c r="G95" s="57">
        <f>'Benchmarking Calculations'!G60</f>
        <v>248142.84</v>
      </c>
      <c r="H95" s="123">
        <v>88321.85</v>
      </c>
      <c r="I95" s="123">
        <v>34284.050000000003</v>
      </c>
      <c r="J95" s="123">
        <v>35126.31</v>
      </c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5620</v>
      </c>
      <c r="F96" s="75" t="s">
        <v>60</v>
      </c>
      <c r="G96" s="57">
        <f>'Benchmarking Calculations'!G61</f>
        <v>86444.75</v>
      </c>
      <c r="H96" s="123">
        <v>79314.539999999994</v>
      </c>
      <c r="I96" s="123">
        <v>81814</v>
      </c>
      <c r="J96" s="123">
        <v>81814</v>
      </c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5625</v>
      </c>
      <c r="F97" s="75" t="s">
        <v>61</v>
      </c>
      <c r="G97" s="57">
        <f>'Benchmarking Calculations'!G62</f>
        <v>0</v>
      </c>
      <c r="H97" s="123">
        <v>0</v>
      </c>
      <c r="I97" s="123">
        <v>0</v>
      </c>
      <c r="J97" s="123">
        <v>0</v>
      </c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5630</v>
      </c>
      <c r="F98" s="75" t="s">
        <v>62</v>
      </c>
      <c r="G98" s="57">
        <f>'Benchmarking Calculations'!G63</f>
        <v>20380.48</v>
      </c>
      <c r="H98" s="123">
        <v>17343.21</v>
      </c>
      <c r="I98" s="123">
        <v>32392</v>
      </c>
      <c r="J98" s="123">
        <v>32452</v>
      </c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5640</v>
      </c>
      <c r="F99" s="75" t="s">
        <v>63</v>
      </c>
      <c r="G99" s="57">
        <f>'Benchmarking Calculations'!G64</f>
        <v>0</v>
      </c>
      <c r="H99" s="123">
        <v>0</v>
      </c>
      <c r="I99" s="123">
        <v>0</v>
      </c>
      <c r="J99" s="123">
        <v>0</v>
      </c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5645</v>
      </c>
      <c r="F100" s="75" t="s">
        <v>64</v>
      </c>
      <c r="G100" s="57">
        <f>'Benchmarking Calculations'!G65</f>
        <v>22763.599999999999</v>
      </c>
      <c r="H100" s="123">
        <v>166785.49999999988</v>
      </c>
      <c r="I100" s="123">
        <v>170121.20999999988</v>
      </c>
      <c r="J100" s="123">
        <v>173523.63419999988</v>
      </c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5646</v>
      </c>
      <c r="F101" s="75" t="s">
        <v>65</v>
      </c>
      <c r="G101" s="57">
        <f>'Benchmarking Calculations'!G66</f>
        <v>0</v>
      </c>
      <c r="H101" s="123">
        <v>0</v>
      </c>
      <c r="I101" s="123">
        <v>0</v>
      </c>
      <c r="J101" s="123">
        <v>0</v>
      </c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5647</v>
      </c>
      <c r="F102" s="75" t="s">
        <v>66</v>
      </c>
      <c r="G102" s="57">
        <f>'Benchmarking Calculations'!G67</f>
        <v>152949.31</v>
      </c>
      <c r="H102" s="123">
        <v>0</v>
      </c>
      <c r="I102" s="123">
        <v>0</v>
      </c>
      <c r="J102" s="123">
        <v>0</v>
      </c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5650</v>
      </c>
      <c r="F103" s="75" t="s">
        <v>67</v>
      </c>
      <c r="G103" s="57">
        <f>'Benchmarking Calculations'!G68</f>
        <v>0</v>
      </c>
      <c r="H103" s="123">
        <v>0</v>
      </c>
      <c r="I103" s="123">
        <v>0</v>
      </c>
      <c r="J103" s="123">
        <v>0</v>
      </c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5655</v>
      </c>
      <c r="F104" s="75" t="s">
        <v>68</v>
      </c>
      <c r="G104" s="57">
        <f>'Benchmarking Calculations'!G69</f>
        <v>173231.78</v>
      </c>
      <c r="H104" s="123">
        <v>159827.69</v>
      </c>
      <c r="I104" s="123">
        <v>117729.64</v>
      </c>
      <c r="J104" s="123">
        <v>183062</v>
      </c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5665</v>
      </c>
      <c r="F105" s="75" t="s">
        <v>69</v>
      </c>
      <c r="G105" s="57">
        <f>'Benchmarking Calculations'!G70</f>
        <v>80658.2</v>
      </c>
      <c r="H105" s="123">
        <v>78858.61</v>
      </c>
      <c r="I105" s="123">
        <v>79000</v>
      </c>
      <c r="J105" s="123">
        <v>81500</v>
      </c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5670</v>
      </c>
      <c r="F106" s="75" t="s">
        <v>70</v>
      </c>
      <c r="G106" s="57">
        <f>'Benchmarking Calculations'!G71</f>
        <v>15000</v>
      </c>
      <c r="H106" s="123">
        <v>14330.76</v>
      </c>
      <c r="I106" s="123">
        <v>12000</v>
      </c>
      <c r="J106" s="123">
        <v>12000</v>
      </c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5672</v>
      </c>
      <c r="F107" s="75" t="s">
        <v>71</v>
      </c>
      <c r="G107" s="57">
        <f>'Benchmarking Calculations'!G72</f>
        <v>0</v>
      </c>
      <c r="H107" s="123">
        <v>0</v>
      </c>
      <c r="I107" s="123">
        <v>0</v>
      </c>
      <c r="J107" s="123">
        <v>0</v>
      </c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75">
        <v>5675</v>
      </c>
      <c r="F108" s="75" t="s">
        <v>72</v>
      </c>
      <c r="G108" s="57">
        <f>'Benchmarking Calculations'!G73</f>
        <v>231262.04</v>
      </c>
      <c r="H108" s="123">
        <v>191538.17</v>
      </c>
      <c r="I108" s="123">
        <v>128180.48</v>
      </c>
      <c r="J108" s="123">
        <v>132810.74</v>
      </c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06">
        <v>5680</v>
      </c>
      <c r="F109" s="106" t="s">
        <v>73</v>
      </c>
      <c r="G109" s="107">
        <f>'Benchmarking Calculations'!G74</f>
        <v>7404.52</v>
      </c>
      <c r="H109" s="123">
        <v>8612</v>
      </c>
      <c r="I109" s="123">
        <v>8000</v>
      </c>
      <c r="J109" s="123">
        <v>8300</v>
      </c>
      <c r="K109" s="123"/>
      <c r="L109" s="123"/>
      <c r="M109" s="123"/>
      <c r="N109" s="135" t="s">
        <v>172</v>
      </c>
    </row>
    <row r="110" spans="3:14" x14ac:dyDescent="0.2">
      <c r="C110" s="139"/>
      <c r="D110" s="25"/>
      <c r="E110" s="12"/>
      <c r="F110" s="77" t="s">
        <v>74</v>
      </c>
      <c r="G110" s="105">
        <f>'Benchmarking Calculations'!G75</f>
        <v>1373903.69</v>
      </c>
      <c r="H110" s="78">
        <f t="shared" ref="H110:M110" si="15">SUM(H93:H109)</f>
        <v>1186337.6299999999</v>
      </c>
      <c r="I110" s="78">
        <f t="shared" si="15"/>
        <v>1126489.4599999997</v>
      </c>
      <c r="J110" s="78">
        <f t="shared" si="15"/>
        <v>1204878.1142</v>
      </c>
      <c r="K110" s="78">
        <f t="shared" si="15"/>
        <v>0</v>
      </c>
      <c r="L110" s="78">
        <f t="shared" si="15"/>
        <v>0</v>
      </c>
      <c r="M110" s="78">
        <f t="shared" si="15"/>
        <v>0</v>
      </c>
      <c r="N110" s="140" t="s">
        <v>29</v>
      </c>
    </row>
    <row r="111" spans="3:14" x14ac:dyDescent="0.2">
      <c r="C111" s="139"/>
      <c r="D111" s="25"/>
      <c r="E111" s="75">
        <v>5635</v>
      </c>
      <c r="F111" s="75" t="s">
        <v>75</v>
      </c>
      <c r="G111" s="57">
        <f>'Benchmarking Calculations'!G76</f>
        <v>9655.52</v>
      </c>
      <c r="H111" s="123">
        <v>12739.74</v>
      </c>
      <c r="I111" s="123">
        <v>12750</v>
      </c>
      <c r="J111" s="123">
        <v>13000</v>
      </c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106">
        <v>6210</v>
      </c>
      <c r="F112" s="106" t="s">
        <v>76</v>
      </c>
      <c r="G112" s="107">
        <f>'Benchmarking Calculations'!G77</f>
        <v>0</v>
      </c>
      <c r="H112" s="123"/>
      <c r="I112" s="123"/>
      <c r="J112" s="123"/>
      <c r="K112" s="123"/>
      <c r="L112" s="123"/>
      <c r="M112" s="123"/>
      <c r="N112" s="135" t="s">
        <v>172</v>
      </c>
    </row>
    <row r="113" spans="3:14" x14ac:dyDescent="0.2">
      <c r="C113" s="139"/>
      <c r="D113" s="25"/>
      <c r="E113" s="25"/>
      <c r="F113" s="77" t="s">
        <v>77</v>
      </c>
      <c r="G113" s="105">
        <f>'Benchmarking Calculations'!G78</f>
        <v>9655.52</v>
      </c>
      <c r="H113" s="78">
        <f>H111+H112</f>
        <v>12739.74</v>
      </c>
      <c r="I113" s="78">
        <f t="shared" ref="I113:M113" si="16">I111+I112</f>
        <v>12750</v>
      </c>
      <c r="J113" s="78">
        <f t="shared" si="16"/>
        <v>13000</v>
      </c>
      <c r="K113" s="78">
        <f t="shared" si="16"/>
        <v>0</v>
      </c>
      <c r="L113" s="78">
        <f t="shared" si="16"/>
        <v>0</v>
      </c>
      <c r="M113" s="78">
        <f t="shared" si="16"/>
        <v>0</v>
      </c>
      <c r="N113" s="140" t="s">
        <v>29</v>
      </c>
    </row>
    <row r="114" spans="3:14" x14ac:dyDescent="0.2">
      <c r="C114" s="139"/>
      <c r="D114" s="25"/>
      <c r="E114" s="108">
        <v>5515</v>
      </c>
      <c r="F114" s="106" t="s">
        <v>78</v>
      </c>
      <c r="G114" s="107">
        <f>'Benchmarking Calculations'!G79</f>
        <v>0</v>
      </c>
      <c r="H114" s="123"/>
      <c r="I114" s="123"/>
      <c r="J114" s="123"/>
      <c r="K114" s="123"/>
      <c r="L114" s="123"/>
      <c r="M114" s="123"/>
      <c r="N114" s="135" t="s">
        <v>172</v>
      </c>
    </row>
    <row r="115" spans="3:14" x14ac:dyDescent="0.2">
      <c r="C115" s="139"/>
      <c r="D115" s="74"/>
      <c r="E115" s="15"/>
      <c r="F115" s="77" t="s">
        <v>79</v>
      </c>
      <c r="G115" s="105">
        <f>'Benchmarking Calculations'!G80</f>
        <v>0</v>
      </c>
      <c r="H115" s="78">
        <f>H114</f>
        <v>0</v>
      </c>
      <c r="I115" s="78">
        <f t="shared" ref="I115:M115" si="17">I114</f>
        <v>0</v>
      </c>
      <c r="J115" s="78">
        <f t="shared" si="17"/>
        <v>0</v>
      </c>
      <c r="K115" s="78">
        <f t="shared" si="17"/>
        <v>0</v>
      </c>
      <c r="L115" s="78">
        <f t="shared" si="17"/>
        <v>0</v>
      </c>
      <c r="M115" s="78">
        <f t="shared" si="17"/>
        <v>0</v>
      </c>
      <c r="N115" s="140" t="s">
        <v>29</v>
      </c>
    </row>
    <row r="116" spans="3:14" x14ac:dyDescent="0.2">
      <c r="C116" s="139"/>
      <c r="D116" s="74"/>
      <c r="E116" s="152" t="s">
        <v>198</v>
      </c>
      <c r="F116" s="77" t="s">
        <v>80</v>
      </c>
      <c r="G116" s="57">
        <f>'Benchmarking Calculations'!G81</f>
        <v>3249783.97</v>
      </c>
      <c r="H116" s="78">
        <f t="shared" ref="H116:M116" si="18">H65+H79+H87+H92+H110+H113</f>
        <v>3295912.37</v>
      </c>
      <c r="I116" s="78">
        <f t="shared" si="18"/>
        <v>3410221.4046499999</v>
      </c>
      <c r="J116" s="78">
        <f t="shared" si="18"/>
        <v>3599394.3342000004</v>
      </c>
      <c r="K116" s="78">
        <f t="shared" si="18"/>
        <v>0</v>
      </c>
      <c r="L116" s="78">
        <f t="shared" si="18"/>
        <v>0</v>
      </c>
      <c r="M116" s="78">
        <f t="shared" si="18"/>
        <v>0</v>
      </c>
      <c r="N116" s="140" t="s">
        <v>29</v>
      </c>
    </row>
    <row r="117" spans="3:14" x14ac:dyDescent="0.2">
      <c r="C117" s="139"/>
      <c r="D117" s="74"/>
      <c r="E117" s="74"/>
      <c r="F117" s="77"/>
      <c r="G117" s="57"/>
      <c r="H117" s="88"/>
      <c r="I117" s="80"/>
      <c r="J117" s="25"/>
      <c r="K117" s="25"/>
      <c r="L117" s="25"/>
      <c r="M117" s="25"/>
      <c r="N117" s="135"/>
    </row>
    <row r="118" spans="3:14" x14ac:dyDescent="0.2">
      <c r="C118" s="139"/>
      <c r="D118" s="73" t="s">
        <v>81</v>
      </c>
      <c r="E118" s="74"/>
      <c r="F118" s="13"/>
      <c r="G118" s="57"/>
      <c r="H118" s="88"/>
      <c r="I118" s="25"/>
      <c r="J118" s="25"/>
      <c r="K118" s="25"/>
      <c r="L118" s="25"/>
      <c r="M118" s="25"/>
      <c r="N118" s="135"/>
    </row>
    <row r="119" spans="3:14" x14ac:dyDescent="0.2">
      <c r="C119" s="139"/>
      <c r="D119" s="81"/>
      <c r="E119" s="81"/>
      <c r="F119" s="58">
        <v>5014</v>
      </c>
      <c r="G119" s="57">
        <f t="shared" ref="G119:M120" si="19">G47</f>
        <v>0</v>
      </c>
      <c r="H119" s="57">
        <f t="shared" si="19"/>
        <v>0</v>
      </c>
      <c r="I119" s="57">
        <f t="shared" si="19"/>
        <v>0</v>
      </c>
      <c r="J119" s="57">
        <f t="shared" si="19"/>
        <v>0</v>
      </c>
      <c r="K119" s="57">
        <f t="shared" si="19"/>
        <v>0</v>
      </c>
      <c r="L119" s="57">
        <f t="shared" si="19"/>
        <v>0</v>
      </c>
      <c r="M119" s="57">
        <f t="shared" si="19"/>
        <v>0</v>
      </c>
      <c r="N119" s="140" t="s">
        <v>29</v>
      </c>
    </row>
    <row r="120" spans="3:14" x14ac:dyDescent="0.2">
      <c r="C120" s="139"/>
      <c r="D120" s="81"/>
      <c r="F120" s="58">
        <v>5015</v>
      </c>
      <c r="G120" s="57">
        <f t="shared" si="19"/>
        <v>0</v>
      </c>
      <c r="H120" s="57">
        <f t="shared" si="19"/>
        <v>0</v>
      </c>
      <c r="I120" s="57">
        <f t="shared" si="19"/>
        <v>0</v>
      </c>
      <c r="J120" s="57">
        <f t="shared" si="19"/>
        <v>0</v>
      </c>
      <c r="K120" s="57">
        <f t="shared" si="19"/>
        <v>0</v>
      </c>
      <c r="L120" s="57">
        <f t="shared" si="19"/>
        <v>0</v>
      </c>
      <c r="M120" s="57">
        <f t="shared" si="19"/>
        <v>0</v>
      </c>
      <c r="N120" s="140" t="s">
        <v>29</v>
      </c>
    </row>
    <row r="121" spans="3:14" x14ac:dyDescent="0.2">
      <c r="C121" s="139"/>
      <c r="D121" s="81"/>
      <c r="F121" s="58">
        <v>5112</v>
      </c>
      <c r="G121" s="57">
        <f t="shared" ref="G121:M121" si="20">G68</f>
        <v>0</v>
      </c>
      <c r="H121" s="57">
        <f t="shared" si="20"/>
        <v>0</v>
      </c>
      <c r="I121" s="57">
        <f t="shared" si="20"/>
        <v>0</v>
      </c>
      <c r="J121" s="57">
        <f t="shared" si="20"/>
        <v>0</v>
      </c>
      <c r="K121" s="57">
        <f t="shared" si="20"/>
        <v>0</v>
      </c>
      <c r="L121" s="57">
        <f t="shared" si="20"/>
        <v>0</v>
      </c>
      <c r="M121" s="57">
        <f t="shared" si="20"/>
        <v>0</v>
      </c>
      <c r="N121" s="140" t="s">
        <v>29</v>
      </c>
    </row>
    <row r="122" spans="3:14" x14ac:dyDescent="0.2">
      <c r="C122" s="139"/>
      <c r="D122" s="74"/>
      <c r="E122" s="152" t="s">
        <v>199</v>
      </c>
      <c r="F122" s="77" t="s">
        <v>82</v>
      </c>
      <c r="G122" s="105">
        <f>'Benchmarking Calculations'!G87</f>
        <v>0</v>
      </c>
      <c r="H122" s="105">
        <f t="shared" ref="H122:M122" si="21">H47+H48+H68</f>
        <v>0</v>
      </c>
      <c r="I122" s="105">
        <f t="shared" si="21"/>
        <v>0</v>
      </c>
      <c r="J122" s="105">
        <f t="shared" si="21"/>
        <v>0</v>
      </c>
      <c r="K122" s="105">
        <f t="shared" si="21"/>
        <v>0</v>
      </c>
      <c r="L122" s="105">
        <f t="shared" si="21"/>
        <v>0</v>
      </c>
      <c r="M122" s="105">
        <f t="shared" si="21"/>
        <v>0</v>
      </c>
      <c r="N122" s="153" t="s">
        <v>29</v>
      </c>
    </row>
    <row r="123" spans="3:14" x14ac:dyDescent="0.2">
      <c r="C123" s="139"/>
      <c r="D123" s="74"/>
      <c r="E123" s="154" t="s">
        <v>200</v>
      </c>
      <c r="F123" s="77" t="s">
        <v>83</v>
      </c>
      <c r="G123" s="105">
        <f>'Benchmarking Calculations'!G88</f>
        <v>87419.270000000019</v>
      </c>
      <c r="H123" s="155">
        <f>G123</f>
        <v>87419.270000000019</v>
      </c>
      <c r="I123" s="155">
        <f t="shared" ref="I123:M123" si="22">H123</f>
        <v>87419.270000000019</v>
      </c>
      <c r="J123" s="155">
        <f t="shared" si="22"/>
        <v>87419.270000000019</v>
      </c>
      <c r="K123" s="155">
        <f t="shared" si="22"/>
        <v>87419.270000000019</v>
      </c>
      <c r="L123" s="155">
        <f t="shared" si="22"/>
        <v>87419.270000000019</v>
      </c>
      <c r="M123" s="155">
        <f t="shared" si="22"/>
        <v>87419.270000000019</v>
      </c>
      <c r="N123" s="156" t="s">
        <v>172</v>
      </c>
    </row>
    <row r="124" spans="3:14" ht="13.5" thickBot="1" x14ac:dyDescent="0.25">
      <c r="C124" s="141"/>
      <c r="D124" s="142"/>
      <c r="E124" s="142"/>
      <c r="F124" s="143"/>
      <c r="G124" s="137"/>
      <c r="H124" s="144"/>
      <c r="I124" s="145"/>
      <c r="J124" s="72"/>
      <c r="K124" s="72"/>
      <c r="L124" s="72"/>
      <c r="M124" s="72"/>
      <c r="N124" s="138"/>
    </row>
    <row r="125" spans="3:14" x14ac:dyDescent="0.2"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75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217" zoomScaleNormal="100" workbookViewId="0">
      <selection activeCell="G248" sqref="G24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234" bestFit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customWidth="1"/>
    <col min="15" max="15" width="9.140625" style="109" customWidth="1"/>
    <col min="16" max="16" width="16.140625" style="109" customWidth="1"/>
    <col min="17" max="17" width="19" style="109" customWidth="1"/>
    <col min="18" max="18" width="18.140625" style="109" customWidth="1"/>
    <col min="19" max="19" width="14.28515625" style="109" customWidth="1"/>
    <col min="20" max="20" width="17.140625" style="109" customWidth="1"/>
    <col min="21" max="23" width="14.28515625" style="109" customWidth="1"/>
    <col min="24" max="24" width="17.140625" style="109" customWidth="1"/>
    <col min="25" max="25" width="21.42578125" style="109" customWidth="1"/>
    <col min="26" max="26" width="21" style="109" customWidth="1"/>
    <col min="27" max="27" width="19.42578125" style="109" customWidth="1"/>
    <col min="28" max="29" width="14.28515625" style="109" customWidth="1"/>
    <col min="30" max="30" width="16.42578125" style="109" customWidth="1"/>
    <col min="31" max="31" width="15.42578125" style="109" customWidth="1"/>
    <col min="32" max="32" width="19.28515625" style="109" customWidth="1"/>
    <col min="33" max="33" width="18.85546875" style="109" customWidth="1"/>
    <col min="34" max="34" width="18.140625" style="109" customWidth="1"/>
    <col min="35" max="35" width="14.28515625" style="109" customWidth="1"/>
    <col min="36" max="36" width="18.28515625" style="109" customWidth="1"/>
    <col min="37" max="37" width="14.28515625" style="109" customWidth="1"/>
    <col min="38" max="38" width="17.42578125" style="109" customWidth="1"/>
    <col min="39" max="39" width="16.5703125" style="109" customWidth="1"/>
    <col min="40" max="40" width="18.7109375" style="109" customWidth="1"/>
    <col min="41" max="41" width="16.7109375" style="109" customWidth="1"/>
    <col min="42" max="43" width="13.42578125" style="109" customWidth="1"/>
    <col min="44" max="44" width="19.140625" style="109" customWidth="1"/>
    <col min="45" max="45" width="15.85546875" style="109" customWidth="1"/>
    <col min="46" max="46" width="17.28515625" style="109" customWidth="1"/>
    <col min="47" max="47" width="18" style="109" customWidth="1"/>
    <col min="48" max="48" width="13.42578125" style="109" customWidth="1"/>
    <col min="49" max="49" width="17.28515625" style="109" customWidth="1"/>
    <col min="50" max="50" width="13.42578125" style="109" customWidth="1"/>
    <col min="51" max="51" width="17.28515625" style="109" customWidth="1"/>
    <col min="52" max="52" width="18.140625" style="109" customWidth="1"/>
    <col min="53" max="53" width="21.28515625" style="109" customWidth="1"/>
    <col min="54" max="54" width="18.42578125" style="109" customWidth="1"/>
    <col min="55" max="55" width="18" style="109" customWidth="1"/>
    <col min="56" max="60" width="13.42578125" style="109" customWidth="1"/>
    <col min="61" max="61" width="14.85546875" style="109" customWidth="1"/>
    <col min="62" max="62" width="15.85546875" style="109" customWidth="1"/>
    <col min="63" max="63" width="13.42578125" style="109" customWidth="1"/>
    <col min="64" max="64" width="16.42578125" style="109" customWidth="1"/>
    <col min="65" max="65" width="16.140625" style="109" customWidth="1"/>
    <col min="66" max="69" width="13.42578125" style="109" customWidth="1"/>
    <col min="70" max="70" width="15.28515625" style="109" customWidth="1"/>
    <col min="71" max="71" width="13.42578125" style="109" customWidth="1"/>
    <col min="72" max="72" width="15.85546875" style="109" customWidth="1"/>
    <col min="73" max="73" width="13.42578125" style="109" customWidth="1"/>
    <col min="74" max="74" width="16.140625" style="109" customWidth="1"/>
    <col min="75" max="78" width="13.42578125" style="109" customWidth="1"/>
    <col min="79" max="79" width="17.140625" style="109" customWidth="1"/>
    <col min="80" max="83" width="13.42578125" style="109" customWidth="1"/>
    <col min="84" max="149" width="9.140625" customWidth="1"/>
    <col min="150" max="150" width="9.140625" style="67" customWidth="1"/>
  </cols>
  <sheetData>
    <row r="1" spans="1:150" ht="24" thickBot="1" x14ac:dyDescent="0.4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74" t="s">
        <v>1</v>
      </c>
      <c r="C3" s="274"/>
      <c r="D3" s="188"/>
      <c r="E3" s="98" t="str">
        <f>'Model Inputs'!F5</f>
        <v>Ottawa River Power Corporation</v>
      </c>
      <c r="F3" s="235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261</v>
      </c>
      <c r="AC3" s="189" t="s">
        <v>262</v>
      </c>
      <c r="AD3" s="189" t="s">
        <v>213</v>
      </c>
      <c r="AE3" s="189" t="s">
        <v>263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264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265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30"/>
    </row>
    <row r="4" spans="1:150" s="224" customFormat="1" ht="101.25" customHeight="1" x14ac:dyDescent="0.25">
      <c r="E4" s="225"/>
      <c r="F4" s="275"/>
      <c r="G4" s="276"/>
      <c r="H4" s="277" t="s">
        <v>2</v>
      </c>
      <c r="I4" s="278"/>
      <c r="J4" s="278"/>
      <c r="K4" s="278"/>
      <c r="L4" s="278"/>
      <c r="M4" s="278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72" t="s">
        <v>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37"/>
      <c r="G10" s="100">
        <f>HLOOKUP($E$3,$P$3:$CE$269,O10,TRUE)</f>
        <v>96865.72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37"/>
      <c r="G11" s="100">
        <f t="shared" ref="G11:G41" si="1">HLOOKUP($E$3,$P$3:$CE$269,O11,TRUE)</f>
        <v>5417.5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37"/>
      <c r="G12" s="100">
        <f t="shared" si="1"/>
        <v>66000.990000000005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37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37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37"/>
      <c r="G15" s="100">
        <f t="shared" si="1"/>
        <v>113.77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37"/>
      <c r="G16" s="100">
        <f t="shared" si="1"/>
        <v>8203.32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37"/>
      <c r="G17" s="100">
        <f t="shared" si="1"/>
        <v>1490.25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37"/>
      <c r="G18" s="100">
        <f t="shared" si="1"/>
        <v>993.31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37"/>
      <c r="G19" s="100">
        <f t="shared" si="1"/>
        <v>105.2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37"/>
      <c r="G20" s="100">
        <f t="shared" si="1"/>
        <v>0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37"/>
      <c r="G21" s="100">
        <f t="shared" si="1"/>
        <v>0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37"/>
      <c r="G22" s="100">
        <f t="shared" si="1"/>
        <v>49.85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37"/>
      <c r="G23" s="100">
        <f t="shared" si="1"/>
        <v>143923.53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37"/>
      <c r="G24" s="100">
        <f t="shared" si="1"/>
        <v>94926.27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37"/>
      <c r="G25" s="100">
        <f t="shared" si="1"/>
        <v>484.79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37"/>
      <c r="G26" s="100">
        <f t="shared" si="1"/>
        <v>93652.79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37"/>
      <c r="G28" s="100">
        <f t="shared" si="1"/>
        <v>0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37"/>
      <c r="G29" s="100">
        <f t="shared" si="1"/>
        <v>1100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38"/>
      <c r="G30" s="100">
        <f t="shared" si="1"/>
        <v>513327.29000000004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37"/>
      <c r="G31" s="100">
        <f t="shared" si="1"/>
        <v>2599.62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37"/>
      <c r="G32" s="100">
        <f t="shared" si="1"/>
        <v>8566.36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37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37"/>
      <c r="G34" s="100">
        <f t="shared" si="1"/>
        <v>104681.31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37"/>
      <c r="G35" s="100">
        <f t="shared" si="1"/>
        <v>4648.87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37"/>
      <c r="G36" s="100">
        <f t="shared" si="1"/>
        <v>135076.67000000001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37"/>
      <c r="G37" s="100">
        <f t="shared" si="1"/>
        <v>74832.679999999993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37"/>
      <c r="G38" s="100">
        <f t="shared" si="1"/>
        <v>217305.15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37"/>
      <c r="G39" s="100">
        <f t="shared" si="1"/>
        <v>0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37"/>
      <c r="G40" s="100">
        <f t="shared" si="1"/>
        <v>11377.09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37"/>
      <c r="G41" s="100">
        <f t="shared" si="1"/>
        <v>23294.62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37"/>
      <c r="G42" s="100">
        <f t="shared" ref="G42:G73" si="2">HLOOKUP($E$3,$P$3:$CE$269,O42,TRUE)</f>
        <v>61738.98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37"/>
      <c r="G43" s="100">
        <f t="shared" si="2"/>
        <v>1445.86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38"/>
      <c r="G44" s="100">
        <f t="shared" si="2"/>
        <v>645567.21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37"/>
      <c r="G45" s="100">
        <f t="shared" si="2"/>
        <v>0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37"/>
      <c r="G46" s="100">
        <f t="shared" si="2"/>
        <v>52758.28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37"/>
      <c r="G47" s="100">
        <f t="shared" si="2"/>
        <v>441086.32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37"/>
      <c r="G48" s="100">
        <f t="shared" si="2"/>
        <v>160340.6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37"/>
      <c r="G49" s="100">
        <f t="shared" si="2"/>
        <v>-10.1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37"/>
      <c r="G50" s="100">
        <f t="shared" si="2"/>
        <v>-10775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37"/>
      <c r="G51" s="100">
        <f t="shared" si="2"/>
        <v>-326.79000000000002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38"/>
      <c r="G52" s="100">
        <f t="shared" si="2"/>
        <v>643073.30999999994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37"/>
      <c r="G53" s="100">
        <f t="shared" si="2"/>
        <v>0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37"/>
      <c r="G54" s="100">
        <f t="shared" si="2"/>
        <v>28477.75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37"/>
      <c r="G55" s="100">
        <f t="shared" si="2"/>
        <v>35779.199999999997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37"/>
      <c r="G56" s="100">
        <f t="shared" si="2"/>
        <v>0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38"/>
      <c r="G57" s="100">
        <f t="shared" si="2"/>
        <v>64256.95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37"/>
      <c r="G58" s="100">
        <f t="shared" si="2"/>
        <v>48402.559999999998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37"/>
      <c r="G59" s="100">
        <f t="shared" si="2"/>
        <v>287263.61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37"/>
      <c r="G60" s="100">
        <f t="shared" si="2"/>
        <v>248142.84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37"/>
      <c r="G61" s="100">
        <f t="shared" si="2"/>
        <v>86444.75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37"/>
      <c r="G62" s="100">
        <f t="shared" si="2"/>
        <v>0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37"/>
      <c r="G63" s="100">
        <f t="shared" si="2"/>
        <v>20380.48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37"/>
      <c r="G64" s="100">
        <f t="shared" si="2"/>
        <v>0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37"/>
      <c r="G65" s="100">
        <f t="shared" si="2"/>
        <v>22763.599999999999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37"/>
      <c r="G67" s="100">
        <f t="shared" si="2"/>
        <v>152949.31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37"/>
      <c r="G69" s="100">
        <f t="shared" si="2"/>
        <v>173231.78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37"/>
      <c r="G70" s="100">
        <f t="shared" si="2"/>
        <v>80658.2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37"/>
      <c r="G71" s="100">
        <f t="shared" si="2"/>
        <v>15000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37"/>
      <c r="G73" s="100">
        <f t="shared" si="2"/>
        <v>231262.04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37"/>
      <c r="G74" s="100">
        <f t="shared" ref="G74:G81" si="3">HLOOKUP($E$3,$P$3:$CE$269,O74,TRUE)</f>
        <v>7404.52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38"/>
      <c r="G75" s="100">
        <f t="shared" si="3"/>
        <v>1373903.69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37"/>
      <c r="G76" s="100">
        <f t="shared" si="3"/>
        <v>9655.52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9655.52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3249783.97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87419.270000000019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3337203.24</v>
      </c>
      <c r="H89" s="164">
        <f>'Model Inputs'!H31</f>
        <v>3383331.64</v>
      </c>
      <c r="I89" s="165">
        <f>'Model Inputs'!I31</f>
        <v>3497640.6746499999</v>
      </c>
      <c r="J89" s="165">
        <f>'Model Inputs'!J31</f>
        <v>3686813.6042000004</v>
      </c>
      <c r="K89" s="165">
        <f>'Model Inputs'!K31</f>
        <v>87419.270000000019</v>
      </c>
      <c r="L89" s="165">
        <f>'Model Inputs'!L31</f>
        <v>87419.270000000019</v>
      </c>
      <c r="M89" s="166">
        <f>'Model Inputs'!M31</f>
        <v>87419.270000000019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1487372.31</v>
      </c>
      <c r="H92" s="164">
        <f>'Model Inputs'!H9</f>
        <v>408005.62999999989</v>
      </c>
      <c r="I92" s="165">
        <f>'Model Inputs'!I9</f>
        <v>1061217.02</v>
      </c>
      <c r="J92" s="165">
        <f>'Model Inputs'!J9</f>
        <v>1901689.2100000004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11320</v>
      </c>
      <c r="H96" s="164">
        <f>'Model Inputs'!H13</f>
        <v>11385.666666666666</v>
      </c>
      <c r="I96" s="165">
        <f>'Model Inputs'!I13</f>
        <v>11495.248515986066</v>
      </c>
      <c r="J96" s="165">
        <f>'Model Inputs'!J13</f>
        <v>11606.203125697693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181716053</v>
      </c>
      <c r="H97" s="164">
        <f>'Model Inputs'!H14</f>
        <v>178353238</v>
      </c>
      <c r="I97" s="165">
        <f>'Model Inputs'!I14</f>
        <v>183202753.91276294</v>
      </c>
      <c r="J97" s="165">
        <f>'Model Inputs'!J14</f>
        <v>182877726.56043118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35702</v>
      </c>
      <c r="H98" s="164">
        <f>'Model Inputs'!H15</f>
        <v>35702</v>
      </c>
      <c r="I98" s="165">
        <f>'Model Inputs'!I15</f>
        <v>35702</v>
      </c>
      <c r="J98" s="165">
        <f>'Model Inputs'!J15</f>
        <v>35702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510</v>
      </c>
      <c r="H99" s="164">
        <f>'Model Inputs'!H16</f>
        <v>510</v>
      </c>
      <c r="I99" s="165">
        <f>'Model Inputs'!I16</f>
        <v>510</v>
      </c>
      <c r="J99" s="165">
        <f>'Model Inputs'!J16</f>
        <v>510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72" t="s">
        <v>93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3337203.24</v>
      </c>
      <c r="H107" s="28">
        <f t="shared" ref="H107:K107" si="5">H89</f>
        <v>3383331.64</v>
      </c>
      <c r="I107" s="28">
        <f t="shared" si="5"/>
        <v>3497640.6746499999</v>
      </c>
      <c r="J107" s="28">
        <f t="shared" si="5"/>
        <v>3686813.6042000004</v>
      </c>
      <c r="K107" s="28">
        <f t="shared" si="5"/>
        <v>87419.270000000019</v>
      </c>
      <c r="L107" s="28">
        <f t="shared" ref="L107" si="6">L89</f>
        <v>87419.270000000019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7">HLOOKUP($E$3,$P$3:$CE$269,O110,FALSE)</f>
        <v>6.0176E-2</v>
      </c>
      <c r="H110" s="167">
        <f>'Model Inputs'!H22</f>
        <v>6.0176E-2</v>
      </c>
      <c r="I110" s="168">
        <f>'Model Inputs'!I22</f>
        <v>6.0176E-2</v>
      </c>
      <c r="J110" s="168">
        <f>'Model Inputs'!J22</f>
        <v>6.0176E-2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7"/>
        <v>173.41619499024227</v>
      </c>
      <c r="H112" s="170">
        <f>G112*EXP('Model Inputs'!H21)</f>
        <v>176.83888304926026</v>
      </c>
      <c r="I112" s="171">
        <f>H112*EXP('Model Inputs'!I21)</f>
        <v>180.32912416207466</v>
      </c>
      <c r="J112" s="171">
        <f>I112*EXP('Model Inputs'!J21)</f>
        <v>183.88825161264199</v>
      </c>
      <c r="K112" s="171">
        <f>J112*EXP('Model Inputs'!K21)</f>
        <v>183.88825161264199</v>
      </c>
      <c r="L112" s="171">
        <f>K112*EXP('Model Inputs'!L21)</f>
        <v>183.88825161264199</v>
      </c>
      <c r="M112" s="172">
        <f>L112*EXP('Model Inputs'!M21)</f>
        <v>183.88825161264199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8.4404707490202675</v>
      </c>
      <c r="L113" s="28">
        <f t="shared" si="8"/>
        <v>8.4404707490202675</v>
      </c>
      <c r="M113" s="28">
        <f t="shared" si="8"/>
        <v>8.4404707490202675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7"/>
        <v>1487372.31</v>
      </c>
      <c r="H114" s="173">
        <f>H92</f>
        <v>408005.62999999989</v>
      </c>
      <c r="I114" s="174">
        <f t="shared" ref="I114:L114" si="9">I92</f>
        <v>1061217.02</v>
      </c>
      <c r="J114" s="174">
        <f t="shared" si="9"/>
        <v>1901689.2100000004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7"/>
        <v>8576.8939289879527</v>
      </c>
      <c r="H116" s="7">
        <f t="shared" ref="H116:K116" si="13">(H114-H115)/H112</f>
        <v>2307.2167329079193</v>
      </c>
      <c r="I116" s="7">
        <f t="shared" si="13"/>
        <v>5884.8897810106837</v>
      </c>
      <c r="J116" s="7">
        <f t="shared" si="13"/>
        <v>10341.548159399992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7"/>
        <v>6637.3943069132674</v>
      </c>
      <c r="H117" s="24">
        <f t="shared" ref="H117:M117" si="15">H111*G118</f>
        <v>6726.4173395664957</v>
      </c>
      <c r="I117" s="24">
        <f t="shared" si="15"/>
        <v>6523.5760317208678</v>
      </c>
      <c r="J117" s="24">
        <f t="shared" si="15"/>
        <v>6494.26033281327</v>
      </c>
      <c r="K117" s="24">
        <f t="shared" si="15"/>
        <v>6670.8508440535998</v>
      </c>
      <c r="L117" s="24">
        <f t="shared" si="15"/>
        <v>6364.6587903115396</v>
      </c>
      <c r="M117" s="24">
        <f t="shared" si="15"/>
        <v>6072.5209518362399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7"/>
        <v>146545.04007770141</v>
      </c>
      <c r="H118" s="24">
        <f t="shared" ref="H118:M118" si="16">G118+H116-H117</f>
        <v>142125.83947104285</v>
      </c>
      <c r="I118" s="24">
        <f t="shared" si="16"/>
        <v>141487.15322033266</v>
      </c>
      <c r="J118" s="24">
        <f t="shared" si="16"/>
        <v>145334.44104691938</v>
      </c>
      <c r="K118" s="24">
        <f t="shared" si="16"/>
        <v>138663.59020286577</v>
      </c>
      <c r="L118" s="24">
        <f t="shared" si="16"/>
        <v>132298.93141255423</v>
      </c>
      <c r="M118" s="24">
        <f t="shared" si="16"/>
        <v>126226.41046071799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7"/>
        <v>2666140.6644760952</v>
      </c>
      <c r="H119" s="24">
        <f t="shared" ref="H119:K119" si="17">H113*H118</f>
        <v>2636775.0947113698</v>
      </c>
      <c r="I119" s="24">
        <f t="shared" si="17"/>
        <v>2676733.6820797804</v>
      </c>
      <c r="J119" s="24">
        <f t="shared" si="17"/>
        <v>2803785.6600700375</v>
      </c>
      <c r="K119" s="24">
        <f t="shared" si="17"/>
        <v>1170385.9770614218</v>
      </c>
      <c r="L119" s="24">
        <f t="shared" ref="L119:M119" si="18">L113*L118</f>
        <v>1116665.2607143025</v>
      </c>
      <c r="M119" s="24">
        <f t="shared" si="18"/>
        <v>1065410.3252475162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6003343.904476095</v>
      </c>
      <c r="H121" s="24">
        <f t="shared" ref="H121:K121" si="19">H107+H119</f>
        <v>6020106.7347113695</v>
      </c>
      <c r="I121" s="24">
        <f t="shared" si="19"/>
        <v>6174374.3567297803</v>
      </c>
      <c r="J121" s="24">
        <f t="shared" si="19"/>
        <v>6490599.2642700374</v>
      </c>
      <c r="K121" s="24">
        <f t="shared" si="19"/>
        <v>1257805.2470614219</v>
      </c>
      <c r="L121" s="24">
        <f t="shared" ref="L121:M121" si="20">L107+L119</f>
        <v>1204084.5307143026</v>
      </c>
      <c r="M121" s="24">
        <f t="shared" si="20"/>
        <v>1065410.3252475162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72" t="s">
        <v>108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11320</v>
      </c>
      <c r="H128" s="7">
        <f t="shared" ref="H128:K130" si="21">H96</f>
        <v>11385.666666666666</v>
      </c>
      <c r="I128" s="7">
        <f t="shared" si="21"/>
        <v>11495.248515986066</v>
      </c>
      <c r="J128" s="7">
        <f t="shared" si="21"/>
        <v>11606.203125697693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181716053</v>
      </c>
      <c r="H129" s="38">
        <f t="shared" si="21"/>
        <v>178353238</v>
      </c>
      <c r="I129" s="38">
        <f t="shared" si="21"/>
        <v>183202753.91276294</v>
      </c>
      <c r="J129" s="38">
        <f t="shared" si="21"/>
        <v>182877726.56043118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35702</v>
      </c>
      <c r="H130" s="7">
        <f t="shared" si="21"/>
        <v>35702</v>
      </c>
      <c r="I130" s="7">
        <f t="shared" si="21"/>
        <v>35702</v>
      </c>
      <c r="J130" s="7">
        <f t="shared" si="21"/>
        <v>35702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47940</v>
      </c>
      <c r="H131" s="7">
        <f t="shared" ref="H131:M131" si="25">MAX(G131,H130)</f>
        <v>47940</v>
      </c>
      <c r="I131" s="7">
        <f t="shared" si="25"/>
        <v>47940</v>
      </c>
      <c r="J131" s="7">
        <f t="shared" si="25"/>
        <v>47940</v>
      </c>
      <c r="K131" s="7">
        <f t="shared" si="25"/>
        <v>47940</v>
      </c>
      <c r="L131" s="7">
        <f t="shared" si="25"/>
        <v>47940</v>
      </c>
      <c r="M131" s="7">
        <f t="shared" si="25"/>
        <v>47940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9">
        <f>G134*EXP('Model Inputs'!H21)</f>
        <v>114.592927631579</v>
      </c>
      <c r="I134" s="180">
        <f>H134*EXP('Model Inputs'!I21)</f>
        <v>116.85463015062336</v>
      </c>
      <c r="J134" s="180">
        <f>I134*EXP('Model Inputs'!J21)</f>
        <v>119.16097153517518</v>
      </c>
      <c r="K134" s="180">
        <f>J134*EXP('Model Inputs'!K21)</f>
        <v>119.16097153517518</v>
      </c>
      <c r="L134" s="180">
        <f>K134*EXP('Model Inputs'!L21)</f>
        <v>119.16097153517518</v>
      </c>
      <c r="M134" s="181">
        <f>L134*EXP('Model Inputs'!M21)</f>
        <v>119.16097153517518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47">
        <f>CG135</f>
        <v>0</v>
      </c>
      <c r="G135" s="40">
        <f>HLOOKUP($E$3,$P$3:$CE$269,O135,FALSE)</f>
        <v>1049.6680319015754</v>
      </c>
      <c r="H135" s="182">
        <f>G135*EXP('Model Inputs'!H20)</f>
        <v>1078.5771173911987</v>
      </c>
      <c r="I135" s="183">
        <f>H135*EXP('Model Inputs'!I20)</f>
        <v>1108.2823929127621</v>
      </c>
      <c r="J135" s="183">
        <f>I135*EXP('Model Inputs'!J20)</f>
        <v>1138.8057864711204</v>
      </c>
      <c r="K135" s="183">
        <f>J135*EXP('Model Inputs'!K20)</f>
        <v>1138.8057864711204</v>
      </c>
      <c r="L135" s="183">
        <f>K135*EXP('Model Inputs'!L20)</f>
        <v>1138.8057864711204</v>
      </c>
      <c r="M135" s="184">
        <f>L135*EXP('Model Inputs'!M20)</f>
        <v>1138.8057864711204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2.4881492977204912E-2</v>
      </c>
      <c r="I136" s="39">
        <f t="shared" ref="I136:M136" si="27">LN(I134/H134)*0.3+LN(I135/H135)*0.7</f>
        <v>2.4881492977204912E-2</v>
      </c>
      <c r="J136" s="39">
        <f t="shared" si="27"/>
        <v>2.4881492977204912E-2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111.48834674661968</v>
      </c>
      <c r="H137" s="28">
        <f t="shared" ref="H137:M137" si="28">G137*EXP(H136)</f>
        <v>114.29714186496193</v>
      </c>
      <c r="I137" s="28">
        <f t="shared" si="28"/>
        <v>117.17670070208776</v>
      </c>
      <c r="J137" s="28">
        <f t="shared" si="28"/>
        <v>120.12880605228619</v>
      </c>
      <c r="K137" s="28">
        <f t="shared" si="28"/>
        <v>120.12880605228619</v>
      </c>
      <c r="L137" s="28">
        <f t="shared" si="28"/>
        <v>120.12880605228619</v>
      </c>
      <c r="M137" s="28">
        <f t="shared" si="28"/>
        <v>120.12880605228619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8.4404707490202675</v>
      </c>
      <c r="L139" s="28">
        <f t="shared" ref="L139:M139" si="30">L113</f>
        <v>8.4404707490202675</v>
      </c>
      <c r="M139" s="28">
        <f t="shared" si="30"/>
        <v>8.4404707490202675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510</v>
      </c>
      <c r="H142" s="41">
        <f>'Model Inputs'!H16</f>
        <v>510</v>
      </c>
      <c r="I142" s="41">
        <f>'Model Inputs'!I16</f>
        <v>510</v>
      </c>
      <c r="J142" s="41">
        <f>'Model Inputs'!J16</f>
        <v>510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210.89999999999998</v>
      </c>
      <c r="H143" s="40">
        <f>(G143*14+H142)/15</f>
        <v>230.83999999999997</v>
      </c>
      <c r="I143" s="40">
        <f>(H143*15+I142)/16</f>
        <v>248.28749999999997</v>
      </c>
      <c r="J143" s="40">
        <f>(I143*16+J142)/17</f>
        <v>263.68235294117642</v>
      </c>
      <c r="K143" s="40">
        <f>(J143*17+K142)/18</f>
        <v>249.0333333333333</v>
      </c>
      <c r="L143" s="40">
        <f>(K143*17+L142)/18</f>
        <v>235.19814814814811</v>
      </c>
      <c r="M143" s="40">
        <f>(L143*17+M142)/18</f>
        <v>222.13158436213988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10389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8.9614014823370877E-2</v>
      </c>
      <c r="H145" s="29">
        <f>'Model Inputs'!H17</f>
        <v>8.9614014823370877E-2</v>
      </c>
      <c r="I145" s="29">
        <f>'Model Inputs'!I17</f>
        <v>8.9614014823370877E-2</v>
      </c>
      <c r="J145" s="29">
        <f>'Model Inputs'!J17</f>
        <v>8.9614014823370877E-2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1"/>
        <v>0.16318583554059654</v>
      </c>
      <c r="H152" s="43">
        <f t="shared" ref="H152:K152" si="33">H113/H137</f>
        <v>0.16231724939905209</v>
      </c>
      <c r="I152" s="43">
        <f t="shared" si="33"/>
        <v>0.1614532864644348</v>
      </c>
      <c r="J152" s="43">
        <f t="shared" si="33"/>
        <v>0.16059392212888909</v>
      </c>
      <c r="K152" s="43">
        <f t="shared" si="33"/>
        <v>7.0261838324993789E-2</v>
      </c>
      <c r="L152" s="43">
        <f t="shared" ref="L152:M152" si="34">L113/L137</f>
        <v>7.0261838324993789E-2</v>
      </c>
      <c r="M152" s="43">
        <f t="shared" si="34"/>
        <v>7.0261838324993789E-2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1"/>
        <v>11320</v>
      </c>
      <c r="H153" s="24">
        <f t="shared" ref="H153:K153" si="35">H96</f>
        <v>11385.666666666666</v>
      </c>
      <c r="I153" s="24">
        <f t="shared" si="35"/>
        <v>11495.248515986066</v>
      </c>
      <c r="J153" s="24">
        <f t="shared" si="35"/>
        <v>11606.203125697693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1"/>
        <v>47940</v>
      </c>
      <c r="H154" s="24">
        <f t="shared" ref="H154:K154" si="37">H131</f>
        <v>47940</v>
      </c>
      <c r="I154" s="24">
        <f t="shared" si="37"/>
        <v>47940</v>
      </c>
      <c r="J154" s="24">
        <f t="shared" si="37"/>
        <v>47940</v>
      </c>
      <c r="K154" s="24">
        <f t="shared" si="37"/>
        <v>47940</v>
      </c>
      <c r="L154" s="24">
        <f t="shared" ref="L154:M154" si="38">L131</f>
        <v>47940</v>
      </c>
      <c r="M154" s="24">
        <f t="shared" si="38"/>
        <v>47940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1"/>
        <v>181716053</v>
      </c>
      <c r="H155" s="38">
        <f t="shared" ref="H155:K155" si="39">H97</f>
        <v>178353238</v>
      </c>
      <c r="I155" s="38">
        <f t="shared" si="39"/>
        <v>183202753.91276294</v>
      </c>
      <c r="J155" s="38">
        <f t="shared" si="39"/>
        <v>182877726.56043118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1"/>
        <v>210.89999999999998</v>
      </c>
      <c r="H156" s="44">
        <f t="shared" ref="H156:K156" si="41">H143</f>
        <v>230.83999999999997</v>
      </c>
      <c r="I156" s="44">
        <f t="shared" si="41"/>
        <v>248.28749999999997</v>
      </c>
      <c r="J156" s="44">
        <f t="shared" si="41"/>
        <v>263.68235294117642</v>
      </c>
      <c r="K156" s="44">
        <f t="shared" si="41"/>
        <v>249.0333333333333</v>
      </c>
      <c r="L156" s="44">
        <f t="shared" ref="L156:M156" si="42">L143</f>
        <v>235.19814814814811</v>
      </c>
      <c r="M156" s="44">
        <f t="shared" si="42"/>
        <v>222.13158436213988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1"/>
        <v>8.9614014823370877E-2</v>
      </c>
      <c r="H157" s="30">
        <f t="shared" ref="H157:L157" si="43">H145</f>
        <v>8.9614014823370877E-2</v>
      </c>
      <c r="I157" s="30">
        <f t="shared" si="43"/>
        <v>8.9614014823370877E-2</v>
      </c>
      <c r="J157" s="30">
        <f t="shared" si="43"/>
        <v>8.9614014823370877E-2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6">HLOOKUP($E$3,$P$3:$CE$269,O162,FALSE)</f>
        <v>12.814374704096441</v>
      </c>
      <c r="H162" s="48">
        <f t="shared" ref="H162:M179" si="47">G162</f>
        <v>12.814374704096441</v>
      </c>
      <c r="I162" s="48">
        <f t="shared" si="47"/>
        <v>12.814374704096441</v>
      </c>
      <c r="J162" s="48">
        <f t="shared" si="47"/>
        <v>12.814374704096441</v>
      </c>
      <c r="K162" s="48">
        <f t="shared" si="47"/>
        <v>12.814374704096441</v>
      </c>
      <c r="L162" s="48">
        <f t="shared" si="47"/>
        <v>12.814374704096441</v>
      </c>
      <c r="M162" s="48">
        <f t="shared" si="47"/>
        <v>12.814374704096441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6"/>
        <v>0.62692417872216433</v>
      </c>
      <c r="H163" s="48">
        <f t="shared" si="47"/>
        <v>0.62692417872216433</v>
      </c>
      <c r="I163" s="48">
        <f t="shared" si="47"/>
        <v>0.62692417872216433</v>
      </c>
      <c r="J163" s="48">
        <f t="shared" si="47"/>
        <v>0.62692417872216433</v>
      </c>
      <c r="K163" s="48">
        <f t="shared" si="47"/>
        <v>0.62692417872216433</v>
      </c>
      <c r="L163" s="48">
        <f t="shared" si="47"/>
        <v>0.62692417872216433</v>
      </c>
      <c r="M163" s="48">
        <f t="shared" si="47"/>
        <v>0.62692417872216433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6"/>
        <v>0.44494767057280865</v>
      </c>
      <c r="H164" s="48">
        <f t="shared" si="47"/>
        <v>0.44494767057280865</v>
      </c>
      <c r="I164" s="48">
        <f t="shared" si="47"/>
        <v>0.44494767057280865</v>
      </c>
      <c r="J164" s="48">
        <f t="shared" si="47"/>
        <v>0.44494767057280865</v>
      </c>
      <c r="K164" s="48">
        <f t="shared" si="47"/>
        <v>0.44494767057280865</v>
      </c>
      <c r="L164" s="48">
        <f t="shared" si="47"/>
        <v>0.44494767057280865</v>
      </c>
      <c r="M164" s="48">
        <f t="shared" si="47"/>
        <v>0.44494767057280865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6"/>
        <v>0.16021524631856379</v>
      </c>
      <c r="H165" s="48">
        <f t="shared" si="47"/>
        <v>0.16021524631856379</v>
      </c>
      <c r="I165" s="48">
        <f t="shared" si="47"/>
        <v>0.16021524631856379</v>
      </c>
      <c r="J165" s="48">
        <f t="shared" si="47"/>
        <v>0.16021524631856379</v>
      </c>
      <c r="K165" s="48">
        <f t="shared" si="47"/>
        <v>0.16021524631856379</v>
      </c>
      <c r="L165" s="48">
        <f t="shared" si="47"/>
        <v>0.16021524631856379</v>
      </c>
      <c r="M165" s="48">
        <f t="shared" si="47"/>
        <v>0.16021524631856379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6"/>
        <v>0.10578038524992366</v>
      </c>
      <c r="H166" s="48">
        <f t="shared" si="47"/>
        <v>0.10578038524992366</v>
      </c>
      <c r="I166" s="48">
        <f t="shared" si="47"/>
        <v>0.10578038524992366</v>
      </c>
      <c r="J166" s="48">
        <f t="shared" si="47"/>
        <v>0.10578038524992366</v>
      </c>
      <c r="K166" s="48">
        <f t="shared" si="47"/>
        <v>0.10578038524992366</v>
      </c>
      <c r="L166" s="48">
        <f t="shared" si="47"/>
        <v>0.10578038524992366</v>
      </c>
      <c r="M166" s="48">
        <f t="shared" si="47"/>
        <v>0.10578038524992366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6"/>
        <v>0.12357587300745609</v>
      </c>
      <c r="H167" s="48">
        <f t="shared" si="47"/>
        <v>0.12357587300745609</v>
      </c>
      <c r="I167" s="48">
        <f t="shared" si="47"/>
        <v>0.12357587300745609</v>
      </c>
      <c r="J167" s="48">
        <f t="shared" si="47"/>
        <v>0.12357587300745609</v>
      </c>
      <c r="K167" s="48">
        <f t="shared" si="47"/>
        <v>0.12357587300745609</v>
      </c>
      <c r="L167" s="48">
        <f t="shared" si="47"/>
        <v>0.12357587300745609</v>
      </c>
      <c r="M167" s="48">
        <f t="shared" si="47"/>
        <v>0.12357587300745609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6"/>
        <v>-0.37280827648908577</v>
      </c>
      <c r="H168" s="48">
        <f t="shared" si="47"/>
        <v>-0.37280827648908577</v>
      </c>
      <c r="I168" s="48">
        <f t="shared" si="47"/>
        <v>-0.37280827648908577</v>
      </c>
      <c r="J168" s="48">
        <f t="shared" si="47"/>
        <v>-0.37280827648908577</v>
      </c>
      <c r="K168" s="48">
        <f t="shared" si="47"/>
        <v>-0.37280827648908577</v>
      </c>
      <c r="L168" s="48">
        <f t="shared" si="47"/>
        <v>-0.37280827648908577</v>
      </c>
      <c r="M168" s="48">
        <f t="shared" si="47"/>
        <v>-0.37280827648908577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6"/>
        <v>0.2290697476813679</v>
      </c>
      <c r="H169" s="48">
        <f t="shared" si="47"/>
        <v>0.2290697476813679</v>
      </c>
      <c r="I169" s="48">
        <f t="shared" si="47"/>
        <v>0.2290697476813679</v>
      </c>
      <c r="J169" s="48">
        <f t="shared" si="47"/>
        <v>0.2290697476813679</v>
      </c>
      <c r="K169" s="48">
        <f t="shared" si="47"/>
        <v>0.2290697476813679</v>
      </c>
      <c r="L169" s="48">
        <f t="shared" si="47"/>
        <v>0.2290697476813679</v>
      </c>
      <c r="M169" s="48">
        <f t="shared" si="47"/>
        <v>0.2290697476813679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6"/>
        <v>0.16151670357314785</v>
      </c>
      <c r="H170" s="48">
        <f t="shared" si="47"/>
        <v>0.16151670357314785</v>
      </c>
      <c r="I170" s="48">
        <f t="shared" si="47"/>
        <v>0.16151670357314785</v>
      </c>
      <c r="J170" s="48">
        <f t="shared" si="47"/>
        <v>0.16151670357314785</v>
      </c>
      <c r="K170" s="48">
        <f t="shared" si="47"/>
        <v>0.16151670357314785</v>
      </c>
      <c r="L170" s="48">
        <f t="shared" si="47"/>
        <v>0.16151670357314785</v>
      </c>
      <c r="M170" s="48">
        <f t="shared" si="47"/>
        <v>0.16151670357314785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6"/>
        <v>5.4270127536606649E-2</v>
      </c>
      <c r="H171" s="48">
        <f t="shared" si="47"/>
        <v>5.4270127536606649E-2</v>
      </c>
      <c r="I171" s="48">
        <f t="shared" si="47"/>
        <v>5.4270127536606649E-2</v>
      </c>
      <c r="J171" s="48">
        <f t="shared" si="47"/>
        <v>5.4270127536606649E-2</v>
      </c>
      <c r="K171" s="48">
        <f t="shared" si="47"/>
        <v>5.4270127536606649E-2</v>
      </c>
      <c r="L171" s="48">
        <f t="shared" si="47"/>
        <v>5.4270127536606649E-2</v>
      </c>
      <c r="M171" s="48">
        <f t="shared" si="47"/>
        <v>5.4270127536606649E-2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6"/>
        <v>9.3677093679656043E-3</v>
      </c>
      <c r="H172" s="48">
        <f t="shared" si="47"/>
        <v>9.3677093679656043E-3</v>
      </c>
      <c r="I172" s="48">
        <f t="shared" si="47"/>
        <v>9.3677093679656043E-3</v>
      </c>
      <c r="J172" s="48">
        <f t="shared" si="47"/>
        <v>9.3677093679656043E-3</v>
      </c>
      <c r="K172" s="48">
        <f t="shared" si="47"/>
        <v>9.3677093679656043E-3</v>
      </c>
      <c r="L172" s="48">
        <f t="shared" si="47"/>
        <v>9.3677093679656043E-3</v>
      </c>
      <c r="M172" s="48">
        <f t="shared" si="47"/>
        <v>9.3677093679656043E-3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6"/>
        <v>-3.7943535359061253E-4</v>
      </c>
      <c r="H173" s="48">
        <f t="shared" si="47"/>
        <v>-3.7943535359061253E-4</v>
      </c>
      <c r="I173" s="48">
        <f t="shared" si="47"/>
        <v>-3.7943535359061253E-4</v>
      </c>
      <c r="J173" s="48">
        <f t="shared" si="47"/>
        <v>-3.7943535359061253E-4</v>
      </c>
      <c r="K173" s="48">
        <f t="shared" si="47"/>
        <v>-3.7943535359061253E-4</v>
      </c>
      <c r="L173" s="48">
        <f t="shared" si="47"/>
        <v>-3.7943535359061253E-4</v>
      </c>
      <c r="M173" s="48">
        <f t="shared" si="47"/>
        <v>-3.7943535359061253E-4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6"/>
        <v>0.11920026770553258</v>
      </c>
      <c r="H174" s="48">
        <f t="shared" si="47"/>
        <v>0.11920026770553258</v>
      </c>
      <c r="I174" s="48">
        <f t="shared" si="47"/>
        <v>0.11920026770553258</v>
      </c>
      <c r="J174" s="48">
        <f t="shared" si="47"/>
        <v>0.11920026770553258</v>
      </c>
      <c r="K174" s="48">
        <f t="shared" si="47"/>
        <v>0.11920026770553258</v>
      </c>
      <c r="L174" s="48">
        <f t="shared" si="47"/>
        <v>0.11920026770553258</v>
      </c>
      <c r="M174" s="48">
        <f t="shared" si="47"/>
        <v>0.11920026770553258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6"/>
        <v>8.4039391655790538E-2</v>
      </c>
      <c r="H175" s="48">
        <f t="shared" si="47"/>
        <v>8.4039391655790538E-2</v>
      </c>
      <c r="I175" s="48">
        <f t="shared" si="47"/>
        <v>8.4039391655790538E-2</v>
      </c>
      <c r="J175" s="48">
        <f t="shared" si="47"/>
        <v>8.4039391655790538E-2</v>
      </c>
      <c r="K175" s="48">
        <f t="shared" si="47"/>
        <v>8.4039391655790538E-2</v>
      </c>
      <c r="L175" s="48">
        <f t="shared" si="47"/>
        <v>8.4039391655790538E-2</v>
      </c>
      <c r="M175" s="48">
        <f t="shared" si="47"/>
        <v>8.4039391655790538E-2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6"/>
        <v>-0.21329347547462973</v>
      </c>
      <c r="H176" s="48">
        <f t="shared" si="47"/>
        <v>-0.21329347547462973</v>
      </c>
      <c r="I176" s="48">
        <f t="shared" si="47"/>
        <v>-0.21329347547462973</v>
      </c>
      <c r="J176" s="48">
        <f t="shared" si="47"/>
        <v>-0.21329347547462973</v>
      </c>
      <c r="K176" s="48">
        <f t="shared" si="47"/>
        <v>-0.21329347547462973</v>
      </c>
      <c r="L176" s="48">
        <f t="shared" si="47"/>
        <v>-0.21329347547462973</v>
      </c>
      <c r="M176" s="48">
        <f t="shared" si="47"/>
        <v>-0.21329347547462973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6"/>
        <v>0.28471988958403216</v>
      </c>
      <c r="H177" s="48">
        <f t="shared" si="47"/>
        <v>0.28471988958403216</v>
      </c>
      <c r="I177" s="48">
        <f t="shared" si="47"/>
        <v>0.28471988958403216</v>
      </c>
      <c r="J177" s="48">
        <f t="shared" si="47"/>
        <v>0.28471988958403216</v>
      </c>
      <c r="K177" s="48">
        <f t="shared" si="47"/>
        <v>0.28471988958403216</v>
      </c>
      <c r="L177" s="48">
        <f t="shared" si="47"/>
        <v>0.28471988958403216</v>
      </c>
      <c r="M177" s="48">
        <f t="shared" si="47"/>
        <v>0.28471988958403216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6"/>
        <v>1.6073011167664714E-2</v>
      </c>
      <c r="H178" s="48">
        <f t="shared" si="47"/>
        <v>1.6073011167664714E-2</v>
      </c>
      <c r="I178" s="48">
        <f t="shared" si="47"/>
        <v>1.6073011167664714E-2</v>
      </c>
      <c r="J178" s="48">
        <f t="shared" si="47"/>
        <v>1.6073011167664714E-2</v>
      </c>
      <c r="K178" s="48">
        <f t="shared" si="47"/>
        <v>1.6073011167664714E-2</v>
      </c>
      <c r="L178" s="48">
        <f t="shared" si="47"/>
        <v>1.6073011167664714E-2</v>
      </c>
      <c r="M178" s="48">
        <f t="shared" si="47"/>
        <v>1.6073011167664714E-2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6"/>
        <v>1.7167145572104206E-2</v>
      </c>
      <c r="H179" s="48">
        <f t="shared" si="47"/>
        <v>1.7167145572104206E-2</v>
      </c>
      <c r="I179" s="48">
        <f t="shared" si="47"/>
        <v>1.7167145572104206E-2</v>
      </c>
      <c r="J179" s="48">
        <f t="shared" si="47"/>
        <v>1.7167145572104206E-2</v>
      </c>
      <c r="K179" s="48">
        <f t="shared" si="47"/>
        <v>1.7167145572104206E-2</v>
      </c>
      <c r="L179" s="48">
        <f t="shared" si="47"/>
        <v>1.7167145572104206E-2</v>
      </c>
      <c r="M179" s="48">
        <f t="shared" si="47"/>
        <v>1.7167145572104206E-2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50"/>
        <v>-7.4128358893775018E-3</v>
      </c>
      <c r="H206" s="47">
        <f t="shared" ref="H206:K209" si="51">LN(H152/H184)</f>
        <v>-1.2749732793611973E-2</v>
      </c>
      <c r="I206" s="47">
        <f t="shared" si="51"/>
        <v>-1.8086629697846444E-2</v>
      </c>
      <c r="J206" s="47">
        <f t="shared" si="51"/>
        <v>-2.3423526602080941E-2</v>
      </c>
      <c r="K206" s="47">
        <f t="shared" si="51"/>
        <v>-0.8500736715238707</v>
      </c>
      <c r="L206" s="47">
        <f t="shared" ref="L206:M206" si="52">LN(L152/L184)</f>
        <v>-0.8500736715238707</v>
      </c>
      <c r="M206" s="47">
        <f t="shared" si="52"/>
        <v>-0.8500736715238707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50"/>
        <v>-1.7232446478940717</v>
      </c>
      <c r="H207" s="47">
        <f t="shared" si="51"/>
        <v>-1.7174604662874795</v>
      </c>
      <c r="I207" s="47">
        <f t="shared" si="51"/>
        <v>-1.7078819432021402</v>
      </c>
      <c r="J207" s="47">
        <f t="shared" si="51"/>
        <v>-1.6982760132704848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50"/>
        <v>-1.9739680734835605</v>
      </c>
      <c r="H208" s="47">
        <f t="shared" si="51"/>
        <v>-1.9739680734835605</v>
      </c>
      <c r="I208" s="47">
        <f t="shared" si="51"/>
        <v>-1.9739680734835605</v>
      </c>
      <c r="J208" s="47">
        <f t="shared" si="51"/>
        <v>-1.9739680734835605</v>
      </c>
      <c r="K208" s="47">
        <f t="shared" si="51"/>
        <v>-1.9739680734835605</v>
      </c>
      <c r="L208" s="47">
        <f t="shared" ref="L208:M208" si="54">LN(L154/L186)</f>
        <v>-1.9739680734835605</v>
      </c>
      <c r="M208" s="47">
        <f t="shared" si="54"/>
        <v>-1.9739680734835605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50"/>
        <v>-2.1940911764834312</v>
      </c>
      <c r="H209" s="47">
        <f t="shared" si="51"/>
        <v>-2.21277042995714</v>
      </c>
      <c r="I209" s="47">
        <f t="shared" si="51"/>
        <v>-2.1859430125078694</v>
      </c>
      <c r="J209" s="47">
        <f t="shared" si="51"/>
        <v>-2.1877187282593185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50"/>
        <v>2.7475067961421569E-5</v>
      </c>
      <c r="H210" s="47">
        <f t="shared" ref="H210:K213" si="56">H206*H206/2</f>
        <v>8.1277843154252283E-5</v>
      </c>
      <c r="I210" s="47">
        <f t="shared" si="56"/>
        <v>1.6356308691351047E-4</v>
      </c>
      <c r="J210" s="47">
        <f t="shared" si="56"/>
        <v>2.7433079923919673E-4</v>
      </c>
      <c r="K210" s="47">
        <f t="shared" si="56"/>
        <v>0.36131262350903681</v>
      </c>
      <c r="L210" s="47">
        <f t="shared" ref="L210:M210" si="57">L206*L206/2</f>
        <v>0.36131262350903681</v>
      </c>
      <c r="M210" s="47">
        <f t="shared" si="57"/>
        <v>0.36131262350903681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50"/>
        <v>1.4847860582477816</v>
      </c>
      <c r="H211" s="47">
        <f t="shared" si="56"/>
        <v>1.4748352266302032</v>
      </c>
      <c r="I211" s="47">
        <f t="shared" si="56"/>
        <v>1.4584303659579592</v>
      </c>
      <c r="J211" s="47">
        <f t="shared" si="56"/>
        <v>1.442070708624946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50"/>
        <v>1.9482749775661996</v>
      </c>
      <c r="H212" s="47">
        <f t="shared" si="56"/>
        <v>1.9482749775661996</v>
      </c>
      <c r="I212" s="47">
        <f t="shared" si="56"/>
        <v>1.9482749775661996</v>
      </c>
      <c r="J212" s="47">
        <f t="shared" si="56"/>
        <v>1.9482749775661996</v>
      </c>
      <c r="K212" s="47">
        <f t="shared" si="56"/>
        <v>1.9482749775661996</v>
      </c>
      <c r="L212" s="47">
        <f t="shared" ref="L212:M212" si="59">L208*L208/2</f>
        <v>1.9482749775661996</v>
      </c>
      <c r="M212" s="47">
        <f t="shared" si="59"/>
        <v>1.9482749775661996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50"/>
        <v>2.4070180453612235</v>
      </c>
      <c r="H213" s="47">
        <f t="shared" si="56"/>
        <v>2.4481764878463532</v>
      </c>
      <c r="I213" s="47">
        <f t="shared" si="56"/>
        <v>2.3891734269659897</v>
      </c>
      <c r="J213" s="47">
        <f t="shared" si="56"/>
        <v>2.393056616988285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50"/>
        <v>1.2774129772086871E-2</v>
      </c>
      <c r="H214" s="47">
        <f t="shared" ref="H214:K214" si="61">H206*H207</f>
        <v>2.1897162028757588E-2</v>
      </c>
      <c r="I214" s="47">
        <f t="shared" si="61"/>
        <v>3.0889828274335521E-2</v>
      </c>
      <c r="J214" s="47">
        <f t="shared" si="61"/>
        <v>3.9779613374517166E-2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50"/>
        <v>1.4632701379604303E-2</v>
      </c>
      <c r="H215" s="47">
        <f t="shared" ref="H215:K215" si="63">H206*H208</f>
        <v>2.5167565480036399E-2</v>
      </c>
      <c r="I215" s="47">
        <f t="shared" si="63"/>
        <v>3.5702429580468494E-2</v>
      </c>
      <c r="J215" s="47">
        <f t="shared" si="63"/>
        <v>4.6237293680900647E-2</v>
      </c>
      <c r="K215" s="47">
        <f t="shared" si="63"/>
        <v>1.6780182876970722</v>
      </c>
      <c r="L215" s="47">
        <f t="shared" ref="L215:M215" si="64">L206*L208</f>
        <v>1.6780182876970722</v>
      </c>
      <c r="M215" s="47">
        <f t="shared" si="64"/>
        <v>1.6780182876970722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50"/>
        <v>1.6264437817602884E-2</v>
      </c>
      <c r="H216" s="47">
        <f t="shared" ref="H216:K216" si="65">H206*H209</f>
        <v>2.8212231715559411E-2</v>
      </c>
      <c r="I216" s="47">
        <f t="shared" si="65"/>
        <v>3.9536341807824747E-2</v>
      </c>
      <c r="J216" s="47">
        <f t="shared" si="65"/>
        <v>5.1244087829252834E-2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50"/>
        <v>3.4016299177443172</v>
      </c>
      <c r="H217" s="47">
        <f t="shared" ref="H217:K217" si="67">H207*H208</f>
        <v>3.3902121279216733</v>
      </c>
      <c r="I217" s="47">
        <f t="shared" si="67"/>
        <v>3.3713044291600882</v>
      </c>
      <c r="J217" s="47">
        <f t="shared" si="67"/>
        <v>3.3523426301588808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50"/>
        <v>3.7809558768666802</v>
      </c>
      <c r="H218" s="47">
        <f t="shared" ref="H218:K218" si="69">H207*H209</f>
        <v>3.8003457344213363</v>
      </c>
      <c r="I218" s="47">
        <f t="shared" si="69"/>
        <v>3.7333325999310802</v>
      </c>
      <c r="J218" s="47">
        <f t="shared" si="69"/>
        <v>3.7153502399854106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50"/>
        <v>4.3310659326902776</v>
      </c>
      <c r="H219" s="47">
        <f t="shared" ref="H219:K219" si="71">H208*H209</f>
        <v>4.3679381826838855</v>
      </c>
      <c r="I219" s="47">
        <f t="shared" si="71"/>
        <v>4.3149817171450096</v>
      </c>
      <c r="J219" s="47">
        <f t="shared" si="71"/>
        <v>4.3184869233459517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50"/>
        <v>-2.5580312195508221</v>
      </c>
      <c r="H220" s="47">
        <f t="shared" ref="H220:K220" si="73">LN(H156/H198)</f>
        <v>-2.4676904771927854</v>
      </c>
      <c r="I220" s="47">
        <f t="shared" si="73"/>
        <v>-2.3948279581164771</v>
      </c>
      <c r="J220" s="47">
        <f t="shared" si="73"/>
        <v>-2.3346701368819565</v>
      </c>
      <c r="K220" s="47">
        <f t="shared" si="73"/>
        <v>-2.3918285507219053</v>
      </c>
      <c r="L220" s="47">
        <f t="shared" ref="L220:M220" si="74">LN(L156/L198)</f>
        <v>-2.4489869645618541</v>
      </c>
      <c r="M220" s="47">
        <f t="shared" si="74"/>
        <v>-2.5061453784018024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50"/>
        <v>0.69684303906198197</v>
      </c>
      <c r="H221" s="30">
        <f t="shared" ref="H221:K221" si="75">H157/H199</f>
        <v>0.69684303906198197</v>
      </c>
      <c r="I221" s="30">
        <f t="shared" si="75"/>
        <v>0.69684303906198197</v>
      </c>
      <c r="J221" s="30">
        <f t="shared" si="75"/>
        <v>0.69684303906198197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50"/>
        <v>13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9">HLOOKUP($E$3,$P$3:$CE$269,O226,FALSE)</f>
        <v>12.814374704096441</v>
      </c>
      <c r="H226" s="49">
        <f t="shared" ref="H226:K241" si="80">H162*H205</f>
        <v>12.814374704096441</v>
      </c>
      <c r="I226" s="49">
        <f t="shared" si="80"/>
        <v>12.814374704096441</v>
      </c>
      <c r="J226" s="49">
        <f t="shared" si="80"/>
        <v>12.814374704096441</v>
      </c>
      <c r="K226" s="49">
        <f t="shared" si="80"/>
        <v>12.814374704096441</v>
      </c>
      <c r="L226" s="49">
        <f t="shared" ref="L226:M226" si="81">L162*L205</f>
        <v>12.814374704096441</v>
      </c>
      <c r="M226" s="49">
        <f t="shared" si="81"/>
        <v>12.814374704096441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9"/>
        <v>-4.6472860519501747E-3</v>
      </c>
      <c r="H227" s="49">
        <f t="shared" si="80"/>
        <v>-7.9931157605622315E-3</v>
      </c>
      <c r="I227" s="49">
        <f t="shared" si="80"/>
        <v>-1.1338945469174289E-2</v>
      </c>
      <c r="J227" s="49">
        <f t="shared" si="80"/>
        <v>-1.4684775177786363E-2</v>
      </c>
      <c r="K227" s="49">
        <f t="shared" si="80"/>
        <v>-0.53293173837343755</v>
      </c>
      <c r="L227" s="49">
        <f t="shared" ref="L227:M227" si="82">L163*L206</f>
        <v>-0.53293173837343755</v>
      </c>
      <c r="M227" s="49">
        <f t="shared" si="82"/>
        <v>-0.53293173837343755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9"/>
        <v>-0.76675369190752707</v>
      </c>
      <c r="H228" s="49">
        <f t="shared" si="80"/>
        <v>-0.76418003377550381</v>
      </c>
      <c r="I228" s="49">
        <f t="shared" si="80"/>
        <v>-0.75991809224115414</v>
      </c>
      <c r="J228" s="49">
        <f t="shared" si="80"/>
        <v>-0.75564395609437851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9"/>
        <v>-0.31625978111814945</v>
      </c>
      <c r="H229" s="49">
        <f t="shared" si="80"/>
        <v>-0.31625978111814945</v>
      </c>
      <c r="I229" s="49">
        <f t="shared" si="80"/>
        <v>-0.31625978111814945</v>
      </c>
      <c r="J229" s="49">
        <f t="shared" si="80"/>
        <v>-0.31625978111814945</v>
      </c>
      <c r="K229" s="49">
        <f t="shared" si="80"/>
        <v>-0.31625978111814945</v>
      </c>
      <c r="L229" s="49">
        <f t="shared" ref="L229:M229" si="84">L165*L208</f>
        <v>-0.31625978111814945</v>
      </c>
      <c r="M229" s="49">
        <f t="shared" si="84"/>
        <v>-0.31625978111814945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9"/>
        <v>-0.23209180992187559</v>
      </c>
      <c r="H230" s="49">
        <f t="shared" si="80"/>
        <v>-0.23406770855050549</v>
      </c>
      <c r="I230" s="49">
        <f t="shared" si="80"/>
        <v>-0.23122989399746111</v>
      </c>
      <c r="J230" s="49">
        <f t="shared" si="80"/>
        <v>-0.23141772989374376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9"/>
        <v>3.3952555092718575E-6</v>
      </c>
      <c r="H231" s="49">
        <f t="shared" si="80"/>
        <v>1.0043980423949815E-5</v>
      </c>
      <c r="I231" s="49">
        <f t="shared" si="80"/>
        <v>2.0212451257131474E-5</v>
      </c>
      <c r="J231" s="49">
        <f t="shared" si="80"/>
        <v>3.3900668008816906E-5</v>
      </c>
      <c r="K231" s="49">
        <f t="shared" si="80"/>
        <v>4.4649522878743526E-2</v>
      </c>
      <c r="L231" s="49">
        <f t="shared" ref="L231:M231" si="86">L167*L210</f>
        <v>4.4649522878743526E-2</v>
      </c>
      <c r="M231" s="49">
        <f t="shared" si="86"/>
        <v>4.4649522878743526E-2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9"/>
        <v>-0.55354053133037884</v>
      </c>
      <c r="H232" s="49">
        <f t="shared" si="80"/>
        <v>-0.54983077894539623</v>
      </c>
      <c r="I232" s="49">
        <f t="shared" si="80"/>
        <v>-0.54371491111213333</v>
      </c>
      <c r="J232" s="49">
        <f t="shared" si="80"/>
        <v>-0.5376158954578607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9"/>
        <v>0.44629085752501202</v>
      </c>
      <c r="H233" s="49">
        <f t="shared" si="80"/>
        <v>0.44629085752501202</v>
      </c>
      <c r="I233" s="49">
        <f t="shared" si="80"/>
        <v>0.44629085752501202</v>
      </c>
      <c r="J233" s="49">
        <f t="shared" si="80"/>
        <v>0.44629085752501202</v>
      </c>
      <c r="K233" s="49">
        <f t="shared" si="80"/>
        <v>0.44629085752501202</v>
      </c>
      <c r="L233" s="49">
        <f t="shared" ref="L233:M233" si="88">L169*L212</f>
        <v>0.44629085752501202</v>
      </c>
      <c r="M233" s="49">
        <f t="shared" si="88"/>
        <v>0.44629085752501202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9"/>
        <v>0.38877362012782646</v>
      </c>
      <c r="H234" s="49">
        <f t="shared" si="80"/>
        <v>0.39542139608222965</v>
      </c>
      <c r="I234" s="49">
        <f t="shared" si="80"/>
        <v>0.38589141618810757</v>
      </c>
      <c r="J234" s="49">
        <f t="shared" si="80"/>
        <v>0.38651861623985684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9"/>
        <v>6.9325365190031846E-4</v>
      </c>
      <c r="H235" s="49">
        <f t="shared" si="80"/>
        <v>1.1883617759904147E-3</v>
      </c>
      <c r="I235" s="49">
        <f t="shared" si="80"/>
        <v>1.6763949200320667E-3</v>
      </c>
      <c r="J235" s="49">
        <f t="shared" si="80"/>
        <v>2.1588446911919501E-3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9"/>
        <v>1.3707489379236244E-4</v>
      </c>
      <c r="H236" s="49">
        <f t="shared" si="80"/>
        <v>2.3576243891622475E-4</v>
      </c>
      <c r="I236" s="49">
        <f t="shared" si="80"/>
        <v>3.34449984040087E-4</v>
      </c>
      <c r="J236" s="49">
        <f t="shared" si="80"/>
        <v>4.3313752916394985E-4</v>
      </c>
      <c r="K236" s="49">
        <f t="shared" si="80"/>
        <v>1.5719187633277464E-2</v>
      </c>
      <c r="L236" s="49">
        <f t="shared" ref="L236:M236" si="91">L172*L215</f>
        <v>1.5719187633277464E-2</v>
      </c>
      <c r="M236" s="49">
        <f t="shared" si="91"/>
        <v>1.5719187633277464E-2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9"/>
        <v>-6.1713027142746809E-6</v>
      </c>
      <c r="H237" s="49">
        <f t="shared" si="80"/>
        <v>-1.0704718116573579E-5</v>
      </c>
      <c r="I237" s="49">
        <f t="shared" si="80"/>
        <v>-1.5001485833531301E-5</v>
      </c>
      <c r="J237" s="49">
        <f t="shared" si="80"/>
        <v>-1.9443818584920954E-5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9"/>
        <v>0.40547519683027139</v>
      </c>
      <c r="H238" s="49">
        <f t="shared" si="80"/>
        <v>0.40411419322680669</v>
      </c>
      <c r="I238" s="49">
        <f t="shared" si="80"/>
        <v>0.4018603904727302</v>
      </c>
      <c r="J238" s="49">
        <f t="shared" si="80"/>
        <v>0.39960013895560775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9"/>
        <v>0.3177492317692619</v>
      </c>
      <c r="H239" s="49">
        <f t="shared" si="80"/>
        <v>0.31937874360244761</v>
      </c>
      <c r="I239" s="49">
        <f t="shared" si="80"/>
        <v>0.31374700054693883</v>
      </c>
      <c r="J239" s="49">
        <f t="shared" si="80"/>
        <v>0.31223577395656926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9"/>
        <v>-0.92378810529327804</v>
      </c>
      <c r="H240" s="49">
        <f t="shared" si="80"/>
        <v>-0.93165271564298413</v>
      </c>
      <c r="I240" s="49">
        <f t="shared" si="80"/>
        <v>-0.92035744705934475</v>
      </c>
      <c r="J240" s="49">
        <f t="shared" si="80"/>
        <v>-0.92110508467219898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9"/>
        <v>-0.72832236638301717</v>
      </c>
      <c r="H241" s="49">
        <f t="shared" si="80"/>
        <v>-0.70260056019389749</v>
      </c>
      <c r="I241" s="49">
        <f t="shared" si="80"/>
        <v>-0.68185515180767653</v>
      </c>
      <c r="J241" s="49">
        <f t="shared" si="80"/>
        <v>-0.66472702358816793</v>
      </c>
      <c r="K241" s="49">
        <f t="shared" si="80"/>
        <v>-0.68100116086547657</v>
      </c>
      <c r="L241" s="49">
        <f t="shared" ref="L241:M241" si="96">L177*L220</f>
        <v>-0.69727529814278522</v>
      </c>
      <c r="M241" s="49">
        <f t="shared" si="96"/>
        <v>-0.71354943542009364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9"/>
        <v>1.1200365948952655E-2</v>
      </c>
      <c r="H242" s="49">
        <f t="shared" ref="H242:K243" si="97">H178*H221</f>
        <v>1.1200365948952655E-2</v>
      </c>
      <c r="I242" s="49">
        <f t="shared" si="97"/>
        <v>1.1200365948952655E-2</v>
      </c>
      <c r="J242" s="49">
        <f t="shared" si="97"/>
        <v>1.1200365948952655E-2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9"/>
        <v>0.22317289243735466</v>
      </c>
      <c r="H243" s="49">
        <f t="shared" si="97"/>
        <v>0.24034003800945888</v>
      </c>
      <c r="I243" s="49">
        <f t="shared" si="97"/>
        <v>0.2575071835815631</v>
      </c>
      <c r="J243" s="49">
        <f t="shared" si="97"/>
        <v>0.2746743291536673</v>
      </c>
      <c r="K243" s="49">
        <f t="shared" si="97"/>
        <v>0.29184147472577149</v>
      </c>
      <c r="L243" s="49">
        <f t="shared" ref="L243:M243" si="99">L179*L222</f>
        <v>0.30900862029787568</v>
      </c>
      <c r="M243" s="49">
        <f t="shared" si="99"/>
        <v>0.32617576586997993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11.082460849227433</v>
      </c>
      <c r="H245" s="43">
        <f t="shared" ref="H245:K245" si="100">SUM(H226:H243)</f>
        <v>11.125959067981562</v>
      </c>
      <c r="I245" s="43">
        <f t="shared" si="100"/>
        <v>11.168213751424149</v>
      </c>
      <c r="J245" s="43">
        <f t="shared" si="100"/>
        <v>11.206046978943601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65020.692815818344</v>
      </c>
      <c r="H246" s="7">
        <f t="shared" ref="H246:K246" si="102">EXP(H245)</f>
        <v>67911.391481580227</v>
      </c>
      <c r="I246" s="7">
        <f t="shared" si="102"/>
        <v>70842.45532346949</v>
      </c>
      <c r="J246" s="7">
        <f t="shared" si="102"/>
        <v>73573.999816618118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111.48834674661968</v>
      </c>
      <c r="H247" s="20">
        <f t="shared" ref="H247:K247" si="104">H137</f>
        <v>114.29714186496193</v>
      </c>
      <c r="I247" s="20">
        <f t="shared" si="104"/>
        <v>117.17670070208776</v>
      </c>
      <c r="J247" s="20">
        <f t="shared" si="104"/>
        <v>120.12880605228619</v>
      </c>
      <c r="K247" s="20">
        <f t="shared" si="104"/>
        <v>120.12880605228619</v>
      </c>
      <c r="L247" s="20">
        <f t="shared" ref="L247:M247" si="105">L137</f>
        <v>120.12880605228619</v>
      </c>
      <c r="M247" s="20">
        <f t="shared" si="105"/>
        <v>120.12880605228619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7249049.5463553993</v>
      </c>
      <c r="H248" s="7">
        <f t="shared" ref="H248:K248" si="106">H246*H247</f>
        <v>7762077.9464171426</v>
      </c>
      <c r="I248" s="7">
        <f t="shared" si="106"/>
        <v>8301085.1844392084</v>
      </c>
      <c r="J248" s="7">
        <f t="shared" si="106"/>
        <v>8838356.754461458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72" t="s">
        <v>151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8">G121</f>
        <v>6003343.904476095</v>
      </c>
      <c r="H256" s="59">
        <f t="shared" ref="H256:K256" si="109">H121</f>
        <v>6020106.7347113695</v>
      </c>
      <c r="I256" s="59">
        <f t="shared" si="109"/>
        <v>6174374.3567297803</v>
      </c>
      <c r="J256" s="59">
        <f t="shared" si="109"/>
        <v>6490599.2642700374</v>
      </c>
      <c r="K256" s="59">
        <f t="shared" si="109"/>
        <v>1257805.2470614219</v>
      </c>
      <c r="L256" s="59">
        <f t="shared" ref="L256:M256" si="110">L121</f>
        <v>1204084.5307143026</v>
      </c>
      <c r="M256" s="59">
        <f t="shared" si="110"/>
        <v>1065410.3252475162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1">G248</f>
        <v>7249049.5463553993</v>
      </c>
      <c r="H257" s="59">
        <f t="shared" ref="H257:K257" si="112">H248</f>
        <v>7762077.9464171426</v>
      </c>
      <c r="I257" s="59">
        <f t="shared" si="112"/>
        <v>8301085.1844392084</v>
      </c>
      <c r="J257" s="59">
        <f t="shared" si="112"/>
        <v>8838356.754461458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4">G256-G257</f>
        <v>-1245705.6418793043</v>
      </c>
      <c r="H258" s="24">
        <f t="shared" ref="H258:K258" si="115">H256-H257</f>
        <v>-1741971.2117057731</v>
      </c>
      <c r="I258" s="24">
        <f t="shared" si="115"/>
        <v>-2126710.827709428</v>
      </c>
      <c r="J258" s="24">
        <f t="shared" si="115"/>
        <v>-2347757.4901914205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-0.17184399608712939</v>
      </c>
      <c r="H259" s="60">
        <f t="shared" ref="H259:K259" si="117">H258/H257</f>
        <v>-0.22442073163022547</v>
      </c>
      <c r="I259" s="60">
        <f t="shared" si="117"/>
        <v>-0.25619672373631969</v>
      </c>
      <c r="J259" s="60">
        <f t="shared" si="117"/>
        <v>-0.2656328043113117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58"/>
      <c r="G261" s="61">
        <f t="shared" ref="G261:K261" si="119">LN(G256/G257)</f>
        <v>-0.18855373182112023</v>
      </c>
      <c r="H261" s="61">
        <f t="shared" si="119"/>
        <v>-0.25414508576746514</v>
      </c>
      <c r="I261" s="61">
        <f t="shared" si="119"/>
        <v>-0.29597869273657634</v>
      </c>
      <c r="J261" s="61">
        <f t="shared" si="119"/>
        <v>-0.30874610885339993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F12" sqref="F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73" t="s">
        <v>168</v>
      </c>
      <c r="D2" s="273"/>
      <c r="E2" s="273"/>
      <c r="F2" s="273"/>
      <c r="G2" s="273"/>
      <c r="H2" s="273"/>
      <c r="I2" s="273"/>
      <c r="J2" s="273"/>
      <c r="K2" s="273"/>
    </row>
    <row r="3" spans="3:17" s="89" customFormat="1" ht="23.25" customHeight="1" x14ac:dyDescent="0.25">
      <c r="C3" s="279" t="str">
        <f>'Model Inputs'!F5</f>
        <v>Ottawa River Power Corporation</v>
      </c>
      <c r="D3" s="279"/>
      <c r="E3" s="279"/>
      <c r="F3" s="279"/>
      <c r="G3" s="279"/>
      <c r="H3" s="279"/>
      <c r="I3" s="279"/>
      <c r="J3" s="279"/>
      <c r="K3" s="27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/>
      <c r="M6" s="2"/>
      <c r="N6" s="2"/>
    </row>
    <row r="7" spans="3:17" x14ac:dyDescent="0.2">
      <c r="F7" s="13" t="s">
        <v>185</v>
      </c>
      <c r="G7" s="265" t="s">
        <v>185</v>
      </c>
      <c r="H7" s="265" t="s">
        <v>186</v>
      </c>
      <c r="I7" s="265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6003343.904476095</v>
      </c>
      <c r="G10" s="83">
        <f>'Benchmarking Calculations'!H121</f>
        <v>6020106.7347113695</v>
      </c>
      <c r="H10" s="83">
        <f>'Benchmarking Calculations'!I121</f>
        <v>6174374.3567297803</v>
      </c>
      <c r="I10" s="88">
        <f>IF(ISNUMBER(I12),'Benchmarking Calculations'!J121,"na")</f>
        <v>6490599.2642700374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7249049.5463553993</v>
      </c>
      <c r="G12" s="83">
        <f>'Benchmarking Calculations'!H257</f>
        <v>7762077.9464171426</v>
      </c>
      <c r="H12" s="83">
        <f>'Benchmarking Calculations'!I257</f>
        <v>8301085.1844392084</v>
      </c>
      <c r="I12" s="88">
        <f>IF(ISNUMBER('Benchmarking Calculations'!J257),'Benchmarking Calculations'!J257,"na")</f>
        <v>8838356.754461458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-1245705.6418793043</v>
      </c>
      <c r="G14" s="83">
        <f t="shared" si="1"/>
        <v>-1741971.2117057731</v>
      </c>
      <c r="H14" s="83">
        <f t="shared" si="1"/>
        <v>-2126710.827709428</v>
      </c>
      <c r="I14" s="88">
        <f>IF(ISNUMBER(I12),I10-I12,"na")</f>
        <v>-2347757.4901914205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>
        <f>LN(F10/F12)</f>
        <v>-0.18855373182112023</v>
      </c>
      <c r="G16" s="186">
        <f t="shared" ref="G16:H16" si="3">LN(G10/G12)</f>
        <v>-0.25414508576746514</v>
      </c>
      <c r="H16" s="186">
        <f t="shared" si="3"/>
        <v>-0.29597869273657634</v>
      </c>
      <c r="I16" s="128">
        <f>IF(ISNUMBER(I14),LN(I10/I12),"na")</f>
        <v>-0.30874610885339993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-0.24622583677505391</v>
      </c>
      <c r="I18" s="63">
        <f>IF(ISNUMBER(I16),AVERAGE(G16:I16),"na")</f>
        <v>-0.28628996245248045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2</v>
      </c>
      <c r="G22" s="129">
        <f t="shared" ref="G22" si="6">IF(G16&lt;-0.25,1,IF(G16&lt;-0.1,2,IF(G16&lt;0.1,3,IF(G16&lt;0.25,4,5))))</f>
        <v>1</v>
      </c>
      <c r="H22" s="129">
        <f>IF($H$16&lt;-0.25,1,IF($H$16&lt;-0.1,2,IF($H$16&lt;0.1,3,IF($H$16&lt;0.25,4,5))))</f>
        <v>1</v>
      </c>
      <c r="I22" s="129">
        <f>IF(ISNUMBER(I16),IF(I16&lt;-0.25,1,IF(I16&lt;-0.1,2,IF(I16&lt;0.1,3,IF(I16&lt;0.25,4,5)))),"na")</f>
        <v>1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2</v>
      </c>
      <c r="I24" s="129">
        <f t="shared" ref="I24:K24" si="8">IF(I$18&lt;-0.25,1,IF(I$18&lt;-0.1,2,IF(I$18&lt;0.1,3,IF(I$18&lt;0.25,4,5))))</f>
        <v>1</v>
      </c>
      <c r="J24" s="129">
        <f t="shared" si="8"/>
        <v>5</v>
      </c>
      <c r="K24" s="129">
        <f t="shared" si="8"/>
        <v>5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2018-07-25T01:09:59Z</cp:lastPrinted>
  <dcterms:created xsi:type="dcterms:W3CDTF">2016-07-20T15:58:10Z</dcterms:created>
  <dcterms:modified xsi:type="dcterms:W3CDTF">2021-09-29T20:58:50Z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