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022 Cost of Service\2022 Interrogatories\"/>
    </mc:Choice>
  </mc:AlternateContent>
  <bookViews>
    <workbookView xWindow="0" yWindow="0" windowWidth="28800" windowHeight="123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1" l="1"/>
  <c r="E60" i="1"/>
  <c r="E57" i="1"/>
  <c r="E56" i="1"/>
  <c r="E58" i="1" s="1"/>
  <c r="E52" i="1"/>
  <c r="E53" i="1" s="1"/>
  <c r="L50" i="1"/>
  <c r="K50" i="1"/>
  <c r="J50" i="1"/>
  <c r="I50" i="1"/>
  <c r="H50" i="1"/>
  <c r="G50" i="1"/>
  <c r="E48" i="1"/>
  <c r="E50" i="1" s="1"/>
  <c r="E44" i="1"/>
  <c r="E40" i="1"/>
  <c r="E41" i="1" s="1"/>
  <c r="G53" i="1" l="1"/>
  <c r="L53" i="1"/>
  <c r="I53" i="1"/>
  <c r="L49" i="1"/>
  <c r="J49" i="1"/>
  <c r="K49" i="1"/>
  <c r="I49" i="1"/>
  <c r="H49" i="1"/>
  <c r="G49" i="1"/>
  <c r="L57" i="1"/>
  <c r="H57" i="1"/>
  <c r="I57" i="1"/>
  <c r="J57" i="1"/>
  <c r="K57" i="1"/>
  <c r="G57" i="1"/>
  <c r="E42" i="1"/>
  <c r="E54" i="1"/>
  <c r="K53" i="1" s="1"/>
  <c r="E19" i="1"/>
  <c r="E15" i="1"/>
  <c r="E6" i="1"/>
  <c r="E5" i="1"/>
  <c r="E4" i="1"/>
  <c r="H53" i="1" l="1"/>
  <c r="J53" i="1"/>
  <c r="K41" i="1"/>
  <c r="H41" i="1"/>
  <c r="G41" i="1"/>
  <c r="L41" i="1"/>
  <c r="J41" i="1"/>
  <c r="I41" i="1"/>
  <c r="H30" i="1"/>
  <c r="J30" i="1"/>
  <c r="H18" i="1"/>
  <c r="I18" i="1"/>
  <c r="J18" i="1"/>
  <c r="K18" i="1"/>
  <c r="I22" i="1"/>
  <c r="I26" i="1"/>
  <c r="J26" i="1"/>
  <c r="K26" i="1"/>
  <c r="I34" i="1"/>
  <c r="J34" i="1"/>
  <c r="G34" i="1"/>
  <c r="G26" i="1"/>
  <c r="G18" i="1"/>
  <c r="G22" i="1"/>
  <c r="H5" i="1"/>
  <c r="I5" i="1"/>
  <c r="J5" i="1"/>
  <c r="K5" i="1"/>
  <c r="G5" i="1"/>
  <c r="H14" i="1"/>
  <c r="I14" i="1"/>
  <c r="J14" i="1"/>
  <c r="G14" i="1"/>
  <c r="H19" i="1"/>
  <c r="I6" i="1"/>
  <c r="H6" i="1"/>
  <c r="G6" i="1"/>
  <c r="J33" i="1" l="1"/>
  <c r="E33" i="1" s="1"/>
  <c r="E35" i="1" s="1"/>
  <c r="E21" i="1"/>
  <c r="E23" i="1" s="1"/>
  <c r="E13" i="1"/>
  <c r="E22" i="1" l="1"/>
  <c r="G27" i="1"/>
  <c r="G19" i="1" l="1"/>
  <c r="H17" i="1"/>
  <c r="E17" i="1" s="1"/>
  <c r="E18" i="1" l="1"/>
  <c r="J35" i="1"/>
  <c r="G35" i="1"/>
  <c r="E34" i="1" s="1"/>
  <c r="E25" i="1"/>
  <c r="I23" i="1"/>
  <c r="J15" i="1"/>
  <c r="H15" i="1"/>
  <c r="G15" i="1"/>
  <c r="E26" i="1" l="1"/>
  <c r="E27" i="1"/>
  <c r="E14" i="1"/>
  <c r="E29" i="1"/>
  <c r="E9" i="1"/>
  <c r="E30" i="1" l="1"/>
  <c r="E31" i="1"/>
</calcChain>
</file>

<file path=xl/comments1.xml><?xml version="1.0" encoding="utf-8"?>
<comments xmlns="http://schemas.openxmlformats.org/spreadsheetml/2006/main">
  <authors>
    <author>Sinisa Grkovic</author>
  </authors>
  <commentList>
    <comment ref="K9" authorId="0" shapeId="0">
      <text>
        <r>
          <rPr>
            <sz val="9"/>
            <color indexed="81"/>
            <rFont val="Tahoma"/>
            <family val="2"/>
          </rPr>
          <t xml:space="preserve">No concrete poles were replaced in the historical period
</t>
        </r>
      </text>
    </comment>
    <comment ref="K17" authorId="0" shapeId="0">
      <text>
        <r>
          <rPr>
            <sz val="9"/>
            <color indexed="81"/>
            <rFont val="Tahoma"/>
            <family val="2"/>
          </rPr>
          <t>Pad mounts include 1ph and 3ph, hence annual unit costs have high oscillations year over year as it depends on the amount of 1ph vs 3ph transformers replaced during any given year</t>
        </r>
      </text>
    </comment>
    <comment ref="K25" authorId="0" shapeId="0">
      <text>
        <r>
          <rPr>
            <sz val="9"/>
            <color indexed="81"/>
            <rFont val="Tahoma"/>
            <family val="2"/>
          </rPr>
          <t>OH switches include 1ph and 3ph, hence annual unit costs have high oscillations year over year as it depends on the amount of 1ph vs 3ph transformers replaced during any given year</t>
        </r>
      </text>
    </comment>
    <comment ref="K29" authorId="0" shapeId="0">
      <text>
        <r>
          <rPr>
            <sz val="9"/>
            <color indexed="81"/>
            <rFont val="Tahoma"/>
            <family val="2"/>
          </rPr>
          <t>Padmounted switches include MAN and AUTO, hence annual unit costs have high oscillations year over year as it depends on the amount of MAN vs AUTO switches replaced during any given year</t>
        </r>
      </text>
    </comment>
    <comment ref="K33" authorId="0" shapeId="0">
      <text>
        <r>
          <rPr>
            <sz val="9"/>
            <color indexed="81"/>
            <rFont val="Tahoma"/>
            <family val="2"/>
          </rPr>
          <t xml:space="preserve">UG Cable costs includes installations that required civil rebuilts and those where civil infrastructure was reused hence annual unit costs have high oscillations year over year </t>
        </r>
      </text>
    </comment>
    <comment ref="L44" authorId="0" shapeId="0">
      <text>
        <r>
          <rPr>
            <sz val="9"/>
            <color indexed="81"/>
            <rFont val="Tahoma"/>
            <family val="2"/>
          </rPr>
          <t>Zero forecasted for replacement as we had no inspection data that would indicate concrete poles to be replaced</t>
        </r>
      </text>
    </comment>
    <comment ref="L60" authorId="0" shapeId="0">
      <text>
        <r>
          <rPr>
            <sz val="9"/>
            <color indexed="81"/>
            <rFont val="Tahoma"/>
            <family val="2"/>
          </rPr>
          <t xml:space="preserve">Zero forecasted for replacement as we had no inspection data that would indicate padmount sw to be replaced
</t>
        </r>
      </text>
    </comment>
    <comment ref="L64" authorId="0" shapeId="0">
      <text>
        <r>
          <rPr>
            <sz val="9"/>
            <color indexed="81"/>
            <rFont val="Tahoma"/>
            <family val="2"/>
          </rPr>
          <t xml:space="preserve">Zero forecasted for replacement as cable testing reports not received in time for budgeting purposes
</t>
        </r>
      </text>
    </comment>
  </commentList>
</comments>
</file>

<file path=xl/sharedStrings.xml><?xml version="1.0" encoding="utf-8"?>
<sst xmlns="http://schemas.openxmlformats.org/spreadsheetml/2006/main" count="119" uniqueCount="22">
  <si>
    <t>Level</t>
  </si>
  <si>
    <t>Wood Poles</t>
  </si>
  <si>
    <t>Unit Cost</t>
  </si>
  <si>
    <t>Unit Cost w/Brdn</t>
  </si>
  <si>
    <t>Burden</t>
  </si>
  <si>
    <t>Concrete Poles</t>
  </si>
  <si>
    <t>Pole Mounted Transformers</t>
  </si>
  <si>
    <t>Pad Mounted Transformers</t>
  </si>
  <si>
    <t>Meters</t>
  </si>
  <si>
    <t>Overhead Switches</t>
  </si>
  <si>
    <t>Padmount Switches</t>
  </si>
  <si>
    <t>UG Cable</t>
  </si>
  <si>
    <t>Program Cost (Actuals)</t>
  </si>
  <si>
    <t>Units (Actuals)</t>
  </si>
  <si>
    <t>(includes 1ph and 3ph)</t>
  </si>
  <si>
    <t>(Remaining GS&gt;50 Meters)</t>
  </si>
  <si>
    <t>(includes MANUAL and AUTO)</t>
  </si>
  <si>
    <t>(includes total runs)</t>
  </si>
  <si>
    <t>N/A</t>
  </si>
  <si>
    <t>Total Burden</t>
  </si>
  <si>
    <t>Units (Forecasted)</t>
  </si>
  <si>
    <t>Program Cost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</si>
</sst>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_);[Red]\(&quot;$&quot;#,##0\)"/>
    <numFmt numFmtId="165" formatCode="_(&quot;$&quot;* #,##0.00_);_(&quot;$&quot;* \(#,##0.00\);_(&quot;$&quot;* &quot;-&quot;??_);_(@_)"/>
    <numFmt numFmtId="166" formatCode="_(&quot;$&quot;* #,##0_);_(&quot;$&quot;* \(#,##0\);_(&quot;$&quot;* &quot;-&quot;??_);_(@_)"/>
  </numFmts>
  <fonts count="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9"/>
      <color indexed="81"/>
      <name val="Tahoma"/>
      <family val="2"/>
    </font>
  </fonts>
  <fills count="3">
    <fill>
      <patternFill patternType="none"/>
    </fill>
    <fill>
      <patternFill patternType="gray125"/>
    </fill>
    <fill>
      <patternFill patternType="solid">
        <fgColor theme="4"/>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2" fillId="2" borderId="1" xfId="0" applyFont="1" applyFill="1" applyBorder="1"/>
    <xf numFmtId="0" fontId="2" fillId="2" borderId="2" xfId="0" applyFont="1" applyFill="1" applyBorder="1"/>
    <xf numFmtId="0" fontId="3" fillId="2" borderId="2"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0" borderId="4" xfId="0" applyFont="1" applyBorder="1"/>
    <xf numFmtId="0" fontId="2" fillId="0" borderId="0" xfId="0" applyFont="1" applyBorder="1"/>
    <xf numFmtId="0" fontId="3" fillId="0" borderId="0" xfId="0" applyFont="1" applyBorder="1" applyAlignment="1">
      <alignment horizontal="center"/>
    </xf>
    <xf numFmtId="164" fontId="3" fillId="0" borderId="0" xfId="0" applyNumberFormat="1" applyFont="1" applyFill="1" applyBorder="1"/>
    <xf numFmtId="0" fontId="2" fillId="0" borderId="6" xfId="0" applyFont="1" applyBorder="1"/>
    <xf numFmtId="0" fontId="2" fillId="0" borderId="7" xfId="0" applyFont="1" applyBorder="1"/>
    <xf numFmtId="0" fontId="2" fillId="2" borderId="9" xfId="0" applyFont="1" applyFill="1" applyBorder="1"/>
    <xf numFmtId="0" fontId="2" fillId="2" borderId="10" xfId="0" applyFont="1" applyFill="1" applyBorder="1"/>
    <xf numFmtId="0" fontId="3" fillId="2" borderId="10" xfId="0" applyFont="1" applyFill="1" applyBorder="1"/>
    <xf numFmtId="0" fontId="2" fillId="2" borderId="11" xfId="0" applyFont="1" applyFill="1" applyBorder="1"/>
    <xf numFmtId="166" fontId="2" fillId="0" borderId="0" xfId="1" applyNumberFormat="1" applyFont="1" applyFill="1" applyBorder="1"/>
    <xf numFmtId="166" fontId="2" fillId="0" borderId="5" xfId="1" applyNumberFormat="1" applyFont="1" applyFill="1" applyBorder="1"/>
    <xf numFmtId="1" fontId="2" fillId="0" borderId="0" xfId="0" applyNumberFormat="1" applyFont="1" applyFill="1" applyBorder="1"/>
    <xf numFmtId="1" fontId="2" fillId="0" borderId="5" xfId="0" applyNumberFormat="1" applyFont="1" applyFill="1" applyBorder="1"/>
    <xf numFmtId="0" fontId="2" fillId="0" borderId="2" xfId="0" applyFont="1" applyBorder="1"/>
    <xf numFmtId="1" fontId="2" fillId="0" borderId="2" xfId="0" applyNumberFormat="1" applyFont="1" applyFill="1" applyBorder="1"/>
    <xf numFmtId="1" fontId="2" fillId="0" borderId="3" xfId="0" applyNumberFormat="1" applyFont="1" applyFill="1" applyBorder="1"/>
    <xf numFmtId="0" fontId="2" fillId="0" borderId="7" xfId="0" applyFont="1" applyFill="1" applyBorder="1"/>
    <xf numFmtId="0" fontId="2" fillId="0" borderId="8" xfId="0" applyFont="1" applyFill="1" applyBorder="1"/>
    <xf numFmtId="164"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66" fontId="2" fillId="0" borderId="7" xfId="1" applyNumberFormat="1" applyFont="1" applyFill="1" applyBorder="1"/>
    <xf numFmtId="165" fontId="0" fillId="0" borderId="0" xfId="0" applyNumberFormat="1"/>
    <xf numFmtId="0" fontId="2" fillId="0" borderId="1" xfId="0" applyFont="1" applyFill="1" applyBorder="1"/>
    <xf numFmtId="0" fontId="2" fillId="0" borderId="2" xfId="0" applyFont="1" applyFill="1" applyBorder="1"/>
    <xf numFmtId="0" fontId="2" fillId="0" borderId="4" xfId="0" applyFont="1" applyFill="1" applyBorder="1"/>
    <xf numFmtId="0" fontId="2" fillId="0" borderId="0" xfId="0" applyFont="1" applyFill="1" applyBorder="1"/>
    <xf numFmtId="0" fontId="3" fillId="0" borderId="7" xfId="0" applyFont="1" applyBorder="1" applyAlignment="1">
      <alignment horizontal="center"/>
    </xf>
    <xf numFmtId="1" fontId="3" fillId="0" borderId="2" xfId="0" applyNumberFormat="1" applyFont="1" applyFill="1" applyBorder="1" applyAlignment="1">
      <alignment horizontal="center"/>
    </xf>
    <xf numFmtId="0" fontId="0" fillId="0" borderId="7" xfId="0" applyBorder="1"/>
    <xf numFmtId="165" fontId="2" fillId="0" borderId="0" xfId="1" applyNumberFormat="1" applyFont="1" applyFill="1" applyBorder="1"/>
    <xf numFmtId="0" fontId="2" fillId="0" borderId="1" xfId="0" applyFont="1" applyBorder="1"/>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0" fillId="0" borderId="7" xfId="0" applyFill="1" applyBorder="1"/>
    <xf numFmtId="0" fontId="0" fillId="0" borderId="8" xfId="0" applyFill="1" applyBorder="1"/>
    <xf numFmtId="0" fontId="0" fillId="0" borderId="0" xfId="0" applyBorder="1"/>
    <xf numFmtId="166" fontId="2" fillId="0" borderId="8" xfId="1" applyNumberFormat="1" applyFont="1" applyFill="1" applyBorder="1"/>
    <xf numFmtId="166" fontId="0" fillId="0" borderId="0" xfId="0" applyNumberFormat="1"/>
    <xf numFmtId="1" fontId="0" fillId="0" borderId="0" xfId="0" applyNumberFormat="1"/>
    <xf numFmtId="0" fontId="0" fillId="0" borderId="0" xfId="0" applyFill="1"/>
    <xf numFmtId="164" fontId="2" fillId="0" borderId="7" xfId="1" applyNumberFormat="1" applyFont="1" applyFill="1" applyBorder="1"/>
    <xf numFmtId="166" fontId="2" fillId="0" borderId="2" xfId="1" applyNumberFormat="1" applyFont="1" applyFill="1" applyBorder="1"/>
    <xf numFmtId="166" fontId="2" fillId="0" borderId="3" xfId="1" applyNumberFormat="1" applyFont="1" applyFill="1" applyBorder="1"/>
    <xf numFmtId="0" fontId="0" fillId="0" borderId="5" xfId="0" applyBorder="1"/>
    <xf numFmtId="0" fontId="2" fillId="0" borderId="6" xfId="0" applyFont="1" applyFill="1" applyBorder="1"/>
    <xf numFmtId="164" fontId="3" fillId="0" borderId="7" xfId="0" applyNumberFormat="1" applyFont="1" applyFill="1" applyBorder="1"/>
    <xf numFmtId="0" fontId="3" fillId="2" borderId="1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2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8"/>
  <sheetViews>
    <sheetView tabSelected="1" topLeftCell="A34" workbookViewId="0">
      <selection activeCell="R26" sqref="R26"/>
    </sheetView>
  </sheetViews>
  <sheetFormatPr defaultRowHeight="15" x14ac:dyDescent="0.25"/>
  <cols>
    <col min="3" max="3" width="14.7109375" customWidth="1"/>
    <col min="6" max="6" width="20.85546875" customWidth="1"/>
    <col min="7" max="12" width="15.5703125" customWidth="1"/>
    <col min="14" max="14" width="10" bestFit="1" customWidth="1"/>
    <col min="17" max="17" width="10.5703125" bestFit="1" customWidth="1"/>
  </cols>
  <sheetData>
    <row r="1" spans="2:17" ht="15.75" thickBot="1" x14ac:dyDescent="0.3"/>
    <row r="2" spans="2:17" ht="15.75" thickBot="1" x14ac:dyDescent="0.3">
      <c r="B2" s="1"/>
      <c r="C2" s="2"/>
      <c r="D2" s="2"/>
      <c r="E2" s="3" t="s">
        <v>0</v>
      </c>
      <c r="F2" s="2"/>
      <c r="G2" s="4">
        <v>2016</v>
      </c>
      <c r="H2" s="4">
        <v>2017</v>
      </c>
      <c r="I2" s="4">
        <v>2018</v>
      </c>
      <c r="J2" s="4">
        <v>2019</v>
      </c>
      <c r="K2" s="5">
        <v>2020</v>
      </c>
    </row>
    <row r="3" spans="2:17" x14ac:dyDescent="0.25">
      <c r="B3" s="37"/>
      <c r="C3" s="20"/>
      <c r="D3" s="20"/>
      <c r="E3" s="38"/>
      <c r="F3" s="20"/>
      <c r="G3" s="39"/>
      <c r="H3" s="39"/>
      <c r="I3" s="39"/>
      <c r="J3" s="39"/>
      <c r="K3" s="40"/>
    </row>
    <row r="4" spans="2:17" x14ac:dyDescent="0.25">
      <c r="B4" s="6" t="s">
        <v>1</v>
      </c>
      <c r="C4" s="7"/>
      <c r="D4" s="7"/>
      <c r="E4" s="26">
        <f>SUM(G4:K4)</f>
        <v>181</v>
      </c>
      <c r="F4" s="32" t="s">
        <v>13</v>
      </c>
      <c r="G4" s="18">
        <v>14</v>
      </c>
      <c r="H4" s="18">
        <v>16</v>
      </c>
      <c r="I4" s="18">
        <v>26</v>
      </c>
      <c r="J4" s="18">
        <v>50</v>
      </c>
      <c r="K4" s="19">
        <v>75</v>
      </c>
      <c r="N4" s="46"/>
      <c r="Q4" s="28"/>
    </row>
    <row r="5" spans="2:17" x14ac:dyDescent="0.25">
      <c r="B5" s="6"/>
      <c r="C5" s="7"/>
      <c r="D5" s="7" t="s">
        <v>2</v>
      </c>
      <c r="E5" s="25">
        <f>SUM(G6:K6)/E4</f>
        <v>4304.1323204419887</v>
      </c>
      <c r="F5" s="7" t="s">
        <v>3</v>
      </c>
      <c r="G5" s="16">
        <f>(G7+G6)/G4</f>
        <v>6117.3470323554129</v>
      </c>
      <c r="H5" s="16">
        <f t="shared" ref="H5:K5" si="0">(H7+H6)/H4</f>
        <v>5911.9921203097092</v>
      </c>
      <c r="I5" s="16">
        <f t="shared" si="0"/>
        <v>5239.9657887429548</v>
      </c>
      <c r="J5" s="16">
        <f t="shared" si="0"/>
        <v>5860.7805554213564</v>
      </c>
      <c r="K5" s="17">
        <f t="shared" si="0"/>
        <v>3744.3629840300296</v>
      </c>
    </row>
    <row r="6" spans="2:17" x14ac:dyDescent="0.25">
      <c r="B6" s="6"/>
      <c r="C6" s="7"/>
      <c r="D6" s="7" t="s">
        <v>4</v>
      </c>
      <c r="E6" s="25">
        <f>SUM(G7:K7)/E4</f>
        <v>614.87372629043068</v>
      </c>
      <c r="F6" s="7" t="s">
        <v>12</v>
      </c>
      <c r="G6" s="16">
        <f>59802.63+1332.17+6837.45</f>
        <v>67972.25</v>
      </c>
      <c r="H6" s="16">
        <f>4283.71+11177.08+59587.1+532.37+6167.24</f>
        <v>81747.5</v>
      </c>
      <c r="I6" s="16">
        <f>126203+6474.84-13267.78</f>
        <v>119410.06</v>
      </c>
      <c r="J6" s="16">
        <v>258743.67</v>
      </c>
      <c r="K6" s="17">
        <v>251174.47</v>
      </c>
      <c r="N6" s="45"/>
    </row>
    <row r="7" spans="2:17" x14ac:dyDescent="0.25">
      <c r="B7" s="6"/>
      <c r="C7" s="7"/>
      <c r="D7" s="7"/>
      <c r="E7" s="43"/>
      <c r="F7" s="32" t="s">
        <v>19</v>
      </c>
      <c r="G7" s="16">
        <v>17670.608452975779</v>
      </c>
      <c r="H7" s="16">
        <v>12844.37392495534</v>
      </c>
      <c r="I7" s="16">
        <v>16829.050507316839</v>
      </c>
      <c r="J7" s="16">
        <v>34295.357771067778</v>
      </c>
      <c r="K7" s="17">
        <v>29652.753802252228</v>
      </c>
      <c r="N7" s="45"/>
    </row>
    <row r="8" spans="2:17" ht="15.75" thickBot="1" x14ac:dyDescent="0.3">
      <c r="B8" s="10"/>
      <c r="C8" s="11"/>
      <c r="D8" s="11"/>
      <c r="E8" s="33"/>
      <c r="F8" s="35"/>
      <c r="G8" s="41"/>
      <c r="H8" s="41"/>
      <c r="I8" s="41"/>
      <c r="J8" s="41"/>
      <c r="K8" s="42"/>
    </row>
    <row r="9" spans="2:17" x14ac:dyDescent="0.25">
      <c r="B9" s="37" t="s">
        <v>5</v>
      </c>
      <c r="C9" s="20"/>
      <c r="D9" s="20"/>
      <c r="E9" s="34">
        <f>SUM(G9:K9)</f>
        <v>0</v>
      </c>
      <c r="F9" s="20" t="s">
        <v>13</v>
      </c>
      <c r="G9" s="21">
        <v>0</v>
      </c>
      <c r="H9" s="21">
        <v>0</v>
      </c>
      <c r="I9" s="21">
        <v>0</v>
      </c>
      <c r="J9" s="21">
        <v>0</v>
      </c>
      <c r="K9" s="19">
        <v>0</v>
      </c>
    </row>
    <row r="10" spans="2:17" x14ac:dyDescent="0.25">
      <c r="B10" s="6"/>
      <c r="C10" s="7"/>
      <c r="D10" s="7" t="s">
        <v>2</v>
      </c>
      <c r="E10" s="25" t="s">
        <v>18</v>
      </c>
      <c r="F10" s="7" t="s">
        <v>3</v>
      </c>
      <c r="G10" s="16"/>
      <c r="H10" s="16"/>
      <c r="I10" s="16"/>
      <c r="J10" s="16"/>
      <c r="K10" s="17"/>
    </row>
    <row r="11" spans="2:17" x14ac:dyDescent="0.25">
      <c r="B11" s="6"/>
      <c r="C11" s="7"/>
      <c r="D11" s="7" t="s">
        <v>4</v>
      </c>
      <c r="E11" s="25"/>
      <c r="F11" s="7" t="s">
        <v>12</v>
      </c>
      <c r="G11" s="16"/>
      <c r="H11" s="16"/>
      <c r="I11" s="16"/>
      <c r="J11" s="16"/>
      <c r="K11" s="17"/>
    </row>
    <row r="12" spans="2:17" ht="15.75" thickBot="1" x14ac:dyDescent="0.3">
      <c r="B12" s="10"/>
      <c r="C12" s="11"/>
      <c r="D12" s="11"/>
      <c r="E12" s="33"/>
      <c r="F12" s="11"/>
      <c r="G12" s="23"/>
      <c r="H12" s="23"/>
      <c r="I12" s="23"/>
      <c r="J12" s="23"/>
      <c r="K12" s="24"/>
    </row>
    <row r="13" spans="2:17" x14ac:dyDescent="0.25">
      <c r="B13" s="6" t="s">
        <v>6</v>
      </c>
      <c r="C13" s="7"/>
      <c r="D13" s="7"/>
      <c r="E13" s="26">
        <f>SUM(G13:K13)</f>
        <v>10</v>
      </c>
      <c r="F13" s="32" t="s">
        <v>13</v>
      </c>
      <c r="G13" s="18">
        <v>4</v>
      </c>
      <c r="H13" s="18">
        <v>3</v>
      </c>
      <c r="I13" s="18">
        <v>1</v>
      </c>
      <c r="J13" s="18">
        <v>2</v>
      </c>
      <c r="K13" s="19">
        <v>0</v>
      </c>
    </row>
    <row r="14" spans="2:17" x14ac:dyDescent="0.25">
      <c r="B14" s="6"/>
      <c r="C14" s="7"/>
      <c r="D14" s="7" t="s">
        <v>2</v>
      </c>
      <c r="E14" s="25">
        <f>SUM(G15:K15)/E13</f>
        <v>2779.1750000000002</v>
      </c>
      <c r="F14" s="7" t="s">
        <v>3</v>
      </c>
      <c r="G14" s="16">
        <f>(G16+G15)/G13</f>
        <v>2366.0169297907119</v>
      </c>
      <c r="H14" s="16">
        <f t="shared" ref="H14:J14" si="1">(H16+H15)/H13</f>
        <v>4042.2998481746686</v>
      </c>
      <c r="I14" s="16">
        <f t="shared" si="1"/>
        <v>2560.0038717009688</v>
      </c>
      <c r="J14" s="16">
        <f t="shared" si="1"/>
        <v>3868.7188390996703</v>
      </c>
      <c r="K14" s="17"/>
    </row>
    <row r="15" spans="2:17" x14ac:dyDescent="0.25">
      <c r="B15" s="6"/>
      <c r="C15" s="7"/>
      <c r="D15" s="7" t="s">
        <v>4</v>
      </c>
      <c r="E15" s="25">
        <f>SUM(G16:K16)/E13</f>
        <v>409.66588135871615</v>
      </c>
      <c r="F15" s="7" t="s">
        <v>12</v>
      </c>
      <c r="G15" s="16">
        <f>1686.31+1720.4+233.26+3863.96</f>
        <v>7503.93</v>
      </c>
      <c r="H15" s="16">
        <f>2344.07+2013.59+6819.42</f>
        <v>11177.08</v>
      </c>
      <c r="I15" s="16">
        <v>2310.4699999999998</v>
      </c>
      <c r="J15" s="16">
        <f>3583.36+3216.91</f>
        <v>6800.27</v>
      </c>
      <c r="K15" s="17"/>
    </row>
    <row r="16" spans="2:17" ht="15.75" thickBot="1" x14ac:dyDescent="0.3">
      <c r="B16" s="10"/>
      <c r="C16" s="11"/>
      <c r="D16" s="11"/>
      <c r="E16" s="33"/>
      <c r="F16" s="11" t="s">
        <v>19</v>
      </c>
      <c r="G16" s="16">
        <v>1960.1377191628465</v>
      </c>
      <c r="H16" s="16">
        <v>949.81954452400612</v>
      </c>
      <c r="I16" s="16">
        <v>249.53387170096894</v>
      </c>
      <c r="J16" s="16">
        <v>937.16767819934</v>
      </c>
      <c r="K16" s="17"/>
    </row>
    <row r="17" spans="2:11" x14ac:dyDescent="0.25">
      <c r="B17" s="37" t="s">
        <v>7</v>
      </c>
      <c r="C17" s="20"/>
      <c r="D17" s="20"/>
      <c r="E17" s="34">
        <f>SUM(G17:K17)</f>
        <v>57</v>
      </c>
      <c r="F17" s="30" t="s">
        <v>13</v>
      </c>
      <c r="G17" s="21">
        <v>8</v>
      </c>
      <c r="H17" s="21">
        <f>2+11</f>
        <v>13</v>
      </c>
      <c r="I17" s="21">
        <v>11</v>
      </c>
      <c r="J17" s="21">
        <v>16</v>
      </c>
      <c r="K17" s="22">
        <v>9</v>
      </c>
    </row>
    <row r="18" spans="2:11" x14ac:dyDescent="0.25">
      <c r="B18" s="6" t="s">
        <v>14</v>
      </c>
      <c r="C18" s="7"/>
      <c r="D18" s="7" t="s">
        <v>2</v>
      </c>
      <c r="E18" s="25">
        <f>SUM(G19:K19)/E17</f>
        <v>7402.5184210526313</v>
      </c>
      <c r="F18" s="7" t="s">
        <v>3</v>
      </c>
      <c r="G18" s="16">
        <f>(G20+G19)/G17</f>
        <v>4420.0588324938517</v>
      </c>
      <c r="H18" s="16">
        <f t="shared" ref="H18:K18" si="2">(H20+H19)/H17</f>
        <v>6250.5027494004253</v>
      </c>
      <c r="I18" s="16">
        <f t="shared" si="2"/>
        <v>10954.370537135275</v>
      </c>
      <c r="J18" s="16">
        <f t="shared" si="2"/>
        <v>9172.1605947251464</v>
      </c>
      <c r="K18" s="17">
        <f t="shared" si="2"/>
        <v>6619.1639902539155</v>
      </c>
    </row>
    <row r="19" spans="2:11" x14ac:dyDescent="0.25">
      <c r="B19" s="6"/>
      <c r="C19" s="7"/>
      <c r="D19" s="7" t="s">
        <v>4</v>
      </c>
      <c r="E19" s="25">
        <f>SUM(G20:K20)/E17</f>
        <v>377.16803050056029</v>
      </c>
      <c r="F19" s="7" t="s">
        <v>12</v>
      </c>
      <c r="G19" s="16">
        <f>31835.78+ 971.54</f>
        <v>32807.32</v>
      </c>
      <c r="H19" s="16">
        <f>25522.83+47998.98+4696.21</f>
        <v>78218.02</v>
      </c>
      <c r="I19" s="16">
        <v>114166.49</v>
      </c>
      <c r="J19" s="16">
        <v>140011.24</v>
      </c>
      <c r="K19" s="17">
        <v>56740.480000000003</v>
      </c>
    </row>
    <row r="20" spans="2:11" ht="15.75" thickBot="1" x14ac:dyDescent="0.3">
      <c r="B20" s="6"/>
      <c r="C20" s="7"/>
      <c r="D20" s="7"/>
      <c r="E20" s="8"/>
      <c r="F20" s="11" t="s">
        <v>19</v>
      </c>
      <c r="G20" s="16">
        <v>2553.1506599508134</v>
      </c>
      <c r="H20" s="16">
        <v>3038.5157422055245</v>
      </c>
      <c r="I20" s="16">
        <v>6331.5859084880203</v>
      </c>
      <c r="J20" s="16">
        <v>6743.3295156023414</v>
      </c>
      <c r="K20" s="17">
        <v>2831.9959122852388</v>
      </c>
    </row>
    <row r="21" spans="2:11" x14ac:dyDescent="0.25">
      <c r="B21" s="37" t="s">
        <v>8</v>
      </c>
      <c r="C21" s="20"/>
      <c r="D21" s="20"/>
      <c r="E21" s="34">
        <f>SUM(G21:K21)</f>
        <v>38</v>
      </c>
      <c r="F21" s="20" t="s">
        <v>13</v>
      </c>
      <c r="G21" s="21">
        <v>16</v>
      </c>
      <c r="H21" s="21">
        <v>0</v>
      </c>
      <c r="I21" s="21">
        <v>22</v>
      </c>
      <c r="J21" s="21">
        <v>0</v>
      </c>
      <c r="K21" s="22">
        <v>0</v>
      </c>
    </row>
    <row r="22" spans="2:11" x14ac:dyDescent="0.25">
      <c r="B22" s="6" t="s">
        <v>15</v>
      </c>
      <c r="C22" s="7"/>
      <c r="D22" s="7" t="s">
        <v>2</v>
      </c>
      <c r="E22" s="25">
        <f>SUM(G23:K23)/E21</f>
        <v>1398.3434210526316</v>
      </c>
      <c r="F22" s="7" t="s">
        <v>3</v>
      </c>
      <c r="G22" s="16">
        <f>(G24+G23)/G21</f>
        <v>2031.9410748747068</v>
      </c>
      <c r="H22" s="16"/>
      <c r="I22" s="16">
        <f t="shared" ref="I22" si="3">(I24+I23)/I21</f>
        <v>1103.949493145599</v>
      </c>
      <c r="J22" s="16"/>
      <c r="K22" s="17"/>
    </row>
    <row r="23" spans="2:11" x14ac:dyDescent="0.25">
      <c r="B23" s="6"/>
      <c r="C23" s="7"/>
      <c r="D23" s="7" t="s">
        <v>4</v>
      </c>
      <c r="E23" s="25">
        <f>SUM(G24:K24)/E21</f>
        <v>96.339369663118106</v>
      </c>
      <c r="F23" s="7" t="s">
        <v>12</v>
      </c>
      <c r="G23" s="36">
        <v>28991.63</v>
      </c>
      <c r="H23" s="36"/>
      <c r="I23" s="36">
        <f>24145.42</f>
        <v>24145.42</v>
      </c>
      <c r="J23" s="16"/>
      <c r="K23" s="17"/>
    </row>
    <row r="24" spans="2:11" ht="15.75" thickBot="1" x14ac:dyDescent="0.3">
      <c r="B24" s="10"/>
      <c r="C24" s="11"/>
      <c r="D24" s="11"/>
      <c r="E24" s="33"/>
      <c r="F24" s="11" t="s">
        <v>19</v>
      </c>
      <c r="G24" s="27">
        <v>3519.4271979953091</v>
      </c>
      <c r="H24" s="27"/>
      <c r="I24" s="27">
        <v>141.46884920317851</v>
      </c>
      <c r="J24" s="27"/>
      <c r="K24" s="44"/>
    </row>
    <row r="25" spans="2:11" x14ac:dyDescent="0.25">
      <c r="B25" s="37" t="s">
        <v>9</v>
      </c>
      <c r="C25" s="20"/>
      <c r="D25" s="20"/>
      <c r="E25" s="34">
        <f>SUM(G25:K25)</f>
        <v>6</v>
      </c>
      <c r="F25" s="20" t="s">
        <v>13</v>
      </c>
      <c r="G25" s="21">
        <v>2</v>
      </c>
      <c r="H25" s="21">
        <v>0</v>
      </c>
      <c r="I25" s="21">
        <v>1</v>
      </c>
      <c r="J25" s="21">
        <v>2</v>
      </c>
      <c r="K25" s="19">
        <v>1</v>
      </c>
    </row>
    <row r="26" spans="2:11" x14ac:dyDescent="0.25">
      <c r="B26" s="6" t="s">
        <v>14</v>
      </c>
      <c r="C26" s="7"/>
      <c r="D26" s="7" t="s">
        <v>2</v>
      </c>
      <c r="E26" s="25">
        <f>SUM(G27:K27)/E25</f>
        <v>25600.564999999999</v>
      </c>
      <c r="F26" s="7" t="s">
        <v>3</v>
      </c>
      <c r="G26" s="16">
        <f>(G28+G27)/G25</f>
        <v>27577.530415962879</v>
      </c>
      <c r="H26" s="16"/>
      <c r="I26" s="16">
        <f t="shared" ref="I26:K26" si="4">(I28+I27)/I25</f>
        <v>39360.423205459025</v>
      </c>
      <c r="J26" s="16">
        <f t="shared" si="4"/>
        <v>23998.755588508113</v>
      </c>
      <c r="K26" s="17">
        <f t="shared" si="4"/>
        <v>31706.4994868707</v>
      </c>
    </row>
    <row r="27" spans="2:11" x14ac:dyDescent="0.25">
      <c r="B27" s="6"/>
      <c r="C27" s="7"/>
      <c r="D27" s="7" t="s">
        <v>4</v>
      </c>
      <c r="E27" s="25">
        <f>SUM(G28:K28)/E25</f>
        <v>3436.0174502119503</v>
      </c>
      <c r="F27" s="7" t="s">
        <v>12</v>
      </c>
      <c r="G27" s="16">
        <f>24198.02+21506.13</f>
        <v>45704.15</v>
      </c>
      <c r="H27" s="16"/>
      <c r="I27" s="16">
        <v>33832.31</v>
      </c>
      <c r="J27" s="16">
        <v>44437.91</v>
      </c>
      <c r="K27" s="17">
        <v>29629.02</v>
      </c>
    </row>
    <row r="28" spans="2:11" ht="15.75" thickBot="1" x14ac:dyDescent="0.3">
      <c r="B28" s="10"/>
      <c r="C28" s="11"/>
      <c r="D28" s="11"/>
      <c r="E28" s="33"/>
      <c r="F28" s="11" t="s">
        <v>19</v>
      </c>
      <c r="G28" s="27">
        <v>9450.9108319257575</v>
      </c>
      <c r="H28" s="27"/>
      <c r="I28" s="27">
        <v>5528.1132054590234</v>
      </c>
      <c r="J28" s="27">
        <v>3559.6011770162227</v>
      </c>
      <c r="K28" s="44">
        <v>2077.4794868706981</v>
      </c>
    </row>
    <row r="29" spans="2:11" x14ac:dyDescent="0.25">
      <c r="B29" s="29" t="s">
        <v>10</v>
      </c>
      <c r="C29" s="30"/>
      <c r="D29" s="20"/>
      <c r="E29" s="34">
        <f>SUM(G29:K29)</f>
        <v>2</v>
      </c>
      <c r="F29" s="20" t="s">
        <v>13</v>
      </c>
      <c r="G29" s="21">
        <v>0</v>
      </c>
      <c r="H29" s="21">
        <v>1</v>
      </c>
      <c r="I29" s="21">
        <v>0</v>
      </c>
      <c r="J29" s="21">
        <v>1</v>
      </c>
      <c r="K29" s="19">
        <v>0</v>
      </c>
    </row>
    <row r="30" spans="2:11" x14ac:dyDescent="0.25">
      <c r="B30" s="31" t="s">
        <v>16</v>
      </c>
      <c r="C30" s="32"/>
      <c r="D30" s="7" t="s">
        <v>2</v>
      </c>
      <c r="E30" s="25">
        <f>SUM(G31:K31)/E29</f>
        <v>78541.13</v>
      </c>
      <c r="F30" s="7" t="s">
        <v>3</v>
      </c>
      <c r="G30" s="16"/>
      <c r="H30" s="16">
        <f t="shared" ref="H30:J30" si="5">(H32+H31)/H29</f>
        <v>56343.596747033007</v>
      </c>
      <c r="I30" s="16"/>
      <c r="J30" s="16">
        <f t="shared" si="5"/>
        <v>111629.41193167839</v>
      </c>
      <c r="K30" s="17"/>
    </row>
    <row r="31" spans="2:11" x14ac:dyDescent="0.25">
      <c r="B31" s="31"/>
      <c r="C31" s="32"/>
      <c r="D31" s="7" t="s">
        <v>4</v>
      </c>
      <c r="E31" s="25">
        <f>SUM(G32:K32)/E29</f>
        <v>5445.3743393556997</v>
      </c>
      <c r="F31" s="7" t="s">
        <v>12</v>
      </c>
      <c r="G31" s="16"/>
      <c r="H31" s="16">
        <v>53635</v>
      </c>
      <c r="I31" s="16"/>
      <c r="J31" s="16">
        <v>103447.26</v>
      </c>
      <c r="K31" s="17"/>
    </row>
    <row r="32" spans="2:11" ht="15.75" thickBot="1" x14ac:dyDescent="0.3">
      <c r="B32" s="31"/>
      <c r="C32" s="32"/>
      <c r="D32" s="7"/>
      <c r="E32" s="8"/>
      <c r="F32" s="7" t="s">
        <v>19</v>
      </c>
      <c r="G32" s="16"/>
      <c r="H32" s="16">
        <v>2708.5967470330042</v>
      </c>
      <c r="I32" s="16"/>
      <c r="J32" s="16">
        <v>8182.1519316783961</v>
      </c>
      <c r="K32" s="17"/>
    </row>
    <row r="33" spans="1:21" x14ac:dyDescent="0.25">
      <c r="B33" s="37" t="s">
        <v>11</v>
      </c>
      <c r="C33" s="20"/>
      <c r="D33" s="20"/>
      <c r="E33" s="34">
        <f>SUM(G33:K33)</f>
        <v>3190</v>
      </c>
      <c r="F33" s="30" t="s">
        <v>13</v>
      </c>
      <c r="G33" s="21">
        <v>750</v>
      </c>
      <c r="H33" s="21">
        <v>0</v>
      </c>
      <c r="I33" s="21">
        <v>340</v>
      </c>
      <c r="J33" s="21">
        <f>700*3</f>
        <v>2100</v>
      </c>
      <c r="K33" s="22">
        <v>0</v>
      </c>
    </row>
    <row r="34" spans="1:21" x14ac:dyDescent="0.25">
      <c r="B34" s="6" t="s">
        <v>17</v>
      </c>
      <c r="C34" s="7"/>
      <c r="D34" s="7" t="s">
        <v>2</v>
      </c>
      <c r="E34" s="25">
        <f>SUM(G35:K35)/E33</f>
        <v>55.271705329153605</v>
      </c>
      <c r="F34" s="7" t="s">
        <v>3</v>
      </c>
      <c r="G34" s="16">
        <f>(G36+G35)/G33</f>
        <v>32.301821615811342</v>
      </c>
      <c r="H34" s="16"/>
      <c r="I34" s="16">
        <f t="shared" ref="I34:J34" si="6">(I36+I35)/I33</f>
        <v>251.658938976954</v>
      </c>
      <c r="J34" s="16">
        <f t="shared" si="6"/>
        <v>39.627374646769539</v>
      </c>
      <c r="K34" s="17"/>
    </row>
    <row r="35" spans="1:21" x14ac:dyDescent="0.25">
      <c r="B35" s="6"/>
      <c r="C35" s="7"/>
      <c r="D35" s="7" t="s">
        <v>4</v>
      </c>
      <c r="E35" s="25">
        <f>SUM(G36:K36)/E33</f>
        <v>5.2323361198241125</v>
      </c>
      <c r="F35" s="7" t="s">
        <v>12</v>
      </c>
      <c r="G35" s="16">
        <f>5726+15013.51</f>
        <v>20739.510000000002</v>
      </c>
      <c r="H35" s="16"/>
      <c r="I35" s="16">
        <v>78459.399999999994</v>
      </c>
      <c r="J35" s="16">
        <f>57200.3+19917.53</f>
        <v>77117.83</v>
      </c>
      <c r="K35" s="17"/>
    </row>
    <row r="36" spans="1:21" ht="15.75" thickBot="1" x14ac:dyDescent="0.3">
      <c r="B36" s="6"/>
      <c r="C36" s="7"/>
      <c r="D36" s="7"/>
      <c r="E36" s="9"/>
      <c r="F36" s="11" t="s">
        <v>19</v>
      </c>
      <c r="G36" s="16">
        <v>3486.8562118585055</v>
      </c>
      <c r="H36" s="16"/>
      <c r="I36" s="16">
        <v>7104.6392521643756</v>
      </c>
      <c r="J36" s="16">
        <v>6099.6567582160378</v>
      </c>
      <c r="K36" s="17"/>
    </row>
    <row r="37" spans="1:21" ht="15.75" thickBot="1" x14ac:dyDescent="0.3">
      <c r="B37" s="12"/>
      <c r="C37" s="13"/>
      <c r="D37" s="13"/>
      <c r="E37" s="14"/>
      <c r="F37" s="13"/>
      <c r="G37" s="13"/>
      <c r="H37" s="13"/>
      <c r="I37" s="13"/>
      <c r="J37" s="13"/>
      <c r="K37" s="15"/>
    </row>
    <row r="38" spans="1:21" ht="15.75" thickBot="1" x14ac:dyDescent="0.3"/>
    <row r="39" spans="1:21" ht="15.75" thickBot="1" x14ac:dyDescent="0.3">
      <c r="B39" s="1"/>
      <c r="C39" s="2"/>
      <c r="D39" s="2"/>
      <c r="E39" s="3" t="s">
        <v>0</v>
      </c>
      <c r="F39" s="2"/>
      <c r="G39" s="4">
        <v>2021</v>
      </c>
      <c r="H39" s="4">
        <v>2022</v>
      </c>
      <c r="I39" s="4">
        <v>2023</v>
      </c>
      <c r="J39" s="4">
        <v>2024</v>
      </c>
      <c r="K39" s="4">
        <v>2025</v>
      </c>
      <c r="L39" s="54">
        <v>2026</v>
      </c>
    </row>
    <row r="40" spans="1:21" x14ac:dyDescent="0.25">
      <c r="A40" s="47"/>
      <c r="B40" s="37" t="s">
        <v>1</v>
      </c>
      <c r="C40" s="20"/>
      <c r="D40" s="20"/>
      <c r="E40" s="34">
        <f>SUM(G40:L40)</f>
        <v>645</v>
      </c>
      <c r="F40" s="30" t="s">
        <v>20</v>
      </c>
      <c r="G40" s="30">
        <v>100</v>
      </c>
      <c r="H40" s="21">
        <v>109</v>
      </c>
      <c r="I40" s="21">
        <v>109</v>
      </c>
      <c r="J40" s="21">
        <v>109</v>
      </c>
      <c r="K40" s="21">
        <v>109</v>
      </c>
      <c r="L40" s="22">
        <v>109</v>
      </c>
      <c r="Q40" s="28"/>
    </row>
    <row r="41" spans="1:21" x14ac:dyDescent="0.25">
      <c r="A41" s="47"/>
      <c r="B41" s="6"/>
      <c r="C41" s="7"/>
      <c r="D41" s="7" t="s">
        <v>2</v>
      </c>
      <c r="E41" s="25">
        <f>SUM(G42:L42)/E40</f>
        <v>4818.9903875968994</v>
      </c>
      <c r="F41" s="7" t="s">
        <v>3</v>
      </c>
      <c r="G41" s="16">
        <f>(G42/G40)+E42</f>
        <v>3469.7323145562791</v>
      </c>
      <c r="H41" s="16">
        <f>(H42/H40)+E42</f>
        <v>5383.8151402443527</v>
      </c>
      <c r="I41" s="16">
        <f>(I42/I40)+E42</f>
        <v>5724.8334888682057</v>
      </c>
      <c r="J41" s="16">
        <f>(J42/J40)+E42</f>
        <v>5827.2463329049033</v>
      </c>
      <c r="K41" s="16">
        <f>(K42/K40)+E42</f>
        <v>5931.7233971250862</v>
      </c>
      <c r="L41" s="17">
        <f>(L42/L40)+E42</f>
        <v>6038.2738558406827</v>
      </c>
      <c r="N41" s="28"/>
    </row>
    <row r="42" spans="1:21" x14ac:dyDescent="0.25">
      <c r="A42" s="47"/>
      <c r="B42" s="6"/>
      <c r="C42" s="7"/>
      <c r="D42" s="7" t="s">
        <v>4</v>
      </c>
      <c r="E42" s="25">
        <f>SUM(G43:L43)/E40</f>
        <v>603.82431455627909</v>
      </c>
      <c r="F42" s="7" t="s">
        <v>21</v>
      </c>
      <c r="G42" s="16">
        <v>286590.8</v>
      </c>
      <c r="H42" s="16">
        <v>521019</v>
      </c>
      <c r="I42" s="16">
        <v>558190</v>
      </c>
      <c r="J42" s="16">
        <v>569353</v>
      </c>
      <c r="K42" s="16">
        <v>580741</v>
      </c>
      <c r="L42" s="17">
        <v>592355</v>
      </c>
    </row>
    <row r="43" spans="1:21" ht="15.75" thickBot="1" x14ac:dyDescent="0.3">
      <c r="A43" s="47"/>
      <c r="B43" s="10"/>
      <c r="C43" s="11"/>
      <c r="D43" s="11"/>
      <c r="E43" s="33"/>
      <c r="F43" s="23" t="s">
        <v>19</v>
      </c>
      <c r="G43" s="27">
        <v>35910.113830800001</v>
      </c>
      <c r="H43" s="48">
        <v>65284.201718999997</v>
      </c>
      <c r="I43" s="27">
        <v>69941.765189999991</v>
      </c>
      <c r="J43" s="27">
        <v>71340.500252999991</v>
      </c>
      <c r="K43" s="27">
        <v>72767.428040999992</v>
      </c>
      <c r="L43" s="44">
        <v>74222.673855000001</v>
      </c>
      <c r="P43" s="28"/>
      <c r="Q43" s="28"/>
      <c r="R43" s="28"/>
      <c r="S43" s="28"/>
      <c r="T43" s="28"/>
      <c r="U43" s="28"/>
    </row>
    <row r="44" spans="1:21" x14ac:dyDescent="0.25">
      <c r="A44" s="47"/>
      <c r="B44" s="37" t="s">
        <v>5</v>
      </c>
      <c r="C44" s="20"/>
      <c r="D44" s="20"/>
      <c r="E44" s="34">
        <f>SUM(H44:L44)</f>
        <v>0</v>
      </c>
      <c r="F44" s="30" t="s">
        <v>20</v>
      </c>
      <c r="G44" s="49">
        <v>0</v>
      </c>
      <c r="H44" s="49">
        <v>0</v>
      </c>
      <c r="I44" s="49">
        <v>0</v>
      </c>
      <c r="J44" s="49">
        <v>0</v>
      </c>
      <c r="K44" s="49">
        <v>0</v>
      </c>
      <c r="L44" s="50">
        <v>0</v>
      </c>
    </row>
    <row r="45" spans="1:21" x14ac:dyDescent="0.25">
      <c r="A45" s="47"/>
      <c r="B45" s="6"/>
      <c r="C45" s="7"/>
      <c r="D45" s="7" t="s">
        <v>2</v>
      </c>
      <c r="E45" s="25" t="s">
        <v>18</v>
      </c>
      <c r="F45" s="7" t="s">
        <v>3</v>
      </c>
      <c r="G45" s="16"/>
      <c r="H45" s="16"/>
      <c r="I45" s="16"/>
      <c r="J45" s="16"/>
      <c r="K45" s="16"/>
      <c r="L45" s="17"/>
    </row>
    <row r="46" spans="1:21" x14ac:dyDescent="0.25">
      <c r="A46" s="47"/>
      <c r="B46" s="6"/>
      <c r="C46" s="7"/>
      <c r="D46" s="7" t="s">
        <v>4</v>
      </c>
      <c r="E46" s="25"/>
      <c r="F46" s="7" t="s">
        <v>21</v>
      </c>
      <c r="G46" s="16"/>
      <c r="H46" s="16"/>
      <c r="I46" s="16"/>
      <c r="J46" s="16"/>
      <c r="K46" s="43"/>
      <c r="L46" s="51"/>
    </row>
    <row r="47" spans="1:21" ht="15.75" thickBot="1" x14ac:dyDescent="0.3">
      <c r="A47" s="47"/>
      <c r="B47" s="10"/>
      <c r="C47" s="11"/>
      <c r="D47" s="11"/>
      <c r="E47" s="33"/>
      <c r="F47" s="23" t="s">
        <v>19</v>
      </c>
      <c r="G47" s="27"/>
      <c r="H47" s="27"/>
      <c r="I47" s="27"/>
      <c r="J47" s="27"/>
      <c r="K47" s="27"/>
      <c r="L47" s="44"/>
    </row>
    <row r="48" spans="1:21" x14ac:dyDescent="0.25">
      <c r="A48" s="47"/>
      <c r="B48" s="37" t="s">
        <v>6</v>
      </c>
      <c r="C48" s="20"/>
      <c r="D48" s="20"/>
      <c r="E48" s="34">
        <f>SUM(G48:L48)</f>
        <v>12</v>
      </c>
      <c r="F48" s="30" t="s">
        <v>20</v>
      </c>
      <c r="G48" s="49">
        <v>2</v>
      </c>
      <c r="H48" s="49">
        <v>2</v>
      </c>
      <c r="I48" s="49">
        <v>2</v>
      </c>
      <c r="J48" s="49">
        <v>2</v>
      </c>
      <c r="K48" s="49">
        <v>2</v>
      </c>
      <c r="L48" s="50">
        <v>2</v>
      </c>
    </row>
    <row r="49" spans="1:21" x14ac:dyDescent="0.25">
      <c r="A49" s="47"/>
      <c r="B49" s="6"/>
      <c r="C49" s="7"/>
      <c r="D49" s="7" t="s">
        <v>2</v>
      </c>
      <c r="E49" s="25">
        <v>2779</v>
      </c>
      <c r="F49" s="7" t="s">
        <v>3</v>
      </c>
      <c r="G49" s="16">
        <f>(E49+E50)</f>
        <v>3161.9823270000002</v>
      </c>
      <c r="H49" s="16">
        <f>E49+E50</f>
        <v>3161.9823270000002</v>
      </c>
      <c r="I49" s="16">
        <f>E49+E50</f>
        <v>3161.9823270000002</v>
      </c>
      <c r="J49" s="16">
        <f>E49+E50</f>
        <v>3161.9823270000002</v>
      </c>
      <c r="K49" s="16">
        <f>E49+E50</f>
        <v>3161.9823270000002</v>
      </c>
      <c r="L49" s="17">
        <f>E49+E50</f>
        <v>3161.9823270000002</v>
      </c>
    </row>
    <row r="50" spans="1:21" x14ac:dyDescent="0.25">
      <c r="A50" s="47"/>
      <c r="B50" s="6"/>
      <c r="C50" s="7"/>
      <c r="D50" s="7" t="s">
        <v>4</v>
      </c>
      <c r="E50" s="25">
        <f>SUM(G51:L51)/E48</f>
        <v>382.982327</v>
      </c>
      <c r="F50" s="7" t="s">
        <v>21</v>
      </c>
      <c r="G50" s="16">
        <f>E49*G48</f>
        <v>5558</v>
      </c>
      <c r="H50" s="16">
        <f>E49*H48</f>
        <v>5558</v>
      </c>
      <c r="I50" s="16">
        <f>E49*I48</f>
        <v>5558</v>
      </c>
      <c r="J50" s="16">
        <f>E49*J48</f>
        <v>5558</v>
      </c>
      <c r="K50" s="16">
        <f>E49*K48</f>
        <v>5558</v>
      </c>
      <c r="L50" s="17">
        <f>E49*L48</f>
        <v>5558</v>
      </c>
    </row>
    <row r="51" spans="1:21" ht="15.75" thickBot="1" x14ac:dyDescent="0.3">
      <c r="A51" s="47"/>
      <c r="B51" s="10"/>
      <c r="C51" s="11"/>
      <c r="D51" s="11"/>
      <c r="E51" s="33"/>
      <c r="F51" s="23" t="s">
        <v>19</v>
      </c>
      <c r="G51" s="27">
        <v>765.964654</v>
      </c>
      <c r="H51" s="27">
        <v>765.964654</v>
      </c>
      <c r="I51" s="27">
        <v>765.964654</v>
      </c>
      <c r="J51" s="27">
        <v>765.964654</v>
      </c>
      <c r="K51" s="27">
        <v>765.964654</v>
      </c>
      <c r="L51" s="44">
        <v>765.964654</v>
      </c>
      <c r="P51" s="28"/>
      <c r="Q51" s="28"/>
      <c r="R51" s="28"/>
      <c r="S51" s="28"/>
      <c r="T51" s="28"/>
      <c r="U51" s="28"/>
    </row>
    <row r="52" spans="1:21" x14ac:dyDescent="0.25">
      <c r="A52" s="47"/>
      <c r="B52" s="37" t="s">
        <v>7</v>
      </c>
      <c r="C52" s="20"/>
      <c r="D52" s="20"/>
      <c r="E52" s="34">
        <f>SUM(G52:L52)</f>
        <v>36</v>
      </c>
      <c r="F52" s="30" t="s">
        <v>20</v>
      </c>
      <c r="G52" s="49">
        <v>6</v>
      </c>
      <c r="H52" s="49">
        <v>6</v>
      </c>
      <c r="I52" s="49">
        <v>6</v>
      </c>
      <c r="J52" s="49">
        <v>6</v>
      </c>
      <c r="K52" s="49">
        <v>6</v>
      </c>
      <c r="L52" s="50">
        <v>6</v>
      </c>
      <c r="M52" s="18"/>
    </row>
    <row r="53" spans="1:21" x14ac:dyDescent="0.25">
      <c r="A53" s="47"/>
      <c r="B53" s="6" t="s">
        <v>14</v>
      </c>
      <c r="C53" s="7"/>
      <c r="D53" s="7" t="s">
        <v>2</v>
      </c>
      <c r="E53" s="25">
        <f>SUM(G54:L54)/E52</f>
        <v>9996.7611111111109</v>
      </c>
      <c r="F53" s="7" t="s">
        <v>3</v>
      </c>
      <c r="G53" s="16">
        <f>E53+E54</f>
        <v>10486.972285716667</v>
      </c>
      <c r="H53" s="16">
        <f>E53+E54</f>
        <v>10486.972285716667</v>
      </c>
      <c r="I53" s="16">
        <f>E53+E54</f>
        <v>10486.972285716667</v>
      </c>
      <c r="J53" s="16">
        <f>E53+E54</f>
        <v>10486.972285716667</v>
      </c>
      <c r="K53" s="16">
        <f>E53+E54</f>
        <v>10486.972285716667</v>
      </c>
      <c r="L53" s="17">
        <f>E53+E54</f>
        <v>10486.972285716667</v>
      </c>
    </row>
    <row r="54" spans="1:21" x14ac:dyDescent="0.25">
      <c r="A54" s="47"/>
      <c r="B54" s="6"/>
      <c r="C54" s="7"/>
      <c r="D54" s="7" t="s">
        <v>4</v>
      </c>
      <c r="E54" s="25">
        <f>SUM(G55:L55)/E52</f>
        <v>490.21117460555553</v>
      </c>
      <c r="F54" s="7" t="s">
        <v>21</v>
      </c>
      <c r="G54" s="16">
        <v>55872.4</v>
      </c>
      <c r="H54" s="16">
        <v>56521</v>
      </c>
      <c r="I54" s="16">
        <v>60047</v>
      </c>
      <c r="J54" s="16">
        <v>61248</v>
      </c>
      <c r="K54" s="16">
        <v>62473</v>
      </c>
      <c r="L54" s="17">
        <v>63722</v>
      </c>
    </row>
    <row r="55" spans="1:21" ht="15.75" thickBot="1" x14ac:dyDescent="0.3">
      <c r="A55" s="47"/>
      <c r="B55" s="10"/>
      <c r="C55" s="11"/>
      <c r="D55" s="11"/>
      <c r="E55" s="33"/>
      <c r="F55" s="23" t="s">
        <v>19</v>
      </c>
      <c r="G55" s="27">
        <v>2739.8148787999999</v>
      </c>
      <c r="H55" s="27">
        <v>2771.620277</v>
      </c>
      <c r="I55" s="27">
        <v>2944.524739</v>
      </c>
      <c r="J55" s="27">
        <v>3003.4181759999997</v>
      </c>
      <c r="K55" s="27">
        <v>3063.4885009999998</v>
      </c>
      <c r="L55" s="44">
        <v>3124.7357139999999</v>
      </c>
      <c r="P55" s="28"/>
      <c r="Q55" s="28"/>
      <c r="R55" s="28"/>
      <c r="S55" s="28"/>
      <c r="T55" s="28"/>
      <c r="U55" s="28"/>
    </row>
    <row r="56" spans="1:21" x14ac:dyDescent="0.25">
      <c r="A56" s="47"/>
      <c r="B56" s="37" t="s">
        <v>9</v>
      </c>
      <c r="C56" s="20"/>
      <c r="D56" s="20"/>
      <c r="E56" s="34">
        <f>SUM(G56:L56)</f>
        <v>6</v>
      </c>
      <c r="F56" s="30" t="s">
        <v>20</v>
      </c>
      <c r="G56" s="49">
        <v>1</v>
      </c>
      <c r="H56" s="49">
        <v>1</v>
      </c>
      <c r="I56" s="49">
        <v>1</v>
      </c>
      <c r="J56" s="49">
        <v>1</v>
      </c>
      <c r="K56" s="49">
        <v>1</v>
      </c>
      <c r="L56" s="50">
        <v>1</v>
      </c>
    </row>
    <row r="57" spans="1:21" x14ac:dyDescent="0.25">
      <c r="A57" s="47"/>
      <c r="B57" s="6" t="s">
        <v>14</v>
      </c>
      <c r="C57" s="7"/>
      <c r="D57" s="7" t="s">
        <v>2</v>
      </c>
      <c r="E57" s="25">
        <f>SUM(G58:L58)/E56</f>
        <v>31112.091666666671</v>
      </c>
      <c r="F57" s="7" t="s">
        <v>3</v>
      </c>
      <c r="G57" s="16">
        <f>E57+E58</f>
        <v>33448.920871750001</v>
      </c>
      <c r="H57" s="16">
        <f>E57+E58</f>
        <v>33448.920871750001</v>
      </c>
      <c r="I57" s="16">
        <f>E57+E58</f>
        <v>33448.920871750001</v>
      </c>
      <c r="J57" s="16">
        <f>E57+E58</f>
        <v>33448.920871750001</v>
      </c>
      <c r="K57" s="16">
        <f>E57+E58</f>
        <v>33448.920871750001</v>
      </c>
      <c r="L57" s="17">
        <f>E57+E58</f>
        <v>33448.920871750001</v>
      </c>
    </row>
    <row r="58" spans="1:21" x14ac:dyDescent="0.25">
      <c r="A58" s="47"/>
      <c r="B58" s="6"/>
      <c r="C58" s="7"/>
      <c r="D58" s="7" t="s">
        <v>4</v>
      </c>
      <c r="E58" s="25">
        <f>SUM(G59:L59)/E56</f>
        <v>2336.8292050833329</v>
      </c>
      <c r="F58" s="7" t="s">
        <v>21</v>
      </c>
      <c r="G58" s="16">
        <v>30228.44</v>
      </c>
      <c r="H58" s="16">
        <v>29220.31</v>
      </c>
      <c r="I58" s="16">
        <v>30867.52</v>
      </c>
      <c r="J58" s="16">
        <v>31484.87</v>
      </c>
      <c r="K58" s="16">
        <v>32114.560000000001</v>
      </c>
      <c r="L58" s="17">
        <v>32756.85</v>
      </c>
    </row>
    <row r="59" spans="1:21" ht="15.75" thickBot="1" x14ac:dyDescent="0.3">
      <c r="A59" s="47"/>
      <c r="B59" s="10"/>
      <c r="C59" s="11"/>
      <c r="D59" s="11"/>
      <c r="E59" s="33"/>
      <c r="F59" s="23" t="s">
        <v>19</v>
      </c>
      <c r="G59" s="27">
        <v>2270.4581283999996</v>
      </c>
      <c r="H59" s="27">
        <v>2194.7374841000001</v>
      </c>
      <c r="I59" s="27">
        <v>2318.4594271999999</v>
      </c>
      <c r="J59" s="27">
        <v>2364.8285856999996</v>
      </c>
      <c r="K59" s="27">
        <v>2412.1246016</v>
      </c>
      <c r="L59" s="44">
        <v>2460.3670034999996</v>
      </c>
      <c r="P59" s="28"/>
      <c r="Q59" s="28"/>
      <c r="R59" s="28"/>
      <c r="S59" s="28"/>
      <c r="T59" s="28"/>
      <c r="U59" s="28"/>
    </row>
    <row r="60" spans="1:21" x14ac:dyDescent="0.25">
      <c r="A60" s="47"/>
      <c r="B60" s="29" t="s">
        <v>10</v>
      </c>
      <c r="C60" s="30"/>
      <c r="D60" s="20"/>
      <c r="E60" s="34">
        <f>SUM(H60:L60)</f>
        <v>0</v>
      </c>
      <c r="F60" s="30" t="s">
        <v>20</v>
      </c>
      <c r="G60" s="49">
        <v>0</v>
      </c>
      <c r="H60" s="49">
        <v>0</v>
      </c>
      <c r="I60" s="49">
        <v>0</v>
      </c>
      <c r="J60" s="49">
        <v>0</v>
      </c>
      <c r="K60" s="49">
        <v>0</v>
      </c>
      <c r="L60" s="50">
        <v>0</v>
      </c>
      <c r="M60" s="18"/>
    </row>
    <row r="61" spans="1:21" x14ac:dyDescent="0.25">
      <c r="A61" s="47"/>
      <c r="B61" s="31" t="s">
        <v>16</v>
      </c>
      <c r="C61" s="32"/>
      <c r="D61" s="7" t="s">
        <v>2</v>
      </c>
      <c r="E61" s="25" t="s">
        <v>18</v>
      </c>
      <c r="F61" s="7" t="s">
        <v>3</v>
      </c>
      <c r="G61" s="16"/>
      <c r="H61" s="16"/>
      <c r="I61" s="16"/>
      <c r="J61" s="16"/>
      <c r="K61" s="16"/>
      <c r="L61" s="17"/>
    </row>
    <row r="62" spans="1:21" x14ac:dyDescent="0.25">
      <c r="A62" s="47"/>
      <c r="B62" s="31"/>
      <c r="C62" s="32"/>
      <c r="D62" s="7" t="s">
        <v>4</v>
      </c>
      <c r="E62" s="25"/>
      <c r="F62" s="7" t="s">
        <v>21</v>
      </c>
      <c r="G62" s="16"/>
      <c r="H62" s="16"/>
      <c r="I62" s="16"/>
      <c r="J62" s="16"/>
      <c r="K62" s="16"/>
      <c r="L62" s="17"/>
    </row>
    <row r="63" spans="1:21" ht="15.75" thickBot="1" x14ac:dyDescent="0.3">
      <c r="A63" s="47"/>
      <c r="B63" s="52"/>
      <c r="C63" s="23"/>
      <c r="D63" s="11"/>
      <c r="E63" s="33"/>
      <c r="F63" s="23" t="s">
        <v>19</v>
      </c>
      <c r="G63" s="27"/>
      <c r="H63" s="27"/>
      <c r="I63" s="27"/>
      <c r="J63" s="27"/>
      <c r="K63" s="27"/>
      <c r="L63" s="44"/>
    </row>
    <row r="64" spans="1:21" x14ac:dyDescent="0.25">
      <c r="A64" s="47"/>
      <c r="B64" s="37" t="s">
        <v>11</v>
      </c>
      <c r="C64" s="20"/>
      <c r="D64" s="20"/>
      <c r="E64" s="34">
        <f>SUM(H64:L64)</f>
        <v>0</v>
      </c>
      <c r="F64" s="30" t="s">
        <v>20</v>
      </c>
      <c r="G64" s="49">
        <v>0</v>
      </c>
      <c r="H64" s="49">
        <v>0</v>
      </c>
      <c r="I64" s="49">
        <v>0</v>
      </c>
      <c r="J64" s="49">
        <v>0</v>
      </c>
      <c r="K64" s="49">
        <v>0</v>
      </c>
      <c r="L64" s="50">
        <v>0</v>
      </c>
    </row>
    <row r="65" spans="1:12" x14ac:dyDescent="0.25">
      <c r="A65" s="47"/>
      <c r="B65" s="6" t="s">
        <v>17</v>
      </c>
      <c r="C65" s="7"/>
      <c r="D65" s="7" t="s">
        <v>2</v>
      </c>
      <c r="E65" s="25" t="s">
        <v>18</v>
      </c>
      <c r="F65" s="7" t="s">
        <v>3</v>
      </c>
      <c r="G65" s="16"/>
      <c r="H65" s="16"/>
      <c r="I65" s="16"/>
      <c r="J65" s="16"/>
      <c r="K65" s="16"/>
      <c r="L65" s="17"/>
    </row>
    <row r="66" spans="1:12" x14ac:dyDescent="0.25">
      <c r="A66" s="47"/>
      <c r="B66" s="6"/>
      <c r="C66" s="7"/>
      <c r="D66" s="7" t="s">
        <v>4</v>
      </c>
      <c r="E66" s="25"/>
      <c r="F66" s="7" t="s">
        <v>21</v>
      </c>
      <c r="G66" s="16"/>
      <c r="H66" s="16"/>
      <c r="I66" s="16"/>
      <c r="J66" s="16"/>
      <c r="K66" s="16"/>
      <c r="L66" s="17"/>
    </row>
    <row r="67" spans="1:12" ht="15.75" thickBot="1" x14ac:dyDescent="0.3">
      <c r="B67" s="10"/>
      <c r="C67" s="11"/>
      <c r="D67" s="11"/>
      <c r="E67" s="53"/>
      <c r="F67" s="23" t="s">
        <v>19</v>
      </c>
      <c r="G67" s="27"/>
      <c r="H67" s="27"/>
      <c r="I67" s="27"/>
      <c r="J67" s="27"/>
      <c r="K67" s="27"/>
      <c r="L67" s="44"/>
    </row>
    <row r="68" spans="1:12" ht="15.75" thickBot="1" x14ac:dyDescent="0.3">
      <c r="B68" s="12"/>
      <c r="C68" s="13"/>
      <c r="D68" s="13"/>
      <c r="E68" s="14"/>
      <c r="F68" s="13"/>
      <c r="G68" s="13"/>
      <c r="H68" s="13"/>
      <c r="I68" s="13"/>
      <c r="J68" s="13"/>
      <c r="K68" s="13"/>
      <c r="L68" s="15"/>
    </row>
  </sheetData>
  <pageMargins left="0.70866141732283472" right="0.70866141732283472" top="0.74803149606299213" bottom="0.74803149606299213" header="0.31496062992125984" footer="0.31496062992125984"/>
  <pageSetup scale="65" orientation="landscape" cellComments="asDisplayed" horizontalDpi="4294967295" verticalDpi="4294967295" r:id="rId1"/>
  <ignoredErrors>
    <ignoredError sqref="E60 E64 E44"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Sinisa Grkovic</dc:creator>
  <cp:lastModifiedBy>Sinisa Grkovic</cp:lastModifiedBy>
  <cp:lastPrinted>2021-10-14T20:10:13Z</cp:lastPrinted>
  <dcterms:created xsi:type="dcterms:W3CDTF">2021-10-14T18:14:08Z</dcterms:created>
  <dcterms:modified xsi:type="dcterms:W3CDTF">2021-10-26T17:57:25Z</dcterms:modified>
</cp:coreProperties>
</file>