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2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3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4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 codeName="ThisWorkbook" defaultThemeVersion="124226"/>
  <bookViews>
    <workbookView xWindow="0" yWindow="0" windowWidth="28800" windowHeight="12300" tabRatio="843"/>
  </bookViews>
  <sheets>
    <sheet name="Summary" sheetId="11" r:id="rId1"/>
    <sheet name="Purchases" sheetId="81" r:id="rId2"/>
    <sheet name="Weather" sheetId="61" r:id="rId3"/>
    <sheet name="Economic" sheetId="62" r:id="rId4"/>
    <sheet name="CDM" sheetId="63" r:id="rId5"/>
    <sheet name="Purchased Power Model" sheetId="76" r:id="rId6"/>
    <sheet name="Purchased Power Model (WN)" sheetId="86" r:id="rId7"/>
    <sheet name="Rate Class Energy Model" sheetId="9" r:id="rId8"/>
    <sheet name="Rate Class Energy Model (WN)" sheetId="87" r:id="rId9"/>
    <sheet name="Customer Count" sheetId="59" r:id="rId10"/>
    <sheet name="Rate Class Customer Model" sheetId="17" r:id="rId11"/>
    <sheet name="Rate Class Load Model" sheetId="18" r:id="rId12"/>
    <sheet name="Embedded Distributor" sheetId="83" r:id="rId13"/>
    <sheet name="GS Reclassification Adjustment" sheetId="73" r:id="rId14"/>
    <sheet name="New GS&gt;50 Customers" sheetId="95" r:id="rId15"/>
    <sheet name="Data" sheetId="71" r:id="rId16"/>
    <sheet name="Data (ED Mar2017-)" sheetId="84" r:id="rId17"/>
    <sheet name="Rate Class Energy Model WN NCov" sheetId="89" r:id="rId18"/>
    <sheet name="Purchased Power Model (NoCoV)" sheetId="93" r:id="rId19"/>
  </sheets>
  <externalReferences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</externalReferences>
  <definedNames>
    <definedName name="__CAP1000" localSheetId="15">#REF!</definedName>
    <definedName name="__CAP1000" localSheetId="16">#REF!</definedName>
    <definedName name="__CAP1000" localSheetId="5">#REF!</definedName>
    <definedName name="__CAP1000" localSheetId="18">#REF!</definedName>
    <definedName name="__CAP1000" localSheetId="6">#REF!</definedName>
    <definedName name="__CAP1000">#REF!</definedName>
    <definedName name="__OP1000" localSheetId="15">#REF!</definedName>
    <definedName name="__OP1000" localSheetId="16">#REF!</definedName>
    <definedName name="__OP1000" localSheetId="5">#REF!</definedName>
    <definedName name="__OP1000" localSheetId="18">#REF!</definedName>
    <definedName name="__OP1000" localSheetId="6">#REF!</definedName>
    <definedName name="__OP1000">#REF!</definedName>
    <definedName name="_110" localSheetId="15">#REF!</definedName>
    <definedName name="_110" localSheetId="16">#REF!</definedName>
    <definedName name="_110" localSheetId="5">#REF!</definedName>
    <definedName name="_110" localSheetId="18">#REF!</definedName>
    <definedName name="_110" localSheetId="6">#REF!</definedName>
    <definedName name="_110">#REF!</definedName>
    <definedName name="_110INPT" localSheetId="15">#REF!</definedName>
    <definedName name="_110INPT" localSheetId="16">#REF!</definedName>
    <definedName name="_110INPT" localSheetId="5">#REF!</definedName>
    <definedName name="_110INPT" localSheetId="18">#REF!</definedName>
    <definedName name="_110INPT" localSheetId="6">#REF!</definedName>
    <definedName name="_110INPT">#REF!</definedName>
    <definedName name="_115" localSheetId="15">#REF!</definedName>
    <definedName name="_115" localSheetId="16">#REF!</definedName>
    <definedName name="_115" localSheetId="5">#REF!</definedName>
    <definedName name="_115" localSheetId="18">#REF!</definedName>
    <definedName name="_115" localSheetId="6">#REF!</definedName>
    <definedName name="_115">#REF!</definedName>
    <definedName name="_115INPT" localSheetId="15">#REF!</definedName>
    <definedName name="_115INPT" localSheetId="16">#REF!</definedName>
    <definedName name="_115INPT" localSheetId="5">#REF!</definedName>
    <definedName name="_115INPT" localSheetId="18">#REF!</definedName>
    <definedName name="_115INPT" localSheetId="6">#REF!</definedName>
    <definedName name="_115INPT">#REF!</definedName>
    <definedName name="_120" localSheetId="15">#REF!</definedName>
    <definedName name="_120" localSheetId="16">#REF!</definedName>
    <definedName name="_120" localSheetId="5">#REF!</definedName>
    <definedName name="_120" localSheetId="18">#REF!</definedName>
    <definedName name="_120" localSheetId="6">#REF!</definedName>
    <definedName name="_120">#REF!</definedName>
    <definedName name="_140" localSheetId="15">#REF!</definedName>
    <definedName name="_140" localSheetId="16">#REF!</definedName>
    <definedName name="_140" localSheetId="5">#REF!</definedName>
    <definedName name="_140" localSheetId="18">#REF!</definedName>
    <definedName name="_140" localSheetId="6">#REF!</definedName>
    <definedName name="_140">#REF!</definedName>
    <definedName name="_140INPT" localSheetId="15">#REF!</definedName>
    <definedName name="_140INPT" localSheetId="16">#REF!</definedName>
    <definedName name="_140INPT" localSheetId="5">#REF!</definedName>
    <definedName name="_140INPT" localSheetId="18">#REF!</definedName>
    <definedName name="_140INPT" localSheetId="6">#REF!</definedName>
    <definedName name="_140INPT">#REF!</definedName>
    <definedName name="_CAP1000" localSheetId="15">#REF!</definedName>
    <definedName name="_CAP1000" localSheetId="16">#REF!</definedName>
    <definedName name="_CAP1000" localSheetId="5">#REF!</definedName>
    <definedName name="_CAP1000" localSheetId="18">#REF!</definedName>
    <definedName name="_CAP1000" localSheetId="6">#REF!</definedName>
    <definedName name="_CAP1000">#REF!</definedName>
    <definedName name="_Fill" hidden="1">'[1]Old MEA Statistics'!$B$250</definedName>
    <definedName name="_OP1000" localSheetId="15">#REF!</definedName>
    <definedName name="_OP1000" localSheetId="16">#REF!</definedName>
    <definedName name="_OP1000" localSheetId="5">#REF!</definedName>
    <definedName name="_OP1000" localSheetId="18">#REF!</definedName>
    <definedName name="_OP1000" localSheetId="6">#REF!</definedName>
    <definedName name="_OP1000">#REF!</definedName>
    <definedName name="_Order1" hidden="1">255</definedName>
    <definedName name="_Order2" hidden="1">0</definedName>
    <definedName name="_Sort" hidden="1">[2]Sheet1!$G$40:$K$40</definedName>
    <definedName name="ALL" localSheetId="15">#REF!</definedName>
    <definedName name="ALL" localSheetId="16">#REF!</definedName>
    <definedName name="ALL" localSheetId="5">#REF!</definedName>
    <definedName name="ALL" localSheetId="18">#REF!</definedName>
    <definedName name="ALL" localSheetId="6">#REF!</definedName>
    <definedName name="ALL">#REF!</definedName>
    <definedName name="ApprovedYr">'[3]Z1.ModelVariables'!$C$12</definedName>
    <definedName name="CAfile">[4]Refs!$B$2</definedName>
    <definedName name="CAPCOSTS" localSheetId="15">#REF!</definedName>
    <definedName name="CAPCOSTS" localSheetId="16">#REF!</definedName>
    <definedName name="CAPCOSTS" localSheetId="5">#REF!</definedName>
    <definedName name="CAPCOSTS" localSheetId="18">#REF!</definedName>
    <definedName name="CAPCOSTS" localSheetId="6">#REF!</definedName>
    <definedName name="CAPCOSTS">#REF!</definedName>
    <definedName name="CAPITAL" localSheetId="15">#REF!</definedName>
    <definedName name="CAPITAL" localSheetId="16">#REF!</definedName>
    <definedName name="CAPITAL" localSheetId="5">#REF!</definedName>
    <definedName name="CAPITAL" localSheetId="18">#REF!</definedName>
    <definedName name="CAPITAL" localSheetId="6">#REF!</definedName>
    <definedName name="CAPITAL">#REF!</definedName>
    <definedName name="CapitalExpListing" localSheetId="15">#REF!</definedName>
    <definedName name="CapitalExpListing" localSheetId="16">#REF!</definedName>
    <definedName name="CapitalExpListing" localSheetId="5">#REF!</definedName>
    <definedName name="CapitalExpListing" localSheetId="18">#REF!</definedName>
    <definedName name="CapitalExpListing" localSheetId="6">#REF!</definedName>
    <definedName name="CapitalExpListing">#REF!</definedName>
    <definedName name="CArevReq">[4]Refs!$B$6</definedName>
    <definedName name="CASHFLOW" localSheetId="15">#REF!</definedName>
    <definedName name="CASHFLOW" localSheetId="16">#REF!</definedName>
    <definedName name="CASHFLOW" localSheetId="5">#REF!</definedName>
    <definedName name="CASHFLOW" localSheetId="18">#REF!</definedName>
    <definedName name="CASHFLOW" localSheetId="6">#REF!</definedName>
    <definedName name="CASHFLOW">#REF!</definedName>
    <definedName name="cc" localSheetId="15">#REF!</definedName>
    <definedName name="cc" localSheetId="16">#REF!</definedName>
    <definedName name="cc" localSheetId="5">#REF!</definedName>
    <definedName name="cc" localSheetId="18">#REF!</definedName>
    <definedName name="cc" localSheetId="6">#REF!</definedName>
    <definedName name="cc">#REF!</definedName>
    <definedName name="ClassRange1">[4]Refs!$B$3</definedName>
    <definedName name="ClassRange2">[4]Refs!$B$4</definedName>
    <definedName name="contactf" localSheetId="15">#REF!</definedName>
    <definedName name="contactf" localSheetId="16">#REF!</definedName>
    <definedName name="contactf" localSheetId="5">#REF!</definedName>
    <definedName name="contactf" localSheetId="18">#REF!</definedName>
    <definedName name="contactf" localSheetId="6">#REF!</definedName>
    <definedName name="contactf">#REF!</definedName>
    <definedName name="_xlnm.Criteria" localSheetId="15">#REF!</definedName>
    <definedName name="_xlnm.Criteria" localSheetId="16">#REF!</definedName>
    <definedName name="_xlnm.Criteria" localSheetId="5">#REF!</definedName>
    <definedName name="_xlnm.Criteria" localSheetId="18">#REF!</definedName>
    <definedName name="_xlnm.Criteria" localSheetId="6">#REF!</definedName>
    <definedName name="_xlnm.Criteria">#REF!</definedName>
    <definedName name="CRLF">'[3]Z1.ModelVariables'!$C$10</definedName>
    <definedName name="_xlnm.Database" localSheetId="15">#REF!</definedName>
    <definedName name="_xlnm.Database" localSheetId="16">#REF!</definedName>
    <definedName name="_xlnm.Database" localSheetId="5">#REF!</definedName>
    <definedName name="_xlnm.Database" localSheetId="18">#REF!</definedName>
    <definedName name="_xlnm.Database" localSheetId="6">#REF!</definedName>
    <definedName name="_xlnm.Database">#REF!</definedName>
    <definedName name="DaysInPreviousYear" localSheetId="17">'[5]Distribution Revenue by Source'!$B$22</definedName>
    <definedName name="DaysInPreviousYear">'[5]Distribution Revenue by Source'!$B$22</definedName>
    <definedName name="DaysInYear" localSheetId="17">'[5]Distribution Revenue by Source'!$B$21</definedName>
    <definedName name="DaysInYear">'[5]Distribution Revenue by Source'!$B$21</definedName>
    <definedName name="DEBTREPAY" localSheetId="15">#REF!</definedName>
    <definedName name="DEBTREPAY" localSheetId="16">#REF!</definedName>
    <definedName name="DEBTREPAY" localSheetId="5">#REF!</definedName>
    <definedName name="DEBTREPAY" localSheetId="18">#REF!</definedName>
    <definedName name="DEBTREPAY" localSheetId="6">#REF!</definedName>
    <definedName name="DEBTREPAY">#REF!</definedName>
    <definedName name="DeptDiv" localSheetId="15">#REF!</definedName>
    <definedName name="DeptDiv" localSheetId="16">#REF!</definedName>
    <definedName name="DeptDiv" localSheetId="5">#REF!</definedName>
    <definedName name="DeptDiv" localSheetId="18">#REF!</definedName>
    <definedName name="DeptDiv" localSheetId="6">#REF!</definedName>
    <definedName name="DeptDiv">#REF!</definedName>
    <definedName name="ExpenseAccountListing" localSheetId="15">#REF!</definedName>
    <definedName name="ExpenseAccountListing" localSheetId="16">#REF!</definedName>
    <definedName name="ExpenseAccountListing" localSheetId="5">#REF!</definedName>
    <definedName name="ExpenseAccountListing" localSheetId="18">#REF!</definedName>
    <definedName name="ExpenseAccountListing" localSheetId="6">#REF!</definedName>
    <definedName name="ExpenseAccountListing">#REF!</definedName>
    <definedName name="_xlnm.Extract" localSheetId="15">#REF!</definedName>
    <definedName name="_xlnm.Extract" localSheetId="16">#REF!</definedName>
    <definedName name="_xlnm.Extract" localSheetId="5">#REF!</definedName>
    <definedName name="_xlnm.Extract" localSheetId="18">#REF!</definedName>
    <definedName name="_xlnm.Extract" localSheetId="6">#REF!</definedName>
    <definedName name="_xlnm.Extract">#REF!</definedName>
    <definedName name="FakeBlank">'[3]Z1.ModelVariables'!$C$14</definedName>
    <definedName name="FolderPath">[4]Menu!$C$8</definedName>
    <definedName name="histdate">[6]Financials!$E$76</definedName>
    <definedName name="Incr2000" localSheetId="15">#REF!</definedName>
    <definedName name="Incr2000" localSheetId="16">#REF!</definedName>
    <definedName name="Incr2000" localSheetId="5">#REF!</definedName>
    <definedName name="Incr2000" localSheetId="18">#REF!</definedName>
    <definedName name="Incr2000" localSheetId="6">#REF!</definedName>
    <definedName name="Incr2000">#REF!</definedName>
    <definedName name="INTERIM" localSheetId="15">#REF!</definedName>
    <definedName name="INTERIM" localSheetId="16">#REF!</definedName>
    <definedName name="INTERIM" localSheetId="5">#REF!</definedName>
    <definedName name="INTERIM" localSheetId="18">#REF!</definedName>
    <definedName name="INTERIM" localSheetId="6">#REF!</definedName>
    <definedName name="INTERIM">#REF!</definedName>
    <definedName name="LIMIT" localSheetId="15">#REF!</definedName>
    <definedName name="LIMIT" localSheetId="16">#REF!</definedName>
    <definedName name="LIMIT" localSheetId="5">#REF!</definedName>
    <definedName name="LIMIT" localSheetId="18">#REF!</definedName>
    <definedName name="LIMIT" localSheetId="6">#REF!</definedName>
    <definedName name="LIMIT">#REF!</definedName>
    <definedName name="man_beg_bud" localSheetId="15">#REF!</definedName>
    <definedName name="man_beg_bud" localSheetId="16">#REF!</definedName>
    <definedName name="man_beg_bud" localSheetId="5">#REF!</definedName>
    <definedName name="man_beg_bud" localSheetId="18">#REF!</definedName>
    <definedName name="man_beg_bud" localSheetId="6">#REF!</definedName>
    <definedName name="man_beg_bud">#REF!</definedName>
    <definedName name="man_end_bud" localSheetId="15">#REF!</definedName>
    <definedName name="man_end_bud" localSheetId="16">#REF!</definedName>
    <definedName name="man_end_bud" localSheetId="5">#REF!</definedName>
    <definedName name="man_end_bud" localSheetId="18">#REF!</definedName>
    <definedName name="man_end_bud" localSheetId="6">#REF!</definedName>
    <definedName name="man_end_bud">#REF!</definedName>
    <definedName name="man12ACT" localSheetId="15">#REF!</definedName>
    <definedName name="man12ACT" localSheetId="16">#REF!</definedName>
    <definedName name="man12ACT" localSheetId="5">#REF!</definedName>
    <definedName name="man12ACT" localSheetId="18">#REF!</definedName>
    <definedName name="man12ACT" localSheetId="6">#REF!</definedName>
    <definedName name="man12ACT">#REF!</definedName>
    <definedName name="MANBUD" localSheetId="15">#REF!</definedName>
    <definedName name="MANBUD" localSheetId="16">#REF!</definedName>
    <definedName name="MANBUD" localSheetId="5">#REF!</definedName>
    <definedName name="MANBUD" localSheetId="18">#REF!</definedName>
    <definedName name="MANBUD" localSheetId="6">#REF!</definedName>
    <definedName name="MANBUD">#REF!</definedName>
    <definedName name="manCYACT" localSheetId="15">#REF!</definedName>
    <definedName name="manCYACT" localSheetId="16">#REF!</definedName>
    <definedName name="manCYACT" localSheetId="5">#REF!</definedName>
    <definedName name="manCYACT" localSheetId="18">#REF!</definedName>
    <definedName name="manCYACT" localSheetId="6">#REF!</definedName>
    <definedName name="manCYACT">#REF!</definedName>
    <definedName name="manCYBUD" localSheetId="15">#REF!</definedName>
    <definedName name="manCYBUD" localSheetId="16">#REF!</definedName>
    <definedName name="manCYBUD" localSheetId="5">#REF!</definedName>
    <definedName name="manCYBUD" localSheetId="18">#REF!</definedName>
    <definedName name="manCYBUD" localSheetId="6">#REF!</definedName>
    <definedName name="manCYBUD">#REF!</definedName>
    <definedName name="manCYF" localSheetId="15">#REF!</definedName>
    <definedName name="manCYF" localSheetId="16">#REF!</definedName>
    <definedName name="manCYF" localSheetId="5">#REF!</definedName>
    <definedName name="manCYF" localSheetId="18">#REF!</definedName>
    <definedName name="manCYF" localSheetId="6">#REF!</definedName>
    <definedName name="manCYF">#REF!</definedName>
    <definedName name="MANEND" localSheetId="15">#REF!</definedName>
    <definedName name="MANEND" localSheetId="16">#REF!</definedName>
    <definedName name="MANEND" localSheetId="5">#REF!</definedName>
    <definedName name="MANEND" localSheetId="18">#REF!</definedName>
    <definedName name="MANEND" localSheetId="6">#REF!</definedName>
    <definedName name="MANEND">#REF!</definedName>
    <definedName name="manNYbud" localSheetId="15">#REF!</definedName>
    <definedName name="manNYbud" localSheetId="16">#REF!</definedName>
    <definedName name="manNYbud" localSheetId="5">#REF!</definedName>
    <definedName name="manNYbud" localSheetId="18">#REF!</definedName>
    <definedName name="manNYbud" localSheetId="6">#REF!</definedName>
    <definedName name="manNYbud">#REF!</definedName>
    <definedName name="manpower_costs" localSheetId="15">#REF!</definedName>
    <definedName name="manpower_costs" localSheetId="16">#REF!</definedName>
    <definedName name="manpower_costs" localSheetId="5">#REF!</definedName>
    <definedName name="manpower_costs" localSheetId="18">#REF!</definedName>
    <definedName name="manpower_costs" localSheetId="6">#REF!</definedName>
    <definedName name="manpower_costs">#REF!</definedName>
    <definedName name="manPYACT" localSheetId="15">#REF!</definedName>
    <definedName name="manPYACT" localSheetId="16">#REF!</definedName>
    <definedName name="manPYACT" localSheetId="5">#REF!</definedName>
    <definedName name="manPYACT" localSheetId="18">#REF!</definedName>
    <definedName name="manPYACT" localSheetId="6">#REF!</definedName>
    <definedName name="manPYACT">#REF!</definedName>
    <definedName name="MANSTART" localSheetId="15">#REF!</definedName>
    <definedName name="MANSTART" localSheetId="16">#REF!</definedName>
    <definedName name="MANSTART" localSheetId="5">#REF!</definedName>
    <definedName name="MANSTART" localSheetId="18">#REF!</definedName>
    <definedName name="MANSTART" localSheetId="6">#REF!</definedName>
    <definedName name="MANSTART">#REF!</definedName>
    <definedName name="mat_beg_bud" localSheetId="15">#REF!</definedName>
    <definedName name="mat_beg_bud" localSheetId="16">#REF!</definedName>
    <definedName name="mat_beg_bud" localSheetId="5">#REF!</definedName>
    <definedName name="mat_beg_bud" localSheetId="18">#REF!</definedName>
    <definedName name="mat_beg_bud" localSheetId="6">#REF!</definedName>
    <definedName name="mat_beg_bud">#REF!</definedName>
    <definedName name="mat_end_bud" localSheetId="15">#REF!</definedName>
    <definedName name="mat_end_bud" localSheetId="16">#REF!</definedName>
    <definedName name="mat_end_bud" localSheetId="5">#REF!</definedName>
    <definedName name="mat_end_bud" localSheetId="18">#REF!</definedName>
    <definedName name="mat_end_bud" localSheetId="6">#REF!</definedName>
    <definedName name="mat_end_bud">#REF!</definedName>
    <definedName name="mat12ACT" localSheetId="15">#REF!</definedName>
    <definedName name="mat12ACT" localSheetId="16">#REF!</definedName>
    <definedName name="mat12ACT" localSheetId="5">#REF!</definedName>
    <definedName name="mat12ACT" localSheetId="18">#REF!</definedName>
    <definedName name="mat12ACT" localSheetId="6">#REF!</definedName>
    <definedName name="mat12ACT">#REF!</definedName>
    <definedName name="MATBUD" localSheetId="15">#REF!</definedName>
    <definedName name="MATBUD" localSheetId="16">#REF!</definedName>
    <definedName name="MATBUD" localSheetId="5">#REF!</definedName>
    <definedName name="MATBUD" localSheetId="18">#REF!</definedName>
    <definedName name="MATBUD" localSheetId="6">#REF!</definedName>
    <definedName name="MATBUD">#REF!</definedName>
    <definedName name="matCYACT" localSheetId="15">#REF!</definedName>
    <definedName name="matCYACT" localSheetId="16">#REF!</definedName>
    <definedName name="matCYACT" localSheetId="5">#REF!</definedName>
    <definedName name="matCYACT" localSheetId="18">#REF!</definedName>
    <definedName name="matCYACT" localSheetId="6">#REF!</definedName>
    <definedName name="matCYACT">#REF!</definedName>
    <definedName name="matCYBUD" localSheetId="15">#REF!</definedName>
    <definedName name="matCYBUD" localSheetId="16">#REF!</definedName>
    <definedName name="matCYBUD" localSheetId="5">#REF!</definedName>
    <definedName name="matCYBUD" localSheetId="18">#REF!</definedName>
    <definedName name="matCYBUD" localSheetId="6">#REF!</definedName>
    <definedName name="matCYBUD">#REF!</definedName>
    <definedName name="matCYF" localSheetId="15">#REF!</definedName>
    <definedName name="matCYF" localSheetId="16">#REF!</definedName>
    <definedName name="matCYF" localSheetId="5">#REF!</definedName>
    <definedName name="matCYF" localSheetId="18">#REF!</definedName>
    <definedName name="matCYF" localSheetId="6">#REF!</definedName>
    <definedName name="matCYF">#REF!</definedName>
    <definedName name="MATEND" localSheetId="15">#REF!</definedName>
    <definedName name="MATEND" localSheetId="16">#REF!</definedName>
    <definedName name="MATEND" localSheetId="5">#REF!</definedName>
    <definedName name="MATEND" localSheetId="18">#REF!</definedName>
    <definedName name="MATEND" localSheetId="6">#REF!</definedName>
    <definedName name="MATEND">#REF!</definedName>
    <definedName name="material_costs" localSheetId="15">#REF!</definedName>
    <definedName name="material_costs" localSheetId="16">#REF!</definedName>
    <definedName name="material_costs" localSheetId="5">#REF!</definedName>
    <definedName name="material_costs" localSheetId="18">#REF!</definedName>
    <definedName name="material_costs" localSheetId="6">#REF!</definedName>
    <definedName name="material_costs">#REF!</definedName>
    <definedName name="matNYbud" localSheetId="15">#REF!</definedName>
    <definedName name="matNYbud" localSheetId="16">#REF!</definedName>
    <definedName name="matNYbud" localSheetId="5">#REF!</definedName>
    <definedName name="matNYbud" localSheetId="18">#REF!</definedName>
    <definedName name="matNYbud" localSheetId="6">#REF!</definedName>
    <definedName name="matNYbud">#REF!</definedName>
    <definedName name="matPYACT" localSheetId="15">#REF!</definedName>
    <definedName name="matPYACT" localSheetId="16">#REF!</definedName>
    <definedName name="matPYACT" localSheetId="5">#REF!</definedName>
    <definedName name="matPYACT" localSheetId="18">#REF!</definedName>
    <definedName name="matPYACT" localSheetId="6">#REF!</definedName>
    <definedName name="matPYACT">#REF!</definedName>
    <definedName name="MATSTART" localSheetId="15">#REF!</definedName>
    <definedName name="MATSTART" localSheetId="16">#REF!</definedName>
    <definedName name="MATSTART" localSheetId="5">#REF!</definedName>
    <definedName name="MATSTART" localSheetId="18">#REF!</definedName>
    <definedName name="MATSTART" localSheetId="6">#REF!</definedName>
    <definedName name="MATSTART">#REF!</definedName>
    <definedName name="mea" localSheetId="15">#REF!</definedName>
    <definedName name="mea" localSheetId="16">#REF!</definedName>
    <definedName name="mea" localSheetId="5">#REF!</definedName>
    <definedName name="mea" localSheetId="18">#REF!</definedName>
    <definedName name="mea" localSheetId="6">#REF!</definedName>
    <definedName name="mea">#REF!</definedName>
    <definedName name="MEABAL" localSheetId="15">#REF!</definedName>
    <definedName name="MEABAL" localSheetId="16">#REF!</definedName>
    <definedName name="MEABAL" localSheetId="5">#REF!</definedName>
    <definedName name="MEABAL" localSheetId="18">#REF!</definedName>
    <definedName name="MEABAL" localSheetId="6">#REF!</definedName>
    <definedName name="MEABAL">#REF!</definedName>
    <definedName name="MEACASH" localSheetId="15">#REF!</definedName>
    <definedName name="MEACASH" localSheetId="16">#REF!</definedName>
    <definedName name="MEACASH" localSheetId="5">#REF!</definedName>
    <definedName name="MEACASH" localSheetId="18">#REF!</definedName>
    <definedName name="MEACASH" localSheetId="6">#REF!</definedName>
    <definedName name="MEACASH">#REF!</definedName>
    <definedName name="MEAEQITY" localSheetId="15">#REF!</definedName>
    <definedName name="MEAEQITY" localSheetId="16">#REF!</definedName>
    <definedName name="MEAEQITY" localSheetId="5">#REF!</definedName>
    <definedName name="MEAEQITY" localSheetId="18">#REF!</definedName>
    <definedName name="MEAEQITY" localSheetId="6">#REF!</definedName>
    <definedName name="MEAEQITY">#REF!</definedName>
    <definedName name="MEAOP" localSheetId="15">#REF!</definedName>
    <definedName name="MEAOP" localSheetId="16">#REF!</definedName>
    <definedName name="MEAOP" localSheetId="5">#REF!</definedName>
    <definedName name="MEAOP" localSheetId="18">#REF!</definedName>
    <definedName name="MEAOP" localSheetId="6">#REF!</definedName>
    <definedName name="MEAOP">#REF!</definedName>
    <definedName name="MofF" localSheetId="15">#REF!</definedName>
    <definedName name="MofF" localSheetId="16">#REF!</definedName>
    <definedName name="MofF" localSheetId="5">#REF!</definedName>
    <definedName name="MofF" localSheetId="18">#REF!</definedName>
    <definedName name="MofF" localSheetId="6">#REF!</definedName>
    <definedName name="MofF">#REF!</definedName>
    <definedName name="NewRevReq">[4]Refs!$B$8</definedName>
    <definedName name="NOTES" localSheetId="15">#REF!</definedName>
    <definedName name="NOTES" localSheetId="16">#REF!</definedName>
    <definedName name="NOTES" localSheetId="5">#REF!</definedName>
    <definedName name="NOTES" localSheetId="18">#REF!</definedName>
    <definedName name="NOTES" localSheetId="6">#REF!</definedName>
    <definedName name="NOTES">#REF!</definedName>
    <definedName name="OPERATING" localSheetId="15">#REF!</definedName>
    <definedName name="OPERATING" localSheetId="16">#REF!</definedName>
    <definedName name="OPERATING" localSheetId="5">#REF!</definedName>
    <definedName name="OPERATING" localSheetId="18">#REF!</definedName>
    <definedName name="OPERATING" localSheetId="6">#REF!</definedName>
    <definedName name="OPERATING">#REF!</definedName>
    <definedName name="oth_beg_bud" localSheetId="15">#REF!</definedName>
    <definedName name="oth_beg_bud" localSheetId="16">#REF!</definedName>
    <definedName name="oth_beg_bud" localSheetId="5">#REF!</definedName>
    <definedName name="oth_beg_bud" localSheetId="18">#REF!</definedName>
    <definedName name="oth_beg_bud" localSheetId="6">#REF!</definedName>
    <definedName name="oth_beg_bud">#REF!</definedName>
    <definedName name="oth_end_bud" localSheetId="15">#REF!</definedName>
    <definedName name="oth_end_bud" localSheetId="16">#REF!</definedName>
    <definedName name="oth_end_bud" localSheetId="5">#REF!</definedName>
    <definedName name="oth_end_bud" localSheetId="18">#REF!</definedName>
    <definedName name="oth_end_bud" localSheetId="6">#REF!</definedName>
    <definedName name="oth_end_bud">#REF!</definedName>
    <definedName name="oth12ACT" localSheetId="15">#REF!</definedName>
    <definedName name="oth12ACT" localSheetId="16">#REF!</definedName>
    <definedName name="oth12ACT" localSheetId="5">#REF!</definedName>
    <definedName name="oth12ACT" localSheetId="18">#REF!</definedName>
    <definedName name="oth12ACT" localSheetId="6">#REF!</definedName>
    <definedName name="oth12ACT">#REF!</definedName>
    <definedName name="othCYACT" localSheetId="15">#REF!</definedName>
    <definedName name="othCYACT" localSheetId="16">#REF!</definedName>
    <definedName name="othCYACT" localSheetId="5">#REF!</definedName>
    <definedName name="othCYACT" localSheetId="18">#REF!</definedName>
    <definedName name="othCYACT" localSheetId="6">#REF!</definedName>
    <definedName name="othCYACT">#REF!</definedName>
    <definedName name="othCYBUD" localSheetId="15">#REF!</definedName>
    <definedName name="othCYBUD" localSheetId="16">#REF!</definedName>
    <definedName name="othCYBUD" localSheetId="5">#REF!</definedName>
    <definedName name="othCYBUD" localSheetId="18">#REF!</definedName>
    <definedName name="othCYBUD" localSheetId="6">#REF!</definedName>
    <definedName name="othCYBUD">#REF!</definedName>
    <definedName name="othCYF" localSheetId="15">#REF!</definedName>
    <definedName name="othCYF" localSheetId="16">#REF!</definedName>
    <definedName name="othCYF" localSheetId="5">#REF!</definedName>
    <definedName name="othCYF" localSheetId="18">#REF!</definedName>
    <definedName name="othCYF" localSheetId="6">#REF!</definedName>
    <definedName name="othCYF">#REF!</definedName>
    <definedName name="OTHEND" localSheetId="15">#REF!</definedName>
    <definedName name="OTHEND" localSheetId="16">#REF!</definedName>
    <definedName name="OTHEND" localSheetId="5">#REF!</definedName>
    <definedName name="OTHEND" localSheetId="18">#REF!</definedName>
    <definedName name="OTHEND" localSheetId="6">#REF!</definedName>
    <definedName name="OTHEND">#REF!</definedName>
    <definedName name="other_costs" localSheetId="15">#REF!</definedName>
    <definedName name="other_costs" localSheetId="16">#REF!</definedName>
    <definedName name="other_costs" localSheetId="5">#REF!</definedName>
    <definedName name="other_costs" localSheetId="18">#REF!</definedName>
    <definedName name="other_costs" localSheetId="6">#REF!</definedName>
    <definedName name="other_costs">#REF!</definedName>
    <definedName name="OTHERBUD" localSheetId="15">#REF!</definedName>
    <definedName name="OTHERBUD" localSheetId="16">#REF!</definedName>
    <definedName name="OTHERBUD" localSheetId="5">#REF!</definedName>
    <definedName name="OTHERBUD" localSheetId="18">#REF!</definedName>
    <definedName name="OTHERBUD" localSheetId="6">#REF!</definedName>
    <definedName name="OTHERBUD">#REF!</definedName>
    <definedName name="othNYbud" localSheetId="15">#REF!</definedName>
    <definedName name="othNYbud" localSheetId="16">#REF!</definedName>
    <definedName name="othNYbud" localSheetId="5">#REF!</definedName>
    <definedName name="othNYbud" localSheetId="18">#REF!</definedName>
    <definedName name="othNYbud" localSheetId="6">#REF!</definedName>
    <definedName name="othNYbud">#REF!</definedName>
    <definedName name="othPYACT" localSheetId="15">#REF!</definedName>
    <definedName name="othPYACT" localSheetId="16">#REF!</definedName>
    <definedName name="othPYACT" localSheetId="5">#REF!</definedName>
    <definedName name="othPYACT" localSheetId="18">#REF!</definedName>
    <definedName name="othPYACT" localSheetId="6">#REF!</definedName>
    <definedName name="othPYACT">#REF!</definedName>
    <definedName name="OTHSTART" localSheetId="15">#REF!</definedName>
    <definedName name="OTHSTART" localSheetId="16">#REF!</definedName>
    <definedName name="OTHSTART" localSheetId="5">#REF!</definedName>
    <definedName name="OTHSTART" localSheetId="18">#REF!</definedName>
    <definedName name="OTHSTART" localSheetId="6">#REF!</definedName>
    <definedName name="OTHSTART">#REF!</definedName>
    <definedName name="PAGE11" localSheetId="15">#REF!</definedName>
    <definedName name="PAGE11" localSheetId="16">#REF!</definedName>
    <definedName name="PAGE11" localSheetId="5">#REF!</definedName>
    <definedName name="PAGE11" localSheetId="18">#REF!</definedName>
    <definedName name="PAGE11" localSheetId="6">#REF!</definedName>
    <definedName name="PAGE11">#REF!</definedName>
    <definedName name="PAGE2">[2]Sheet1!$A$1:$I$40</definedName>
    <definedName name="PAGE3" localSheetId="15">#REF!</definedName>
    <definedName name="PAGE3" localSheetId="16">#REF!</definedName>
    <definedName name="PAGE3" localSheetId="5">#REF!</definedName>
    <definedName name="PAGE3" localSheetId="18">#REF!</definedName>
    <definedName name="PAGE3" localSheetId="6">#REF!</definedName>
    <definedName name="PAGE3">#REF!</definedName>
    <definedName name="PAGE4" localSheetId="15">#REF!</definedName>
    <definedName name="PAGE4" localSheetId="16">#REF!</definedName>
    <definedName name="PAGE4" localSheetId="5">#REF!</definedName>
    <definedName name="PAGE4" localSheetId="18">#REF!</definedName>
    <definedName name="PAGE4" localSheetId="6">#REF!</definedName>
    <definedName name="PAGE4">#REF!</definedName>
    <definedName name="PAGE7" localSheetId="15">#REF!</definedName>
    <definedName name="PAGE7" localSheetId="16">#REF!</definedName>
    <definedName name="PAGE7" localSheetId="5">#REF!</definedName>
    <definedName name="PAGE7" localSheetId="18">#REF!</definedName>
    <definedName name="PAGE7" localSheetId="6">#REF!</definedName>
    <definedName name="PAGE7">#REF!</definedName>
    <definedName name="PAGE9" localSheetId="15">#REF!</definedName>
    <definedName name="PAGE9" localSheetId="16">#REF!</definedName>
    <definedName name="PAGE9" localSheetId="5">#REF!</definedName>
    <definedName name="PAGE9" localSheetId="18">#REF!</definedName>
    <definedName name="PAGE9" localSheetId="6">#REF!</definedName>
    <definedName name="PAGE9">#REF!</definedName>
    <definedName name="PageOne" localSheetId="15">#REF!</definedName>
    <definedName name="PageOne" localSheetId="16">#REF!</definedName>
    <definedName name="PageOne" localSheetId="5">#REF!</definedName>
    <definedName name="PageOne" localSheetId="18">#REF!</definedName>
    <definedName name="PageOne" localSheetId="6">#REF!</definedName>
    <definedName name="PageOne">#REF!</definedName>
    <definedName name="PR" localSheetId="15">#REF!</definedName>
    <definedName name="PR" localSheetId="16">#REF!</definedName>
    <definedName name="PR" localSheetId="5">#REF!</definedName>
    <definedName name="PR" localSheetId="18">#REF!</definedName>
    <definedName name="PR" localSheetId="6">#REF!</definedName>
    <definedName name="PR">#REF!</definedName>
    <definedName name="_xlnm.Print_Area" localSheetId="15">Data!$A$1:$AK$121</definedName>
    <definedName name="_xlnm.Print_Area" localSheetId="16">'Data (ED Mar2017-)'!$A$1:$AJ$47</definedName>
    <definedName name="_xlnm.Print_Area" localSheetId="5">'Purchased Power Model'!$A$1:$Q$181</definedName>
    <definedName name="_xlnm.Print_Area" localSheetId="18">'Purchased Power Model (NoCoV)'!$A$1:$Q$181</definedName>
    <definedName name="_xlnm.Print_Area" localSheetId="6">'Purchased Power Model (WN)'!$A$1:$U$181</definedName>
    <definedName name="_xlnm.Print_Area" localSheetId="10">'Rate Class Customer Model'!$A$1:$K$15</definedName>
    <definedName name="_xlnm.Print_Area" localSheetId="7">'Rate Class Energy Model'!#REF!</definedName>
    <definedName name="_xlnm.Print_Area" localSheetId="8">'Rate Class Energy Model (WN)'!#REF!</definedName>
    <definedName name="_xlnm.Print_Area" localSheetId="17">'Rate Class Energy Model WN NCov'!#REF!</definedName>
    <definedName name="_xlnm.Print_Area" localSheetId="11">'Rate Class Load Model'!$A$1:$H$27</definedName>
    <definedName name="_xlnm.Print_Area" localSheetId="0">Summary!$A$3:$L$42</definedName>
    <definedName name="Print_Area_MI" localSheetId="15">#REF!</definedName>
    <definedName name="Print_Area_MI" localSheetId="16">#REF!</definedName>
    <definedName name="Print_Area_MI" localSheetId="5">#REF!</definedName>
    <definedName name="Print_Area_MI" localSheetId="18">#REF!</definedName>
    <definedName name="Print_Area_MI" localSheetId="6">#REF!</definedName>
    <definedName name="Print_Area_MI">#REF!</definedName>
    <definedName name="print_end" localSheetId="15">#REF!</definedName>
    <definedName name="print_end" localSheetId="16">#REF!</definedName>
    <definedName name="print_end" localSheetId="5">#REF!</definedName>
    <definedName name="print_end" localSheetId="18">#REF!</definedName>
    <definedName name="print_end" localSheetId="6">#REF!</definedName>
    <definedName name="print_end">#REF!</definedName>
    <definedName name="_xlnm.Print_Titles" localSheetId="15">Data!$A:$AK,Data!$1:$1</definedName>
    <definedName name="_xlnm.Print_Titles" localSheetId="16">'Data (ED Mar2017-)'!$A:$AJ,'Data (ED Mar2017-)'!$1:$1</definedName>
    <definedName name="_xlnm.Print_Titles" localSheetId="5">'Purchased Power Model'!$A:$Q,'Purchased Power Model'!$1:$2</definedName>
    <definedName name="_xlnm.Print_Titles" localSheetId="18">'Purchased Power Model (NoCoV)'!$A:$Q,'Purchased Power Model (NoCoV)'!$1:$2</definedName>
    <definedName name="_xlnm.Print_Titles" localSheetId="6">'Purchased Power Model (WN)'!$A:$U,'Purchased Power Model (WN)'!$1:$2</definedName>
    <definedName name="PRIOR" localSheetId="15">#REF!</definedName>
    <definedName name="PRIOR" localSheetId="16">#REF!</definedName>
    <definedName name="PRIOR" localSheetId="5">#REF!</definedName>
    <definedName name="PRIOR" localSheetId="18">#REF!</definedName>
    <definedName name="PRIOR" localSheetId="6">#REF!</definedName>
    <definedName name="PRIOR">#REF!</definedName>
    <definedName name="Ratebase" localSheetId="17">'[5]Distribution Revenue by Source'!$C$25</definedName>
    <definedName name="Ratebase">'[5]Distribution Revenue by Source'!$C$25</definedName>
    <definedName name="RevReqLookupKey">[4]Refs!$B$5</definedName>
    <definedName name="RevReqRange">[4]Refs!$B$7</definedName>
    <definedName name="RVCASHPR" localSheetId="15">#REF!</definedName>
    <definedName name="RVCASHPR" localSheetId="16">#REF!</definedName>
    <definedName name="RVCASHPR" localSheetId="5">#REF!</definedName>
    <definedName name="RVCASHPR" localSheetId="18">#REF!</definedName>
    <definedName name="RVCASHPR" localSheetId="6">#REF!</definedName>
    <definedName name="RVCASHPR">#REF!</definedName>
    <definedName name="SALBENF" localSheetId="15">#REF!</definedName>
    <definedName name="SALBENF" localSheetId="16">#REF!</definedName>
    <definedName name="SALBENF" localSheetId="5">#REF!</definedName>
    <definedName name="SALBENF" localSheetId="18">#REF!</definedName>
    <definedName name="SALBENF" localSheetId="6">#REF!</definedName>
    <definedName name="SALBENF">#REF!</definedName>
    <definedName name="salreg" localSheetId="15">#REF!</definedName>
    <definedName name="salreg" localSheetId="16">#REF!</definedName>
    <definedName name="salreg" localSheetId="5">#REF!</definedName>
    <definedName name="salreg" localSheetId="18">#REF!</definedName>
    <definedName name="salreg" localSheetId="6">#REF!</definedName>
    <definedName name="salreg">#REF!</definedName>
    <definedName name="SALREGF" localSheetId="15">#REF!</definedName>
    <definedName name="SALREGF" localSheetId="16">#REF!</definedName>
    <definedName name="SALREGF" localSheetId="5">#REF!</definedName>
    <definedName name="SALREGF" localSheetId="18">#REF!</definedName>
    <definedName name="SALREGF" localSheetId="6">#REF!</definedName>
    <definedName name="SALREGF">#REF!</definedName>
    <definedName name="solver_eng" localSheetId="5" hidden="1">1</definedName>
    <definedName name="solver_eng" localSheetId="18" hidden="1">1</definedName>
    <definedName name="solver_eng" localSheetId="6" hidden="1">1</definedName>
    <definedName name="solver_neg" localSheetId="5" hidden="1">1</definedName>
    <definedName name="solver_neg" localSheetId="18" hidden="1">1</definedName>
    <definedName name="solver_neg" localSheetId="6" hidden="1">1</definedName>
    <definedName name="solver_num" localSheetId="5" hidden="1">0</definedName>
    <definedName name="solver_num" localSheetId="18" hidden="1">0</definedName>
    <definedName name="solver_num" localSheetId="6" hidden="1">0</definedName>
    <definedName name="solver_opt" localSheetId="5" hidden="1">'Purchased Power Model'!$I$5</definedName>
    <definedName name="solver_opt" localSheetId="18" hidden="1">'Purchased Power Model (NoCoV)'!$I$5</definedName>
    <definedName name="solver_opt" localSheetId="6" hidden="1">'Purchased Power Model (WN)'!$I$5</definedName>
    <definedName name="solver_typ" localSheetId="5" hidden="1">1</definedName>
    <definedName name="solver_typ" localSheetId="18" hidden="1">1</definedName>
    <definedName name="solver_typ" localSheetId="6" hidden="1">1</definedName>
    <definedName name="solver_val" localSheetId="5" hidden="1">0</definedName>
    <definedName name="solver_val" localSheetId="18" hidden="1">0</definedName>
    <definedName name="solver_val" localSheetId="6" hidden="1">0</definedName>
    <definedName name="solver_ver" localSheetId="5" hidden="1">3</definedName>
    <definedName name="solver_ver" localSheetId="18" hidden="1">3</definedName>
    <definedName name="solver_ver" localSheetId="6" hidden="1">3</definedName>
    <definedName name="SOURCEAPP" localSheetId="15">#REF!</definedName>
    <definedName name="SOURCEAPP" localSheetId="16">#REF!</definedName>
    <definedName name="SOURCEAPP" localSheetId="5">#REF!</definedName>
    <definedName name="SOURCEAPP" localSheetId="18">#REF!</definedName>
    <definedName name="SOURCEAPP" localSheetId="6">#REF!</definedName>
    <definedName name="SOURCEAPP">#REF!</definedName>
    <definedName name="STATS1" localSheetId="15">#REF!</definedName>
    <definedName name="STATS1" localSheetId="16">#REF!</definedName>
    <definedName name="STATS1" localSheetId="5">#REF!</definedName>
    <definedName name="STATS1" localSheetId="18">#REF!</definedName>
    <definedName name="STATS1" localSheetId="6">#REF!</definedName>
    <definedName name="STATS1">#REF!</definedName>
    <definedName name="STATS2" localSheetId="15">#REF!</definedName>
    <definedName name="STATS2" localSheetId="16">#REF!</definedName>
    <definedName name="STATS2" localSheetId="5">#REF!</definedName>
    <definedName name="STATS2" localSheetId="18">#REF!</definedName>
    <definedName name="STATS2" localSheetId="6">#REF!</definedName>
    <definedName name="STATS2">#REF!</definedName>
    <definedName name="Surtax" localSheetId="15">#REF!</definedName>
    <definedName name="Surtax" localSheetId="16">#REF!</definedName>
    <definedName name="Surtax" localSheetId="5">#REF!</definedName>
    <definedName name="Surtax" localSheetId="18">#REF!</definedName>
    <definedName name="Surtax" localSheetId="6">#REF!</definedName>
    <definedName name="Surtax">#REF!</definedName>
    <definedName name="TEMPA" localSheetId="15">#REF!</definedName>
    <definedName name="TEMPA" localSheetId="16">#REF!</definedName>
    <definedName name="TEMPA" localSheetId="5">#REF!</definedName>
    <definedName name="TEMPA" localSheetId="18">#REF!</definedName>
    <definedName name="TEMPA" localSheetId="6">#REF!</definedName>
    <definedName name="TEMPA">#REF!</definedName>
    <definedName name="TestYr">'[3]A1.Admin'!$C$13</definedName>
    <definedName name="TestYrPL">'[7]Revenue Requirement'!$B$10</definedName>
    <definedName name="total_dept" localSheetId="15">#REF!</definedName>
    <definedName name="total_dept" localSheetId="16">#REF!</definedName>
    <definedName name="total_dept" localSheetId="5">#REF!</definedName>
    <definedName name="total_dept" localSheetId="18">#REF!</definedName>
    <definedName name="total_dept" localSheetId="6">#REF!</definedName>
    <definedName name="total_dept">#REF!</definedName>
    <definedName name="total_manpower" localSheetId="15">#REF!</definedName>
    <definedName name="total_manpower" localSheetId="16">#REF!</definedName>
    <definedName name="total_manpower" localSheetId="5">#REF!</definedName>
    <definedName name="total_manpower" localSheetId="18">#REF!</definedName>
    <definedName name="total_manpower" localSheetId="6">#REF!</definedName>
    <definedName name="total_manpower">#REF!</definedName>
    <definedName name="total_material" localSheetId="15">#REF!</definedName>
    <definedName name="total_material" localSheetId="16">#REF!</definedName>
    <definedName name="total_material" localSheetId="5">#REF!</definedName>
    <definedName name="total_material" localSheetId="18">#REF!</definedName>
    <definedName name="total_material" localSheetId="6">#REF!</definedName>
    <definedName name="total_material">#REF!</definedName>
    <definedName name="total_other" localSheetId="15">#REF!</definedName>
    <definedName name="total_other" localSheetId="16">#REF!</definedName>
    <definedName name="total_other" localSheetId="5">#REF!</definedName>
    <definedName name="total_other" localSheetId="18">#REF!</definedName>
    <definedName name="total_other" localSheetId="6">#REF!</definedName>
    <definedName name="total_other">#REF!</definedName>
    <definedName name="total_transportation" localSheetId="15">#REF!</definedName>
    <definedName name="total_transportation" localSheetId="16">#REF!</definedName>
    <definedName name="total_transportation" localSheetId="5">#REF!</definedName>
    <definedName name="total_transportation" localSheetId="18">#REF!</definedName>
    <definedName name="total_transportation" localSheetId="6">#REF!</definedName>
    <definedName name="total_transportation">#REF!</definedName>
    <definedName name="TOTCAPADDITIONS" localSheetId="15">#REF!</definedName>
    <definedName name="TOTCAPADDITIONS" localSheetId="16">#REF!</definedName>
    <definedName name="TOTCAPADDITIONS" localSheetId="5">#REF!</definedName>
    <definedName name="TOTCAPADDITIONS" localSheetId="18">#REF!</definedName>
    <definedName name="TOTCAPADDITIONS" localSheetId="6">#REF!</definedName>
    <definedName name="TOTCAPADDITIONS">#REF!</definedName>
    <definedName name="TRANBUD" localSheetId="15">#REF!</definedName>
    <definedName name="TRANBUD" localSheetId="16">#REF!</definedName>
    <definedName name="TRANBUD" localSheetId="5">#REF!</definedName>
    <definedName name="TRANBUD" localSheetId="18">#REF!</definedName>
    <definedName name="TRANBUD" localSheetId="6">#REF!</definedName>
    <definedName name="TRANBUD">#REF!</definedName>
    <definedName name="TRANEND" localSheetId="15">#REF!</definedName>
    <definedName name="TRANEND" localSheetId="16">#REF!</definedName>
    <definedName name="TRANEND" localSheetId="5">#REF!</definedName>
    <definedName name="TRANEND" localSheetId="18">#REF!</definedName>
    <definedName name="TRANEND" localSheetId="6">#REF!</definedName>
    <definedName name="TRANEND">#REF!</definedName>
    <definedName name="TRANSCAP" localSheetId="15">#REF!</definedName>
    <definedName name="TRANSCAP" localSheetId="16">#REF!</definedName>
    <definedName name="TRANSCAP" localSheetId="5">#REF!</definedName>
    <definedName name="TRANSCAP" localSheetId="18">#REF!</definedName>
    <definedName name="TRANSCAP" localSheetId="6">#REF!</definedName>
    <definedName name="TRANSCAP">#REF!</definedName>
    <definedName name="TRANSFER" localSheetId="15">#REF!</definedName>
    <definedName name="TRANSFER" localSheetId="16">#REF!</definedName>
    <definedName name="TRANSFER" localSheetId="5">#REF!</definedName>
    <definedName name="TRANSFER" localSheetId="18">#REF!</definedName>
    <definedName name="TRANSFER" localSheetId="6">#REF!</definedName>
    <definedName name="TRANSFER">#REF!</definedName>
    <definedName name="transportation_costs" localSheetId="15">#REF!</definedName>
    <definedName name="transportation_costs" localSheetId="16">#REF!</definedName>
    <definedName name="transportation_costs" localSheetId="5">#REF!</definedName>
    <definedName name="transportation_costs" localSheetId="18">#REF!</definedName>
    <definedName name="transportation_costs" localSheetId="6">#REF!</definedName>
    <definedName name="transportation_costs">#REF!</definedName>
    <definedName name="TRANSTART" localSheetId="15">#REF!</definedName>
    <definedName name="TRANSTART" localSheetId="16">#REF!</definedName>
    <definedName name="TRANSTART" localSheetId="5">#REF!</definedName>
    <definedName name="TRANSTART" localSheetId="18">#REF!</definedName>
    <definedName name="TRANSTART" localSheetId="6">#REF!</definedName>
    <definedName name="TRANSTART">#REF!</definedName>
    <definedName name="trn_beg_bud" localSheetId="15">#REF!</definedName>
    <definedName name="trn_beg_bud" localSheetId="16">#REF!</definedName>
    <definedName name="trn_beg_bud" localSheetId="5">#REF!</definedName>
    <definedName name="trn_beg_bud" localSheetId="18">#REF!</definedName>
    <definedName name="trn_beg_bud" localSheetId="6">#REF!</definedName>
    <definedName name="trn_beg_bud">#REF!</definedName>
    <definedName name="trn_end_bud" localSheetId="15">#REF!</definedName>
    <definedName name="trn_end_bud" localSheetId="16">#REF!</definedName>
    <definedName name="trn_end_bud" localSheetId="5">#REF!</definedName>
    <definedName name="trn_end_bud" localSheetId="18">#REF!</definedName>
    <definedName name="trn_end_bud" localSheetId="6">#REF!</definedName>
    <definedName name="trn_end_bud">#REF!</definedName>
    <definedName name="trn12ACT" localSheetId="15">#REF!</definedName>
    <definedName name="trn12ACT" localSheetId="16">#REF!</definedName>
    <definedName name="trn12ACT" localSheetId="5">#REF!</definedName>
    <definedName name="trn12ACT" localSheetId="18">#REF!</definedName>
    <definedName name="trn12ACT" localSheetId="6">#REF!</definedName>
    <definedName name="trn12ACT">#REF!</definedName>
    <definedName name="trnCYACT" localSheetId="15">#REF!</definedName>
    <definedName name="trnCYACT" localSheetId="16">#REF!</definedName>
    <definedName name="trnCYACT" localSheetId="5">#REF!</definedName>
    <definedName name="trnCYACT" localSheetId="18">#REF!</definedName>
    <definedName name="trnCYACT" localSheetId="6">#REF!</definedName>
    <definedName name="trnCYACT">#REF!</definedName>
    <definedName name="trnCYBUD" localSheetId="15">#REF!</definedName>
    <definedName name="trnCYBUD" localSheetId="16">#REF!</definedName>
    <definedName name="trnCYBUD" localSheetId="5">#REF!</definedName>
    <definedName name="trnCYBUD" localSheetId="18">#REF!</definedName>
    <definedName name="trnCYBUD" localSheetId="6">#REF!</definedName>
    <definedName name="trnCYBUD">#REF!</definedName>
    <definedName name="trnCYF" localSheetId="15">#REF!</definedName>
    <definedName name="trnCYF" localSheetId="16">#REF!</definedName>
    <definedName name="trnCYF" localSheetId="5">#REF!</definedName>
    <definedName name="trnCYF" localSheetId="18">#REF!</definedName>
    <definedName name="trnCYF" localSheetId="6">#REF!</definedName>
    <definedName name="trnCYF">#REF!</definedName>
    <definedName name="trnNYbud" localSheetId="15">#REF!</definedName>
    <definedName name="trnNYbud" localSheetId="16">#REF!</definedName>
    <definedName name="trnNYbud" localSheetId="5">#REF!</definedName>
    <definedName name="trnNYbud" localSheetId="18">#REF!</definedName>
    <definedName name="trnNYbud" localSheetId="6">#REF!</definedName>
    <definedName name="trnNYbud">#REF!</definedName>
    <definedName name="trnPYACT" localSheetId="15">#REF!</definedName>
    <definedName name="trnPYACT" localSheetId="16">#REF!</definedName>
    <definedName name="trnPYACT" localSheetId="5">#REF!</definedName>
    <definedName name="trnPYACT" localSheetId="18">#REF!</definedName>
    <definedName name="trnPYACT" localSheetId="6">#REF!</definedName>
    <definedName name="trnPYACT">#REF!</definedName>
    <definedName name="Utility">[6]Financials!$A$1</definedName>
    <definedName name="utitliy1">[8]Financials!$A$1</definedName>
    <definedName name="WAGBENF" localSheetId="15">#REF!</definedName>
    <definedName name="WAGBENF" localSheetId="16">#REF!</definedName>
    <definedName name="WAGBENF" localSheetId="5">#REF!</definedName>
    <definedName name="WAGBENF" localSheetId="18">#REF!</definedName>
    <definedName name="WAGBENF" localSheetId="6">#REF!</definedName>
    <definedName name="WAGBENF">#REF!</definedName>
    <definedName name="wagdob" localSheetId="15">#REF!</definedName>
    <definedName name="wagdob" localSheetId="16">#REF!</definedName>
    <definedName name="wagdob" localSheetId="5">#REF!</definedName>
    <definedName name="wagdob" localSheetId="18">#REF!</definedName>
    <definedName name="wagdob" localSheetId="6">#REF!</definedName>
    <definedName name="wagdob">#REF!</definedName>
    <definedName name="wagdobf" localSheetId="15">#REF!</definedName>
    <definedName name="wagdobf" localSheetId="16">#REF!</definedName>
    <definedName name="wagdobf" localSheetId="5">#REF!</definedName>
    <definedName name="wagdobf" localSheetId="18">#REF!</definedName>
    <definedName name="wagdobf" localSheetId="6">#REF!</definedName>
    <definedName name="wagdobf">#REF!</definedName>
    <definedName name="wagreg" localSheetId="15">#REF!</definedName>
    <definedName name="wagreg" localSheetId="16">#REF!</definedName>
    <definedName name="wagreg" localSheetId="5">#REF!</definedName>
    <definedName name="wagreg" localSheetId="18">#REF!</definedName>
    <definedName name="wagreg" localSheetId="6">#REF!</definedName>
    <definedName name="wagreg">#REF!</definedName>
    <definedName name="wagregf" localSheetId="15">#REF!</definedName>
    <definedName name="wagregf" localSheetId="16">#REF!</definedName>
    <definedName name="wagregf" localSheetId="5">#REF!</definedName>
    <definedName name="wagregf" localSheetId="18">#REF!</definedName>
    <definedName name="wagregf" localSheetId="6">#REF!</definedName>
    <definedName name="wagregf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0" i="11" l="1"/>
  <c r="T149" i="59" l="1"/>
  <c r="C139" i="59"/>
  <c r="Q35" i="11" l="1"/>
  <c r="Q31" i="11"/>
  <c r="Q26" i="11"/>
  <c r="Q21" i="11"/>
  <c r="Q17" i="11"/>
  <c r="P65" i="11"/>
  <c r="P35" i="11"/>
  <c r="P31" i="11"/>
  <c r="P26" i="11"/>
  <c r="P21" i="11"/>
  <c r="P17" i="11"/>
  <c r="N147" i="76" l="1"/>
  <c r="N135" i="76"/>
  <c r="N16" i="76"/>
  <c r="N17" i="76"/>
  <c r="N18" i="76"/>
  <c r="N19" i="76"/>
  <c r="N20" i="76"/>
  <c r="N21" i="76"/>
  <c r="N22" i="76"/>
  <c r="N23" i="76"/>
  <c r="N24" i="76"/>
  <c r="N25" i="76"/>
  <c r="N26" i="76"/>
  <c r="N27" i="76"/>
  <c r="N28" i="76"/>
  <c r="N29" i="76"/>
  <c r="N30" i="76"/>
  <c r="N31" i="76"/>
  <c r="N32" i="76"/>
  <c r="N33" i="76"/>
  <c r="N34" i="76"/>
  <c r="N35" i="76"/>
  <c r="N36" i="76"/>
  <c r="N37" i="76"/>
  <c r="N38" i="76"/>
  <c r="N39" i="76"/>
  <c r="N40" i="76"/>
  <c r="N41" i="76"/>
  <c r="N42" i="76"/>
  <c r="N43" i="76"/>
  <c r="N44" i="76"/>
  <c r="N45" i="76"/>
  <c r="N46" i="76"/>
  <c r="N47" i="76"/>
  <c r="N48" i="76"/>
  <c r="N49" i="76"/>
  <c r="N50" i="76"/>
  <c r="N51" i="76"/>
  <c r="N52" i="76"/>
  <c r="N53" i="76"/>
  <c r="N54" i="76"/>
  <c r="N55" i="76"/>
  <c r="N56" i="76"/>
  <c r="N57" i="76"/>
  <c r="N58" i="76"/>
  <c r="N59" i="76"/>
  <c r="N60" i="76"/>
  <c r="N61" i="76"/>
  <c r="N62" i="76"/>
  <c r="N63" i="76"/>
  <c r="N64" i="76"/>
  <c r="N65" i="76"/>
  <c r="N66" i="76"/>
  <c r="N67" i="76"/>
  <c r="N68" i="76"/>
  <c r="N69" i="76"/>
  <c r="N70" i="76"/>
  <c r="N71" i="76"/>
  <c r="N72" i="76"/>
  <c r="N73" i="76"/>
  <c r="N74" i="76"/>
  <c r="N75" i="76"/>
  <c r="N76" i="76"/>
  <c r="N77" i="76"/>
  <c r="N78" i="76"/>
  <c r="N79" i="76"/>
  <c r="N80" i="76"/>
  <c r="N81" i="76"/>
  <c r="N82" i="76"/>
  <c r="N83" i="76"/>
  <c r="N84" i="76"/>
  <c r="N85" i="76"/>
  <c r="N86" i="76"/>
  <c r="N87" i="76"/>
  <c r="N88" i="76"/>
  <c r="N89" i="76"/>
  <c r="N90" i="76"/>
  <c r="N91" i="76"/>
  <c r="N92" i="76"/>
  <c r="N93" i="76"/>
  <c r="N94" i="76"/>
  <c r="N95" i="76"/>
  <c r="N96" i="76"/>
  <c r="N97" i="76"/>
  <c r="N98" i="76"/>
  <c r="N99" i="76"/>
  <c r="N100" i="76"/>
  <c r="N101" i="76"/>
  <c r="N102" i="76"/>
  <c r="N103" i="76"/>
  <c r="N104" i="76"/>
  <c r="N105" i="76"/>
  <c r="N106" i="76"/>
  <c r="N107" i="76"/>
  <c r="N108" i="76"/>
  <c r="N109" i="76"/>
  <c r="N110" i="76"/>
  <c r="N111" i="76"/>
  <c r="N112" i="76"/>
  <c r="N113" i="76"/>
  <c r="N114" i="76"/>
  <c r="N115" i="76"/>
  <c r="N116" i="76"/>
  <c r="N117" i="76"/>
  <c r="N118" i="76"/>
  <c r="N119" i="76"/>
  <c r="N120" i="76"/>
  <c r="N121" i="76"/>
  <c r="N122" i="76"/>
  <c r="N123" i="76"/>
  <c r="N124" i="76"/>
  <c r="N125" i="76"/>
  <c r="N126" i="76"/>
  <c r="N127" i="76"/>
  <c r="N128" i="76"/>
  <c r="N129" i="76"/>
  <c r="N130" i="76"/>
  <c r="N131" i="76"/>
  <c r="N132" i="76"/>
  <c r="N133" i="76"/>
  <c r="N134" i="76"/>
  <c r="N15" i="76"/>
  <c r="R147" i="86"/>
  <c r="R135" i="86"/>
  <c r="R16" i="86"/>
  <c r="R17" i="86"/>
  <c r="R18" i="86"/>
  <c r="R19" i="86"/>
  <c r="R20" i="86"/>
  <c r="R21" i="86"/>
  <c r="R22" i="86"/>
  <c r="R23" i="86"/>
  <c r="R24" i="86"/>
  <c r="R25" i="86"/>
  <c r="R26" i="86"/>
  <c r="R27" i="86"/>
  <c r="R28" i="86"/>
  <c r="R29" i="86"/>
  <c r="R30" i="86"/>
  <c r="R31" i="86"/>
  <c r="R32" i="86"/>
  <c r="R33" i="86"/>
  <c r="R34" i="86"/>
  <c r="R35" i="86"/>
  <c r="R36" i="86"/>
  <c r="R37" i="86"/>
  <c r="R38" i="86"/>
  <c r="R39" i="86"/>
  <c r="R40" i="86"/>
  <c r="R41" i="86"/>
  <c r="R42" i="86"/>
  <c r="R43" i="86"/>
  <c r="R44" i="86"/>
  <c r="R45" i="86"/>
  <c r="R46" i="86"/>
  <c r="R47" i="86"/>
  <c r="R48" i="86"/>
  <c r="R49" i="86"/>
  <c r="R50" i="86"/>
  <c r="R51" i="86"/>
  <c r="R52" i="86"/>
  <c r="R53" i="86"/>
  <c r="R54" i="86"/>
  <c r="R55" i="86"/>
  <c r="R56" i="86"/>
  <c r="R57" i="86"/>
  <c r="R58" i="86"/>
  <c r="R59" i="86"/>
  <c r="R60" i="86"/>
  <c r="R61" i="86"/>
  <c r="R62" i="86"/>
  <c r="R63" i="86"/>
  <c r="R64" i="86"/>
  <c r="R65" i="86"/>
  <c r="R66" i="86"/>
  <c r="R67" i="86"/>
  <c r="R68" i="86"/>
  <c r="R69" i="86"/>
  <c r="R70" i="86"/>
  <c r="R71" i="86"/>
  <c r="R72" i="86"/>
  <c r="R73" i="86"/>
  <c r="R74" i="86"/>
  <c r="R75" i="86"/>
  <c r="R76" i="86"/>
  <c r="R77" i="86"/>
  <c r="R78" i="86"/>
  <c r="R79" i="86"/>
  <c r="R80" i="86"/>
  <c r="R81" i="86"/>
  <c r="R82" i="86"/>
  <c r="R83" i="86"/>
  <c r="R84" i="86"/>
  <c r="R85" i="86"/>
  <c r="R86" i="86"/>
  <c r="R87" i="86"/>
  <c r="R88" i="86"/>
  <c r="R89" i="86"/>
  <c r="R90" i="86"/>
  <c r="R91" i="86"/>
  <c r="R92" i="86"/>
  <c r="R93" i="86"/>
  <c r="R94" i="86"/>
  <c r="R95" i="86"/>
  <c r="R96" i="86"/>
  <c r="R97" i="86"/>
  <c r="R98" i="86"/>
  <c r="R99" i="86"/>
  <c r="R100" i="86"/>
  <c r="R101" i="86"/>
  <c r="R102" i="86"/>
  <c r="R103" i="86"/>
  <c r="R104" i="86"/>
  <c r="R105" i="86"/>
  <c r="R106" i="86"/>
  <c r="R107" i="86"/>
  <c r="R108" i="86"/>
  <c r="R109" i="86"/>
  <c r="R110" i="86"/>
  <c r="R111" i="86"/>
  <c r="R112" i="86"/>
  <c r="R113" i="86"/>
  <c r="R114" i="86"/>
  <c r="R115" i="86"/>
  <c r="R116" i="86"/>
  <c r="R117" i="86"/>
  <c r="R118" i="86"/>
  <c r="R119" i="86"/>
  <c r="R120" i="86"/>
  <c r="R121" i="86"/>
  <c r="R122" i="86"/>
  <c r="R123" i="86"/>
  <c r="R124" i="86"/>
  <c r="R125" i="86"/>
  <c r="R126" i="86"/>
  <c r="R127" i="86"/>
  <c r="R128" i="86"/>
  <c r="R129" i="86"/>
  <c r="R130" i="86"/>
  <c r="R131" i="86"/>
  <c r="R132" i="86"/>
  <c r="R133" i="86"/>
  <c r="R134" i="86"/>
  <c r="R15" i="86"/>
  <c r="AH109" i="71"/>
  <c r="AH110" i="71"/>
  <c r="AH111" i="71"/>
  <c r="AH112" i="71"/>
  <c r="AH113" i="71"/>
  <c r="AH114" i="71"/>
  <c r="AH115" i="71"/>
  <c r="AH116" i="71"/>
  <c r="AH117" i="71"/>
  <c r="AH118" i="71"/>
  <c r="AH119" i="71"/>
  <c r="AH120" i="71"/>
  <c r="AH121" i="71"/>
  <c r="AH3" i="71"/>
  <c r="AH4" i="71"/>
  <c r="AH5" i="71"/>
  <c r="AH6" i="71"/>
  <c r="AH7" i="71"/>
  <c r="AH8" i="71"/>
  <c r="AH9" i="71"/>
  <c r="AH10" i="71"/>
  <c r="AH11" i="71"/>
  <c r="AH12" i="71"/>
  <c r="AH13" i="71"/>
  <c r="AH14" i="71"/>
  <c r="AH15" i="71"/>
  <c r="AH16" i="71"/>
  <c r="AH17" i="71"/>
  <c r="AH18" i="71"/>
  <c r="AH19" i="71"/>
  <c r="AH20" i="71"/>
  <c r="AH21" i="71"/>
  <c r="AH22" i="71"/>
  <c r="AH23" i="71"/>
  <c r="AH24" i="71"/>
  <c r="AH25" i="71"/>
  <c r="AH26" i="71"/>
  <c r="AH27" i="71"/>
  <c r="AH28" i="71"/>
  <c r="AH29" i="71"/>
  <c r="AH30" i="71"/>
  <c r="AH31" i="71"/>
  <c r="AH32" i="71"/>
  <c r="AH33" i="71"/>
  <c r="AH34" i="71"/>
  <c r="AH35" i="71"/>
  <c r="AH36" i="71"/>
  <c r="AH37" i="71"/>
  <c r="AH38" i="71"/>
  <c r="AH39" i="71"/>
  <c r="AH40" i="71"/>
  <c r="AH41" i="71"/>
  <c r="AH42" i="71"/>
  <c r="AH43" i="71"/>
  <c r="AH44" i="71"/>
  <c r="AH45" i="71"/>
  <c r="AH46" i="71"/>
  <c r="AH47" i="71"/>
  <c r="AH48" i="71"/>
  <c r="AH49" i="71"/>
  <c r="AH50" i="71"/>
  <c r="AH51" i="71"/>
  <c r="AH52" i="71"/>
  <c r="AH53" i="71"/>
  <c r="AH54" i="71"/>
  <c r="AH55" i="71"/>
  <c r="AH56" i="71"/>
  <c r="AH57" i="71"/>
  <c r="AH58" i="71"/>
  <c r="AH59" i="71"/>
  <c r="AH60" i="71"/>
  <c r="AH61" i="71"/>
  <c r="AH62" i="71"/>
  <c r="AH63" i="71"/>
  <c r="AH64" i="71"/>
  <c r="AH65" i="71"/>
  <c r="AH66" i="71"/>
  <c r="AH67" i="71"/>
  <c r="AH68" i="71"/>
  <c r="AH69" i="71"/>
  <c r="AH70" i="71"/>
  <c r="AH71" i="71"/>
  <c r="AH72" i="71"/>
  <c r="AH73" i="71"/>
  <c r="AH74" i="71"/>
  <c r="AH75" i="71"/>
  <c r="AH76" i="71"/>
  <c r="AH77" i="71"/>
  <c r="AH78" i="71"/>
  <c r="AH79" i="71"/>
  <c r="AH80" i="71"/>
  <c r="AH81" i="71"/>
  <c r="AH82" i="71"/>
  <c r="AH83" i="71"/>
  <c r="AH84" i="71"/>
  <c r="AH85" i="71"/>
  <c r="AH86" i="71"/>
  <c r="AH87" i="71"/>
  <c r="AH88" i="71"/>
  <c r="AH89" i="71"/>
  <c r="AH90" i="71"/>
  <c r="AH91" i="71"/>
  <c r="AH92" i="71"/>
  <c r="AH93" i="71"/>
  <c r="AH94" i="71"/>
  <c r="AH95" i="71"/>
  <c r="AH96" i="71"/>
  <c r="AH97" i="71"/>
  <c r="AH98" i="71"/>
  <c r="AH99" i="71"/>
  <c r="AH100" i="71"/>
  <c r="AH101" i="71"/>
  <c r="AH102" i="71"/>
  <c r="AH103" i="71"/>
  <c r="AH104" i="71"/>
  <c r="AH105" i="71"/>
  <c r="AH106" i="71"/>
  <c r="AH107" i="71"/>
  <c r="AH108" i="71"/>
  <c r="AH2" i="71"/>
  <c r="B15" i="95"/>
  <c r="B16" i="95"/>
  <c r="B17" i="95"/>
  <c r="B18" i="95"/>
  <c r="B19" i="95"/>
  <c r="B20" i="95"/>
  <c r="B21" i="95"/>
  <c r="B22" i="95"/>
  <c r="B23" i="95"/>
  <c r="B24" i="95"/>
  <c r="B25" i="95"/>
  <c r="B26" i="95"/>
  <c r="B27" i="95"/>
  <c r="B28" i="95"/>
  <c r="B29" i="95"/>
  <c r="B30" i="95"/>
  <c r="B31" i="95"/>
  <c r="B14" i="95"/>
  <c r="U125" i="93"/>
  <c r="C39" i="95" l="1"/>
  <c r="D14" i="95"/>
  <c r="E14" i="95"/>
  <c r="E15" i="95" s="1"/>
  <c r="E16" i="95" s="1"/>
  <c r="E17" i="95" s="1"/>
  <c r="E18" i="95" s="1"/>
  <c r="E19" i="95" s="1"/>
  <c r="E20" i="95" s="1"/>
  <c r="E21" i="95" s="1"/>
  <c r="E22" i="95" s="1"/>
  <c r="E23" i="95" s="1"/>
  <c r="E24" i="95" s="1"/>
  <c r="C4" i="95"/>
  <c r="B4" i="95"/>
  <c r="E5" i="95"/>
  <c r="C5" i="95" s="1"/>
  <c r="D5" i="95"/>
  <c r="D37" i="95" s="1"/>
  <c r="T133" i="59"/>
  <c r="AU2" i="83"/>
  <c r="AT2" i="83"/>
  <c r="AS2" i="83"/>
  <c r="E30" i="95" l="1"/>
  <c r="E31" i="95" s="1"/>
  <c r="E37" i="95"/>
  <c r="B5" i="95"/>
  <c r="B37" i="95" s="1"/>
  <c r="C37" i="95" l="1"/>
  <c r="K51" i="89" l="1"/>
  <c r="L51" i="89"/>
  <c r="K52" i="89"/>
  <c r="J52" i="89"/>
  <c r="I122" i="59"/>
  <c r="L52" i="89"/>
  <c r="J53" i="89"/>
  <c r="N54" i="87" l="1"/>
  <c r="N55" i="87"/>
  <c r="N56" i="87"/>
  <c r="N57" i="87"/>
  <c r="N58" i="87"/>
  <c r="N59" i="87"/>
  <c r="N60" i="87"/>
  <c r="N61" i="87"/>
  <c r="N62" i="87"/>
  <c r="N63" i="87"/>
  <c r="N64" i="87"/>
  <c r="N65" i="87"/>
  <c r="M54" i="87"/>
  <c r="M55" i="87"/>
  <c r="M56" i="87"/>
  <c r="M57" i="87"/>
  <c r="M58" i="87"/>
  <c r="M59" i="87"/>
  <c r="M60" i="87"/>
  <c r="M61" i="87"/>
  <c r="M62" i="87"/>
  <c r="M63" i="87"/>
  <c r="M64" i="87"/>
  <c r="M65" i="87"/>
  <c r="L54" i="87"/>
  <c r="L55" i="87"/>
  <c r="L56" i="87"/>
  <c r="L57" i="87"/>
  <c r="L58" i="87"/>
  <c r="L59" i="87"/>
  <c r="L60" i="87"/>
  <c r="L61" i="87"/>
  <c r="L62" i="87"/>
  <c r="L63" i="87"/>
  <c r="L64" i="87"/>
  <c r="L65" i="87"/>
  <c r="K54" i="87"/>
  <c r="K55" i="87"/>
  <c r="K56" i="87"/>
  <c r="K57" i="87"/>
  <c r="K58" i="87"/>
  <c r="K59" i="87"/>
  <c r="K60" i="87"/>
  <c r="K61" i="87"/>
  <c r="K62" i="87"/>
  <c r="K63" i="87"/>
  <c r="K64" i="87"/>
  <c r="K65" i="87"/>
  <c r="K113" i="87"/>
  <c r="K112" i="87"/>
  <c r="Z149" i="59"/>
  <c r="Z148" i="59"/>
  <c r="W149" i="59"/>
  <c r="W148" i="59"/>
  <c r="T148" i="59"/>
  <c r="M123" i="59"/>
  <c r="M124" i="59"/>
  <c r="M125" i="59"/>
  <c r="M126" i="59"/>
  <c r="M127" i="59"/>
  <c r="M128" i="59"/>
  <c r="M129" i="59"/>
  <c r="M130" i="59"/>
  <c r="M131" i="59"/>
  <c r="M132" i="59"/>
  <c r="M133" i="59"/>
  <c r="M134" i="59"/>
  <c r="M135" i="59"/>
  <c r="M136" i="59"/>
  <c r="M137" i="59"/>
  <c r="M138" i="59"/>
  <c r="M139" i="59"/>
  <c r="M140" i="59"/>
  <c r="M141" i="59"/>
  <c r="M142" i="59"/>
  <c r="M143" i="59"/>
  <c r="M144" i="59"/>
  <c r="M145" i="59"/>
  <c r="M122" i="59"/>
  <c r="L123" i="59"/>
  <c r="L124" i="59"/>
  <c r="L125" i="59"/>
  <c r="L126" i="59"/>
  <c r="L127" i="59"/>
  <c r="L128" i="59"/>
  <c r="L129" i="59"/>
  <c r="L130" i="59"/>
  <c r="L131" i="59"/>
  <c r="L132" i="59"/>
  <c r="L133" i="59"/>
  <c r="L134" i="59"/>
  <c r="L135" i="59"/>
  <c r="L136" i="59"/>
  <c r="L137" i="59"/>
  <c r="L138" i="59"/>
  <c r="L139" i="59"/>
  <c r="L140" i="59"/>
  <c r="L141" i="59"/>
  <c r="L142" i="59"/>
  <c r="L143" i="59"/>
  <c r="L144" i="59"/>
  <c r="L145" i="59"/>
  <c r="L122" i="59"/>
  <c r="K122" i="59"/>
  <c r="Z123" i="59"/>
  <c r="Z124" i="59"/>
  <c r="Z125" i="59"/>
  <c r="Z126" i="59"/>
  <c r="Z127" i="59"/>
  <c r="Z128" i="59"/>
  <c r="Z129" i="59"/>
  <c r="Z130" i="59"/>
  <c r="Z131" i="59"/>
  <c r="Z132" i="59"/>
  <c r="Z133" i="59"/>
  <c r="Z134" i="59"/>
  <c r="Z135" i="59"/>
  <c r="Z136" i="59"/>
  <c r="Z137" i="59"/>
  <c r="Z138" i="59"/>
  <c r="Z139" i="59"/>
  <c r="Z140" i="59"/>
  <c r="Z141" i="59"/>
  <c r="Z142" i="59"/>
  <c r="Z143" i="59"/>
  <c r="Z144" i="59"/>
  <c r="Z145" i="59"/>
  <c r="Z122" i="59"/>
  <c r="W122" i="59"/>
  <c r="W123" i="59"/>
  <c r="W124" i="59"/>
  <c r="W125" i="59"/>
  <c r="W126" i="59"/>
  <c r="W127" i="59"/>
  <c r="W128" i="59"/>
  <c r="W129" i="59"/>
  <c r="W130" i="59"/>
  <c r="W131" i="59"/>
  <c r="W132" i="59"/>
  <c r="W133" i="59"/>
  <c r="W134" i="59"/>
  <c r="W135" i="59"/>
  <c r="W136" i="59"/>
  <c r="W137" i="59"/>
  <c r="W138" i="59"/>
  <c r="W139" i="59"/>
  <c r="W140" i="59"/>
  <c r="W141" i="59"/>
  <c r="W142" i="59"/>
  <c r="W143" i="59"/>
  <c r="W144" i="59"/>
  <c r="W145" i="59"/>
  <c r="T123" i="59"/>
  <c r="T124" i="59"/>
  <c r="T125" i="59"/>
  <c r="T126" i="59"/>
  <c r="T127" i="59"/>
  <c r="T128" i="59"/>
  <c r="T129" i="59"/>
  <c r="T130" i="59"/>
  <c r="T131" i="59"/>
  <c r="T132" i="59"/>
  <c r="T122" i="59"/>
  <c r="C12" i="95"/>
  <c r="C11" i="95" s="1"/>
  <c r="C10" i="95" s="1"/>
  <c r="C9" i="95" s="1"/>
  <c r="C8" i="95" s="1"/>
  <c r="E12" i="95"/>
  <c r="E11" i="95" s="1"/>
  <c r="E10" i="95" s="1"/>
  <c r="E9" i="95" s="1"/>
  <c r="E8" i="95" s="1"/>
  <c r="E2" i="95"/>
  <c r="D2" i="95"/>
  <c r="D15" i="95" l="1"/>
  <c r="D16" i="95" s="1"/>
  <c r="D17" i="95" s="1"/>
  <c r="D18" i="95" s="1"/>
  <c r="D19" i="95" s="1"/>
  <c r="D20" i="95" s="1"/>
  <c r="D21" i="95"/>
  <c r="D22" i="95" s="1"/>
  <c r="D23" i="95" s="1"/>
  <c r="D24" i="95" s="1"/>
  <c r="D25" i="95" s="1"/>
  <c r="D26" i="95" s="1"/>
  <c r="D27" i="95" s="1"/>
  <c r="D28" i="95" s="1"/>
  <c r="D29" i="95" s="1"/>
  <c r="D30" i="95" s="1"/>
  <c r="D31" i="95" s="1"/>
  <c r="D33" i="95" l="1"/>
  <c r="D39" i="95" s="1"/>
  <c r="B33" i="95"/>
  <c r="B39" i="95" s="1"/>
  <c r="D34" i="95"/>
  <c r="D40" i="95" s="1"/>
  <c r="B34" i="95" l="1"/>
  <c r="B40" i="95" s="1"/>
  <c r="P10" i="83" l="1"/>
  <c r="R124" i="61"/>
  <c r="J29" i="89"/>
  <c r="H15" i="93"/>
  <c r="I15" i="93"/>
  <c r="H16" i="93"/>
  <c r="I16" i="93"/>
  <c r="H17" i="93"/>
  <c r="I17" i="93"/>
  <c r="H18" i="93"/>
  <c r="I18" i="93"/>
  <c r="H19" i="93"/>
  <c r="I19" i="93"/>
  <c r="H20" i="93"/>
  <c r="I20" i="93"/>
  <c r="H21" i="93"/>
  <c r="I21" i="93"/>
  <c r="H22" i="93"/>
  <c r="I22" i="93"/>
  <c r="H23" i="93"/>
  <c r="I23" i="93"/>
  <c r="H24" i="93"/>
  <c r="I24" i="93"/>
  <c r="H25" i="93"/>
  <c r="I25" i="93"/>
  <c r="H26" i="93"/>
  <c r="I26" i="93"/>
  <c r="H27" i="93"/>
  <c r="I27" i="93"/>
  <c r="H28" i="93"/>
  <c r="I28" i="93"/>
  <c r="H29" i="93"/>
  <c r="I29" i="93"/>
  <c r="H30" i="93"/>
  <c r="I30" i="93"/>
  <c r="H31" i="93"/>
  <c r="I31" i="93"/>
  <c r="H32" i="93"/>
  <c r="I32" i="93"/>
  <c r="H33" i="93"/>
  <c r="I33" i="93"/>
  <c r="H34" i="93"/>
  <c r="I34" i="93"/>
  <c r="H35" i="93"/>
  <c r="I35" i="93"/>
  <c r="H36" i="93"/>
  <c r="I36" i="93"/>
  <c r="H37" i="93"/>
  <c r="I37" i="93"/>
  <c r="H38" i="93"/>
  <c r="I38" i="93"/>
  <c r="H39" i="93"/>
  <c r="I39" i="93"/>
  <c r="H40" i="93"/>
  <c r="I40" i="93"/>
  <c r="H41" i="93"/>
  <c r="I41" i="93"/>
  <c r="H42" i="93"/>
  <c r="I42" i="93"/>
  <c r="H43" i="93"/>
  <c r="I43" i="93"/>
  <c r="H44" i="93"/>
  <c r="I44" i="93"/>
  <c r="H45" i="93"/>
  <c r="I45" i="93"/>
  <c r="H46" i="93"/>
  <c r="I46" i="93"/>
  <c r="H47" i="93"/>
  <c r="I47" i="93"/>
  <c r="H48" i="93"/>
  <c r="I48" i="93"/>
  <c r="H49" i="93"/>
  <c r="I49" i="93"/>
  <c r="H50" i="93"/>
  <c r="I50" i="93"/>
  <c r="H51" i="93"/>
  <c r="I51" i="93"/>
  <c r="H52" i="93"/>
  <c r="I52" i="93"/>
  <c r="H53" i="93"/>
  <c r="I53" i="93"/>
  <c r="H54" i="93"/>
  <c r="I54" i="93"/>
  <c r="H55" i="93"/>
  <c r="I55" i="93"/>
  <c r="H56" i="93"/>
  <c r="I56" i="93"/>
  <c r="H57" i="93"/>
  <c r="I57" i="93"/>
  <c r="H58" i="93"/>
  <c r="I58" i="93"/>
  <c r="H59" i="93"/>
  <c r="I59" i="93"/>
  <c r="H60" i="93"/>
  <c r="I60" i="93"/>
  <c r="H61" i="93"/>
  <c r="I61" i="93"/>
  <c r="H62" i="93"/>
  <c r="I62" i="93"/>
  <c r="H63" i="93"/>
  <c r="I63" i="93"/>
  <c r="H64" i="93"/>
  <c r="I64" i="93"/>
  <c r="H65" i="93"/>
  <c r="I65" i="93"/>
  <c r="H66" i="93"/>
  <c r="I66" i="93"/>
  <c r="H67" i="93"/>
  <c r="I67" i="93"/>
  <c r="H68" i="93"/>
  <c r="I68" i="93"/>
  <c r="H69" i="93"/>
  <c r="I69" i="93"/>
  <c r="H70" i="93"/>
  <c r="I70" i="93"/>
  <c r="H71" i="93"/>
  <c r="I71" i="93"/>
  <c r="H72" i="93"/>
  <c r="I72" i="93"/>
  <c r="H73" i="93"/>
  <c r="I73" i="93"/>
  <c r="H74" i="93"/>
  <c r="I74" i="93"/>
  <c r="H75" i="93"/>
  <c r="I75" i="93"/>
  <c r="H76" i="93"/>
  <c r="I76" i="93"/>
  <c r="H77" i="93"/>
  <c r="I77" i="93"/>
  <c r="H78" i="93"/>
  <c r="I78" i="93"/>
  <c r="H79" i="93"/>
  <c r="I79" i="93"/>
  <c r="H80" i="93"/>
  <c r="I80" i="93"/>
  <c r="H81" i="93"/>
  <c r="I81" i="93"/>
  <c r="H82" i="93"/>
  <c r="I82" i="93"/>
  <c r="H83" i="93"/>
  <c r="I83" i="93"/>
  <c r="H84" i="93"/>
  <c r="I84" i="93"/>
  <c r="H85" i="93"/>
  <c r="I85" i="93"/>
  <c r="H86" i="93"/>
  <c r="I86" i="93"/>
  <c r="H87" i="93"/>
  <c r="I87" i="93"/>
  <c r="H88" i="93"/>
  <c r="I88" i="93"/>
  <c r="H89" i="93"/>
  <c r="I89" i="93"/>
  <c r="H90" i="93"/>
  <c r="I90" i="93"/>
  <c r="H91" i="93"/>
  <c r="I91" i="93"/>
  <c r="H92" i="93"/>
  <c r="I92" i="93"/>
  <c r="H93" i="93"/>
  <c r="I93" i="93"/>
  <c r="H94" i="93"/>
  <c r="I94" i="93"/>
  <c r="H95" i="93"/>
  <c r="I95" i="93"/>
  <c r="H96" i="93"/>
  <c r="I96" i="93"/>
  <c r="H97" i="93"/>
  <c r="I97" i="93"/>
  <c r="H98" i="93"/>
  <c r="I98" i="93"/>
  <c r="H99" i="93"/>
  <c r="I99" i="93"/>
  <c r="H100" i="93"/>
  <c r="I100" i="93"/>
  <c r="H101" i="93"/>
  <c r="I101" i="93"/>
  <c r="H102" i="93"/>
  <c r="I102" i="93"/>
  <c r="H103" i="93"/>
  <c r="I103" i="93"/>
  <c r="H104" i="93"/>
  <c r="I104" i="93"/>
  <c r="H105" i="93"/>
  <c r="I105" i="93"/>
  <c r="H106" i="93"/>
  <c r="I106" i="93"/>
  <c r="H107" i="93"/>
  <c r="I107" i="93"/>
  <c r="H108" i="93"/>
  <c r="I108" i="93"/>
  <c r="H109" i="93"/>
  <c r="I109" i="93"/>
  <c r="H110" i="93"/>
  <c r="I110" i="93"/>
  <c r="H111" i="93"/>
  <c r="I111" i="93"/>
  <c r="H112" i="93"/>
  <c r="I112" i="93"/>
  <c r="H113" i="93"/>
  <c r="I113" i="93"/>
  <c r="H114" i="93"/>
  <c r="I114" i="93"/>
  <c r="H115" i="93"/>
  <c r="I115" i="93"/>
  <c r="H116" i="93"/>
  <c r="I116" i="93"/>
  <c r="H117" i="93"/>
  <c r="I117" i="93"/>
  <c r="H118" i="93"/>
  <c r="I118" i="93"/>
  <c r="H119" i="93"/>
  <c r="I119" i="93"/>
  <c r="H120" i="93"/>
  <c r="I120" i="93"/>
  <c r="H121" i="93"/>
  <c r="I121" i="93"/>
  <c r="H122" i="93"/>
  <c r="I122" i="93"/>
  <c r="H123" i="93"/>
  <c r="I123" i="93"/>
  <c r="H124" i="93"/>
  <c r="I124" i="93"/>
  <c r="H125" i="93"/>
  <c r="I125" i="93"/>
  <c r="H126" i="93"/>
  <c r="I126" i="93"/>
  <c r="H127" i="93"/>
  <c r="I127" i="93"/>
  <c r="H128" i="93"/>
  <c r="I128" i="93"/>
  <c r="H129" i="93"/>
  <c r="I129" i="93"/>
  <c r="H130" i="93"/>
  <c r="I130" i="93"/>
  <c r="H131" i="93"/>
  <c r="I131" i="93"/>
  <c r="H132" i="93"/>
  <c r="I132" i="93"/>
  <c r="H133" i="93"/>
  <c r="I133" i="93"/>
  <c r="H134" i="93"/>
  <c r="I134" i="93"/>
  <c r="O29" i="89"/>
  <c r="O53" i="89" s="1"/>
  <c r="O28" i="89"/>
  <c r="O52" i="89" s="1"/>
  <c r="Q212" i="93"/>
  <c r="J212" i="93"/>
  <c r="E212" i="93"/>
  <c r="A212" i="93"/>
  <c r="B212" i="93" s="1"/>
  <c r="Q211" i="93"/>
  <c r="J211" i="93"/>
  <c r="E211" i="93"/>
  <c r="C211" i="93"/>
  <c r="A211" i="93"/>
  <c r="B211" i="93" s="1"/>
  <c r="Q210" i="93"/>
  <c r="J210" i="93"/>
  <c r="E210" i="93"/>
  <c r="C210" i="93"/>
  <c r="B210" i="93"/>
  <c r="A210" i="93"/>
  <c r="Q209" i="93"/>
  <c r="J209" i="93"/>
  <c r="E209" i="93"/>
  <c r="A209" i="93"/>
  <c r="Q208" i="93"/>
  <c r="J208" i="93"/>
  <c r="E208" i="93"/>
  <c r="A208" i="93"/>
  <c r="C208" i="93" s="1"/>
  <c r="Q207" i="93"/>
  <c r="J207" i="93"/>
  <c r="E207" i="93"/>
  <c r="B207" i="93"/>
  <c r="A207" i="93"/>
  <c r="C207" i="93" s="1"/>
  <c r="Q206" i="93"/>
  <c r="J206" i="93"/>
  <c r="E206" i="93"/>
  <c r="C206" i="93"/>
  <c r="B206" i="93"/>
  <c r="A206" i="93"/>
  <c r="Q205" i="93"/>
  <c r="J205" i="93"/>
  <c r="E205" i="93"/>
  <c r="A205" i="93"/>
  <c r="Q204" i="93"/>
  <c r="J204" i="93"/>
  <c r="E204" i="93"/>
  <c r="A204" i="93"/>
  <c r="C204" i="93" s="1"/>
  <c r="Q203" i="93"/>
  <c r="J203" i="93"/>
  <c r="E203" i="93"/>
  <c r="B203" i="93"/>
  <c r="A203" i="93"/>
  <c r="C203" i="93" s="1"/>
  <c r="Q202" i="93"/>
  <c r="J202" i="93"/>
  <c r="E202" i="93"/>
  <c r="C202" i="93"/>
  <c r="B202" i="93"/>
  <c r="A202" i="93"/>
  <c r="Q201" i="93"/>
  <c r="U201" i="93"/>
  <c r="J201" i="93"/>
  <c r="E201" i="93"/>
  <c r="A201" i="93"/>
  <c r="Q196" i="93"/>
  <c r="J196" i="93"/>
  <c r="C196" i="93"/>
  <c r="B196" i="93"/>
  <c r="Q195" i="93"/>
  <c r="J195" i="93"/>
  <c r="C195" i="93"/>
  <c r="B195" i="93"/>
  <c r="Q194" i="93"/>
  <c r="J194" i="93"/>
  <c r="C194" i="93"/>
  <c r="B194" i="93"/>
  <c r="Q193" i="93"/>
  <c r="J193" i="93"/>
  <c r="C193" i="93"/>
  <c r="B193" i="93"/>
  <c r="Q192" i="93"/>
  <c r="J192" i="93"/>
  <c r="C192" i="93"/>
  <c r="B192" i="93"/>
  <c r="Q191" i="93"/>
  <c r="J191" i="93"/>
  <c r="C191" i="93"/>
  <c r="B191" i="93"/>
  <c r="Q190" i="93"/>
  <c r="J190" i="93"/>
  <c r="C190" i="93"/>
  <c r="B190" i="93"/>
  <c r="Q189" i="93"/>
  <c r="J189" i="93"/>
  <c r="C189" i="93"/>
  <c r="B189" i="93"/>
  <c r="Q188" i="93"/>
  <c r="J188" i="93"/>
  <c r="C188" i="93"/>
  <c r="B188" i="93"/>
  <c r="Q187" i="93"/>
  <c r="J187" i="93"/>
  <c r="C187" i="93"/>
  <c r="B187" i="93"/>
  <c r="Q186" i="93"/>
  <c r="J186" i="93"/>
  <c r="C186" i="93"/>
  <c r="B186" i="93"/>
  <c r="Q185" i="93"/>
  <c r="J185" i="93"/>
  <c r="C185" i="93"/>
  <c r="B185" i="93"/>
  <c r="Q184" i="93"/>
  <c r="C158" i="93"/>
  <c r="B158" i="93"/>
  <c r="C157" i="93"/>
  <c r="B157" i="93"/>
  <c r="C156" i="93"/>
  <c r="B156" i="93"/>
  <c r="C155" i="93"/>
  <c r="B155" i="93"/>
  <c r="C154" i="93"/>
  <c r="B154" i="93"/>
  <c r="C153" i="93"/>
  <c r="B153" i="93"/>
  <c r="C152" i="93"/>
  <c r="B152" i="93"/>
  <c r="C151" i="93"/>
  <c r="B151" i="93"/>
  <c r="C150" i="93"/>
  <c r="B150" i="93"/>
  <c r="C149" i="93"/>
  <c r="B149" i="93"/>
  <c r="C148" i="93"/>
  <c r="B148" i="93"/>
  <c r="C147" i="93"/>
  <c r="B147" i="93"/>
  <c r="C146" i="93"/>
  <c r="B146" i="93"/>
  <c r="C145" i="93"/>
  <c r="B145" i="93"/>
  <c r="C144" i="93"/>
  <c r="B144" i="93"/>
  <c r="C143" i="93"/>
  <c r="B143" i="93"/>
  <c r="C142" i="93"/>
  <c r="B142" i="93"/>
  <c r="C141" i="93"/>
  <c r="B141" i="93"/>
  <c r="C140" i="93"/>
  <c r="B140" i="93"/>
  <c r="C139" i="93"/>
  <c r="B139" i="93"/>
  <c r="C138" i="93"/>
  <c r="B138" i="93"/>
  <c r="C137" i="93"/>
  <c r="B137" i="93"/>
  <c r="C136" i="93"/>
  <c r="B136" i="93"/>
  <c r="C135" i="93"/>
  <c r="B135" i="93"/>
  <c r="N134" i="93"/>
  <c r="N212" i="93" s="1"/>
  <c r="U134" i="93"/>
  <c r="D134" i="93"/>
  <c r="D212" i="93" s="1"/>
  <c r="C134" i="93"/>
  <c r="B134" i="93"/>
  <c r="N133" i="93"/>
  <c r="N211" i="93" s="1"/>
  <c r="U133" i="93"/>
  <c r="D133" i="93"/>
  <c r="D211" i="93" s="1"/>
  <c r="C133" i="93"/>
  <c r="B133" i="93"/>
  <c r="N132" i="93"/>
  <c r="N210" i="93" s="1"/>
  <c r="U132" i="93"/>
  <c r="D132" i="93"/>
  <c r="D210" i="93" s="1"/>
  <c r="C132" i="93"/>
  <c r="B132" i="93"/>
  <c r="N131" i="93"/>
  <c r="N209" i="93" s="1"/>
  <c r="U131" i="93"/>
  <c r="D131" i="93"/>
  <c r="C131" i="93"/>
  <c r="B131" i="93"/>
  <c r="N130" i="93"/>
  <c r="N208" i="93" s="1"/>
  <c r="U130" i="93"/>
  <c r="D130" i="93"/>
  <c r="C130" i="93"/>
  <c r="B130" i="93"/>
  <c r="N129" i="93"/>
  <c r="N207" i="93" s="1"/>
  <c r="U129" i="93"/>
  <c r="D129" i="93"/>
  <c r="C129" i="93"/>
  <c r="B129" i="93"/>
  <c r="N128" i="93"/>
  <c r="N206" i="93" s="1"/>
  <c r="U128" i="93"/>
  <c r="D128" i="93"/>
  <c r="C128" i="93"/>
  <c r="B128" i="93"/>
  <c r="N127" i="93"/>
  <c r="N205" i="93" s="1"/>
  <c r="U127" i="93"/>
  <c r="D127" i="93"/>
  <c r="C127" i="93"/>
  <c r="B127" i="93"/>
  <c r="N126" i="93"/>
  <c r="N204" i="93" s="1"/>
  <c r="U126" i="93"/>
  <c r="D126" i="93"/>
  <c r="C126" i="93"/>
  <c r="B126" i="93"/>
  <c r="N125" i="93"/>
  <c r="N203" i="93" s="1"/>
  <c r="D125" i="93"/>
  <c r="C125" i="93"/>
  <c r="B125" i="93"/>
  <c r="N124" i="93"/>
  <c r="N202" i="93" s="1"/>
  <c r="D124" i="93"/>
  <c r="D202" i="93" s="1"/>
  <c r="C124" i="93"/>
  <c r="B124" i="93"/>
  <c r="N123" i="93"/>
  <c r="N201" i="93" s="1"/>
  <c r="D123" i="93"/>
  <c r="D201" i="93" s="1"/>
  <c r="C123" i="93"/>
  <c r="B123" i="93"/>
  <c r="V122" i="93"/>
  <c r="N122" i="93"/>
  <c r="D122" i="93"/>
  <c r="C122" i="93"/>
  <c r="B122" i="93"/>
  <c r="N121" i="93"/>
  <c r="D121" i="93"/>
  <c r="C121" i="93"/>
  <c r="B121" i="93"/>
  <c r="N120" i="93"/>
  <c r="D120" i="93"/>
  <c r="C120" i="93"/>
  <c r="B120" i="93"/>
  <c r="N119" i="93"/>
  <c r="D119" i="93"/>
  <c r="C119" i="93"/>
  <c r="B119" i="93"/>
  <c r="N118" i="93"/>
  <c r="D118" i="93"/>
  <c r="C118" i="93"/>
  <c r="B118" i="93"/>
  <c r="N117" i="93"/>
  <c r="D117" i="93"/>
  <c r="C117" i="93"/>
  <c r="B117" i="93"/>
  <c r="N116" i="93"/>
  <c r="D116" i="93"/>
  <c r="C116" i="93"/>
  <c r="B116" i="93"/>
  <c r="N115" i="93"/>
  <c r="D115" i="93"/>
  <c r="C115" i="93"/>
  <c r="B115" i="93"/>
  <c r="N114" i="93"/>
  <c r="D114" i="93"/>
  <c r="C114" i="93"/>
  <c r="B114" i="93"/>
  <c r="N113" i="93"/>
  <c r="D113" i="93"/>
  <c r="C113" i="93"/>
  <c r="B113" i="93"/>
  <c r="N112" i="93"/>
  <c r="D112" i="93"/>
  <c r="C112" i="93"/>
  <c r="B112" i="93"/>
  <c r="N111" i="93"/>
  <c r="D111" i="93"/>
  <c r="C111" i="93"/>
  <c r="B111" i="93"/>
  <c r="N110" i="93"/>
  <c r="D110" i="93"/>
  <c r="C110" i="93"/>
  <c r="B110" i="93"/>
  <c r="N109" i="93"/>
  <c r="D109" i="93"/>
  <c r="C109" i="93"/>
  <c r="B109" i="93"/>
  <c r="N108" i="93"/>
  <c r="D108" i="93"/>
  <c r="C108" i="93"/>
  <c r="B108" i="93"/>
  <c r="N107" i="93"/>
  <c r="D107" i="93"/>
  <c r="C107" i="93"/>
  <c r="B107" i="93"/>
  <c r="N106" i="93"/>
  <c r="D106" i="93"/>
  <c r="C106" i="93"/>
  <c r="B106" i="93"/>
  <c r="N105" i="93"/>
  <c r="D105" i="93"/>
  <c r="C105" i="93"/>
  <c r="B105" i="93"/>
  <c r="N104" i="93"/>
  <c r="D104" i="93"/>
  <c r="C104" i="93"/>
  <c r="B104" i="93"/>
  <c r="N103" i="93"/>
  <c r="D103" i="93"/>
  <c r="C103" i="93"/>
  <c r="B103" i="93"/>
  <c r="N102" i="93"/>
  <c r="D102" i="93"/>
  <c r="C102" i="93"/>
  <c r="B102" i="93"/>
  <c r="N101" i="93"/>
  <c r="D101" i="93"/>
  <c r="C101" i="93"/>
  <c r="B101" i="93"/>
  <c r="N100" i="93"/>
  <c r="D100" i="93"/>
  <c r="C100" i="93"/>
  <c r="B100" i="93"/>
  <c r="N99" i="93"/>
  <c r="D99" i="93"/>
  <c r="C99" i="93"/>
  <c r="B99" i="93"/>
  <c r="N98" i="93"/>
  <c r="D98" i="93"/>
  <c r="C98" i="93"/>
  <c r="B98" i="93"/>
  <c r="N97" i="93"/>
  <c r="D97" i="93"/>
  <c r="C97" i="93"/>
  <c r="B97" i="93"/>
  <c r="N96" i="93"/>
  <c r="D96" i="93"/>
  <c r="C96" i="93"/>
  <c r="B96" i="93"/>
  <c r="N95" i="93"/>
  <c r="D95" i="93"/>
  <c r="C95" i="93"/>
  <c r="B95" i="93"/>
  <c r="N94" i="93"/>
  <c r="D94" i="93"/>
  <c r="C94" i="93"/>
  <c r="B94" i="93"/>
  <c r="N93" i="93"/>
  <c r="D93" i="93"/>
  <c r="C93" i="93"/>
  <c r="B93" i="93"/>
  <c r="N92" i="93"/>
  <c r="D92" i="93"/>
  <c r="C92" i="93"/>
  <c r="B92" i="93"/>
  <c r="N91" i="93"/>
  <c r="D91" i="93"/>
  <c r="C91" i="93"/>
  <c r="B91" i="93"/>
  <c r="N90" i="93"/>
  <c r="D90" i="93"/>
  <c r="C90" i="93"/>
  <c r="B90" i="93"/>
  <c r="N89" i="93"/>
  <c r="D89" i="93"/>
  <c r="C89" i="93"/>
  <c r="B89" i="93"/>
  <c r="N88" i="93"/>
  <c r="D88" i="93"/>
  <c r="C88" i="93"/>
  <c r="B88" i="93"/>
  <c r="N87" i="93"/>
  <c r="D87" i="93"/>
  <c r="C87" i="93"/>
  <c r="B87" i="93"/>
  <c r="N86" i="93"/>
  <c r="D86" i="93"/>
  <c r="C86" i="93"/>
  <c r="B86" i="93"/>
  <c r="N85" i="93"/>
  <c r="D85" i="93"/>
  <c r="C85" i="93"/>
  <c r="B85" i="93"/>
  <c r="N84" i="93"/>
  <c r="D84" i="93"/>
  <c r="C84" i="93"/>
  <c r="B84" i="93"/>
  <c r="N83" i="93"/>
  <c r="D83" i="93"/>
  <c r="C83" i="93"/>
  <c r="B83" i="93"/>
  <c r="N82" i="93"/>
  <c r="D82" i="93"/>
  <c r="C82" i="93"/>
  <c r="B82" i="93"/>
  <c r="N81" i="93"/>
  <c r="D81" i="93"/>
  <c r="C81" i="93"/>
  <c r="B81" i="93"/>
  <c r="N80" i="93"/>
  <c r="D80" i="93"/>
  <c r="C80" i="93"/>
  <c r="B80" i="93"/>
  <c r="N79" i="93"/>
  <c r="D79" i="93"/>
  <c r="C79" i="93"/>
  <c r="B79" i="93"/>
  <c r="N78" i="93"/>
  <c r="D78" i="93"/>
  <c r="C78" i="93"/>
  <c r="B78" i="93"/>
  <c r="N77" i="93"/>
  <c r="D77" i="93"/>
  <c r="C77" i="93"/>
  <c r="B77" i="93"/>
  <c r="N76" i="93"/>
  <c r="D76" i="93"/>
  <c r="C76" i="93"/>
  <c r="B76" i="93"/>
  <c r="N75" i="93"/>
  <c r="D75" i="93"/>
  <c r="C75" i="93"/>
  <c r="B75" i="93"/>
  <c r="N74" i="93"/>
  <c r="D74" i="93"/>
  <c r="C74" i="93"/>
  <c r="B74" i="93"/>
  <c r="N73" i="93"/>
  <c r="D73" i="93"/>
  <c r="C73" i="93"/>
  <c r="B73" i="93"/>
  <c r="N72" i="93"/>
  <c r="D72" i="93"/>
  <c r="C72" i="93"/>
  <c r="B72" i="93"/>
  <c r="N71" i="93"/>
  <c r="D71" i="93"/>
  <c r="C71" i="93"/>
  <c r="B71" i="93"/>
  <c r="N70" i="93"/>
  <c r="D70" i="93"/>
  <c r="C70" i="93"/>
  <c r="B70" i="93"/>
  <c r="N69" i="93"/>
  <c r="D69" i="93"/>
  <c r="C69" i="93"/>
  <c r="B69" i="93"/>
  <c r="N68" i="93"/>
  <c r="D68" i="93"/>
  <c r="C68" i="93"/>
  <c r="B68" i="93"/>
  <c r="N67" i="93"/>
  <c r="D67" i="93"/>
  <c r="C67" i="93"/>
  <c r="B67" i="93"/>
  <c r="N66" i="93"/>
  <c r="D66" i="93"/>
  <c r="C66" i="93"/>
  <c r="B66" i="93"/>
  <c r="N65" i="93"/>
  <c r="D65" i="93"/>
  <c r="C65" i="93"/>
  <c r="B65" i="93"/>
  <c r="N64" i="93"/>
  <c r="D64" i="93"/>
  <c r="C64" i="93"/>
  <c r="B64" i="93"/>
  <c r="N63" i="93"/>
  <c r="D63" i="93"/>
  <c r="C63" i="93"/>
  <c r="B63" i="93"/>
  <c r="N62" i="93"/>
  <c r="D62" i="93"/>
  <c r="C62" i="93"/>
  <c r="B62" i="93"/>
  <c r="N61" i="93"/>
  <c r="D61" i="93"/>
  <c r="C61" i="93"/>
  <c r="B61" i="93"/>
  <c r="N60" i="93"/>
  <c r="D60" i="93"/>
  <c r="C60" i="93"/>
  <c r="B60" i="93"/>
  <c r="N59" i="93"/>
  <c r="D59" i="93"/>
  <c r="C59" i="93"/>
  <c r="B59" i="93"/>
  <c r="N58" i="93"/>
  <c r="D58" i="93"/>
  <c r="C58" i="93"/>
  <c r="B58" i="93"/>
  <c r="N57" i="93"/>
  <c r="D57" i="93"/>
  <c r="C57" i="93"/>
  <c r="B57" i="93"/>
  <c r="N56" i="93"/>
  <c r="D56" i="93"/>
  <c r="C56" i="93"/>
  <c r="B56" i="93"/>
  <c r="N55" i="93"/>
  <c r="D55" i="93"/>
  <c r="C55" i="93"/>
  <c r="B55" i="93"/>
  <c r="N54" i="93"/>
  <c r="D54" i="93"/>
  <c r="C54" i="93"/>
  <c r="B54" i="93"/>
  <c r="N53" i="93"/>
  <c r="D53" i="93"/>
  <c r="C53" i="93"/>
  <c r="B53" i="93"/>
  <c r="N52" i="93"/>
  <c r="D52" i="93"/>
  <c r="C52" i="93"/>
  <c r="B52" i="93"/>
  <c r="N51" i="93"/>
  <c r="D51" i="93"/>
  <c r="C51" i="93"/>
  <c r="B51" i="93"/>
  <c r="N50" i="93"/>
  <c r="D50" i="93"/>
  <c r="C50" i="93"/>
  <c r="B50" i="93"/>
  <c r="N49" i="93"/>
  <c r="D49" i="93"/>
  <c r="C49" i="93"/>
  <c r="B49" i="93"/>
  <c r="N48" i="93"/>
  <c r="D48" i="93"/>
  <c r="C48" i="93"/>
  <c r="B48" i="93"/>
  <c r="N47" i="93"/>
  <c r="D47" i="93"/>
  <c r="C47" i="93"/>
  <c r="B47" i="93"/>
  <c r="N46" i="93"/>
  <c r="D46" i="93"/>
  <c r="C46" i="93"/>
  <c r="B46" i="93"/>
  <c r="N45" i="93"/>
  <c r="D45" i="93"/>
  <c r="C45" i="93"/>
  <c r="B45" i="93"/>
  <c r="N44" i="93"/>
  <c r="D44" i="93"/>
  <c r="C44" i="93"/>
  <c r="B44" i="93"/>
  <c r="N43" i="93"/>
  <c r="D43" i="93"/>
  <c r="C43" i="93"/>
  <c r="B43" i="93"/>
  <c r="N42" i="93"/>
  <c r="D42" i="93"/>
  <c r="C42" i="93"/>
  <c r="B42" i="93"/>
  <c r="N41" i="93"/>
  <c r="D41" i="93"/>
  <c r="C41" i="93"/>
  <c r="B41" i="93"/>
  <c r="N40" i="93"/>
  <c r="D40" i="93"/>
  <c r="C40" i="93"/>
  <c r="B40" i="93"/>
  <c r="N39" i="93"/>
  <c r="D39" i="93"/>
  <c r="C39" i="93"/>
  <c r="B39" i="93"/>
  <c r="N38" i="93"/>
  <c r="D38" i="93"/>
  <c r="C38" i="93"/>
  <c r="B38" i="93"/>
  <c r="N37" i="93"/>
  <c r="D37" i="93"/>
  <c r="C37" i="93"/>
  <c r="B37" i="93"/>
  <c r="N36" i="93"/>
  <c r="D36" i="93"/>
  <c r="C36" i="93"/>
  <c r="B36" i="93"/>
  <c r="N35" i="93"/>
  <c r="K35" i="93"/>
  <c r="K47" i="93" s="1"/>
  <c r="D35" i="93"/>
  <c r="C35" i="93"/>
  <c r="B35" i="93"/>
  <c r="N34" i="93"/>
  <c r="D34" i="93"/>
  <c r="C34" i="93"/>
  <c r="B34" i="93"/>
  <c r="N33" i="93"/>
  <c r="D33" i="93"/>
  <c r="C33" i="93"/>
  <c r="B33" i="93"/>
  <c r="N32" i="93"/>
  <c r="D32" i="93"/>
  <c r="C32" i="93"/>
  <c r="B32" i="93"/>
  <c r="N31" i="93"/>
  <c r="D31" i="93"/>
  <c r="C31" i="93"/>
  <c r="B31" i="93"/>
  <c r="N30" i="93"/>
  <c r="D30" i="93"/>
  <c r="C30" i="93"/>
  <c r="B30" i="93"/>
  <c r="N29" i="93"/>
  <c r="D29" i="93"/>
  <c r="C29" i="93"/>
  <c r="B29" i="93"/>
  <c r="N28" i="93"/>
  <c r="D28" i="93"/>
  <c r="C28" i="93"/>
  <c r="B28" i="93"/>
  <c r="N27" i="93"/>
  <c r="D27" i="93"/>
  <c r="C27" i="93"/>
  <c r="B27" i="93"/>
  <c r="N26" i="93"/>
  <c r="K26" i="93"/>
  <c r="K38" i="93" s="1"/>
  <c r="K50" i="93" s="1"/>
  <c r="K62" i="93" s="1"/>
  <c r="K74" i="93" s="1"/>
  <c r="K86" i="93" s="1"/>
  <c r="K98" i="93" s="1"/>
  <c r="K110" i="93" s="1"/>
  <c r="K122" i="93" s="1"/>
  <c r="K134" i="93" s="1"/>
  <c r="D26" i="93"/>
  <c r="C26" i="93"/>
  <c r="B26" i="93"/>
  <c r="N25" i="93"/>
  <c r="K25" i="93"/>
  <c r="K37" i="93" s="1"/>
  <c r="K49" i="93" s="1"/>
  <c r="K61" i="93" s="1"/>
  <c r="K73" i="93" s="1"/>
  <c r="K85" i="93" s="1"/>
  <c r="K97" i="93" s="1"/>
  <c r="K109" i="93" s="1"/>
  <c r="K121" i="93" s="1"/>
  <c r="D25" i="93"/>
  <c r="C25" i="93"/>
  <c r="B25" i="93"/>
  <c r="N24" i="93"/>
  <c r="K24" i="93"/>
  <c r="K36" i="93" s="1"/>
  <c r="K48" i="93" s="1"/>
  <c r="K60" i="93" s="1"/>
  <c r="K72" i="93" s="1"/>
  <c r="K84" i="93" s="1"/>
  <c r="K96" i="93" s="1"/>
  <c r="K108" i="93" s="1"/>
  <c r="K120" i="93" s="1"/>
  <c r="K132" i="93" s="1"/>
  <c r="D24" i="93"/>
  <c r="C24" i="93"/>
  <c r="B24" i="93"/>
  <c r="N23" i="93"/>
  <c r="K23" i="93"/>
  <c r="D23" i="93"/>
  <c r="C23" i="93"/>
  <c r="B23" i="93"/>
  <c r="N22" i="93"/>
  <c r="K22" i="93"/>
  <c r="K34" i="93" s="1"/>
  <c r="K46" i="93" s="1"/>
  <c r="K58" i="93" s="1"/>
  <c r="K70" i="93" s="1"/>
  <c r="K82" i="93" s="1"/>
  <c r="K94" i="93" s="1"/>
  <c r="K106" i="93" s="1"/>
  <c r="K118" i="93" s="1"/>
  <c r="K130" i="93" s="1"/>
  <c r="D22" i="93"/>
  <c r="C22" i="93"/>
  <c r="B22" i="93"/>
  <c r="N21" i="93"/>
  <c r="K21" i="93"/>
  <c r="K33" i="93" s="1"/>
  <c r="K45" i="93" s="1"/>
  <c r="K57" i="93" s="1"/>
  <c r="K69" i="93" s="1"/>
  <c r="K81" i="93" s="1"/>
  <c r="K93" i="93" s="1"/>
  <c r="K105" i="93" s="1"/>
  <c r="K117" i="93" s="1"/>
  <c r="D21" i="93"/>
  <c r="C21" i="93"/>
  <c r="B21" i="93"/>
  <c r="N20" i="93"/>
  <c r="K20" i="93"/>
  <c r="K32" i="93" s="1"/>
  <c r="K44" i="93" s="1"/>
  <c r="K56" i="93" s="1"/>
  <c r="K68" i="93" s="1"/>
  <c r="K80" i="93" s="1"/>
  <c r="K92" i="93" s="1"/>
  <c r="K104" i="93" s="1"/>
  <c r="K116" i="93" s="1"/>
  <c r="K128" i="93" s="1"/>
  <c r="D20" i="93"/>
  <c r="C20" i="93"/>
  <c r="B20" i="93"/>
  <c r="N19" i="93"/>
  <c r="K19" i="93"/>
  <c r="K31" i="93" s="1"/>
  <c r="D19" i="93"/>
  <c r="C19" i="93"/>
  <c r="B19" i="93"/>
  <c r="N18" i="93"/>
  <c r="K18" i="93"/>
  <c r="K30" i="93" s="1"/>
  <c r="K42" i="93" s="1"/>
  <c r="K54" i="93" s="1"/>
  <c r="K66" i="93" s="1"/>
  <c r="K78" i="93" s="1"/>
  <c r="K90" i="93" s="1"/>
  <c r="K102" i="93" s="1"/>
  <c r="K114" i="93" s="1"/>
  <c r="K126" i="93" s="1"/>
  <c r="D18" i="93"/>
  <c r="C18" i="93"/>
  <c r="B18" i="93"/>
  <c r="N17" i="93"/>
  <c r="K17" i="93"/>
  <c r="K29" i="93" s="1"/>
  <c r="K41" i="93" s="1"/>
  <c r="K53" i="93" s="1"/>
  <c r="K65" i="93" s="1"/>
  <c r="K77" i="93" s="1"/>
  <c r="K89" i="93" s="1"/>
  <c r="K101" i="93" s="1"/>
  <c r="K113" i="93" s="1"/>
  <c r="K125" i="93" s="1"/>
  <c r="D17" i="93"/>
  <c r="C17" i="93"/>
  <c r="B17" i="93"/>
  <c r="N16" i="93"/>
  <c r="K16" i="93"/>
  <c r="K28" i="93" s="1"/>
  <c r="K40" i="93" s="1"/>
  <c r="K52" i="93" s="1"/>
  <c r="K64" i="93" s="1"/>
  <c r="K76" i="93" s="1"/>
  <c r="K88" i="93" s="1"/>
  <c r="K100" i="93" s="1"/>
  <c r="K112" i="93" s="1"/>
  <c r="K124" i="93" s="1"/>
  <c r="D16" i="93"/>
  <c r="C16" i="93"/>
  <c r="B16" i="93"/>
  <c r="N15" i="93"/>
  <c r="K15" i="93"/>
  <c r="K27" i="93" s="1"/>
  <c r="K39" i="93" s="1"/>
  <c r="D15" i="93"/>
  <c r="C15" i="93"/>
  <c r="B15" i="93"/>
  <c r="D14" i="93"/>
  <c r="G14" i="93" s="1"/>
  <c r="C14" i="93"/>
  <c r="B14" i="93"/>
  <c r="D13" i="93"/>
  <c r="G13" i="93" s="1"/>
  <c r="C13" i="93"/>
  <c r="B13" i="93"/>
  <c r="D12" i="93"/>
  <c r="G12" i="93" s="1"/>
  <c r="C12" i="93"/>
  <c r="B12" i="93"/>
  <c r="D11" i="93"/>
  <c r="G11" i="93" s="1"/>
  <c r="C11" i="93"/>
  <c r="B11" i="93"/>
  <c r="D10" i="93"/>
  <c r="G10" i="93" s="1"/>
  <c r="C10" i="93"/>
  <c r="B10" i="93"/>
  <c r="D9" i="93"/>
  <c r="G9" i="93" s="1"/>
  <c r="C9" i="93"/>
  <c r="B9" i="93"/>
  <c r="D8" i="93"/>
  <c r="G8" i="93" s="1"/>
  <c r="C8" i="93"/>
  <c r="B8" i="93"/>
  <c r="D7" i="93"/>
  <c r="G7" i="93" s="1"/>
  <c r="C7" i="93"/>
  <c r="B7" i="93"/>
  <c r="D6" i="93"/>
  <c r="G6" i="93" s="1"/>
  <c r="C6" i="93"/>
  <c r="B6" i="93"/>
  <c r="D5" i="93"/>
  <c r="G5" i="93" s="1"/>
  <c r="C5" i="93"/>
  <c r="B5" i="93"/>
  <c r="D4" i="93"/>
  <c r="G4" i="93" s="1"/>
  <c r="C4" i="93"/>
  <c r="B4" i="93"/>
  <c r="D3" i="93"/>
  <c r="G3" i="93" s="1"/>
  <c r="C3" i="93"/>
  <c r="B3" i="93"/>
  <c r="M2" i="93"/>
  <c r="L200" i="76"/>
  <c r="U200" i="76" s="1"/>
  <c r="M200" i="76"/>
  <c r="A201" i="76"/>
  <c r="A202" i="76"/>
  <c r="B202" i="76" s="1"/>
  <c r="A203" i="76"/>
  <c r="C203" i="76" s="1"/>
  <c r="A204" i="76"/>
  <c r="C204" i="76" s="1"/>
  <c r="A205" i="76"/>
  <c r="A206" i="76"/>
  <c r="B206" i="76" s="1"/>
  <c r="A207" i="76"/>
  <c r="B207" i="76" s="1"/>
  <c r="A208" i="76"/>
  <c r="C208" i="76" s="1"/>
  <c r="A209" i="76"/>
  <c r="A210" i="76"/>
  <c r="B210" i="76" s="1"/>
  <c r="A211" i="76"/>
  <c r="C211" i="76" s="1"/>
  <c r="A200" i="76"/>
  <c r="C200" i="76" s="1"/>
  <c r="Q201" i="76"/>
  <c r="Q202" i="76"/>
  <c r="Q203" i="76"/>
  <c r="Q204" i="76"/>
  <c r="Q205" i="76"/>
  <c r="Q206" i="76"/>
  <c r="Q207" i="76"/>
  <c r="Q208" i="76"/>
  <c r="Q209" i="76"/>
  <c r="Q210" i="76"/>
  <c r="Q211" i="76"/>
  <c r="Q200" i="76"/>
  <c r="J200" i="76"/>
  <c r="J201" i="76"/>
  <c r="J202" i="76"/>
  <c r="J203" i="76"/>
  <c r="J204" i="76"/>
  <c r="J205" i="76"/>
  <c r="J206" i="76"/>
  <c r="J207" i="76"/>
  <c r="J208" i="76"/>
  <c r="J209" i="76"/>
  <c r="J210" i="76"/>
  <c r="J211" i="76"/>
  <c r="E200" i="76"/>
  <c r="E201" i="76"/>
  <c r="E202" i="76"/>
  <c r="E203" i="76"/>
  <c r="E204" i="76"/>
  <c r="E205" i="76"/>
  <c r="E206" i="76"/>
  <c r="E207" i="76"/>
  <c r="E208" i="76"/>
  <c r="E209" i="76"/>
  <c r="E210" i="76"/>
  <c r="E211" i="76"/>
  <c r="C210" i="76"/>
  <c r="C209" i="76"/>
  <c r="C206" i="76"/>
  <c r="C205" i="76"/>
  <c r="C201" i="76"/>
  <c r="V122" i="76"/>
  <c r="O22" i="89"/>
  <c r="O23" i="89" s="1"/>
  <c r="O24" i="89" s="1"/>
  <c r="N22" i="89"/>
  <c r="N23" i="89" s="1"/>
  <c r="N24" i="89" s="1"/>
  <c r="M22" i="89"/>
  <c r="M23" i="89" s="1"/>
  <c r="M24" i="89" s="1"/>
  <c r="O21" i="89"/>
  <c r="N21" i="89"/>
  <c r="M21" i="89"/>
  <c r="L12" i="89"/>
  <c r="L22" i="89" s="1"/>
  <c r="K12" i="89"/>
  <c r="K22" i="89" s="1"/>
  <c r="L11" i="89"/>
  <c r="L21" i="89" s="1"/>
  <c r="L23" i="89" s="1"/>
  <c r="L24" i="89" s="1"/>
  <c r="K11" i="89"/>
  <c r="K21" i="89" s="1"/>
  <c r="L10" i="89"/>
  <c r="K10" i="89"/>
  <c r="L9" i="89"/>
  <c r="K9" i="89"/>
  <c r="L8" i="89"/>
  <c r="K8" i="89"/>
  <c r="L7" i="89"/>
  <c r="K7" i="89"/>
  <c r="L6" i="89"/>
  <c r="K6" i="89"/>
  <c r="L5" i="89"/>
  <c r="K5" i="89"/>
  <c r="L4" i="89"/>
  <c r="K4" i="89"/>
  <c r="L3" i="89"/>
  <c r="K3" i="89"/>
  <c r="N29" i="89"/>
  <c r="N53" i="89" s="1"/>
  <c r="M29" i="89"/>
  <c r="M53" i="89" s="1"/>
  <c r="N28" i="89"/>
  <c r="N52" i="89" s="1"/>
  <c r="M28" i="89"/>
  <c r="M52" i="89" s="1"/>
  <c r="J28" i="89"/>
  <c r="B211" i="76" l="1"/>
  <c r="C207" i="76"/>
  <c r="C202" i="76"/>
  <c r="C212" i="93"/>
  <c r="I10" i="89"/>
  <c r="I7" i="89"/>
  <c r="I9" i="89"/>
  <c r="J41" i="89"/>
  <c r="I8" i="89"/>
  <c r="I3" i="89"/>
  <c r="I4" i="89"/>
  <c r="I6" i="89"/>
  <c r="K28" i="89"/>
  <c r="I5" i="89"/>
  <c r="K29" i="89"/>
  <c r="K53" i="89" s="1"/>
  <c r="L29" i="89"/>
  <c r="K203" i="93"/>
  <c r="K137" i="93"/>
  <c r="K149" i="93" s="1"/>
  <c r="K187" i="93" s="1"/>
  <c r="K59" i="93"/>
  <c r="K51" i="93"/>
  <c r="K133" i="93"/>
  <c r="K43" i="93"/>
  <c r="K204" i="93"/>
  <c r="K138" i="93"/>
  <c r="K150" i="93" s="1"/>
  <c r="K188" i="93" s="1"/>
  <c r="K129" i="93"/>
  <c r="D206" i="93"/>
  <c r="E174" i="93"/>
  <c r="R174" i="93" s="1"/>
  <c r="D173" i="93"/>
  <c r="E170" i="93"/>
  <c r="R170" i="93" s="1"/>
  <c r="D169" i="93"/>
  <c r="E166" i="93"/>
  <c r="R166" i="93" s="1"/>
  <c r="D174" i="93"/>
  <c r="E171" i="93"/>
  <c r="R171" i="93" s="1"/>
  <c r="D170" i="93"/>
  <c r="E167" i="93"/>
  <c r="R167" i="93" s="1"/>
  <c r="D166" i="93"/>
  <c r="E172" i="93"/>
  <c r="R172" i="93" s="1"/>
  <c r="D171" i="93"/>
  <c r="E168" i="93"/>
  <c r="R168" i="93" s="1"/>
  <c r="D167" i="93"/>
  <c r="E165" i="93"/>
  <c r="R165" i="93" s="1"/>
  <c r="E169" i="93"/>
  <c r="R169" i="93" s="1"/>
  <c r="D168" i="93"/>
  <c r="D165" i="93"/>
  <c r="E173" i="93"/>
  <c r="R173" i="93" s="1"/>
  <c r="D172" i="93"/>
  <c r="K202" i="93"/>
  <c r="K136" i="93"/>
  <c r="K148" i="93" s="1"/>
  <c r="K186" i="93" s="1"/>
  <c r="K206" i="93"/>
  <c r="K140" i="93"/>
  <c r="K152" i="93" s="1"/>
  <c r="K190" i="93" s="1"/>
  <c r="K210" i="93"/>
  <c r="K144" i="93"/>
  <c r="K156" i="93" s="1"/>
  <c r="K194" i="93" s="1"/>
  <c r="O126" i="93"/>
  <c r="K208" i="93"/>
  <c r="K142" i="93"/>
  <c r="K154" i="93" s="1"/>
  <c r="K192" i="93" s="1"/>
  <c r="K146" i="93"/>
  <c r="K158" i="93" s="1"/>
  <c r="K196" i="93" s="1"/>
  <c r="K212" i="93"/>
  <c r="V134" i="93"/>
  <c r="O130" i="93"/>
  <c r="D203" i="93"/>
  <c r="D207" i="93"/>
  <c r="O125" i="93"/>
  <c r="D204" i="93"/>
  <c r="D208" i="93"/>
  <c r="C201" i="93"/>
  <c r="B201" i="93"/>
  <c r="D205" i="93"/>
  <c r="D209" i="93"/>
  <c r="O134" i="93"/>
  <c r="U202" i="93"/>
  <c r="C205" i="93"/>
  <c r="B205" i="93"/>
  <c r="C209" i="93"/>
  <c r="B209" i="93"/>
  <c r="B204" i="93"/>
  <c r="B208" i="93"/>
  <c r="B203" i="76"/>
  <c r="B201" i="76"/>
  <c r="B205" i="76"/>
  <c r="B209" i="76"/>
  <c r="B200" i="76"/>
  <c r="B204" i="76"/>
  <c r="B208" i="76"/>
  <c r="K40" i="89"/>
  <c r="I11" i="89"/>
  <c r="L28" i="89"/>
  <c r="M40" i="89"/>
  <c r="M41" i="89"/>
  <c r="K23" i="89"/>
  <c r="K24" i="89" s="1"/>
  <c r="J40" i="89"/>
  <c r="N40" i="89"/>
  <c r="N41" i="89"/>
  <c r="I12" i="89"/>
  <c r="P52" i="89" l="1"/>
  <c r="I29" i="89"/>
  <c r="L41" i="89"/>
  <c r="L53" i="89"/>
  <c r="P53" i="89" s="1"/>
  <c r="K55" i="93"/>
  <c r="K63" i="93"/>
  <c r="K211" i="93"/>
  <c r="K145" i="93"/>
  <c r="K157" i="93" s="1"/>
  <c r="K195" i="93" s="1"/>
  <c r="K71" i="93"/>
  <c r="D178" i="93"/>
  <c r="K207" i="93"/>
  <c r="K141" i="93"/>
  <c r="K153" i="93" s="1"/>
  <c r="K191" i="93" s="1"/>
  <c r="K41" i="89"/>
  <c r="L40" i="89"/>
  <c r="M58" i="89" l="1"/>
  <c r="K58" i="89"/>
  <c r="L58" i="89"/>
  <c r="N58" i="89"/>
  <c r="O58" i="89"/>
  <c r="J58" i="89"/>
  <c r="K67" i="93"/>
  <c r="K83" i="93"/>
  <c r="K75" i="93"/>
  <c r="O132" i="93" l="1"/>
  <c r="K87" i="93"/>
  <c r="K95" i="93"/>
  <c r="K79" i="93"/>
  <c r="O133" i="93" l="1"/>
  <c r="K91" i="93"/>
  <c r="K107" i="93"/>
  <c r="K99" i="93"/>
  <c r="O128" i="93" l="1"/>
  <c r="O129" i="93"/>
  <c r="K103" i="93"/>
  <c r="K119" i="93"/>
  <c r="K111" i="93"/>
  <c r="K131" i="93" l="1"/>
  <c r="K123" i="93"/>
  <c r="K115" i="93"/>
  <c r="K127" i="93" l="1"/>
  <c r="K209" i="93"/>
  <c r="K143" i="93"/>
  <c r="K155" i="93" s="1"/>
  <c r="K193" i="93" s="1"/>
  <c r="O131" i="93"/>
  <c r="K201" i="93"/>
  <c r="K135" i="93"/>
  <c r="K147" i="93" s="1"/>
  <c r="K185" i="93" s="1"/>
  <c r="K205" i="93" l="1"/>
  <c r="K139" i="93"/>
  <c r="K151" i="93" s="1"/>
  <c r="K189" i="93" s="1"/>
  <c r="O127" i="93"/>
  <c r="Q3" i="18" l="1"/>
  <c r="Q4" i="18" s="1"/>
  <c r="Q5" i="18" s="1"/>
  <c r="Q6" i="18" s="1"/>
  <c r="Q7" i="18" s="1"/>
  <c r="Q8" i="18" s="1"/>
  <c r="Q9" i="18" s="1"/>
  <c r="Q10" i="18" s="1"/>
  <c r="Q11" i="18" s="1"/>
  <c r="Q12" i="18" s="1"/>
  <c r="Q13" i="18" s="1"/>
  <c r="H3" i="86"/>
  <c r="H3" i="93" s="1"/>
  <c r="I3" i="86"/>
  <c r="I3" i="93" s="1"/>
  <c r="H4" i="86"/>
  <c r="H4" i="93" s="1"/>
  <c r="I4" i="86"/>
  <c r="I4" i="93" s="1"/>
  <c r="H5" i="86"/>
  <c r="H5" i="93" s="1"/>
  <c r="I5" i="86"/>
  <c r="I5" i="93" s="1"/>
  <c r="H6" i="86"/>
  <c r="H6" i="93" s="1"/>
  <c r="I6" i="86"/>
  <c r="I6" i="93" s="1"/>
  <c r="H7" i="86"/>
  <c r="H7" i="93" s="1"/>
  <c r="I7" i="86"/>
  <c r="I7" i="93" s="1"/>
  <c r="H8" i="86"/>
  <c r="H8" i="93" s="1"/>
  <c r="I8" i="86"/>
  <c r="I8" i="93" s="1"/>
  <c r="H9" i="86"/>
  <c r="H9" i="93" s="1"/>
  <c r="I9" i="86"/>
  <c r="I9" i="93" s="1"/>
  <c r="H10" i="86"/>
  <c r="H10" i="93" s="1"/>
  <c r="I10" i="86"/>
  <c r="I10" i="93" s="1"/>
  <c r="H11" i="86"/>
  <c r="H11" i="93" s="1"/>
  <c r="I11" i="86"/>
  <c r="I11" i="93" s="1"/>
  <c r="H12" i="86"/>
  <c r="H12" i="93" s="1"/>
  <c r="I12" i="86"/>
  <c r="I12" i="93" s="1"/>
  <c r="H13" i="86"/>
  <c r="H13" i="93" s="1"/>
  <c r="I13" i="86"/>
  <c r="I13" i="93" s="1"/>
  <c r="H14" i="86"/>
  <c r="H14" i="93" s="1"/>
  <c r="I14" i="86"/>
  <c r="I14" i="93" s="1"/>
  <c r="H15" i="86"/>
  <c r="I15" i="86"/>
  <c r="H16" i="86"/>
  <c r="I16" i="86"/>
  <c r="H17" i="86"/>
  <c r="I17" i="86"/>
  <c r="H18" i="86"/>
  <c r="I18" i="86"/>
  <c r="H19" i="86"/>
  <c r="I19" i="86"/>
  <c r="H20" i="86"/>
  <c r="I20" i="86"/>
  <c r="H21" i="86"/>
  <c r="I21" i="86"/>
  <c r="H22" i="86"/>
  <c r="I22" i="86"/>
  <c r="H23" i="86"/>
  <c r="I23" i="86"/>
  <c r="H24" i="86"/>
  <c r="I24" i="86"/>
  <c r="H25" i="86"/>
  <c r="I25" i="86"/>
  <c r="H26" i="86"/>
  <c r="I26" i="86"/>
  <c r="H27" i="86"/>
  <c r="I27" i="86"/>
  <c r="H28" i="86"/>
  <c r="I28" i="86"/>
  <c r="H29" i="86"/>
  <c r="I29" i="86"/>
  <c r="H30" i="86"/>
  <c r="I30" i="86"/>
  <c r="H31" i="86"/>
  <c r="I31" i="86"/>
  <c r="H32" i="86"/>
  <c r="I32" i="86"/>
  <c r="H33" i="86"/>
  <c r="I33" i="86"/>
  <c r="H34" i="86"/>
  <c r="I34" i="86"/>
  <c r="H35" i="86"/>
  <c r="I35" i="86"/>
  <c r="H36" i="86"/>
  <c r="I36" i="86"/>
  <c r="H37" i="86"/>
  <c r="I37" i="86"/>
  <c r="H38" i="86"/>
  <c r="I38" i="86"/>
  <c r="H39" i="86"/>
  <c r="I39" i="86"/>
  <c r="H40" i="86"/>
  <c r="I40" i="86"/>
  <c r="H41" i="86"/>
  <c r="I41" i="86"/>
  <c r="H42" i="86"/>
  <c r="I42" i="86"/>
  <c r="H43" i="86"/>
  <c r="I43" i="86"/>
  <c r="H44" i="86"/>
  <c r="I44" i="86"/>
  <c r="H45" i="86"/>
  <c r="I45" i="86"/>
  <c r="H46" i="86"/>
  <c r="I46" i="86"/>
  <c r="H47" i="86"/>
  <c r="I47" i="86"/>
  <c r="H48" i="86"/>
  <c r="I48" i="86"/>
  <c r="H49" i="86"/>
  <c r="I49" i="86"/>
  <c r="H50" i="86"/>
  <c r="I50" i="86"/>
  <c r="H51" i="86"/>
  <c r="I51" i="86"/>
  <c r="H52" i="86"/>
  <c r="I52" i="86"/>
  <c r="H53" i="86"/>
  <c r="I53" i="86"/>
  <c r="H54" i="86"/>
  <c r="I54" i="86"/>
  <c r="H55" i="86"/>
  <c r="I55" i="86"/>
  <c r="H56" i="86"/>
  <c r="I56" i="86"/>
  <c r="H57" i="86"/>
  <c r="I57" i="86"/>
  <c r="H58" i="86"/>
  <c r="I58" i="86"/>
  <c r="H59" i="86"/>
  <c r="I59" i="86"/>
  <c r="H60" i="86"/>
  <c r="I60" i="86"/>
  <c r="H61" i="86"/>
  <c r="I61" i="86"/>
  <c r="H62" i="86"/>
  <c r="I62" i="86"/>
  <c r="H63" i="86"/>
  <c r="I63" i="86"/>
  <c r="H64" i="86"/>
  <c r="I64" i="86"/>
  <c r="H65" i="86"/>
  <c r="I65" i="86"/>
  <c r="H66" i="86"/>
  <c r="I66" i="86"/>
  <c r="H67" i="86"/>
  <c r="I67" i="86"/>
  <c r="H68" i="86"/>
  <c r="I68" i="86"/>
  <c r="H69" i="86"/>
  <c r="I69" i="86"/>
  <c r="H70" i="86"/>
  <c r="I70" i="86"/>
  <c r="H71" i="86"/>
  <c r="I71" i="86"/>
  <c r="H72" i="86"/>
  <c r="I72" i="86"/>
  <c r="H73" i="86"/>
  <c r="I73" i="86"/>
  <c r="H74" i="86"/>
  <c r="I74" i="86"/>
  <c r="H75" i="86"/>
  <c r="I75" i="86"/>
  <c r="H76" i="86"/>
  <c r="I76" i="86"/>
  <c r="H77" i="86"/>
  <c r="I77" i="86"/>
  <c r="H78" i="86"/>
  <c r="I78" i="86"/>
  <c r="H79" i="86"/>
  <c r="I79" i="86"/>
  <c r="H80" i="86"/>
  <c r="I80" i="86"/>
  <c r="H81" i="86"/>
  <c r="I81" i="86"/>
  <c r="H82" i="86"/>
  <c r="I82" i="86"/>
  <c r="H83" i="86"/>
  <c r="I83" i="86"/>
  <c r="H84" i="86"/>
  <c r="I84" i="86"/>
  <c r="H85" i="86"/>
  <c r="I85" i="86"/>
  <c r="H86" i="86"/>
  <c r="I86" i="86"/>
  <c r="H87" i="86"/>
  <c r="I87" i="86"/>
  <c r="H88" i="86"/>
  <c r="I88" i="86"/>
  <c r="H89" i="86"/>
  <c r="I89" i="86"/>
  <c r="H90" i="86"/>
  <c r="I90" i="86"/>
  <c r="H91" i="86"/>
  <c r="I91" i="86"/>
  <c r="H92" i="86"/>
  <c r="I92" i="86"/>
  <c r="H93" i="86"/>
  <c r="I93" i="86"/>
  <c r="H94" i="86"/>
  <c r="I94" i="86"/>
  <c r="H95" i="86"/>
  <c r="I95" i="86"/>
  <c r="H96" i="86"/>
  <c r="I96" i="86"/>
  <c r="H97" i="86"/>
  <c r="I97" i="86"/>
  <c r="H98" i="86"/>
  <c r="I98" i="86"/>
  <c r="H99" i="86"/>
  <c r="I99" i="86"/>
  <c r="H100" i="86"/>
  <c r="I100" i="86"/>
  <c r="H101" i="86"/>
  <c r="I101" i="86"/>
  <c r="H102" i="86"/>
  <c r="I102" i="86"/>
  <c r="H103" i="86"/>
  <c r="I103" i="86"/>
  <c r="H104" i="86"/>
  <c r="I104" i="86"/>
  <c r="H105" i="86"/>
  <c r="I105" i="86"/>
  <c r="H106" i="86"/>
  <c r="I106" i="86"/>
  <c r="H107" i="86"/>
  <c r="I107" i="86"/>
  <c r="H108" i="86"/>
  <c r="I108" i="86"/>
  <c r="H109" i="86"/>
  <c r="I109" i="86"/>
  <c r="H110" i="86"/>
  <c r="I110" i="86"/>
  <c r="H111" i="86"/>
  <c r="I111" i="86"/>
  <c r="H112" i="86"/>
  <c r="I112" i="86"/>
  <c r="H113" i="86"/>
  <c r="I113" i="86"/>
  <c r="H114" i="86"/>
  <c r="I114" i="86"/>
  <c r="H115" i="86"/>
  <c r="I115" i="86"/>
  <c r="H116" i="86"/>
  <c r="I116" i="86"/>
  <c r="H117" i="86"/>
  <c r="I117" i="86"/>
  <c r="H118" i="86"/>
  <c r="I118" i="86"/>
  <c r="H119" i="86"/>
  <c r="I119" i="86"/>
  <c r="H120" i="86"/>
  <c r="I120" i="86"/>
  <c r="H121" i="86"/>
  <c r="I121" i="86"/>
  <c r="H122" i="86"/>
  <c r="I122" i="86"/>
  <c r="H123" i="86"/>
  <c r="I123" i="86"/>
  <c r="H124" i="86"/>
  <c r="I124" i="86"/>
  <c r="H125" i="86"/>
  <c r="I125" i="86"/>
  <c r="H126" i="86"/>
  <c r="I126" i="86"/>
  <c r="H127" i="86"/>
  <c r="I127" i="86"/>
  <c r="H128" i="86"/>
  <c r="I128" i="86"/>
  <c r="H129" i="86"/>
  <c r="I129" i="86"/>
  <c r="H130" i="86"/>
  <c r="I130" i="86"/>
  <c r="H131" i="86"/>
  <c r="I131" i="86"/>
  <c r="H132" i="86"/>
  <c r="I132" i="86"/>
  <c r="H133" i="86"/>
  <c r="I133" i="86"/>
  <c r="H134" i="86"/>
  <c r="I134" i="86"/>
  <c r="O84" i="87"/>
  <c r="K83" i="87"/>
  <c r="A44" i="87"/>
  <c r="M21" i="9"/>
  <c r="N21" i="9"/>
  <c r="M22" i="9"/>
  <c r="N22" i="9"/>
  <c r="M23" i="9"/>
  <c r="N23" i="9"/>
  <c r="M24" i="9"/>
  <c r="N24" i="9"/>
  <c r="M25" i="9"/>
  <c r="N25" i="9"/>
  <c r="M26" i="9"/>
  <c r="N26" i="9"/>
  <c r="M27" i="9"/>
  <c r="N27" i="9"/>
  <c r="O27" i="9"/>
  <c r="M28" i="9"/>
  <c r="N28" i="9"/>
  <c r="O28" i="9"/>
  <c r="M21" i="87"/>
  <c r="M84" i="87" s="1"/>
  <c r="N21" i="87"/>
  <c r="N84" i="87" s="1"/>
  <c r="M22" i="87"/>
  <c r="M36" i="87" s="1"/>
  <c r="N22" i="87"/>
  <c r="M23" i="87"/>
  <c r="M37" i="87" s="1"/>
  <c r="N23" i="87"/>
  <c r="N37" i="87" s="1"/>
  <c r="M24" i="87"/>
  <c r="N24" i="87"/>
  <c r="M25" i="87"/>
  <c r="N25" i="87"/>
  <c r="M26" i="87"/>
  <c r="N26" i="87"/>
  <c r="M27" i="87"/>
  <c r="N27" i="87"/>
  <c r="N41" i="87" s="1"/>
  <c r="O27" i="87"/>
  <c r="M28" i="87"/>
  <c r="N28" i="87"/>
  <c r="N42" i="87" s="1"/>
  <c r="O28" i="87"/>
  <c r="O42" i="87" s="1"/>
  <c r="O30" i="87"/>
  <c r="N30" i="87"/>
  <c r="M30" i="87"/>
  <c r="O29" i="87"/>
  <c r="N29" i="87"/>
  <c r="M29" i="87"/>
  <c r="A14" i="87"/>
  <c r="A13" i="87"/>
  <c r="A31" i="87" s="1"/>
  <c r="L12" i="87"/>
  <c r="L30" i="87" s="1"/>
  <c r="K12" i="87"/>
  <c r="K30" i="87" s="1"/>
  <c r="A12" i="87"/>
  <c r="L11" i="87"/>
  <c r="L29" i="87" s="1"/>
  <c r="K11" i="87"/>
  <c r="K29" i="87" s="1"/>
  <c r="A11" i="87"/>
  <c r="A29" i="87" s="1"/>
  <c r="A43" i="87" s="1"/>
  <c r="L10" i="87"/>
  <c r="L28" i="87" s="1"/>
  <c r="K10" i="87"/>
  <c r="A10" i="87"/>
  <c r="A28" i="87" s="1"/>
  <c r="A42" i="87" s="1"/>
  <c r="L9" i="87"/>
  <c r="L27" i="87" s="1"/>
  <c r="K9" i="87"/>
  <c r="K27" i="87" s="1"/>
  <c r="A9" i="87"/>
  <c r="A27" i="87" s="1"/>
  <c r="A41" i="87" s="1"/>
  <c r="L8" i="87"/>
  <c r="L26" i="87" s="1"/>
  <c r="K8" i="87"/>
  <c r="A8" i="87"/>
  <c r="A26" i="87" s="1"/>
  <c r="A40" i="87" s="1"/>
  <c r="L7" i="87"/>
  <c r="K7" i="87"/>
  <c r="K25" i="87" s="1"/>
  <c r="A7" i="87"/>
  <c r="A25" i="87" s="1"/>
  <c r="A39" i="87" s="1"/>
  <c r="L6" i="87"/>
  <c r="L24" i="87" s="1"/>
  <c r="K6" i="87"/>
  <c r="A6" i="87"/>
  <c r="A24" i="87" s="1"/>
  <c r="A38" i="87" s="1"/>
  <c r="L5" i="87"/>
  <c r="L23" i="87" s="1"/>
  <c r="K5" i="87"/>
  <c r="K23" i="87" s="1"/>
  <c r="A5" i="87"/>
  <c r="A23" i="87" s="1"/>
  <c r="A37" i="87" s="1"/>
  <c r="L4" i="87"/>
  <c r="L22" i="87" s="1"/>
  <c r="K4" i="87"/>
  <c r="I4" i="87" s="1"/>
  <c r="A4" i="87"/>
  <c r="A22" i="87" s="1"/>
  <c r="A36" i="87" s="1"/>
  <c r="L3" i="87"/>
  <c r="L21" i="87" s="1"/>
  <c r="L84" i="87" s="1"/>
  <c r="K3" i="87"/>
  <c r="A3" i="87"/>
  <c r="A21" i="87" s="1"/>
  <c r="U196" i="86"/>
  <c r="L196" i="86"/>
  <c r="C196" i="86"/>
  <c r="B196" i="86"/>
  <c r="U195" i="86"/>
  <c r="L195" i="86"/>
  <c r="C195" i="86"/>
  <c r="B195" i="86"/>
  <c r="U194" i="86"/>
  <c r="L194" i="86"/>
  <c r="C194" i="86"/>
  <c r="B194" i="86"/>
  <c r="U193" i="86"/>
  <c r="L193" i="86"/>
  <c r="C193" i="86"/>
  <c r="B193" i="86"/>
  <c r="U192" i="86"/>
  <c r="L192" i="86"/>
  <c r="C192" i="86"/>
  <c r="B192" i="86"/>
  <c r="U191" i="86"/>
  <c r="L191" i="86"/>
  <c r="C191" i="86"/>
  <c r="B191" i="86"/>
  <c r="U190" i="86"/>
  <c r="L190" i="86"/>
  <c r="C190" i="86"/>
  <c r="B190" i="86"/>
  <c r="U189" i="86"/>
  <c r="L189" i="86"/>
  <c r="C189" i="86"/>
  <c r="B189" i="86"/>
  <c r="U188" i="86"/>
  <c r="L188" i="86"/>
  <c r="C188" i="86"/>
  <c r="B188" i="86"/>
  <c r="U187" i="86"/>
  <c r="L187" i="86"/>
  <c r="C187" i="86"/>
  <c r="B187" i="86"/>
  <c r="U186" i="86"/>
  <c r="L186" i="86"/>
  <c r="C186" i="86"/>
  <c r="B186" i="86"/>
  <c r="U185" i="86"/>
  <c r="L185" i="86"/>
  <c r="C185" i="86"/>
  <c r="B185" i="86"/>
  <c r="U184" i="86"/>
  <c r="C158" i="86"/>
  <c r="B158" i="86"/>
  <c r="C157" i="86"/>
  <c r="B157" i="86"/>
  <c r="C156" i="86"/>
  <c r="B156" i="86"/>
  <c r="C155" i="86"/>
  <c r="B155" i="86"/>
  <c r="C154" i="86"/>
  <c r="B154" i="86"/>
  <c r="C153" i="86"/>
  <c r="B153" i="86"/>
  <c r="C152" i="86"/>
  <c r="B152" i="86"/>
  <c r="C151" i="86"/>
  <c r="B151" i="86"/>
  <c r="C150" i="86"/>
  <c r="B150" i="86"/>
  <c r="C149" i="86"/>
  <c r="B149" i="86"/>
  <c r="C148" i="86"/>
  <c r="B148" i="86"/>
  <c r="C147" i="86"/>
  <c r="B147" i="86"/>
  <c r="C146" i="86"/>
  <c r="B146" i="86"/>
  <c r="C145" i="86"/>
  <c r="B145" i="86"/>
  <c r="C144" i="86"/>
  <c r="B144" i="86"/>
  <c r="C143" i="86"/>
  <c r="B143" i="86"/>
  <c r="C142" i="86"/>
  <c r="B142" i="86"/>
  <c r="C141" i="86"/>
  <c r="B141" i="86"/>
  <c r="C140" i="86"/>
  <c r="B140" i="86"/>
  <c r="C139" i="86"/>
  <c r="B139" i="86"/>
  <c r="C138" i="86"/>
  <c r="B138" i="86"/>
  <c r="C137" i="86"/>
  <c r="B137" i="86"/>
  <c r="C136" i="86"/>
  <c r="B136" i="86"/>
  <c r="C135" i="86"/>
  <c r="B135" i="86"/>
  <c r="D134" i="86"/>
  <c r="C134" i="86"/>
  <c r="B134" i="86"/>
  <c r="D133" i="86"/>
  <c r="C133" i="86"/>
  <c r="B133" i="86"/>
  <c r="D132" i="86"/>
  <c r="C132" i="86"/>
  <c r="B132" i="86"/>
  <c r="D131" i="86"/>
  <c r="C131" i="86"/>
  <c r="B131" i="86"/>
  <c r="D130" i="86"/>
  <c r="C130" i="86"/>
  <c r="B130" i="86"/>
  <c r="D129" i="86"/>
  <c r="C129" i="86"/>
  <c r="B129" i="86"/>
  <c r="D128" i="86"/>
  <c r="C128" i="86"/>
  <c r="B128" i="86"/>
  <c r="D127" i="86"/>
  <c r="C127" i="86"/>
  <c r="B127" i="86"/>
  <c r="D126" i="86"/>
  <c r="C126" i="86"/>
  <c r="B126" i="86"/>
  <c r="D125" i="86"/>
  <c r="C125" i="86"/>
  <c r="B125" i="86"/>
  <c r="D124" i="86"/>
  <c r="C124" i="86"/>
  <c r="B124" i="86"/>
  <c r="D123" i="86"/>
  <c r="C123" i="86"/>
  <c r="B123" i="86"/>
  <c r="D122" i="86"/>
  <c r="C122" i="86"/>
  <c r="B122" i="86"/>
  <c r="D121" i="86"/>
  <c r="C121" i="86"/>
  <c r="B121" i="86"/>
  <c r="D120" i="86"/>
  <c r="C120" i="86"/>
  <c r="B120" i="86"/>
  <c r="D119" i="86"/>
  <c r="C119" i="86"/>
  <c r="B119" i="86"/>
  <c r="D118" i="86"/>
  <c r="C118" i="86"/>
  <c r="B118" i="86"/>
  <c r="D117" i="86"/>
  <c r="C117" i="86"/>
  <c r="B117" i="86"/>
  <c r="D116" i="86"/>
  <c r="C116" i="86"/>
  <c r="B116" i="86"/>
  <c r="D115" i="86"/>
  <c r="C115" i="86"/>
  <c r="B115" i="86"/>
  <c r="D114" i="86"/>
  <c r="C114" i="86"/>
  <c r="B114" i="86"/>
  <c r="D113" i="86"/>
  <c r="C113" i="86"/>
  <c r="B113" i="86"/>
  <c r="D112" i="86"/>
  <c r="C112" i="86"/>
  <c r="B112" i="86"/>
  <c r="D111" i="86"/>
  <c r="C111" i="86"/>
  <c r="B111" i="86"/>
  <c r="D110" i="86"/>
  <c r="C110" i="86"/>
  <c r="B110" i="86"/>
  <c r="D109" i="86"/>
  <c r="C109" i="86"/>
  <c r="B109" i="86"/>
  <c r="D108" i="86"/>
  <c r="C108" i="86"/>
  <c r="B108" i="86"/>
  <c r="D107" i="86"/>
  <c r="C107" i="86"/>
  <c r="B107" i="86"/>
  <c r="D106" i="86"/>
  <c r="C106" i="86"/>
  <c r="B106" i="86"/>
  <c r="D105" i="86"/>
  <c r="C105" i="86"/>
  <c r="B105" i="86"/>
  <c r="D104" i="86"/>
  <c r="C104" i="86"/>
  <c r="B104" i="86"/>
  <c r="D103" i="86"/>
  <c r="C103" i="86"/>
  <c r="B103" i="86"/>
  <c r="D102" i="86"/>
  <c r="C102" i="86"/>
  <c r="B102" i="86"/>
  <c r="D101" i="86"/>
  <c r="C101" i="86"/>
  <c r="B101" i="86"/>
  <c r="D100" i="86"/>
  <c r="C100" i="86"/>
  <c r="B100" i="86"/>
  <c r="D99" i="86"/>
  <c r="C99" i="86"/>
  <c r="B99" i="86"/>
  <c r="D98" i="86"/>
  <c r="C98" i="86"/>
  <c r="B98" i="86"/>
  <c r="D97" i="86"/>
  <c r="C97" i="86"/>
  <c r="B97" i="86"/>
  <c r="D96" i="86"/>
  <c r="C96" i="86"/>
  <c r="B96" i="86"/>
  <c r="D95" i="86"/>
  <c r="C95" i="86"/>
  <c r="B95" i="86"/>
  <c r="D94" i="86"/>
  <c r="C94" i="86"/>
  <c r="B94" i="86"/>
  <c r="D93" i="86"/>
  <c r="C93" i="86"/>
  <c r="B93" i="86"/>
  <c r="D92" i="86"/>
  <c r="C92" i="86"/>
  <c r="B92" i="86"/>
  <c r="D91" i="86"/>
  <c r="C91" i="86"/>
  <c r="B91" i="86"/>
  <c r="D90" i="86"/>
  <c r="C90" i="86"/>
  <c r="B90" i="86"/>
  <c r="D89" i="86"/>
  <c r="C89" i="86"/>
  <c r="B89" i="86"/>
  <c r="D88" i="86"/>
  <c r="C88" i="86"/>
  <c r="B88" i="86"/>
  <c r="D87" i="86"/>
  <c r="C87" i="86"/>
  <c r="B87" i="86"/>
  <c r="D86" i="86"/>
  <c r="C86" i="86"/>
  <c r="B86" i="86"/>
  <c r="D85" i="86"/>
  <c r="C85" i="86"/>
  <c r="B85" i="86"/>
  <c r="D84" i="86"/>
  <c r="C84" i="86"/>
  <c r="B84" i="86"/>
  <c r="D83" i="86"/>
  <c r="C83" i="86"/>
  <c r="B83" i="86"/>
  <c r="D82" i="86"/>
  <c r="C82" i="86"/>
  <c r="B82" i="86"/>
  <c r="D81" i="86"/>
  <c r="C81" i="86"/>
  <c r="B81" i="86"/>
  <c r="D80" i="86"/>
  <c r="C80" i="86"/>
  <c r="B80" i="86"/>
  <c r="D79" i="86"/>
  <c r="C79" i="86"/>
  <c r="B79" i="86"/>
  <c r="D78" i="86"/>
  <c r="C78" i="86"/>
  <c r="B78" i="86"/>
  <c r="D77" i="86"/>
  <c r="C77" i="86"/>
  <c r="B77" i="86"/>
  <c r="D76" i="86"/>
  <c r="C76" i="86"/>
  <c r="B76" i="86"/>
  <c r="D75" i="86"/>
  <c r="C75" i="86"/>
  <c r="B75" i="86"/>
  <c r="D74" i="86"/>
  <c r="C74" i="86"/>
  <c r="B74" i="86"/>
  <c r="D73" i="86"/>
  <c r="C73" i="86"/>
  <c r="B73" i="86"/>
  <c r="D72" i="86"/>
  <c r="C72" i="86"/>
  <c r="B72" i="86"/>
  <c r="D71" i="86"/>
  <c r="C71" i="86"/>
  <c r="B71" i="86"/>
  <c r="D70" i="86"/>
  <c r="C70" i="86"/>
  <c r="B70" i="86"/>
  <c r="D69" i="86"/>
  <c r="C69" i="86"/>
  <c r="B69" i="86"/>
  <c r="D68" i="86"/>
  <c r="C68" i="86"/>
  <c r="B68" i="86"/>
  <c r="D67" i="86"/>
  <c r="C67" i="86"/>
  <c r="B67" i="86"/>
  <c r="D66" i="86"/>
  <c r="C66" i="86"/>
  <c r="B66" i="86"/>
  <c r="D65" i="86"/>
  <c r="C65" i="86"/>
  <c r="B65" i="86"/>
  <c r="D64" i="86"/>
  <c r="C64" i="86"/>
  <c r="B64" i="86"/>
  <c r="D63" i="86"/>
  <c r="C63" i="86"/>
  <c r="B63" i="86"/>
  <c r="D62" i="86"/>
  <c r="C62" i="86"/>
  <c r="B62" i="86"/>
  <c r="D61" i="86"/>
  <c r="C61" i="86"/>
  <c r="B61" i="86"/>
  <c r="D60" i="86"/>
  <c r="C60" i="86"/>
  <c r="B60" i="86"/>
  <c r="D59" i="86"/>
  <c r="C59" i="86"/>
  <c r="B59" i="86"/>
  <c r="D58" i="86"/>
  <c r="C58" i="86"/>
  <c r="B58" i="86"/>
  <c r="D57" i="86"/>
  <c r="C57" i="86"/>
  <c r="B57" i="86"/>
  <c r="D56" i="86"/>
  <c r="C56" i="86"/>
  <c r="B56" i="86"/>
  <c r="D55" i="86"/>
  <c r="C55" i="86"/>
  <c r="B55" i="86"/>
  <c r="D54" i="86"/>
  <c r="C54" i="86"/>
  <c r="B54" i="86"/>
  <c r="D53" i="86"/>
  <c r="C53" i="86"/>
  <c r="B53" i="86"/>
  <c r="D52" i="86"/>
  <c r="C52" i="86"/>
  <c r="B52" i="86"/>
  <c r="D51" i="86"/>
  <c r="C51" i="86"/>
  <c r="B51" i="86"/>
  <c r="D50" i="86"/>
  <c r="C50" i="86"/>
  <c r="B50" i="86"/>
  <c r="D49" i="86"/>
  <c r="C49" i="86"/>
  <c r="B49" i="86"/>
  <c r="D48" i="86"/>
  <c r="C48" i="86"/>
  <c r="B48" i="86"/>
  <c r="D47" i="86"/>
  <c r="C47" i="86"/>
  <c r="B47" i="86"/>
  <c r="D46" i="86"/>
  <c r="C46" i="86"/>
  <c r="B46" i="86"/>
  <c r="D45" i="86"/>
  <c r="C45" i="86"/>
  <c r="B45" i="86"/>
  <c r="D44" i="86"/>
  <c r="C44" i="86"/>
  <c r="B44" i="86"/>
  <c r="D43" i="86"/>
  <c r="C43" i="86"/>
  <c r="B43" i="86"/>
  <c r="D42" i="86"/>
  <c r="C42" i="86"/>
  <c r="B42" i="86"/>
  <c r="D41" i="86"/>
  <c r="C41" i="86"/>
  <c r="B41" i="86"/>
  <c r="D40" i="86"/>
  <c r="C40" i="86"/>
  <c r="B40" i="86"/>
  <c r="D39" i="86"/>
  <c r="C39" i="86"/>
  <c r="B39" i="86"/>
  <c r="D38" i="86"/>
  <c r="C38" i="86"/>
  <c r="B38" i="86"/>
  <c r="D37" i="86"/>
  <c r="C37" i="86"/>
  <c r="B37" i="86"/>
  <c r="D36" i="86"/>
  <c r="C36" i="86"/>
  <c r="B36" i="86"/>
  <c r="D35" i="86"/>
  <c r="C35" i="86"/>
  <c r="B35" i="86"/>
  <c r="D34" i="86"/>
  <c r="C34" i="86"/>
  <c r="B34" i="86"/>
  <c r="D33" i="86"/>
  <c r="C33" i="86"/>
  <c r="B33" i="86"/>
  <c r="D32" i="86"/>
  <c r="C32" i="86"/>
  <c r="B32" i="86"/>
  <c r="D31" i="86"/>
  <c r="C31" i="86"/>
  <c r="B31" i="86"/>
  <c r="D30" i="86"/>
  <c r="C30" i="86"/>
  <c r="B30" i="86"/>
  <c r="D29" i="86"/>
  <c r="C29" i="86"/>
  <c r="B29" i="86"/>
  <c r="D28" i="86"/>
  <c r="C28" i="86"/>
  <c r="B28" i="86"/>
  <c r="D27" i="86"/>
  <c r="C27" i="86"/>
  <c r="B27" i="86"/>
  <c r="M26" i="86"/>
  <c r="M38" i="86" s="1"/>
  <c r="M50" i="86" s="1"/>
  <c r="M62" i="86" s="1"/>
  <c r="M74" i="86" s="1"/>
  <c r="D26" i="86"/>
  <c r="C26" i="86"/>
  <c r="B26" i="86"/>
  <c r="M25" i="86"/>
  <c r="M37" i="86" s="1"/>
  <c r="M49" i="86" s="1"/>
  <c r="M61" i="86" s="1"/>
  <c r="M73" i="86" s="1"/>
  <c r="M85" i="86" s="1"/>
  <c r="M97" i="86" s="1"/>
  <c r="M109" i="86" s="1"/>
  <c r="D25" i="86"/>
  <c r="C25" i="86"/>
  <c r="B25" i="86"/>
  <c r="M24" i="86"/>
  <c r="M36" i="86" s="1"/>
  <c r="M48" i="86" s="1"/>
  <c r="M60" i="86" s="1"/>
  <c r="M72" i="86" s="1"/>
  <c r="M84" i="86" s="1"/>
  <c r="M96" i="86" s="1"/>
  <c r="M108" i="86" s="1"/>
  <c r="M120" i="86" s="1"/>
  <c r="M132" i="86" s="1"/>
  <c r="D24" i="86"/>
  <c r="C24" i="86"/>
  <c r="B24" i="86"/>
  <c r="M23" i="86"/>
  <c r="M35" i="86" s="1"/>
  <c r="M47" i="86" s="1"/>
  <c r="M59" i="86" s="1"/>
  <c r="M71" i="86" s="1"/>
  <c r="M83" i="86" s="1"/>
  <c r="M95" i="86" s="1"/>
  <c r="M107" i="86" s="1"/>
  <c r="M119" i="86" s="1"/>
  <c r="M131" i="86" s="1"/>
  <c r="M143" i="86" s="1"/>
  <c r="M155" i="86" s="1"/>
  <c r="M193" i="86" s="1"/>
  <c r="D23" i="86"/>
  <c r="C23" i="86"/>
  <c r="B23" i="86"/>
  <c r="M22" i="86"/>
  <c r="D22" i="86"/>
  <c r="C22" i="86"/>
  <c r="B22" i="86"/>
  <c r="M21" i="86"/>
  <c r="M33" i="86" s="1"/>
  <c r="M45" i="86" s="1"/>
  <c r="M57" i="86" s="1"/>
  <c r="M69" i="86" s="1"/>
  <c r="M81" i="86" s="1"/>
  <c r="M93" i="86" s="1"/>
  <c r="M105" i="86" s="1"/>
  <c r="D21" i="86"/>
  <c r="C21" i="86"/>
  <c r="B21" i="86"/>
  <c r="M20" i="86"/>
  <c r="M32" i="86" s="1"/>
  <c r="M44" i="86" s="1"/>
  <c r="M56" i="86" s="1"/>
  <c r="M68" i="86" s="1"/>
  <c r="M80" i="86" s="1"/>
  <c r="M92" i="86" s="1"/>
  <c r="M104" i="86" s="1"/>
  <c r="M116" i="86" s="1"/>
  <c r="M128" i="86" s="1"/>
  <c r="M140" i="86" s="1"/>
  <c r="M152" i="86" s="1"/>
  <c r="M190" i="86" s="1"/>
  <c r="D20" i="86"/>
  <c r="C20" i="86"/>
  <c r="B20" i="86"/>
  <c r="M19" i="86"/>
  <c r="M31" i="86" s="1"/>
  <c r="M43" i="86" s="1"/>
  <c r="M55" i="86" s="1"/>
  <c r="M67" i="86" s="1"/>
  <c r="M79" i="86" s="1"/>
  <c r="M91" i="86" s="1"/>
  <c r="M103" i="86" s="1"/>
  <c r="D19" i="86"/>
  <c r="C19" i="86"/>
  <c r="B19" i="86"/>
  <c r="M18" i="86"/>
  <c r="M30" i="86" s="1"/>
  <c r="M42" i="86" s="1"/>
  <c r="D18" i="86"/>
  <c r="C18" i="86"/>
  <c r="B18" i="86"/>
  <c r="M17" i="86"/>
  <c r="M29" i="86" s="1"/>
  <c r="M41" i="86" s="1"/>
  <c r="M53" i="86" s="1"/>
  <c r="M65" i="86" s="1"/>
  <c r="M77" i="86" s="1"/>
  <c r="M89" i="86" s="1"/>
  <c r="M101" i="86" s="1"/>
  <c r="M113" i="86" s="1"/>
  <c r="D17" i="86"/>
  <c r="C17" i="86"/>
  <c r="B17" i="86"/>
  <c r="M16" i="86"/>
  <c r="M28" i="86" s="1"/>
  <c r="M40" i="86" s="1"/>
  <c r="M52" i="86" s="1"/>
  <c r="M64" i="86" s="1"/>
  <c r="M76" i="86" s="1"/>
  <c r="M88" i="86" s="1"/>
  <c r="M100" i="86" s="1"/>
  <c r="M112" i="86" s="1"/>
  <c r="M124" i="86" s="1"/>
  <c r="M136" i="86" s="1"/>
  <c r="M148" i="86" s="1"/>
  <c r="M186" i="86" s="1"/>
  <c r="D16" i="86"/>
  <c r="C16" i="86"/>
  <c r="B16" i="86"/>
  <c r="M15" i="86"/>
  <c r="M27" i="86" s="1"/>
  <c r="M39" i="86" s="1"/>
  <c r="M51" i="86" s="1"/>
  <c r="M63" i="86" s="1"/>
  <c r="M75" i="86" s="1"/>
  <c r="M87" i="86" s="1"/>
  <c r="M99" i="86" s="1"/>
  <c r="M111" i="86" s="1"/>
  <c r="M123" i="86" s="1"/>
  <c r="M135" i="86" s="1"/>
  <c r="M147" i="86" s="1"/>
  <c r="M185" i="86" s="1"/>
  <c r="D15" i="86"/>
  <c r="C15" i="86"/>
  <c r="B15" i="86"/>
  <c r="D14" i="86"/>
  <c r="G14" i="86" s="1"/>
  <c r="C14" i="86"/>
  <c r="B14" i="86"/>
  <c r="D13" i="86"/>
  <c r="G13" i="86" s="1"/>
  <c r="C13" i="86"/>
  <c r="B13" i="86"/>
  <c r="D12" i="86"/>
  <c r="G12" i="86" s="1"/>
  <c r="C12" i="86"/>
  <c r="B12" i="86"/>
  <c r="D11" i="86"/>
  <c r="G11" i="86" s="1"/>
  <c r="C11" i="86"/>
  <c r="B11" i="86"/>
  <c r="D10" i="86"/>
  <c r="G10" i="86" s="1"/>
  <c r="C10" i="86"/>
  <c r="B10" i="86"/>
  <c r="D9" i="86"/>
  <c r="G9" i="86" s="1"/>
  <c r="C9" i="86"/>
  <c r="B9" i="86"/>
  <c r="D8" i="86"/>
  <c r="G8" i="86" s="1"/>
  <c r="C8" i="86"/>
  <c r="B8" i="86"/>
  <c r="G7" i="86"/>
  <c r="D7" i="86"/>
  <c r="C7" i="86"/>
  <c r="B7" i="86"/>
  <c r="D6" i="86"/>
  <c r="G6" i="86" s="1"/>
  <c r="C6" i="86"/>
  <c r="B6" i="86"/>
  <c r="D5" i="86"/>
  <c r="G5" i="86" s="1"/>
  <c r="C5" i="86"/>
  <c r="B5" i="86"/>
  <c r="D4" i="86"/>
  <c r="G4" i="86" s="1"/>
  <c r="C4" i="86"/>
  <c r="B4" i="86"/>
  <c r="D3" i="86"/>
  <c r="G3" i="86" s="1"/>
  <c r="C3" i="86"/>
  <c r="B3" i="86"/>
  <c r="O2" i="86"/>
  <c r="O3" i="93" l="1"/>
  <c r="P3" i="93" s="1"/>
  <c r="Q3" i="93" s="1"/>
  <c r="R3" i="93" s="1"/>
  <c r="M42" i="87"/>
  <c r="N38" i="87"/>
  <c r="M40" i="87"/>
  <c r="M38" i="87"/>
  <c r="N31" i="87"/>
  <c r="N32" i="87" s="1"/>
  <c r="N40" i="87"/>
  <c r="M39" i="87"/>
  <c r="N36" i="87"/>
  <c r="O31" i="87"/>
  <c r="O32" i="87" s="1"/>
  <c r="M31" i="87"/>
  <c r="M32" i="87" s="1"/>
  <c r="N39" i="87"/>
  <c r="L38" i="87"/>
  <c r="L42" i="87"/>
  <c r="O44" i="87"/>
  <c r="L37" i="87"/>
  <c r="L41" i="87"/>
  <c r="M41" i="87"/>
  <c r="L36" i="87"/>
  <c r="O43" i="87"/>
  <c r="O48" i="87" s="1"/>
  <c r="I10" i="87"/>
  <c r="L43" i="87"/>
  <c r="I5" i="87"/>
  <c r="I6" i="87"/>
  <c r="I7" i="87"/>
  <c r="N44" i="87"/>
  <c r="N43" i="87"/>
  <c r="I9" i="87"/>
  <c r="M44" i="87"/>
  <c r="M43" i="87"/>
  <c r="I3" i="87"/>
  <c r="I8" i="87"/>
  <c r="K21" i="87"/>
  <c r="K28" i="87"/>
  <c r="K26" i="87"/>
  <c r="K24" i="87"/>
  <c r="K22" i="87"/>
  <c r="L25" i="87"/>
  <c r="M115" i="86"/>
  <c r="M127" i="86" s="1"/>
  <c r="M139" i="86" s="1"/>
  <c r="M151" i="86" s="1"/>
  <c r="M189" i="86" s="1"/>
  <c r="M144" i="86"/>
  <c r="M156" i="86" s="1"/>
  <c r="M194" i="86" s="1"/>
  <c r="M86" i="86"/>
  <c r="M125" i="86"/>
  <c r="M117" i="86"/>
  <c r="M121" i="86"/>
  <c r="M54" i="86"/>
  <c r="M34" i="86"/>
  <c r="E174" i="86"/>
  <c r="V174" i="86" s="1"/>
  <c r="D174" i="86"/>
  <c r="E173" i="86"/>
  <c r="V173" i="86" s="1"/>
  <c r="D172" i="86"/>
  <c r="E169" i="86"/>
  <c r="V169" i="86" s="1"/>
  <c r="D168" i="86"/>
  <c r="D165" i="86"/>
  <c r="D173" i="86"/>
  <c r="E170" i="86"/>
  <c r="V170" i="86" s="1"/>
  <c r="D169" i="86"/>
  <c r="E166" i="86"/>
  <c r="V166" i="86" s="1"/>
  <c r="E171" i="86"/>
  <c r="V171" i="86" s="1"/>
  <c r="D170" i="86"/>
  <c r="E167" i="86"/>
  <c r="V167" i="86" s="1"/>
  <c r="D166" i="86"/>
  <c r="E168" i="86"/>
  <c r="V168" i="86" s="1"/>
  <c r="D167" i="86"/>
  <c r="E172" i="86"/>
  <c r="V172" i="86" s="1"/>
  <c r="D171" i="86"/>
  <c r="E165" i="86"/>
  <c r="V165" i="86" s="1"/>
  <c r="I12" i="87"/>
  <c r="I11" i="87"/>
  <c r="K84" i="87" l="1"/>
  <c r="K38" i="87"/>
  <c r="L39" i="87"/>
  <c r="K36" i="87"/>
  <c r="K40" i="87"/>
  <c r="M48" i="87"/>
  <c r="N48" i="87"/>
  <c r="K41" i="87"/>
  <c r="L40" i="87"/>
  <c r="K37" i="87"/>
  <c r="K42" i="87"/>
  <c r="K43" i="87"/>
  <c r="K39" i="87"/>
  <c r="B9" i="87"/>
  <c r="B11" i="87"/>
  <c r="M66" i="86"/>
  <c r="M137" i="86"/>
  <c r="M149" i="86" s="1"/>
  <c r="M187" i="86" s="1"/>
  <c r="B4" i="87"/>
  <c r="B3" i="87"/>
  <c r="D178" i="86"/>
  <c r="M133" i="86"/>
  <c r="B8" i="87"/>
  <c r="B10" i="87"/>
  <c r="M98" i="86"/>
  <c r="B12" i="87"/>
  <c r="M129" i="86"/>
  <c r="B6" i="87"/>
  <c r="B5" i="87"/>
  <c r="B7" i="87"/>
  <c r="M46" i="86"/>
  <c r="L48" i="87" l="1"/>
  <c r="L31" i="87" s="1"/>
  <c r="K48" i="87"/>
  <c r="K31" i="87" s="1"/>
  <c r="C8" i="87"/>
  <c r="H8" i="87"/>
  <c r="M145" i="86"/>
  <c r="M157" i="86" s="1"/>
  <c r="M195" i="86" s="1"/>
  <c r="H11" i="87"/>
  <c r="C11" i="87"/>
  <c r="M141" i="86"/>
  <c r="M153" i="86" s="1"/>
  <c r="M191" i="86" s="1"/>
  <c r="M58" i="86"/>
  <c r="H7" i="87"/>
  <c r="C7" i="87"/>
  <c r="H5" i="87"/>
  <c r="C5" i="87"/>
  <c r="H3" i="87"/>
  <c r="C3" i="87"/>
  <c r="M78" i="86"/>
  <c r="H6" i="87"/>
  <c r="C6" i="87"/>
  <c r="M110" i="86"/>
  <c r="C4" i="87"/>
  <c r="H4" i="87"/>
  <c r="C12" i="87"/>
  <c r="H12" i="87"/>
  <c r="H10" i="87"/>
  <c r="C10" i="87"/>
  <c r="H9" i="87"/>
  <c r="C9" i="87"/>
  <c r="K32" i="87" l="1"/>
  <c r="L32" i="87"/>
  <c r="M90" i="86"/>
  <c r="M122" i="86"/>
  <c r="M70" i="86"/>
  <c r="M134" i="86" l="1"/>
  <c r="M82" i="86"/>
  <c r="M102" i="86"/>
  <c r="M114" i="86" l="1"/>
  <c r="M94" i="86"/>
  <c r="M146" i="86"/>
  <c r="M158" i="86" s="1"/>
  <c r="M196" i="86" s="1"/>
  <c r="M106" i="86" l="1"/>
  <c r="M126" i="86"/>
  <c r="M138" i="86" l="1"/>
  <c r="M150" i="86" s="1"/>
  <c r="M188" i="86" s="1"/>
  <c r="M118" i="86"/>
  <c r="M130" i="86" l="1"/>
  <c r="M142" i="86" l="1"/>
  <c r="M154" i="86" s="1"/>
  <c r="M192" i="86" s="1"/>
  <c r="L8" i="83" l="1"/>
  <c r="Y2" i="83"/>
  <c r="U2" i="84"/>
  <c r="L15" i="71"/>
  <c r="M15" i="71"/>
  <c r="N15" i="71"/>
  <c r="N27" i="71" s="1"/>
  <c r="N39" i="71" s="1"/>
  <c r="N51" i="71" s="1"/>
  <c r="N63" i="71" s="1"/>
  <c r="N75" i="71" s="1"/>
  <c r="N87" i="71" s="1"/>
  <c r="O15" i="71"/>
  <c r="O27" i="71" s="1"/>
  <c r="O39" i="71" s="1"/>
  <c r="O51" i="71" s="1"/>
  <c r="O63" i="71" s="1"/>
  <c r="O75" i="71" s="1"/>
  <c r="O87" i="71" s="1"/>
  <c r="P15" i="71"/>
  <c r="Q15" i="71"/>
  <c r="Q27" i="71" s="1"/>
  <c r="Q39" i="71" s="1"/>
  <c r="R15" i="71"/>
  <c r="R27" i="71" s="1"/>
  <c r="R39" i="71" s="1"/>
  <c r="S15" i="71"/>
  <c r="S27" i="71" s="1"/>
  <c r="S39" i="71" s="1"/>
  <c r="S51" i="71" s="1"/>
  <c r="S63" i="71" s="1"/>
  <c r="S75" i="71" s="1"/>
  <c r="S87" i="71" s="1"/>
  <c r="T15" i="71"/>
  <c r="U15" i="71"/>
  <c r="U27" i="71" s="1"/>
  <c r="U39" i="71" s="1"/>
  <c r="U51" i="71" s="1"/>
  <c r="V15" i="71"/>
  <c r="V27" i="71" s="1"/>
  <c r="V39" i="71" s="1"/>
  <c r="W15" i="71"/>
  <c r="W27" i="71" s="1"/>
  <c r="W39" i="71" s="1"/>
  <c r="W51" i="71" s="1"/>
  <c r="W63" i="71" s="1"/>
  <c r="W75" i="71" s="1"/>
  <c r="W87" i="71" s="1"/>
  <c r="L16" i="71"/>
  <c r="M16" i="71"/>
  <c r="N16" i="71"/>
  <c r="O16" i="71"/>
  <c r="O28" i="71" s="1"/>
  <c r="O40" i="71" s="1"/>
  <c r="O52" i="71" s="1"/>
  <c r="O64" i="71" s="1"/>
  <c r="O76" i="71" s="1"/>
  <c r="P16" i="71"/>
  <c r="Q16" i="71"/>
  <c r="Q28" i="71" s="1"/>
  <c r="Q40" i="71" s="1"/>
  <c r="Q52" i="71" s="1"/>
  <c r="Q64" i="71" s="1"/>
  <c r="Q76" i="71" s="1"/>
  <c r="Q2" i="84" s="1"/>
  <c r="R16" i="71"/>
  <c r="R28" i="71" s="1"/>
  <c r="R40" i="71" s="1"/>
  <c r="S16" i="71"/>
  <c r="S28" i="71" s="1"/>
  <c r="S40" i="71" s="1"/>
  <c r="S52" i="71" s="1"/>
  <c r="S64" i="71" s="1"/>
  <c r="S76" i="71" s="1"/>
  <c r="S88" i="71" s="1"/>
  <c r="T16" i="71"/>
  <c r="U16" i="71"/>
  <c r="U28" i="71" s="1"/>
  <c r="U40" i="71" s="1"/>
  <c r="U52" i="71" s="1"/>
  <c r="V16" i="71"/>
  <c r="V28" i="71" s="1"/>
  <c r="W16" i="71"/>
  <c r="W28" i="71" s="1"/>
  <c r="W40" i="71" s="1"/>
  <c r="W52" i="71" s="1"/>
  <c r="W64" i="71" s="1"/>
  <c r="W76" i="71" s="1"/>
  <c r="W88" i="71" s="1"/>
  <c r="L17" i="71"/>
  <c r="M17" i="71"/>
  <c r="M29" i="71" s="1"/>
  <c r="M41" i="71" s="1"/>
  <c r="M53" i="71" s="1"/>
  <c r="M65" i="71" s="1"/>
  <c r="M77" i="71" s="1"/>
  <c r="N17" i="71"/>
  <c r="N29" i="71" s="1"/>
  <c r="N41" i="71" s="1"/>
  <c r="N53" i="71" s="1"/>
  <c r="O17" i="71"/>
  <c r="O29" i="71" s="1"/>
  <c r="O41" i="71" s="1"/>
  <c r="O53" i="71" s="1"/>
  <c r="O65" i="71" s="1"/>
  <c r="O77" i="71" s="1"/>
  <c r="P17" i="71"/>
  <c r="Q17" i="71"/>
  <c r="R17" i="71"/>
  <c r="S17" i="71"/>
  <c r="S29" i="71" s="1"/>
  <c r="S41" i="71" s="1"/>
  <c r="S53" i="71" s="1"/>
  <c r="S65" i="71" s="1"/>
  <c r="S77" i="71" s="1"/>
  <c r="T17" i="71"/>
  <c r="U17" i="71"/>
  <c r="U29" i="71" s="1"/>
  <c r="U41" i="71" s="1"/>
  <c r="U53" i="71" s="1"/>
  <c r="U65" i="71" s="1"/>
  <c r="U77" i="71" s="1"/>
  <c r="V17" i="71"/>
  <c r="V29" i="71" s="1"/>
  <c r="V41" i="71" s="1"/>
  <c r="W17" i="71"/>
  <c r="W29" i="71" s="1"/>
  <c r="W41" i="71" s="1"/>
  <c r="W53" i="71" s="1"/>
  <c r="W65" i="71" s="1"/>
  <c r="W77" i="71" s="1"/>
  <c r="L18" i="71"/>
  <c r="M18" i="71"/>
  <c r="M30" i="71" s="1"/>
  <c r="M42" i="71" s="1"/>
  <c r="M54" i="71" s="1"/>
  <c r="N18" i="71"/>
  <c r="N30" i="71" s="1"/>
  <c r="O18" i="71"/>
  <c r="O30" i="71" s="1"/>
  <c r="O42" i="71" s="1"/>
  <c r="O54" i="71" s="1"/>
  <c r="O66" i="71" s="1"/>
  <c r="O78" i="71" s="1"/>
  <c r="P18" i="71"/>
  <c r="Q18" i="71"/>
  <c r="Q30" i="71" s="1"/>
  <c r="Q42" i="71" s="1"/>
  <c r="R18" i="71"/>
  <c r="R30" i="71" s="1"/>
  <c r="R42" i="71" s="1"/>
  <c r="R54" i="71" s="1"/>
  <c r="S18" i="71"/>
  <c r="S30" i="71" s="1"/>
  <c r="S42" i="71" s="1"/>
  <c r="S54" i="71" s="1"/>
  <c r="S66" i="71" s="1"/>
  <c r="S78" i="71" s="1"/>
  <c r="T18" i="71"/>
  <c r="U18" i="71"/>
  <c r="V18" i="71"/>
  <c r="W18" i="71"/>
  <c r="W30" i="71" s="1"/>
  <c r="W42" i="71" s="1"/>
  <c r="W54" i="71" s="1"/>
  <c r="W66" i="71" s="1"/>
  <c r="W78" i="71" s="1"/>
  <c r="L19" i="71"/>
  <c r="M19" i="71"/>
  <c r="M31" i="71" s="1"/>
  <c r="M43" i="71" s="1"/>
  <c r="M55" i="71" s="1"/>
  <c r="M67" i="71" s="1"/>
  <c r="M79" i="71" s="1"/>
  <c r="N19" i="71"/>
  <c r="N31" i="71" s="1"/>
  <c r="N43" i="71" s="1"/>
  <c r="N55" i="71" s="1"/>
  <c r="O19" i="71"/>
  <c r="O31" i="71" s="1"/>
  <c r="O43" i="71" s="1"/>
  <c r="P19" i="71"/>
  <c r="Q19" i="71"/>
  <c r="Q31" i="71" s="1"/>
  <c r="Q43" i="71" s="1"/>
  <c r="Q55" i="71" s="1"/>
  <c r="Q67" i="71" s="1"/>
  <c r="Q79" i="71" s="1"/>
  <c r="R19" i="71"/>
  <c r="R31" i="71" s="1"/>
  <c r="R43" i="71" s="1"/>
  <c r="R55" i="71" s="1"/>
  <c r="S19" i="71"/>
  <c r="S31" i="71" s="1"/>
  <c r="S43" i="71" s="1"/>
  <c r="S55" i="71" s="1"/>
  <c r="S67" i="71" s="1"/>
  <c r="S79" i="71" s="1"/>
  <c r="T19" i="71"/>
  <c r="U19" i="71"/>
  <c r="U31" i="71" s="1"/>
  <c r="U43" i="71" s="1"/>
  <c r="U55" i="71" s="1"/>
  <c r="U67" i="71" s="1"/>
  <c r="U79" i="71" s="1"/>
  <c r="V19" i="71"/>
  <c r="V31" i="71" s="1"/>
  <c r="V43" i="71" s="1"/>
  <c r="V55" i="71" s="1"/>
  <c r="V67" i="71" s="1"/>
  <c r="V79" i="71" s="1"/>
  <c r="W19" i="71"/>
  <c r="W31" i="71" s="1"/>
  <c r="W43" i="71" s="1"/>
  <c r="W55" i="71" s="1"/>
  <c r="W67" i="71" s="1"/>
  <c r="W79" i="71" s="1"/>
  <c r="L20" i="71"/>
  <c r="M20" i="71"/>
  <c r="N20" i="71"/>
  <c r="N32" i="71" s="1"/>
  <c r="N44" i="71" s="1"/>
  <c r="N56" i="71" s="1"/>
  <c r="N68" i="71" s="1"/>
  <c r="N80" i="71" s="1"/>
  <c r="O20" i="71"/>
  <c r="O32" i="71" s="1"/>
  <c r="O44" i="71" s="1"/>
  <c r="O56" i="71" s="1"/>
  <c r="O68" i="71" s="1"/>
  <c r="O80" i="71" s="1"/>
  <c r="P20" i="71"/>
  <c r="Q20" i="71"/>
  <c r="Q32" i="71" s="1"/>
  <c r="Q44" i="71" s="1"/>
  <c r="Q56" i="71" s="1"/>
  <c r="Q68" i="71" s="1"/>
  <c r="Q80" i="71" s="1"/>
  <c r="R20" i="71"/>
  <c r="R32" i="71" s="1"/>
  <c r="R44" i="71" s="1"/>
  <c r="R56" i="71" s="1"/>
  <c r="S20" i="71"/>
  <c r="S32" i="71" s="1"/>
  <c r="S44" i="71" s="1"/>
  <c r="S56" i="71" s="1"/>
  <c r="S68" i="71" s="1"/>
  <c r="S80" i="71" s="1"/>
  <c r="T20" i="71"/>
  <c r="U20" i="71"/>
  <c r="U32" i="71" s="1"/>
  <c r="U44" i="71" s="1"/>
  <c r="U56" i="71" s="1"/>
  <c r="U68" i="71" s="1"/>
  <c r="U80" i="71" s="1"/>
  <c r="V20" i="71"/>
  <c r="V32" i="71" s="1"/>
  <c r="V44" i="71" s="1"/>
  <c r="V56" i="71" s="1"/>
  <c r="V68" i="71" s="1"/>
  <c r="V80" i="71" s="1"/>
  <c r="V6" i="84" s="1"/>
  <c r="W20" i="71"/>
  <c r="W32" i="71" s="1"/>
  <c r="W44" i="71" s="1"/>
  <c r="W56" i="71" s="1"/>
  <c r="W68" i="71" s="1"/>
  <c r="W80" i="71" s="1"/>
  <c r="L21" i="71"/>
  <c r="M21" i="71"/>
  <c r="M33" i="71" s="1"/>
  <c r="M45" i="71" s="1"/>
  <c r="M57" i="71" s="1"/>
  <c r="M69" i="71" s="1"/>
  <c r="M81" i="71" s="1"/>
  <c r="N21" i="71"/>
  <c r="N33" i="71" s="1"/>
  <c r="N45" i="71" s="1"/>
  <c r="N57" i="71" s="1"/>
  <c r="O21" i="71"/>
  <c r="O33" i="71" s="1"/>
  <c r="O45" i="71" s="1"/>
  <c r="O57" i="71" s="1"/>
  <c r="O69" i="71" s="1"/>
  <c r="O81" i="71" s="1"/>
  <c r="P21" i="71"/>
  <c r="Q21" i="71"/>
  <c r="R21" i="71"/>
  <c r="S21" i="71"/>
  <c r="S33" i="71" s="1"/>
  <c r="S45" i="71" s="1"/>
  <c r="S57" i="71" s="1"/>
  <c r="S69" i="71" s="1"/>
  <c r="S81" i="71" s="1"/>
  <c r="T21" i="71"/>
  <c r="U21" i="71"/>
  <c r="U33" i="71" s="1"/>
  <c r="U45" i="71" s="1"/>
  <c r="U57" i="71" s="1"/>
  <c r="V21" i="71"/>
  <c r="V33" i="71" s="1"/>
  <c r="V45" i="71" s="1"/>
  <c r="V57" i="71" s="1"/>
  <c r="V69" i="71" s="1"/>
  <c r="V81" i="71" s="1"/>
  <c r="W21" i="71"/>
  <c r="W33" i="71" s="1"/>
  <c r="W45" i="71" s="1"/>
  <c r="W57" i="71" s="1"/>
  <c r="W69" i="71" s="1"/>
  <c r="W81" i="71" s="1"/>
  <c r="L22" i="71"/>
  <c r="M22" i="71"/>
  <c r="M34" i="71" s="1"/>
  <c r="M46" i="71" s="1"/>
  <c r="M58" i="71" s="1"/>
  <c r="M70" i="71" s="1"/>
  <c r="M82" i="71" s="1"/>
  <c r="N22" i="71"/>
  <c r="N34" i="71" s="1"/>
  <c r="N46" i="71" s="1"/>
  <c r="N58" i="71" s="1"/>
  <c r="N70" i="71" s="1"/>
  <c r="N82" i="71" s="1"/>
  <c r="N8" i="84" s="1"/>
  <c r="O22" i="71"/>
  <c r="O34" i="71" s="1"/>
  <c r="O46" i="71" s="1"/>
  <c r="O58" i="71" s="1"/>
  <c r="O70" i="71" s="1"/>
  <c r="P22" i="71"/>
  <c r="Q22" i="71"/>
  <c r="Q34" i="71" s="1"/>
  <c r="Q46" i="71" s="1"/>
  <c r="R22" i="71"/>
  <c r="R34" i="71" s="1"/>
  <c r="S22" i="71"/>
  <c r="S34" i="71" s="1"/>
  <c r="S46" i="71" s="1"/>
  <c r="S58" i="71" s="1"/>
  <c r="S70" i="71" s="1"/>
  <c r="S82" i="71" s="1"/>
  <c r="T22" i="71"/>
  <c r="U22" i="71"/>
  <c r="V22" i="71"/>
  <c r="V34" i="71" s="1"/>
  <c r="V46" i="71" s="1"/>
  <c r="V58" i="71" s="1"/>
  <c r="V70" i="71" s="1"/>
  <c r="V82" i="71" s="1"/>
  <c r="W22" i="71"/>
  <c r="W34" i="71" s="1"/>
  <c r="W46" i="71" s="1"/>
  <c r="W58" i="71" s="1"/>
  <c r="W70" i="71" s="1"/>
  <c r="W82" i="71" s="1"/>
  <c r="L23" i="71"/>
  <c r="M23" i="71"/>
  <c r="M35" i="71" s="1"/>
  <c r="M47" i="71" s="1"/>
  <c r="M59" i="71" s="1"/>
  <c r="M71" i="71" s="1"/>
  <c r="M83" i="71" s="1"/>
  <c r="N23" i="71"/>
  <c r="N35" i="71" s="1"/>
  <c r="N47" i="71" s="1"/>
  <c r="N59" i="71" s="1"/>
  <c r="N71" i="71" s="1"/>
  <c r="N83" i="71" s="1"/>
  <c r="O23" i="71"/>
  <c r="O35" i="71" s="1"/>
  <c r="O47" i="71" s="1"/>
  <c r="O59" i="71" s="1"/>
  <c r="O71" i="71" s="1"/>
  <c r="O83" i="71" s="1"/>
  <c r="P23" i="71"/>
  <c r="Q23" i="71"/>
  <c r="Q35" i="71" s="1"/>
  <c r="Q47" i="71" s="1"/>
  <c r="Q59" i="71" s="1"/>
  <c r="R23" i="71"/>
  <c r="R35" i="71" s="1"/>
  <c r="R47" i="71" s="1"/>
  <c r="S23" i="71"/>
  <c r="S35" i="71" s="1"/>
  <c r="S47" i="71" s="1"/>
  <c r="S59" i="71" s="1"/>
  <c r="S71" i="71" s="1"/>
  <c r="S83" i="71" s="1"/>
  <c r="T23" i="71"/>
  <c r="U23" i="71"/>
  <c r="U35" i="71" s="1"/>
  <c r="U47" i="71" s="1"/>
  <c r="U59" i="71" s="1"/>
  <c r="V23" i="71"/>
  <c r="V35" i="71" s="1"/>
  <c r="V47" i="71" s="1"/>
  <c r="V59" i="71" s="1"/>
  <c r="V71" i="71" s="1"/>
  <c r="V83" i="71" s="1"/>
  <c r="W23" i="71"/>
  <c r="W35" i="71" s="1"/>
  <c r="W47" i="71" s="1"/>
  <c r="W59" i="71" s="1"/>
  <c r="W71" i="71" s="1"/>
  <c r="W83" i="71" s="1"/>
  <c r="L24" i="71"/>
  <c r="M24" i="71"/>
  <c r="N24" i="71"/>
  <c r="O24" i="71"/>
  <c r="O36" i="71" s="1"/>
  <c r="O48" i="71" s="1"/>
  <c r="O60" i="71" s="1"/>
  <c r="O72" i="71" s="1"/>
  <c r="O84" i="71" s="1"/>
  <c r="P24" i="71"/>
  <c r="Q24" i="71"/>
  <c r="Q36" i="71" s="1"/>
  <c r="Q48" i="71" s="1"/>
  <c r="Q60" i="71" s="1"/>
  <c r="Q72" i="71" s="1"/>
  <c r="Q84" i="71" s="1"/>
  <c r="R24" i="71"/>
  <c r="R36" i="71" s="1"/>
  <c r="R48" i="71" s="1"/>
  <c r="R60" i="71" s="1"/>
  <c r="R72" i="71" s="1"/>
  <c r="R84" i="71" s="1"/>
  <c r="S24" i="71"/>
  <c r="S36" i="71" s="1"/>
  <c r="S48" i="71" s="1"/>
  <c r="S60" i="71" s="1"/>
  <c r="S72" i="71" s="1"/>
  <c r="S84" i="71" s="1"/>
  <c r="T24" i="71"/>
  <c r="U24" i="71"/>
  <c r="U36" i="71" s="1"/>
  <c r="U48" i="71" s="1"/>
  <c r="U60" i="71" s="1"/>
  <c r="V24" i="71"/>
  <c r="V36" i="71" s="1"/>
  <c r="V48" i="71" s="1"/>
  <c r="V60" i="71" s="1"/>
  <c r="V72" i="71" s="1"/>
  <c r="W24" i="71"/>
  <c r="W36" i="71" s="1"/>
  <c r="W48" i="71" s="1"/>
  <c r="W60" i="71" s="1"/>
  <c r="W72" i="71" s="1"/>
  <c r="W84" i="71" s="1"/>
  <c r="L25" i="71"/>
  <c r="M25" i="71"/>
  <c r="M37" i="71" s="1"/>
  <c r="M49" i="71" s="1"/>
  <c r="M61" i="71" s="1"/>
  <c r="M73" i="71" s="1"/>
  <c r="M85" i="71" s="1"/>
  <c r="N25" i="71"/>
  <c r="N37" i="71" s="1"/>
  <c r="N49" i="71" s="1"/>
  <c r="N61" i="71" s="1"/>
  <c r="N73" i="71" s="1"/>
  <c r="N85" i="71" s="1"/>
  <c r="O25" i="71"/>
  <c r="O37" i="71" s="1"/>
  <c r="O49" i="71" s="1"/>
  <c r="O61" i="71" s="1"/>
  <c r="O73" i="71" s="1"/>
  <c r="O85" i="71" s="1"/>
  <c r="P25" i="71"/>
  <c r="Q25" i="71"/>
  <c r="R25" i="71"/>
  <c r="R37" i="71" s="1"/>
  <c r="R49" i="71" s="1"/>
  <c r="R61" i="71" s="1"/>
  <c r="R73" i="71" s="1"/>
  <c r="R85" i="71" s="1"/>
  <c r="S25" i="71"/>
  <c r="S37" i="71" s="1"/>
  <c r="S49" i="71" s="1"/>
  <c r="S61" i="71" s="1"/>
  <c r="S73" i="71" s="1"/>
  <c r="S85" i="71" s="1"/>
  <c r="T25" i="71"/>
  <c r="U25" i="71"/>
  <c r="U37" i="71" s="1"/>
  <c r="U49" i="71" s="1"/>
  <c r="U61" i="71" s="1"/>
  <c r="V25" i="71"/>
  <c r="V37" i="71" s="1"/>
  <c r="V49" i="71" s="1"/>
  <c r="V61" i="71" s="1"/>
  <c r="V73" i="71" s="1"/>
  <c r="V85" i="71" s="1"/>
  <c r="W25" i="71"/>
  <c r="W37" i="71" s="1"/>
  <c r="W49" i="71" s="1"/>
  <c r="W61" i="71" s="1"/>
  <c r="W73" i="71" s="1"/>
  <c r="W85" i="71" s="1"/>
  <c r="L27" i="71"/>
  <c r="M27" i="71"/>
  <c r="M39" i="71" s="1"/>
  <c r="M51" i="71" s="1"/>
  <c r="P27" i="71"/>
  <c r="P39" i="71" s="1"/>
  <c r="P51" i="71" s="1"/>
  <c r="T27" i="71"/>
  <c r="T39" i="71" s="1"/>
  <c r="T51" i="71" s="1"/>
  <c r="T63" i="71" s="1"/>
  <c r="T75" i="71" s="1"/>
  <c r="T87" i="71" s="1"/>
  <c r="L28" i="71"/>
  <c r="M28" i="71"/>
  <c r="M40" i="71" s="1"/>
  <c r="M52" i="71" s="1"/>
  <c r="M64" i="71" s="1"/>
  <c r="M76" i="71" s="1"/>
  <c r="M88" i="71" s="1"/>
  <c r="N28" i="71"/>
  <c r="N40" i="71" s="1"/>
  <c r="N52" i="71" s="1"/>
  <c r="N64" i="71" s="1"/>
  <c r="N76" i="71" s="1"/>
  <c r="P28" i="71"/>
  <c r="P40" i="71" s="1"/>
  <c r="P52" i="71" s="1"/>
  <c r="P64" i="71" s="1"/>
  <c r="P76" i="71" s="1"/>
  <c r="T28" i="71"/>
  <c r="T40" i="71" s="1"/>
  <c r="T52" i="71" s="1"/>
  <c r="T64" i="71" s="1"/>
  <c r="T76" i="71" s="1"/>
  <c r="L29" i="71"/>
  <c r="L41" i="71" s="1"/>
  <c r="L53" i="71" s="1"/>
  <c r="L65" i="71" s="1"/>
  <c r="L77" i="71" s="1"/>
  <c r="P29" i="71"/>
  <c r="Q29" i="71"/>
  <c r="Q41" i="71" s="1"/>
  <c r="Q53" i="71" s="1"/>
  <c r="Q65" i="71" s="1"/>
  <c r="Q77" i="71" s="1"/>
  <c r="R29" i="71"/>
  <c r="R41" i="71" s="1"/>
  <c r="R53" i="71" s="1"/>
  <c r="R65" i="71" s="1"/>
  <c r="R77" i="71" s="1"/>
  <c r="T29" i="71"/>
  <c r="T41" i="71" s="1"/>
  <c r="T53" i="71" s="1"/>
  <c r="T65" i="71" s="1"/>
  <c r="T77" i="71" s="1"/>
  <c r="T3" i="84" s="1"/>
  <c r="L30" i="71"/>
  <c r="P30" i="71"/>
  <c r="P42" i="71" s="1"/>
  <c r="P54" i="71" s="1"/>
  <c r="P66" i="71" s="1"/>
  <c r="P78" i="71" s="1"/>
  <c r="P4" i="84" s="1"/>
  <c r="Y5" i="83" s="1"/>
  <c r="T30" i="71"/>
  <c r="U30" i="71"/>
  <c r="U42" i="71" s="1"/>
  <c r="V30" i="71"/>
  <c r="V42" i="71" s="1"/>
  <c r="V54" i="71" s="1"/>
  <c r="V66" i="71" s="1"/>
  <c r="V78" i="71" s="1"/>
  <c r="L31" i="71"/>
  <c r="L43" i="71" s="1"/>
  <c r="L55" i="71" s="1"/>
  <c r="L67" i="71" s="1"/>
  <c r="L79" i="71" s="1"/>
  <c r="P31" i="71"/>
  <c r="P43" i="71" s="1"/>
  <c r="P55" i="71" s="1"/>
  <c r="P67" i="71" s="1"/>
  <c r="P79" i="71" s="1"/>
  <c r="T31" i="71"/>
  <c r="T43" i="71" s="1"/>
  <c r="T55" i="71" s="1"/>
  <c r="T67" i="71" s="1"/>
  <c r="T79" i="71" s="1"/>
  <c r="T5" i="84" s="1"/>
  <c r="L32" i="71"/>
  <c r="M32" i="71"/>
  <c r="M44" i="71" s="1"/>
  <c r="M56" i="71" s="1"/>
  <c r="M68" i="71" s="1"/>
  <c r="M80" i="71" s="1"/>
  <c r="P32" i="71"/>
  <c r="T32" i="71"/>
  <c r="T44" i="71" s="1"/>
  <c r="T56" i="71" s="1"/>
  <c r="T68" i="71" s="1"/>
  <c r="L33" i="71"/>
  <c r="L45" i="71" s="1"/>
  <c r="L57" i="71" s="1"/>
  <c r="L69" i="71" s="1"/>
  <c r="L81" i="71" s="1"/>
  <c r="L7" i="84" s="1"/>
  <c r="P33" i="71"/>
  <c r="Q33" i="71"/>
  <c r="Q45" i="71" s="1"/>
  <c r="Q57" i="71" s="1"/>
  <c r="Q69" i="71" s="1"/>
  <c r="Q81" i="71" s="1"/>
  <c r="R33" i="71"/>
  <c r="R45" i="71" s="1"/>
  <c r="R57" i="71" s="1"/>
  <c r="R69" i="71" s="1"/>
  <c r="R81" i="71" s="1"/>
  <c r="T33" i="71"/>
  <c r="T45" i="71" s="1"/>
  <c r="T57" i="71" s="1"/>
  <c r="T69" i="71" s="1"/>
  <c r="T81" i="71" s="1"/>
  <c r="L34" i="71"/>
  <c r="L46" i="71" s="1"/>
  <c r="L58" i="71" s="1"/>
  <c r="L70" i="71" s="1"/>
  <c r="L82" i="71" s="1"/>
  <c r="P34" i="71"/>
  <c r="P46" i="71" s="1"/>
  <c r="P58" i="71" s="1"/>
  <c r="P70" i="71" s="1"/>
  <c r="P82" i="71" s="1"/>
  <c r="T34" i="71"/>
  <c r="U34" i="71"/>
  <c r="U46" i="71" s="1"/>
  <c r="U58" i="71" s="1"/>
  <c r="U70" i="71" s="1"/>
  <c r="U82" i="71" s="1"/>
  <c r="L35" i="71"/>
  <c r="L47" i="71" s="1"/>
  <c r="L59" i="71" s="1"/>
  <c r="L71" i="71" s="1"/>
  <c r="L83" i="71" s="1"/>
  <c r="P35" i="71"/>
  <c r="P47" i="71" s="1"/>
  <c r="P59" i="71" s="1"/>
  <c r="P71" i="71" s="1"/>
  <c r="P83" i="71" s="1"/>
  <c r="T35" i="71"/>
  <c r="T47" i="71" s="1"/>
  <c r="T59" i="71" s="1"/>
  <c r="T71" i="71" s="1"/>
  <c r="T83" i="71" s="1"/>
  <c r="L36" i="71"/>
  <c r="M36" i="71"/>
  <c r="M48" i="71" s="1"/>
  <c r="M60" i="71" s="1"/>
  <c r="M72" i="71" s="1"/>
  <c r="M84" i="71" s="1"/>
  <c r="N36" i="71"/>
  <c r="N48" i="71" s="1"/>
  <c r="N60" i="71" s="1"/>
  <c r="N72" i="71" s="1"/>
  <c r="N84" i="71" s="1"/>
  <c r="P36" i="71"/>
  <c r="T36" i="71"/>
  <c r="T48" i="71" s="1"/>
  <c r="L37" i="71"/>
  <c r="P37" i="71"/>
  <c r="Q37" i="71"/>
  <c r="Q49" i="71" s="1"/>
  <c r="Q61" i="71" s="1"/>
  <c r="Q73" i="71" s="1"/>
  <c r="Q85" i="71" s="1"/>
  <c r="T37" i="71"/>
  <c r="L39" i="71"/>
  <c r="L51" i="71" s="1"/>
  <c r="L63" i="71" s="1"/>
  <c r="L75" i="71" s="1"/>
  <c r="L87" i="71" s="1"/>
  <c r="L40" i="71"/>
  <c r="L52" i="71" s="1"/>
  <c r="L64" i="71" s="1"/>
  <c r="L76" i="71" s="1"/>
  <c r="V40" i="71"/>
  <c r="V52" i="71" s="1"/>
  <c r="V64" i="71" s="1"/>
  <c r="V76" i="71" s="1"/>
  <c r="P41" i="71"/>
  <c r="P53" i="71" s="1"/>
  <c r="P65" i="71" s="1"/>
  <c r="P77" i="71" s="1"/>
  <c r="P3" i="84" s="1"/>
  <c r="Y4" i="83" s="1"/>
  <c r="L42" i="71"/>
  <c r="L54" i="71" s="1"/>
  <c r="L66" i="71" s="1"/>
  <c r="L78" i="71" s="1"/>
  <c r="N42" i="71"/>
  <c r="N54" i="71" s="1"/>
  <c r="T42" i="71"/>
  <c r="T54" i="71" s="1"/>
  <c r="L44" i="71"/>
  <c r="L56" i="71" s="1"/>
  <c r="P44" i="71"/>
  <c r="P56" i="71" s="1"/>
  <c r="P68" i="71" s="1"/>
  <c r="P80" i="71" s="1"/>
  <c r="P45" i="71"/>
  <c r="R46" i="71"/>
  <c r="R58" i="71" s="1"/>
  <c r="R70" i="71" s="1"/>
  <c r="R82" i="71" s="1"/>
  <c r="T46" i="71"/>
  <c r="T58" i="71" s="1"/>
  <c r="T70" i="71" s="1"/>
  <c r="T82" i="71" s="1"/>
  <c r="L48" i="71"/>
  <c r="P48" i="71"/>
  <c r="P60" i="71" s="1"/>
  <c r="P72" i="71" s="1"/>
  <c r="P84" i="71" s="1"/>
  <c r="P10" i="84" s="1"/>
  <c r="Y11" i="83" s="1"/>
  <c r="L49" i="71"/>
  <c r="L61" i="71" s="1"/>
  <c r="L73" i="71" s="1"/>
  <c r="L85" i="71" s="1"/>
  <c r="L97" i="71" s="1"/>
  <c r="P49" i="71"/>
  <c r="T49" i="71"/>
  <c r="T61" i="71" s="1"/>
  <c r="T73" i="71" s="1"/>
  <c r="T85" i="71" s="1"/>
  <c r="Q51" i="71"/>
  <c r="Q63" i="71" s="1"/>
  <c r="Q75" i="71" s="1"/>
  <c r="Q87" i="71" s="1"/>
  <c r="R51" i="71"/>
  <c r="R63" i="71" s="1"/>
  <c r="R75" i="71" s="1"/>
  <c r="V51" i="71"/>
  <c r="V63" i="71" s="1"/>
  <c r="V75" i="71" s="1"/>
  <c r="V87" i="71" s="1"/>
  <c r="R52" i="71"/>
  <c r="R64" i="71" s="1"/>
  <c r="R76" i="71" s="1"/>
  <c r="R2" i="84" s="1"/>
  <c r="V53" i="71"/>
  <c r="V65" i="71" s="1"/>
  <c r="V77" i="71" s="1"/>
  <c r="Q54" i="71"/>
  <c r="Q66" i="71" s="1"/>
  <c r="Q78" i="71" s="1"/>
  <c r="U54" i="71"/>
  <c r="U66" i="71" s="1"/>
  <c r="U78" i="71" s="1"/>
  <c r="O55" i="71"/>
  <c r="O67" i="71" s="1"/>
  <c r="O79" i="71" s="1"/>
  <c r="P57" i="71"/>
  <c r="P69" i="71" s="1"/>
  <c r="P81" i="71" s="1"/>
  <c r="Q58" i="71"/>
  <c r="Q70" i="71" s="1"/>
  <c r="Q82" i="71" s="1"/>
  <c r="R59" i="71"/>
  <c r="R71" i="71" s="1"/>
  <c r="R83" i="71" s="1"/>
  <c r="L60" i="71"/>
  <c r="L72" i="71" s="1"/>
  <c r="L84" i="71" s="1"/>
  <c r="L10" i="84" s="1"/>
  <c r="T60" i="71"/>
  <c r="T72" i="71" s="1"/>
  <c r="T84" i="71" s="1"/>
  <c r="P61" i="71"/>
  <c r="P73" i="71" s="1"/>
  <c r="P85" i="71" s="1"/>
  <c r="P11" i="84" s="1"/>
  <c r="Y12" i="83" s="1"/>
  <c r="M63" i="71"/>
  <c r="M75" i="71" s="1"/>
  <c r="M87" i="71" s="1"/>
  <c r="P63" i="71"/>
  <c r="P75" i="71" s="1"/>
  <c r="P87" i="71" s="1"/>
  <c r="U63" i="71"/>
  <c r="U75" i="71" s="1"/>
  <c r="U87" i="71" s="1"/>
  <c r="U64" i="71"/>
  <c r="U76" i="71" s="1"/>
  <c r="U88" i="71" s="1"/>
  <c r="N65" i="71"/>
  <c r="N77" i="71" s="1"/>
  <c r="M66" i="71"/>
  <c r="M78" i="71" s="1"/>
  <c r="N66" i="71"/>
  <c r="N78" i="71" s="1"/>
  <c r="R66" i="71"/>
  <c r="R78" i="71" s="1"/>
  <c r="T66" i="71"/>
  <c r="T78" i="71" s="1"/>
  <c r="N67" i="71"/>
  <c r="N79" i="71" s="1"/>
  <c r="R67" i="71"/>
  <c r="R79" i="71" s="1"/>
  <c r="L68" i="71"/>
  <c r="L80" i="71" s="1"/>
  <c r="L6" i="84" s="1"/>
  <c r="R68" i="71"/>
  <c r="R80" i="71" s="1"/>
  <c r="N69" i="71"/>
  <c r="N81" i="71" s="1"/>
  <c r="U69" i="71"/>
  <c r="U81" i="71" s="1"/>
  <c r="Q71" i="71"/>
  <c r="Q83" i="71" s="1"/>
  <c r="U71" i="71"/>
  <c r="U83" i="71" s="1"/>
  <c r="U72" i="71"/>
  <c r="U84" i="71" s="1"/>
  <c r="U73" i="71"/>
  <c r="U85" i="71" s="1"/>
  <c r="T80" i="71"/>
  <c r="O82" i="71"/>
  <c r="V84" i="71"/>
  <c r="R87" i="71"/>
  <c r="Q88" i="71"/>
  <c r="Q14" i="84" s="1"/>
  <c r="T91" i="71"/>
  <c r="V92" i="71"/>
  <c r="V18" i="84" s="1"/>
  <c r="N94" i="71"/>
  <c r="N20" i="84" s="1"/>
  <c r="L96" i="71"/>
  <c r="P97" i="71"/>
  <c r="Q100" i="71"/>
  <c r="V104" i="71"/>
  <c r="L14" i="71"/>
  <c r="L26" i="71" s="1"/>
  <c r="L38" i="71" s="1"/>
  <c r="L50" i="71" s="1"/>
  <c r="L62" i="71" s="1"/>
  <c r="L74" i="71" s="1"/>
  <c r="L86" i="71" s="1"/>
  <c r="M14" i="71"/>
  <c r="M26" i="71" s="1"/>
  <c r="M38" i="71" s="1"/>
  <c r="M50" i="71" s="1"/>
  <c r="M62" i="71" s="1"/>
  <c r="M74" i="71" s="1"/>
  <c r="M86" i="71" s="1"/>
  <c r="N14" i="71"/>
  <c r="N26" i="71" s="1"/>
  <c r="N38" i="71" s="1"/>
  <c r="N50" i="71" s="1"/>
  <c r="N62" i="71" s="1"/>
  <c r="N74" i="71" s="1"/>
  <c r="N86" i="71" s="1"/>
  <c r="O14" i="71"/>
  <c r="O26" i="71" s="1"/>
  <c r="O38" i="71" s="1"/>
  <c r="O50" i="71" s="1"/>
  <c r="O62" i="71" s="1"/>
  <c r="O74" i="71" s="1"/>
  <c r="O86" i="71" s="1"/>
  <c r="P14" i="71"/>
  <c r="P26" i="71" s="1"/>
  <c r="P38" i="71" s="1"/>
  <c r="P50" i="71" s="1"/>
  <c r="P62" i="71" s="1"/>
  <c r="P74" i="71" s="1"/>
  <c r="P86" i="71" s="1"/>
  <c r="P98" i="71" s="1"/>
  <c r="P110" i="71" s="1"/>
  <c r="P36" i="84" s="1"/>
  <c r="Y37" i="83" s="1"/>
  <c r="Q14" i="71"/>
  <c r="Q26" i="71" s="1"/>
  <c r="Q38" i="71" s="1"/>
  <c r="Q50" i="71" s="1"/>
  <c r="Q62" i="71" s="1"/>
  <c r="Q74" i="71" s="1"/>
  <c r="Q86" i="71" s="1"/>
  <c r="R14" i="71"/>
  <c r="R26" i="71" s="1"/>
  <c r="R38" i="71" s="1"/>
  <c r="R50" i="71" s="1"/>
  <c r="R62" i="71" s="1"/>
  <c r="R74" i="71" s="1"/>
  <c r="R86" i="71" s="1"/>
  <c r="S14" i="71"/>
  <c r="S26" i="71" s="1"/>
  <c r="S38" i="71" s="1"/>
  <c r="S50" i="71" s="1"/>
  <c r="S62" i="71" s="1"/>
  <c r="S74" i="71" s="1"/>
  <c r="S86" i="71" s="1"/>
  <c r="T14" i="71"/>
  <c r="T26" i="71" s="1"/>
  <c r="T38" i="71" s="1"/>
  <c r="T50" i="71" s="1"/>
  <c r="T62" i="71" s="1"/>
  <c r="T74" i="71" s="1"/>
  <c r="T86" i="71" s="1"/>
  <c r="T12" i="84" s="1"/>
  <c r="U14" i="71"/>
  <c r="U26" i="71" s="1"/>
  <c r="U38" i="71" s="1"/>
  <c r="U50" i="71" s="1"/>
  <c r="U62" i="71" s="1"/>
  <c r="U74" i="71" s="1"/>
  <c r="U86" i="71" s="1"/>
  <c r="V14" i="71"/>
  <c r="V26" i="71" s="1"/>
  <c r="V38" i="71" s="1"/>
  <c r="V50" i="71" s="1"/>
  <c r="V62" i="71" s="1"/>
  <c r="V74" i="71" s="1"/>
  <c r="V86" i="71" s="1"/>
  <c r="W14" i="71"/>
  <c r="W26" i="71" s="1"/>
  <c r="W38" i="71" s="1"/>
  <c r="W50" i="71" s="1"/>
  <c r="W62" i="71" s="1"/>
  <c r="W74" i="71" s="1"/>
  <c r="W86" i="71" s="1"/>
  <c r="V9" i="83"/>
  <c r="AL9" i="83" s="1"/>
  <c r="W9" i="83"/>
  <c r="AM9" i="83" s="1"/>
  <c r="X2" i="83"/>
  <c r="AH2" i="84"/>
  <c r="X3" i="83" s="1"/>
  <c r="BX47" i="84"/>
  <c r="BW47" i="84"/>
  <c r="BV47" i="84"/>
  <c r="BU47" i="84"/>
  <c r="BT47" i="84"/>
  <c r="BS47" i="84"/>
  <c r="BR47" i="84"/>
  <c r="AD47" i="84" s="1"/>
  <c r="BQ47" i="84"/>
  <c r="AC47" i="84" s="1"/>
  <c r="BP47" i="84"/>
  <c r="BO47" i="84"/>
  <c r="BN47" i="84"/>
  <c r="BM47" i="84"/>
  <c r="BL47" i="84"/>
  <c r="AW47" i="84"/>
  <c r="AV47" i="84"/>
  <c r="AU47" i="84"/>
  <c r="AT47" i="84"/>
  <c r="AS47" i="84"/>
  <c r="AR47" i="84"/>
  <c r="AQ47" i="84"/>
  <c r="AP47" i="84"/>
  <c r="AO47" i="84"/>
  <c r="AN47" i="84"/>
  <c r="AM47" i="84"/>
  <c r="AL47" i="84"/>
  <c r="J47" i="84"/>
  <c r="I47" i="84"/>
  <c r="B47" i="84"/>
  <c r="BX46" i="84"/>
  <c r="BW46" i="84"/>
  <c r="BV46" i="84"/>
  <c r="BU46" i="84"/>
  <c r="BT46" i="84"/>
  <c r="BS46" i="84"/>
  <c r="BR46" i="84"/>
  <c r="W47" i="83" s="1"/>
  <c r="AM47" i="83" s="1"/>
  <c r="BQ46" i="84"/>
  <c r="AC46" i="84" s="1"/>
  <c r="BP46" i="84"/>
  <c r="BO46" i="84"/>
  <c r="BN46" i="84"/>
  <c r="BM46" i="84"/>
  <c r="BL46" i="84"/>
  <c r="AW46" i="84"/>
  <c r="AV46" i="84"/>
  <c r="AU46" i="84"/>
  <c r="AT46" i="84"/>
  <c r="AS46" i="84"/>
  <c r="AR46" i="84"/>
  <c r="AQ46" i="84"/>
  <c r="AP46" i="84"/>
  <c r="AO46" i="84"/>
  <c r="AN46" i="84"/>
  <c r="AM46" i="84"/>
  <c r="AL46" i="84"/>
  <c r="J46" i="84"/>
  <c r="I46" i="84"/>
  <c r="B46" i="84"/>
  <c r="BX45" i="84"/>
  <c r="BW45" i="84"/>
  <c r="BV45" i="84"/>
  <c r="BU45" i="84"/>
  <c r="BT45" i="84"/>
  <c r="BS45" i="84"/>
  <c r="BR45" i="84"/>
  <c r="AD45" i="84" s="1"/>
  <c r="BQ45" i="84"/>
  <c r="AC45" i="84" s="1"/>
  <c r="BP45" i="84"/>
  <c r="BO45" i="84"/>
  <c r="BN45" i="84"/>
  <c r="BM45" i="84"/>
  <c r="BL45" i="84"/>
  <c r="AW45" i="84"/>
  <c r="AV45" i="84"/>
  <c r="AU45" i="84"/>
  <c r="AT45" i="84"/>
  <c r="AS45" i="84"/>
  <c r="AR45" i="84"/>
  <c r="AQ45" i="84"/>
  <c r="AP45" i="84"/>
  <c r="AO45" i="84"/>
  <c r="AN45" i="84"/>
  <c r="AM45" i="84"/>
  <c r="AL45" i="84"/>
  <c r="J45" i="84"/>
  <c r="I45" i="84"/>
  <c r="B45" i="84"/>
  <c r="BX44" i="84"/>
  <c r="BW44" i="84"/>
  <c r="BV44" i="84"/>
  <c r="BU44" i="84"/>
  <c r="BT44" i="84"/>
  <c r="BS44" i="84"/>
  <c r="BR44" i="84"/>
  <c r="BQ44" i="84"/>
  <c r="AC44" i="84" s="1"/>
  <c r="BP44" i="84"/>
  <c r="BO44" i="84"/>
  <c r="BN44" i="84"/>
  <c r="BM44" i="84"/>
  <c r="BL44" i="84"/>
  <c r="AW44" i="84"/>
  <c r="AV44" i="84"/>
  <c r="AU44" i="84"/>
  <c r="AT44" i="84"/>
  <c r="AS44" i="84"/>
  <c r="AR44" i="84"/>
  <c r="AQ44" i="84"/>
  <c r="AP44" i="84"/>
  <c r="AO44" i="84"/>
  <c r="AN44" i="84"/>
  <c r="AM44" i="84"/>
  <c r="AL44" i="84"/>
  <c r="J44" i="84"/>
  <c r="I44" i="84"/>
  <c r="B44" i="84"/>
  <c r="BX43" i="84"/>
  <c r="BW43" i="84"/>
  <c r="BV43" i="84"/>
  <c r="BU43" i="84"/>
  <c r="BT43" i="84"/>
  <c r="BS43" i="84"/>
  <c r="BR43" i="84"/>
  <c r="W44" i="83" s="1"/>
  <c r="AM44" i="83" s="1"/>
  <c r="BQ43" i="84"/>
  <c r="AC43" i="84" s="1"/>
  <c r="BP43" i="84"/>
  <c r="BO43" i="84"/>
  <c r="BN43" i="84"/>
  <c r="BM43" i="84"/>
  <c r="BL43" i="84"/>
  <c r="AW43" i="84"/>
  <c r="AV43" i="84"/>
  <c r="AU43" i="84"/>
  <c r="AT43" i="84"/>
  <c r="AS43" i="84"/>
  <c r="AR43" i="84"/>
  <c r="AQ43" i="84"/>
  <c r="AP43" i="84"/>
  <c r="AO43" i="84"/>
  <c r="AN43" i="84"/>
  <c r="AM43" i="84"/>
  <c r="AL43" i="84"/>
  <c r="J43" i="84"/>
  <c r="I43" i="84"/>
  <c r="B43" i="84"/>
  <c r="BX42" i="84"/>
  <c r="BW42" i="84"/>
  <c r="BV42" i="84"/>
  <c r="BU42" i="84"/>
  <c r="BT42" i="84"/>
  <c r="BS42" i="84"/>
  <c r="BR42" i="84"/>
  <c r="W43" i="83" s="1"/>
  <c r="AM43" i="83" s="1"/>
  <c r="BQ42" i="84"/>
  <c r="BP42" i="84"/>
  <c r="BO42" i="84"/>
  <c r="BN42" i="84"/>
  <c r="BM42" i="84"/>
  <c r="BL42" i="84"/>
  <c r="AW42" i="84"/>
  <c r="AV42" i="84"/>
  <c r="AU42" i="84"/>
  <c r="AT42" i="84"/>
  <c r="AS42" i="84"/>
  <c r="AR42" i="84"/>
  <c r="AQ42" i="84"/>
  <c r="AP42" i="84"/>
  <c r="AO42" i="84"/>
  <c r="AN42" i="84"/>
  <c r="AM42" i="84"/>
  <c r="AL42" i="84"/>
  <c r="AC42" i="84"/>
  <c r="J42" i="84"/>
  <c r="I42" i="84"/>
  <c r="B42" i="84"/>
  <c r="BX41" i="84"/>
  <c r="BW41" i="84"/>
  <c r="BV41" i="84"/>
  <c r="BU41" i="84"/>
  <c r="BT41" i="84"/>
  <c r="BS41" i="84"/>
  <c r="BR41" i="84"/>
  <c r="W42" i="83" s="1"/>
  <c r="AM42" i="83" s="1"/>
  <c r="BQ41" i="84"/>
  <c r="AC41" i="84" s="1"/>
  <c r="BP41" i="84"/>
  <c r="BO41" i="84"/>
  <c r="BN41" i="84"/>
  <c r="BM41" i="84"/>
  <c r="BL41" i="84"/>
  <c r="AW41" i="84"/>
  <c r="AV41" i="84"/>
  <c r="AU41" i="84"/>
  <c r="AT41" i="84"/>
  <c r="AS41" i="84"/>
  <c r="AR41" i="84"/>
  <c r="AQ41" i="84"/>
  <c r="AP41" i="84"/>
  <c r="AO41" i="84"/>
  <c r="AN41" i="84"/>
  <c r="AM41" i="84"/>
  <c r="AL41" i="84"/>
  <c r="J41" i="84"/>
  <c r="I41" i="84"/>
  <c r="B41" i="84"/>
  <c r="BX40" i="84"/>
  <c r="BW40" i="84"/>
  <c r="BV40" i="84"/>
  <c r="BU40" i="84"/>
  <c r="BT40" i="84"/>
  <c r="BS40" i="84"/>
  <c r="BR40" i="84"/>
  <c r="W41" i="83" s="1"/>
  <c r="AM41" i="83" s="1"/>
  <c r="BQ40" i="84"/>
  <c r="AC40" i="84" s="1"/>
  <c r="BP40" i="84"/>
  <c r="BO40" i="84"/>
  <c r="BN40" i="84"/>
  <c r="BM40" i="84"/>
  <c r="BL40" i="84"/>
  <c r="AW40" i="84"/>
  <c r="AV40" i="84"/>
  <c r="AU40" i="84"/>
  <c r="AT40" i="84"/>
  <c r="AS40" i="84"/>
  <c r="AR40" i="84"/>
  <c r="AQ40" i="84"/>
  <c r="AP40" i="84"/>
  <c r="AO40" i="84"/>
  <c r="AN40" i="84"/>
  <c r="AM40" i="84"/>
  <c r="AL40" i="84"/>
  <c r="AD40" i="84"/>
  <c r="J40" i="84"/>
  <c r="I40" i="84"/>
  <c r="B40" i="84"/>
  <c r="BX39" i="84"/>
  <c r="BW39" i="84"/>
  <c r="BV39" i="84"/>
  <c r="BU39" i="84"/>
  <c r="BT39" i="84"/>
  <c r="BS39" i="84"/>
  <c r="BR39" i="84"/>
  <c r="AD39" i="84" s="1"/>
  <c r="BQ39" i="84"/>
  <c r="AC39" i="84" s="1"/>
  <c r="BP39" i="84"/>
  <c r="BO39" i="84"/>
  <c r="BN39" i="84"/>
  <c r="BM39" i="84"/>
  <c r="BL39" i="84"/>
  <c r="AW39" i="84"/>
  <c r="AV39" i="84"/>
  <c r="AU39" i="84"/>
  <c r="AT39" i="84"/>
  <c r="AS39" i="84"/>
  <c r="AR39" i="84"/>
  <c r="AQ39" i="84"/>
  <c r="AP39" i="84"/>
  <c r="AO39" i="84"/>
  <c r="AN39" i="84"/>
  <c r="AM39" i="84"/>
  <c r="AL39" i="84"/>
  <c r="J39" i="84"/>
  <c r="I39" i="84"/>
  <c r="B39" i="84"/>
  <c r="BX38" i="84"/>
  <c r="BW38" i="84"/>
  <c r="BV38" i="84"/>
  <c r="BU38" i="84"/>
  <c r="BT38" i="84"/>
  <c r="BS38" i="84"/>
  <c r="BR38" i="84"/>
  <c r="W39" i="83" s="1"/>
  <c r="AM39" i="83" s="1"/>
  <c r="BQ38" i="84"/>
  <c r="AC38" i="84" s="1"/>
  <c r="BP38" i="84"/>
  <c r="BO38" i="84"/>
  <c r="BN38" i="84"/>
  <c r="BM38" i="84"/>
  <c r="BL38" i="84"/>
  <c r="AW38" i="84"/>
  <c r="AV38" i="84"/>
  <c r="AU38" i="84"/>
  <c r="AT38" i="84"/>
  <c r="AS38" i="84"/>
  <c r="AR38" i="84"/>
  <c r="AQ38" i="84"/>
  <c r="AP38" i="84"/>
  <c r="AO38" i="84"/>
  <c r="AN38" i="84"/>
  <c r="AM38" i="84"/>
  <c r="AL38" i="84"/>
  <c r="J38" i="84"/>
  <c r="I38" i="84"/>
  <c r="B38" i="84"/>
  <c r="BX37" i="84"/>
  <c r="BW37" i="84"/>
  <c r="BV37" i="84"/>
  <c r="BU37" i="84"/>
  <c r="BT37" i="84"/>
  <c r="BS37" i="84"/>
  <c r="BR37" i="84"/>
  <c r="W38" i="83" s="1"/>
  <c r="AM38" i="83" s="1"/>
  <c r="BQ37" i="84"/>
  <c r="BP37" i="84"/>
  <c r="BO37" i="84"/>
  <c r="BN37" i="84"/>
  <c r="BM37" i="84"/>
  <c r="BL37" i="84"/>
  <c r="AW37" i="84"/>
  <c r="AV37" i="84"/>
  <c r="AU37" i="84"/>
  <c r="AT37" i="84"/>
  <c r="AS37" i="84"/>
  <c r="AR37" i="84"/>
  <c r="AQ37" i="84"/>
  <c r="AP37" i="84"/>
  <c r="AO37" i="84"/>
  <c r="AN37" i="84"/>
  <c r="AM37" i="84"/>
  <c r="AL37" i="84"/>
  <c r="J37" i="84"/>
  <c r="AD37" i="84" s="1"/>
  <c r="I37" i="84"/>
  <c r="AC37" i="84" s="1"/>
  <c r="B37" i="84"/>
  <c r="BX36" i="84"/>
  <c r="BW36" i="84"/>
  <c r="BV36" i="84"/>
  <c r="BU36" i="84"/>
  <c r="BT36" i="84"/>
  <c r="BS36" i="84"/>
  <c r="BR36" i="84"/>
  <c r="W37" i="83" s="1"/>
  <c r="AM37" i="83" s="1"/>
  <c r="BQ36" i="84"/>
  <c r="BP36" i="84"/>
  <c r="BO36" i="84"/>
  <c r="BN36" i="84"/>
  <c r="BM36" i="84"/>
  <c r="BL36" i="84"/>
  <c r="AW36" i="84"/>
  <c r="AV36" i="84"/>
  <c r="AU36" i="84"/>
  <c r="AT36" i="84"/>
  <c r="AS36" i="84"/>
  <c r="AR36" i="84"/>
  <c r="AQ36" i="84"/>
  <c r="AP36" i="84"/>
  <c r="AO36" i="84"/>
  <c r="AN36" i="84"/>
  <c r="AM36" i="84"/>
  <c r="AL36" i="84"/>
  <c r="J36" i="84"/>
  <c r="AD36" i="84" s="1"/>
  <c r="I36" i="84"/>
  <c r="AC36" i="84" s="1"/>
  <c r="B36" i="84"/>
  <c r="BX35" i="84"/>
  <c r="BW35" i="84"/>
  <c r="BV35" i="84"/>
  <c r="BU35" i="84"/>
  <c r="BT35" i="84"/>
  <c r="BS35" i="84"/>
  <c r="BR35" i="84"/>
  <c r="W36" i="83" s="1"/>
  <c r="AM36" i="83" s="1"/>
  <c r="BQ35" i="84"/>
  <c r="BP35" i="84"/>
  <c r="BO35" i="84"/>
  <c r="BN35" i="84"/>
  <c r="BM35" i="84"/>
  <c r="BL35" i="84"/>
  <c r="AW35" i="84"/>
  <c r="AV35" i="84"/>
  <c r="AU35" i="84"/>
  <c r="AT35" i="84"/>
  <c r="AS35" i="84"/>
  <c r="AR35" i="84"/>
  <c r="AQ35" i="84"/>
  <c r="AP35" i="84"/>
  <c r="AO35" i="84"/>
  <c r="AN35" i="84"/>
  <c r="AM35" i="84"/>
  <c r="AL35" i="84"/>
  <c r="AK35" i="84"/>
  <c r="J35" i="84"/>
  <c r="AD35" i="84" s="1"/>
  <c r="I35" i="84"/>
  <c r="AC35" i="84" s="1"/>
  <c r="B35" i="84"/>
  <c r="BX34" i="84"/>
  <c r="BW34" i="84"/>
  <c r="BV34" i="84"/>
  <c r="BU34" i="84"/>
  <c r="BT34" i="84"/>
  <c r="BS34" i="84"/>
  <c r="BR34" i="84"/>
  <c r="W35" i="83" s="1"/>
  <c r="AM35" i="83" s="1"/>
  <c r="BQ34" i="84"/>
  <c r="BP34" i="84"/>
  <c r="BO34" i="84"/>
  <c r="BN34" i="84"/>
  <c r="BM34" i="84"/>
  <c r="BL34" i="84"/>
  <c r="AW34" i="84"/>
  <c r="AV34" i="84"/>
  <c r="AU34" i="84"/>
  <c r="AT34" i="84"/>
  <c r="AS34" i="84"/>
  <c r="AR34" i="84"/>
  <c r="AQ34" i="84"/>
  <c r="AP34" i="84"/>
  <c r="AO34" i="84"/>
  <c r="AN34" i="84"/>
  <c r="AM34" i="84"/>
  <c r="AL34" i="84"/>
  <c r="AK34" i="84"/>
  <c r="J34" i="84"/>
  <c r="AD34" i="84" s="1"/>
  <c r="I34" i="84"/>
  <c r="AC34" i="84" s="1"/>
  <c r="B34" i="84"/>
  <c r="BX33" i="84"/>
  <c r="BW33" i="84"/>
  <c r="BV33" i="84"/>
  <c r="BU33" i="84"/>
  <c r="BT33" i="84"/>
  <c r="BS33" i="84"/>
  <c r="BR33" i="84"/>
  <c r="W34" i="83" s="1"/>
  <c r="AM34" i="83" s="1"/>
  <c r="BQ33" i="84"/>
  <c r="BP33" i="84"/>
  <c r="BO33" i="84"/>
  <c r="BN33" i="84"/>
  <c r="BM33" i="84"/>
  <c r="BL33" i="84"/>
  <c r="AW33" i="84"/>
  <c r="AV33" i="84"/>
  <c r="AU33" i="84"/>
  <c r="AT33" i="84"/>
  <c r="AS33" i="84"/>
  <c r="AR33" i="84"/>
  <c r="AQ33" i="84"/>
  <c r="AP33" i="84"/>
  <c r="AO33" i="84"/>
  <c r="AN33" i="84"/>
  <c r="AM33" i="84"/>
  <c r="AL33" i="84"/>
  <c r="AK33" i="84"/>
  <c r="J33" i="84"/>
  <c r="AD33" i="84" s="1"/>
  <c r="I33" i="84"/>
  <c r="AC33" i="84" s="1"/>
  <c r="B33" i="84"/>
  <c r="BX32" i="84"/>
  <c r="BW32" i="84"/>
  <c r="BV32" i="84"/>
  <c r="BU32" i="84"/>
  <c r="BT32" i="84"/>
  <c r="BS32" i="84"/>
  <c r="BR32" i="84"/>
  <c r="W33" i="83" s="1"/>
  <c r="AM33" i="83" s="1"/>
  <c r="BQ32" i="84"/>
  <c r="BP32" i="84"/>
  <c r="BO32" i="84"/>
  <c r="BN32" i="84"/>
  <c r="BM32" i="84"/>
  <c r="BL32" i="84"/>
  <c r="AW32" i="84"/>
  <c r="AV32" i="84"/>
  <c r="AU32" i="84"/>
  <c r="AT32" i="84"/>
  <c r="AS32" i="84"/>
  <c r="AR32" i="84"/>
  <c r="AQ32" i="84"/>
  <c r="AP32" i="84"/>
  <c r="AO32" i="84"/>
  <c r="AN32" i="84"/>
  <c r="AM32" i="84"/>
  <c r="AL32" i="84"/>
  <c r="AK32" i="84"/>
  <c r="J32" i="84"/>
  <c r="AD32" i="84" s="1"/>
  <c r="I32" i="84"/>
  <c r="AC32" i="84" s="1"/>
  <c r="B32" i="84"/>
  <c r="BX31" i="84"/>
  <c r="BW31" i="84"/>
  <c r="BV31" i="84"/>
  <c r="BU31" i="84"/>
  <c r="BT31" i="84"/>
  <c r="BS31" i="84"/>
  <c r="BR31" i="84"/>
  <c r="W32" i="83" s="1"/>
  <c r="AM32" i="83" s="1"/>
  <c r="BQ31" i="84"/>
  <c r="BP31" i="84"/>
  <c r="BO31" i="84"/>
  <c r="BN31" i="84"/>
  <c r="BM31" i="84"/>
  <c r="BL31" i="84"/>
  <c r="AW31" i="84"/>
  <c r="AV31" i="84"/>
  <c r="AU31" i="84"/>
  <c r="AT31" i="84"/>
  <c r="AS31" i="84"/>
  <c r="AR31" i="84"/>
  <c r="AQ31" i="84"/>
  <c r="AP31" i="84"/>
  <c r="AO31" i="84"/>
  <c r="AN31" i="84"/>
  <c r="AM31" i="84"/>
  <c r="AL31" i="84"/>
  <c r="AK31" i="84"/>
  <c r="J31" i="84"/>
  <c r="AD31" i="84" s="1"/>
  <c r="I31" i="84"/>
  <c r="AC31" i="84" s="1"/>
  <c r="B31" i="84"/>
  <c r="BX30" i="84"/>
  <c r="BW30" i="84"/>
  <c r="BV30" i="84"/>
  <c r="BU30" i="84"/>
  <c r="BT30" i="84"/>
  <c r="BS30" i="84"/>
  <c r="BR30" i="84"/>
  <c r="W31" i="83" s="1"/>
  <c r="AM31" i="83" s="1"/>
  <c r="BQ30" i="84"/>
  <c r="BP30" i="84"/>
  <c r="BO30" i="84"/>
  <c r="BN30" i="84"/>
  <c r="BM30" i="84"/>
  <c r="BL30" i="84"/>
  <c r="AW30" i="84"/>
  <c r="AV30" i="84"/>
  <c r="AU30" i="84"/>
  <c r="AT30" i="84"/>
  <c r="AS30" i="84"/>
  <c r="AR30" i="84"/>
  <c r="AQ30" i="84"/>
  <c r="AP30" i="84"/>
  <c r="AO30" i="84"/>
  <c r="AN30" i="84"/>
  <c r="AM30" i="84"/>
  <c r="AL30" i="84"/>
  <c r="AK30" i="84"/>
  <c r="J30" i="84"/>
  <c r="AD30" i="84" s="1"/>
  <c r="I30" i="84"/>
  <c r="AC30" i="84" s="1"/>
  <c r="B30" i="84"/>
  <c r="BX29" i="84"/>
  <c r="BW29" i="84"/>
  <c r="BV29" i="84"/>
  <c r="BU29" i="84"/>
  <c r="BT29" i="84"/>
  <c r="BS29" i="84"/>
  <c r="BR29" i="84"/>
  <c r="W30" i="83" s="1"/>
  <c r="AM30" i="83" s="1"/>
  <c r="BQ29" i="84"/>
  <c r="BP29" i="84"/>
  <c r="BO29" i="84"/>
  <c r="BN29" i="84"/>
  <c r="BM29" i="84"/>
  <c r="BL29" i="84"/>
  <c r="AW29" i="84"/>
  <c r="AV29" i="84"/>
  <c r="AU29" i="84"/>
  <c r="AT29" i="84"/>
  <c r="AS29" i="84"/>
  <c r="AR29" i="84"/>
  <c r="AQ29" i="84"/>
  <c r="AP29" i="84"/>
  <c r="AO29" i="84"/>
  <c r="AN29" i="84"/>
  <c r="AM29" i="84"/>
  <c r="AL29" i="84"/>
  <c r="AK29" i="84"/>
  <c r="J29" i="84"/>
  <c r="AD29" i="84" s="1"/>
  <c r="I29" i="84"/>
  <c r="AC29" i="84" s="1"/>
  <c r="B29" i="84"/>
  <c r="BX28" i="84"/>
  <c r="BW28" i="84"/>
  <c r="BV28" i="84"/>
  <c r="BU28" i="84"/>
  <c r="BT28" i="84"/>
  <c r="BS28" i="84"/>
  <c r="BR28" i="84"/>
  <c r="W29" i="83" s="1"/>
  <c r="AM29" i="83" s="1"/>
  <c r="BQ28" i="84"/>
  <c r="BP28" i="84"/>
  <c r="BO28" i="84"/>
  <c r="BN28" i="84"/>
  <c r="BM28" i="84"/>
  <c r="BL28" i="84"/>
  <c r="AW28" i="84"/>
  <c r="AV28" i="84"/>
  <c r="AU28" i="84"/>
  <c r="AT28" i="84"/>
  <c r="AS28" i="84"/>
  <c r="AR28" i="84"/>
  <c r="AQ28" i="84"/>
  <c r="AP28" i="84"/>
  <c r="AO28" i="84"/>
  <c r="AN28" i="84"/>
  <c r="AM28" i="84"/>
  <c r="AL28" i="84"/>
  <c r="AK28" i="84"/>
  <c r="AC28" i="84"/>
  <c r="J28" i="84"/>
  <c r="AD28" i="84" s="1"/>
  <c r="I28" i="84"/>
  <c r="B28" i="84"/>
  <c r="BX27" i="84"/>
  <c r="BW27" i="84"/>
  <c r="BV27" i="84"/>
  <c r="BU27" i="84"/>
  <c r="BT27" i="84"/>
  <c r="BS27" i="84"/>
  <c r="BR27" i="84"/>
  <c r="W28" i="83" s="1"/>
  <c r="AM28" i="83" s="1"/>
  <c r="BQ27" i="84"/>
  <c r="BP27" i="84"/>
  <c r="BO27" i="84"/>
  <c r="BN27" i="84"/>
  <c r="BM27" i="84"/>
  <c r="BL27" i="84"/>
  <c r="AW27" i="84"/>
  <c r="AV27" i="84"/>
  <c r="AU27" i="84"/>
  <c r="AT27" i="84"/>
  <c r="AS27" i="84"/>
  <c r="AR27" i="84"/>
  <c r="AQ27" i="84"/>
  <c r="AP27" i="84"/>
  <c r="AO27" i="84"/>
  <c r="AN27" i="84"/>
  <c r="AM27" i="84"/>
  <c r="AL27" i="84"/>
  <c r="AK27" i="84"/>
  <c r="J27" i="84"/>
  <c r="AD27" i="84" s="1"/>
  <c r="I27" i="84"/>
  <c r="AC27" i="84" s="1"/>
  <c r="B27" i="84"/>
  <c r="BX26" i="84"/>
  <c r="BW26" i="84"/>
  <c r="BV26" i="84"/>
  <c r="BU26" i="84"/>
  <c r="BT26" i="84"/>
  <c r="BS26" i="84"/>
  <c r="BR26" i="84"/>
  <c r="W27" i="83" s="1"/>
  <c r="AM27" i="83" s="1"/>
  <c r="BQ26" i="84"/>
  <c r="BP26" i="84"/>
  <c r="BO26" i="84"/>
  <c r="BN26" i="84"/>
  <c r="BM26" i="84"/>
  <c r="BL26" i="84"/>
  <c r="AW26" i="84"/>
  <c r="AV26" i="84"/>
  <c r="AU26" i="84"/>
  <c r="AT26" i="84"/>
  <c r="AS26" i="84"/>
  <c r="AR26" i="84"/>
  <c r="AQ26" i="84"/>
  <c r="AP26" i="84"/>
  <c r="AO26" i="84"/>
  <c r="AN26" i="84"/>
  <c r="AM26" i="84"/>
  <c r="AL26" i="84"/>
  <c r="AK26" i="84"/>
  <c r="J26" i="84"/>
  <c r="AD26" i="84" s="1"/>
  <c r="I26" i="84"/>
  <c r="AC26" i="84" s="1"/>
  <c r="B26" i="84"/>
  <c r="BX25" i="84"/>
  <c r="BW25" i="84"/>
  <c r="BV25" i="84"/>
  <c r="BU25" i="84"/>
  <c r="BT25" i="84"/>
  <c r="BS25" i="84"/>
  <c r="BR25" i="84"/>
  <c r="W26" i="83" s="1"/>
  <c r="AM26" i="83" s="1"/>
  <c r="BQ25" i="84"/>
  <c r="BP25" i="84"/>
  <c r="BO25" i="84"/>
  <c r="BN25" i="84"/>
  <c r="BM25" i="84"/>
  <c r="BL25" i="84"/>
  <c r="AW25" i="84"/>
  <c r="AV25" i="84"/>
  <c r="AU25" i="84"/>
  <c r="AT25" i="84"/>
  <c r="AS25" i="84"/>
  <c r="AR25" i="84"/>
  <c r="AQ25" i="84"/>
  <c r="AP25" i="84"/>
  <c r="AO25" i="84"/>
  <c r="AN25" i="84"/>
  <c r="AM25" i="84"/>
  <c r="AL25" i="84"/>
  <c r="AK25" i="84"/>
  <c r="J25" i="84"/>
  <c r="AD25" i="84" s="1"/>
  <c r="I25" i="84"/>
  <c r="AC25" i="84" s="1"/>
  <c r="B25" i="84"/>
  <c r="BX24" i="84"/>
  <c r="BW24" i="84"/>
  <c r="BV24" i="84"/>
  <c r="BU24" i="84"/>
  <c r="BT24" i="84"/>
  <c r="BS24" i="84"/>
  <c r="BR24" i="84"/>
  <c r="W25" i="83" s="1"/>
  <c r="AM25" i="83" s="1"/>
  <c r="BQ24" i="84"/>
  <c r="BP24" i="84"/>
  <c r="BO24" i="84"/>
  <c r="BN24" i="84"/>
  <c r="BM24" i="84"/>
  <c r="BL24" i="84"/>
  <c r="AW24" i="84"/>
  <c r="AV24" i="84"/>
  <c r="AU24" i="84"/>
  <c r="AT24" i="84"/>
  <c r="AS24" i="84"/>
  <c r="AR24" i="84"/>
  <c r="AQ24" i="84"/>
  <c r="AP24" i="84"/>
  <c r="AO24" i="84"/>
  <c r="AN24" i="84"/>
  <c r="AM24" i="84"/>
  <c r="AL24" i="84"/>
  <c r="AK24" i="84"/>
  <c r="J24" i="84"/>
  <c r="AD24" i="84" s="1"/>
  <c r="I24" i="84"/>
  <c r="AC24" i="84" s="1"/>
  <c r="B24" i="84"/>
  <c r="BX23" i="84"/>
  <c r="BW23" i="84"/>
  <c r="BV23" i="84"/>
  <c r="BU23" i="84"/>
  <c r="BT23" i="84"/>
  <c r="BS23" i="84"/>
  <c r="BR23" i="84"/>
  <c r="W24" i="83" s="1"/>
  <c r="AM24" i="83" s="1"/>
  <c r="BQ23" i="84"/>
  <c r="BP23" i="84"/>
  <c r="BO23" i="84"/>
  <c r="BN23" i="84"/>
  <c r="BM23" i="84"/>
  <c r="BL23" i="84"/>
  <c r="AW23" i="84"/>
  <c r="AV23" i="84"/>
  <c r="AU23" i="84"/>
  <c r="AT23" i="84"/>
  <c r="AS23" i="84"/>
  <c r="AR23" i="84"/>
  <c r="AQ23" i="84"/>
  <c r="AP23" i="84"/>
  <c r="AO23" i="84"/>
  <c r="AN23" i="84"/>
  <c r="AM23" i="84"/>
  <c r="AL23" i="84"/>
  <c r="AK23" i="84"/>
  <c r="J23" i="84"/>
  <c r="AD23" i="84" s="1"/>
  <c r="I23" i="84"/>
  <c r="AC23" i="84" s="1"/>
  <c r="B23" i="84"/>
  <c r="BX22" i="84"/>
  <c r="BW22" i="84"/>
  <c r="BV22" i="84"/>
  <c r="BU22" i="84"/>
  <c r="BT22" i="84"/>
  <c r="BS22" i="84"/>
  <c r="BR22" i="84"/>
  <c r="W23" i="83" s="1"/>
  <c r="AM23" i="83" s="1"/>
  <c r="BQ22" i="84"/>
  <c r="BP22" i="84"/>
  <c r="BO22" i="84"/>
  <c r="BN22" i="84"/>
  <c r="BM22" i="84"/>
  <c r="BL22" i="84"/>
  <c r="AW22" i="84"/>
  <c r="AV22" i="84"/>
  <c r="AU22" i="84"/>
  <c r="AT22" i="84"/>
  <c r="AS22" i="84"/>
  <c r="AR22" i="84"/>
  <c r="AQ22" i="84"/>
  <c r="AP22" i="84"/>
  <c r="AO22" i="84"/>
  <c r="AN22" i="84"/>
  <c r="AM22" i="84"/>
  <c r="AL22" i="84"/>
  <c r="AK22" i="84"/>
  <c r="J22" i="84"/>
  <c r="AD22" i="84" s="1"/>
  <c r="I22" i="84"/>
  <c r="AC22" i="84" s="1"/>
  <c r="B22" i="84"/>
  <c r="BX21" i="84"/>
  <c r="BW21" i="84"/>
  <c r="BV21" i="84"/>
  <c r="BU21" i="84"/>
  <c r="BT21" i="84"/>
  <c r="BS21" i="84"/>
  <c r="BR21" i="84"/>
  <c r="W22" i="83" s="1"/>
  <c r="AM22" i="83" s="1"/>
  <c r="BQ21" i="84"/>
  <c r="BP21" i="84"/>
  <c r="BO21" i="84"/>
  <c r="BN21" i="84"/>
  <c r="BM21" i="84"/>
  <c r="BL21" i="84"/>
  <c r="AW21" i="84"/>
  <c r="AV21" i="84"/>
  <c r="AU21" i="84"/>
  <c r="AT21" i="84"/>
  <c r="AS21" i="84"/>
  <c r="AR21" i="84"/>
  <c r="AQ21" i="84"/>
  <c r="AP21" i="84"/>
  <c r="AO21" i="84"/>
  <c r="AN21" i="84"/>
  <c r="AM21" i="84"/>
  <c r="AL21" i="84"/>
  <c r="AK21" i="84"/>
  <c r="J21" i="84"/>
  <c r="AD21" i="84" s="1"/>
  <c r="I21" i="84"/>
  <c r="AC21" i="84" s="1"/>
  <c r="B21" i="84"/>
  <c r="BX20" i="84"/>
  <c r="BW20" i="84"/>
  <c r="BV20" i="84"/>
  <c r="BU20" i="84"/>
  <c r="BT20" i="84"/>
  <c r="BS20" i="84"/>
  <c r="BR20" i="84"/>
  <c r="W21" i="83" s="1"/>
  <c r="AM21" i="83" s="1"/>
  <c r="BQ20" i="84"/>
  <c r="BP20" i="84"/>
  <c r="BO20" i="84"/>
  <c r="BN20" i="84"/>
  <c r="BM20" i="84"/>
  <c r="BL20" i="84"/>
  <c r="AW20" i="84"/>
  <c r="AV20" i="84"/>
  <c r="AU20" i="84"/>
  <c r="AT20" i="84"/>
  <c r="AS20" i="84"/>
  <c r="AR20" i="84"/>
  <c r="AQ20" i="84"/>
  <c r="AP20" i="84"/>
  <c r="AO20" i="84"/>
  <c r="AN20" i="84"/>
  <c r="AM20" i="84"/>
  <c r="AL20" i="84"/>
  <c r="AK20" i="84"/>
  <c r="J20" i="84"/>
  <c r="AD20" i="84" s="1"/>
  <c r="I20" i="84"/>
  <c r="AC20" i="84" s="1"/>
  <c r="B20" i="84"/>
  <c r="BX19" i="84"/>
  <c r="BW19" i="84"/>
  <c r="BV19" i="84"/>
  <c r="BU19" i="84"/>
  <c r="BT19" i="84"/>
  <c r="BS19" i="84"/>
  <c r="BR19" i="84"/>
  <c r="W20" i="83" s="1"/>
  <c r="AM20" i="83" s="1"/>
  <c r="BQ19" i="84"/>
  <c r="BP19" i="84"/>
  <c r="BO19" i="84"/>
  <c r="BN19" i="84"/>
  <c r="BM19" i="84"/>
  <c r="BL19" i="84"/>
  <c r="AW19" i="84"/>
  <c r="AV19" i="84"/>
  <c r="AU19" i="84"/>
  <c r="AT19" i="84"/>
  <c r="AS19" i="84"/>
  <c r="AR19" i="84"/>
  <c r="AQ19" i="84"/>
  <c r="AP19" i="84"/>
  <c r="AO19" i="84"/>
  <c r="AN19" i="84"/>
  <c r="AM19" i="84"/>
  <c r="AL19" i="84"/>
  <c r="AK19" i="84"/>
  <c r="J19" i="84"/>
  <c r="AD19" i="84" s="1"/>
  <c r="I19" i="84"/>
  <c r="AC19" i="84" s="1"/>
  <c r="B19" i="84"/>
  <c r="BX18" i="84"/>
  <c r="BW18" i="84"/>
  <c r="BV18" i="84"/>
  <c r="BU18" i="84"/>
  <c r="BT18" i="84"/>
  <c r="BS18" i="84"/>
  <c r="BR18" i="84"/>
  <c r="W19" i="83" s="1"/>
  <c r="AM19" i="83" s="1"/>
  <c r="BQ18" i="84"/>
  <c r="BP18" i="84"/>
  <c r="BO18" i="84"/>
  <c r="BN18" i="84"/>
  <c r="BM18" i="84"/>
  <c r="BL18" i="84"/>
  <c r="AW18" i="84"/>
  <c r="AV18" i="84"/>
  <c r="AU18" i="84"/>
  <c r="AT18" i="84"/>
  <c r="AS18" i="84"/>
  <c r="AR18" i="84"/>
  <c r="AQ18" i="84"/>
  <c r="AP18" i="84"/>
  <c r="AO18" i="84"/>
  <c r="AN18" i="84"/>
  <c r="AM18" i="84"/>
  <c r="AL18" i="84"/>
  <c r="AK18" i="84"/>
  <c r="J18" i="84"/>
  <c r="AD18" i="84" s="1"/>
  <c r="I18" i="84"/>
  <c r="AC18" i="84" s="1"/>
  <c r="B18" i="84"/>
  <c r="BX17" i="84"/>
  <c r="BW17" i="84"/>
  <c r="BV17" i="84"/>
  <c r="BU17" i="84"/>
  <c r="BT17" i="84"/>
  <c r="BS17" i="84"/>
  <c r="BR17" i="84"/>
  <c r="W18" i="83" s="1"/>
  <c r="AM18" i="83" s="1"/>
  <c r="BQ17" i="84"/>
  <c r="BP17" i="84"/>
  <c r="BO17" i="84"/>
  <c r="BN17" i="84"/>
  <c r="BM17" i="84"/>
  <c r="BL17" i="84"/>
  <c r="AW17" i="84"/>
  <c r="AV17" i="84"/>
  <c r="AU17" i="84"/>
  <c r="AT17" i="84"/>
  <c r="AS17" i="84"/>
  <c r="AR17" i="84"/>
  <c r="AQ17" i="84"/>
  <c r="AP17" i="84"/>
  <c r="AO17" i="84"/>
  <c r="AN17" i="84"/>
  <c r="AM17" i="84"/>
  <c r="AL17" i="84"/>
  <c r="AK17" i="84"/>
  <c r="J17" i="84"/>
  <c r="AD17" i="84" s="1"/>
  <c r="I17" i="84"/>
  <c r="AC17" i="84" s="1"/>
  <c r="B17" i="84"/>
  <c r="BX16" i="84"/>
  <c r="BW16" i="84"/>
  <c r="BV16" i="84"/>
  <c r="BU16" i="84"/>
  <c r="BT16" i="84"/>
  <c r="BS16" i="84"/>
  <c r="BR16" i="84"/>
  <c r="W17" i="83" s="1"/>
  <c r="AM17" i="83" s="1"/>
  <c r="BQ16" i="84"/>
  <c r="BP16" i="84"/>
  <c r="BO16" i="84"/>
  <c r="BN16" i="84"/>
  <c r="BM16" i="84"/>
  <c r="BL16" i="84"/>
  <c r="AW16" i="84"/>
  <c r="AV16" i="84"/>
  <c r="AU16" i="84"/>
  <c r="AT16" i="84"/>
  <c r="AS16" i="84"/>
  <c r="AR16" i="84"/>
  <c r="AQ16" i="84"/>
  <c r="AP16" i="84"/>
  <c r="AO16" i="84"/>
  <c r="AN16" i="84"/>
  <c r="AM16" i="84"/>
  <c r="AL16" i="84"/>
  <c r="AK16" i="84"/>
  <c r="AC16" i="84"/>
  <c r="J16" i="84"/>
  <c r="AD16" i="84" s="1"/>
  <c r="I16" i="84"/>
  <c r="B16" i="84"/>
  <c r="BX15" i="84"/>
  <c r="BW15" i="84"/>
  <c r="BV15" i="84"/>
  <c r="BU15" i="84"/>
  <c r="BT15" i="84"/>
  <c r="BS15" i="84"/>
  <c r="BR15" i="84"/>
  <c r="W16" i="83" s="1"/>
  <c r="AM16" i="83" s="1"/>
  <c r="BQ15" i="84"/>
  <c r="BP15" i="84"/>
  <c r="BO15" i="84"/>
  <c r="BN15" i="84"/>
  <c r="BM15" i="84"/>
  <c r="BL15" i="84"/>
  <c r="AW15" i="84"/>
  <c r="AV15" i="84"/>
  <c r="AU15" i="84"/>
  <c r="AT15" i="84"/>
  <c r="AS15" i="84"/>
  <c r="AR15" i="84"/>
  <c r="AQ15" i="84"/>
  <c r="AP15" i="84"/>
  <c r="AO15" i="84"/>
  <c r="AN15" i="84"/>
  <c r="AM15" i="84"/>
  <c r="AL15" i="84"/>
  <c r="AK15" i="84"/>
  <c r="J15" i="84"/>
  <c r="AD15" i="84" s="1"/>
  <c r="I15" i="84"/>
  <c r="AC15" i="84" s="1"/>
  <c r="B15" i="84"/>
  <c r="BX14" i="84"/>
  <c r="BW14" i="84"/>
  <c r="BV14" i="84"/>
  <c r="BU14" i="84"/>
  <c r="BT14" i="84"/>
  <c r="BS14" i="84"/>
  <c r="BR14" i="84"/>
  <c r="W15" i="83" s="1"/>
  <c r="AM15" i="83" s="1"/>
  <c r="BQ14" i="84"/>
  <c r="BP14" i="84"/>
  <c r="BO14" i="84"/>
  <c r="BN14" i="84"/>
  <c r="BM14" i="84"/>
  <c r="BL14" i="84"/>
  <c r="AW14" i="84"/>
  <c r="AV14" i="84"/>
  <c r="AU14" i="84"/>
  <c r="AT14" i="84"/>
  <c r="AS14" i="84"/>
  <c r="AR14" i="84"/>
  <c r="AQ14" i="84"/>
  <c r="AP14" i="84"/>
  <c r="AO14" i="84"/>
  <c r="AN14" i="84"/>
  <c r="AM14" i="84"/>
  <c r="AL14" i="84"/>
  <c r="AK14" i="84"/>
  <c r="J14" i="84"/>
  <c r="AD14" i="84" s="1"/>
  <c r="I14" i="84"/>
  <c r="AC14" i="84" s="1"/>
  <c r="B14" i="84"/>
  <c r="BX13" i="84"/>
  <c r="BW13" i="84"/>
  <c r="BV13" i="84"/>
  <c r="BU13" i="84"/>
  <c r="BT13" i="84"/>
  <c r="BS13" i="84"/>
  <c r="BR13" i="84"/>
  <c r="W14" i="83" s="1"/>
  <c r="AM14" i="83" s="1"/>
  <c r="BQ13" i="84"/>
  <c r="BP13" i="84"/>
  <c r="BO13" i="84"/>
  <c r="BN13" i="84"/>
  <c r="BM13" i="84"/>
  <c r="BL13" i="84"/>
  <c r="AW13" i="84"/>
  <c r="AV13" i="84"/>
  <c r="AU13" i="84"/>
  <c r="AT13" i="84"/>
  <c r="AS13" i="84"/>
  <c r="AR13" i="84"/>
  <c r="AQ13" i="84"/>
  <c r="AP13" i="84"/>
  <c r="AO13" i="84"/>
  <c r="AN13" i="84"/>
  <c r="AM13" i="84"/>
  <c r="AL13" i="84"/>
  <c r="AK13" i="84"/>
  <c r="J13" i="84"/>
  <c r="AD13" i="84" s="1"/>
  <c r="I13" i="84"/>
  <c r="AC13" i="84" s="1"/>
  <c r="B13" i="84"/>
  <c r="BX12" i="84"/>
  <c r="BW12" i="84"/>
  <c r="BV12" i="84"/>
  <c r="BU12" i="84"/>
  <c r="BT12" i="84"/>
  <c r="BS12" i="84"/>
  <c r="BR12" i="84"/>
  <c r="W13" i="83" s="1"/>
  <c r="AM13" i="83" s="1"/>
  <c r="BQ12" i="84"/>
  <c r="BP12" i="84"/>
  <c r="BO12" i="84"/>
  <c r="BN12" i="84"/>
  <c r="BM12" i="84"/>
  <c r="BL12" i="84"/>
  <c r="AW12" i="84"/>
  <c r="AV12" i="84"/>
  <c r="AU12" i="84"/>
  <c r="AT12" i="84"/>
  <c r="AS12" i="84"/>
  <c r="AR12" i="84"/>
  <c r="AQ12" i="84"/>
  <c r="AP12" i="84"/>
  <c r="AO12" i="84"/>
  <c r="AN12" i="84"/>
  <c r="AM12" i="84"/>
  <c r="AL12" i="84"/>
  <c r="AK12" i="84"/>
  <c r="J12" i="84"/>
  <c r="AD12" i="84" s="1"/>
  <c r="I12" i="84"/>
  <c r="AC12" i="84" s="1"/>
  <c r="B12" i="84"/>
  <c r="BX11" i="84"/>
  <c r="BW11" i="84"/>
  <c r="BV11" i="84"/>
  <c r="BU11" i="84"/>
  <c r="BT11" i="84"/>
  <c r="BS11" i="84"/>
  <c r="BR11" i="84"/>
  <c r="W12" i="83" s="1"/>
  <c r="AM12" i="83" s="1"/>
  <c r="BQ11" i="84"/>
  <c r="BP11" i="84"/>
  <c r="BO11" i="84"/>
  <c r="BN11" i="84"/>
  <c r="BM11" i="84"/>
  <c r="BL11" i="84"/>
  <c r="AW11" i="84"/>
  <c r="AV11" i="84"/>
  <c r="AU11" i="84"/>
  <c r="AT11" i="84"/>
  <c r="AS11" i="84"/>
  <c r="AR11" i="84"/>
  <c r="AQ11" i="84"/>
  <c r="AP11" i="84"/>
  <c r="AO11" i="84"/>
  <c r="AN11" i="84"/>
  <c r="AM11" i="84"/>
  <c r="AL11" i="84"/>
  <c r="AK11" i="84"/>
  <c r="J11" i="84"/>
  <c r="AD11" i="84" s="1"/>
  <c r="I11" i="84"/>
  <c r="AC11" i="84" s="1"/>
  <c r="B11" i="84"/>
  <c r="BX10" i="84"/>
  <c r="BW10" i="84"/>
  <c r="BV10" i="84"/>
  <c r="BU10" i="84"/>
  <c r="BT10" i="84"/>
  <c r="BS10" i="84"/>
  <c r="BR10" i="84"/>
  <c r="W11" i="83" s="1"/>
  <c r="AM11" i="83" s="1"/>
  <c r="BQ10" i="84"/>
  <c r="BP10" i="84"/>
  <c r="BO10" i="84"/>
  <c r="BN10" i="84"/>
  <c r="BM10" i="84"/>
  <c r="BL10" i="84"/>
  <c r="AW10" i="84"/>
  <c r="AV10" i="84"/>
  <c r="AU10" i="84"/>
  <c r="AT10" i="84"/>
  <c r="AS10" i="84"/>
  <c r="AR10" i="84"/>
  <c r="AQ10" i="84"/>
  <c r="AP10" i="84"/>
  <c r="AO10" i="84"/>
  <c r="AN10" i="84"/>
  <c r="AM10" i="84"/>
  <c r="AL10" i="84"/>
  <c r="AK10" i="84"/>
  <c r="J10" i="84"/>
  <c r="AD10" i="84" s="1"/>
  <c r="I10" i="84"/>
  <c r="AC10" i="84" s="1"/>
  <c r="B10" i="84"/>
  <c r="BX9" i="84"/>
  <c r="BW9" i="84"/>
  <c r="BV9" i="84"/>
  <c r="BU9" i="84"/>
  <c r="BT9" i="84"/>
  <c r="BS9" i="84"/>
  <c r="BR9" i="84"/>
  <c r="W10" i="83" s="1"/>
  <c r="AM10" i="83" s="1"/>
  <c r="BQ9" i="84"/>
  <c r="BP9" i="84"/>
  <c r="BO9" i="84"/>
  <c r="BN9" i="84"/>
  <c r="BM9" i="84"/>
  <c r="BL9" i="84"/>
  <c r="AW9" i="84"/>
  <c r="AV9" i="84"/>
  <c r="AU9" i="84"/>
  <c r="AT9" i="84"/>
  <c r="AS9" i="84"/>
  <c r="AR9" i="84"/>
  <c r="AQ9" i="84"/>
  <c r="AP9" i="84"/>
  <c r="AO9" i="84"/>
  <c r="AN9" i="84"/>
  <c r="AM9" i="84"/>
  <c r="AL9" i="84"/>
  <c r="AK9" i="84"/>
  <c r="J9" i="84"/>
  <c r="AD9" i="84" s="1"/>
  <c r="I9" i="84"/>
  <c r="AC9" i="84" s="1"/>
  <c r="B9" i="84"/>
  <c r="BX8" i="84"/>
  <c r="BW8" i="84"/>
  <c r="BV8" i="84"/>
  <c r="BU8" i="84"/>
  <c r="BT8" i="84"/>
  <c r="BS8" i="84"/>
  <c r="BR8" i="84"/>
  <c r="BQ8" i="84"/>
  <c r="BP8" i="84"/>
  <c r="BO8" i="84"/>
  <c r="BN8" i="84"/>
  <c r="BM8" i="84"/>
  <c r="BL8" i="84"/>
  <c r="AW8" i="84"/>
  <c r="AV8" i="84"/>
  <c r="AU8" i="84"/>
  <c r="AT8" i="84"/>
  <c r="AS8" i="84"/>
  <c r="AR8" i="84"/>
  <c r="AQ8" i="84"/>
  <c r="AP8" i="84"/>
  <c r="AO8" i="84"/>
  <c r="AN8" i="84"/>
  <c r="AM8" i="84"/>
  <c r="AL8" i="84"/>
  <c r="AK8" i="84"/>
  <c r="J8" i="84"/>
  <c r="AD8" i="84" s="1"/>
  <c r="I8" i="84"/>
  <c r="AC8" i="84" s="1"/>
  <c r="B8" i="84"/>
  <c r="BX7" i="84"/>
  <c r="BW7" i="84"/>
  <c r="BV7" i="84"/>
  <c r="BU7" i="84"/>
  <c r="BT7" i="84"/>
  <c r="BS7" i="84"/>
  <c r="BR7" i="84"/>
  <c r="W8" i="83" s="1"/>
  <c r="AM8" i="83" s="1"/>
  <c r="BQ7" i="84"/>
  <c r="BP7" i="84"/>
  <c r="BO7" i="84"/>
  <c r="BN7" i="84"/>
  <c r="BM7" i="84"/>
  <c r="BL7" i="84"/>
  <c r="AW7" i="84"/>
  <c r="AV7" i="84"/>
  <c r="AU7" i="84"/>
  <c r="AT7" i="84"/>
  <c r="AS7" i="84"/>
  <c r="AR7" i="84"/>
  <c r="AQ7" i="84"/>
  <c r="AP7" i="84"/>
  <c r="AO7" i="84"/>
  <c r="AN7" i="84"/>
  <c r="AM7" i="84"/>
  <c r="AL7" i="84"/>
  <c r="AK7" i="84"/>
  <c r="J7" i="84"/>
  <c r="AD7" i="84" s="1"/>
  <c r="I7" i="84"/>
  <c r="AC7" i="84" s="1"/>
  <c r="B7" i="84"/>
  <c r="BX6" i="84"/>
  <c r="BW6" i="84"/>
  <c r="BV6" i="84"/>
  <c r="BU6" i="84"/>
  <c r="BT6" i="84"/>
  <c r="BS6" i="84"/>
  <c r="BR6" i="84"/>
  <c r="W7" i="83" s="1"/>
  <c r="AM7" i="83" s="1"/>
  <c r="BQ6" i="84"/>
  <c r="BP6" i="84"/>
  <c r="BO6" i="84"/>
  <c r="BN6" i="84"/>
  <c r="BM6" i="84"/>
  <c r="BL6" i="84"/>
  <c r="AW6" i="84"/>
  <c r="AV6" i="84"/>
  <c r="AU6" i="84"/>
  <c r="AT6" i="84"/>
  <c r="AS6" i="84"/>
  <c r="AR6" i="84"/>
  <c r="AQ6" i="84"/>
  <c r="AP6" i="84"/>
  <c r="AO6" i="84"/>
  <c r="AN6" i="84"/>
  <c r="AM6" i="84"/>
  <c r="AL6" i="84"/>
  <c r="AK6" i="84"/>
  <c r="J6" i="84"/>
  <c r="AD6" i="84" s="1"/>
  <c r="I6" i="84"/>
  <c r="AC6" i="84" s="1"/>
  <c r="B6" i="84"/>
  <c r="BX5" i="84"/>
  <c r="BW5" i="84"/>
  <c r="BV5" i="84"/>
  <c r="BU5" i="84"/>
  <c r="BT5" i="84"/>
  <c r="BS5" i="84"/>
  <c r="BR5" i="84"/>
  <c r="W6" i="83" s="1"/>
  <c r="AM6" i="83" s="1"/>
  <c r="BQ5" i="84"/>
  <c r="BP5" i="84"/>
  <c r="BO5" i="84"/>
  <c r="BN5" i="84"/>
  <c r="BM5" i="84"/>
  <c r="BL5" i="84"/>
  <c r="AW5" i="84"/>
  <c r="AV5" i="84"/>
  <c r="AU5" i="84"/>
  <c r="AT5" i="84"/>
  <c r="AS5" i="84"/>
  <c r="AR5" i="84"/>
  <c r="AQ5" i="84"/>
  <c r="AP5" i="84"/>
  <c r="AO5" i="84"/>
  <c r="AN5" i="84"/>
  <c r="AM5" i="84"/>
  <c r="AL5" i="84"/>
  <c r="AK5" i="84"/>
  <c r="J5" i="84"/>
  <c r="AD5" i="84" s="1"/>
  <c r="I5" i="84"/>
  <c r="AC5" i="84" s="1"/>
  <c r="B5" i="84"/>
  <c r="BX4" i="84"/>
  <c r="BW4" i="84"/>
  <c r="BV4" i="84"/>
  <c r="BU4" i="84"/>
  <c r="BT4" i="84"/>
  <c r="BS4" i="84"/>
  <c r="BR4" i="84"/>
  <c r="W5" i="83" s="1"/>
  <c r="AM5" i="83" s="1"/>
  <c r="BQ4" i="84"/>
  <c r="BP4" i="84"/>
  <c r="BO4" i="84"/>
  <c r="BN4" i="84"/>
  <c r="BM4" i="84"/>
  <c r="BL4" i="84"/>
  <c r="AW4" i="84"/>
  <c r="AV4" i="84"/>
  <c r="AU4" i="84"/>
  <c r="AT4" i="84"/>
  <c r="AS4" i="84"/>
  <c r="AR4" i="84"/>
  <c r="AQ4" i="84"/>
  <c r="AP4" i="84"/>
  <c r="AO4" i="84"/>
  <c r="AN4" i="84"/>
  <c r="AM4" i="84"/>
  <c r="AL4" i="84"/>
  <c r="AK4" i="84"/>
  <c r="J4" i="84"/>
  <c r="AD4" i="84" s="1"/>
  <c r="I4" i="84"/>
  <c r="AC4" i="84" s="1"/>
  <c r="B4" i="84"/>
  <c r="BX3" i="84"/>
  <c r="BW3" i="84"/>
  <c r="BV3" i="84"/>
  <c r="BU3" i="84"/>
  <c r="BT3" i="84"/>
  <c r="BS3" i="84"/>
  <c r="BR3" i="84"/>
  <c r="W4" i="83" s="1"/>
  <c r="AM4" i="83" s="1"/>
  <c r="BQ3" i="84"/>
  <c r="BP3" i="84"/>
  <c r="BO3" i="84"/>
  <c r="BN3" i="84"/>
  <c r="BM3" i="84"/>
  <c r="BL3" i="84"/>
  <c r="AW3" i="84"/>
  <c r="AV3" i="84"/>
  <c r="AU3" i="84"/>
  <c r="AT3" i="84"/>
  <c r="AS3" i="84"/>
  <c r="AR3" i="84"/>
  <c r="AQ3" i="84"/>
  <c r="AP3" i="84"/>
  <c r="AO3" i="84"/>
  <c r="AN3" i="84"/>
  <c r="AM3" i="84"/>
  <c r="AL3" i="84"/>
  <c r="AK3" i="84"/>
  <c r="J3" i="84"/>
  <c r="AD3" i="84" s="1"/>
  <c r="I3" i="84"/>
  <c r="AC3" i="84" s="1"/>
  <c r="B3" i="84"/>
  <c r="BX2" i="84"/>
  <c r="BW2" i="84"/>
  <c r="BV2" i="84"/>
  <c r="BU2" i="84"/>
  <c r="BT2" i="84"/>
  <c r="BS2" i="84"/>
  <c r="BR2" i="84"/>
  <c r="W3" i="83" s="1"/>
  <c r="AM3" i="83" s="1"/>
  <c r="BQ2" i="84"/>
  <c r="BP2" i="84"/>
  <c r="BO2" i="84"/>
  <c r="BN2" i="84"/>
  <c r="BM2" i="84"/>
  <c r="BL2" i="84"/>
  <c r="AW2" i="84"/>
  <c r="AV2" i="84"/>
  <c r="AU2" i="84"/>
  <c r="AT2" i="84"/>
  <c r="AS2" i="84"/>
  <c r="AR2" i="84"/>
  <c r="AQ2" i="84"/>
  <c r="AP2" i="84"/>
  <c r="AO2" i="84"/>
  <c r="AN2" i="84"/>
  <c r="AM2" i="84"/>
  <c r="AL2" i="84"/>
  <c r="AK2" i="84"/>
  <c r="J2" i="84"/>
  <c r="AD2" i="84" s="1"/>
  <c r="I2" i="84"/>
  <c r="AC2" i="84" s="1"/>
  <c r="B2" i="84"/>
  <c r="BX1" i="84"/>
  <c r="BW1" i="84"/>
  <c r="BV1" i="84"/>
  <c r="BU1" i="84"/>
  <c r="BT1" i="84"/>
  <c r="BS1" i="84"/>
  <c r="BR1" i="84"/>
  <c r="W2" i="83" s="1"/>
  <c r="AM2" i="83" s="1"/>
  <c r="BQ1" i="84"/>
  <c r="BP1" i="84"/>
  <c r="BO1" i="84"/>
  <c r="BN1" i="84"/>
  <c r="BM1" i="84"/>
  <c r="BL1" i="84"/>
  <c r="AW1" i="84"/>
  <c r="AV1" i="84"/>
  <c r="AU1" i="84"/>
  <c r="AT1" i="84"/>
  <c r="AS1" i="84"/>
  <c r="AR1" i="84"/>
  <c r="AQ1" i="84"/>
  <c r="AP1" i="84"/>
  <c r="AO1" i="84"/>
  <c r="AN1" i="84"/>
  <c r="AM1" i="84"/>
  <c r="AL1" i="84"/>
  <c r="AK1" i="84"/>
  <c r="V4" i="83"/>
  <c r="AL4" i="83" s="1"/>
  <c r="V5" i="83"/>
  <c r="AL5" i="83" s="1"/>
  <c r="V6" i="83"/>
  <c r="AL6" i="83" s="1"/>
  <c r="V7" i="83"/>
  <c r="AL7" i="83" s="1"/>
  <c r="V8" i="83"/>
  <c r="AL8" i="83" s="1"/>
  <c r="V10" i="83"/>
  <c r="AL10" i="83" s="1"/>
  <c r="V11" i="83"/>
  <c r="AL11" i="83" s="1"/>
  <c r="V12" i="83"/>
  <c r="AL12" i="83" s="1"/>
  <c r="V13" i="83"/>
  <c r="AL13" i="83" s="1"/>
  <c r="V14" i="83"/>
  <c r="AL14" i="83" s="1"/>
  <c r="V15" i="83"/>
  <c r="AL15" i="83" s="1"/>
  <c r="V16" i="83"/>
  <c r="AL16" i="83" s="1"/>
  <c r="V17" i="83"/>
  <c r="AL17" i="83" s="1"/>
  <c r="V18" i="83"/>
  <c r="AL18" i="83" s="1"/>
  <c r="V19" i="83"/>
  <c r="AL19" i="83" s="1"/>
  <c r="V20" i="83"/>
  <c r="AL20" i="83" s="1"/>
  <c r="V21" i="83"/>
  <c r="AL21" i="83" s="1"/>
  <c r="V22" i="83"/>
  <c r="AL22" i="83" s="1"/>
  <c r="V23" i="83"/>
  <c r="AL23" i="83" s="1"/>
  <c r="V24" i="83"/>
  <c r="AL24" i="83" s="1"/>
  <c r="V25" i="83"/>
  <c r="AL25" i="83" s="1"/>
  <c r="V26" i="83"/>
  <c r="AL26" i="83" s="1"/>
  <c r="V27" i="83"/>
  <c r="AL27" i="83" s="1"/>
  <c r="V28" i="83"/>
  <c r="AL28" i="83" s="1"/>
  <c r="V29" i="83"/>
  <c r="AL29" i="83" s="1"/>
  <c r="V30" i="83"/>
  <c r="AL30" i="83" s="1"/>
  <c r="V31" i="83"/>
  <c r="AL31" i="83" s="1"/>
  <c r="V32" i="83"/>
  <c r="AL32" i="83" s="1"/>
  <c r="V33" i="83"/>
  <c r="AL33" i="83" s="1"/>
  <c r="V34" i="83"/>
  <c r="AL34" i="83" s="1"/>
  <c r="V35" i="83"/>
  <c r="AL35" i="83" s="1"/>
  <c r="V36" i="83"/>
  <c r="AL36" i="83" s="1"/>
  <c r="V37" i="83"/>
  <c r="AL37" i="83" s="1"/>
  <c r="V38" i="83"/>
  <c r="AL38" i="83" s="1"/>
  <c r="V39" i="83"/>
  <c r="AL39" i="83" s="1"/>
  <c r="V40" i="83"/>
  <c r="AL40" i="83" s="1"/>
  <c r="V41" i="83"/>
  <c r="AL41" i="83" s="1"/>
  <c r="V42" i="83"/>
  <c r="AL42" i="83" s="1"/>
  <c r="V43" i="83"/>
  <c r="AL43" i="83" s="1"/>
  <c r="V44" i="83"/>
  <c r="AL44" i="83" s="1"/>
  <c r="V45" i="83"/>
  <c r="AL45" i="83" s="1"/>
  <c r="V46" i="83"/>
  <c r="AL46" i="83" s="1"/>
  <c r="V47" i="83"/>
  <c r="AL47" i="83" s="1"/>
  <c r="V48" i="83"/>
  <c r="AL48" i="83" s="1"/>
  <c r="T4" i="83"/>
  <c r="U4" i="83" s="1"/>
  <c r="T5" i="83"/>
  <c r="U5" i="83" s="1"/>
  <c r="T6" i="83"/>
  <c r="U6" i="83" s="1"/>
  <c r="T7" i="83"/>
  <c r="AK7" i="83" s="1"/>
  <c r="T8" i="83"/>
  <c r="U8" i="83" s="1"/>
  <c r="T9" i="83"/>
  <c r="U9" i="83" s="1"/>
  <c r="T10" i="83"/>
  <c r="U10" i="83" s="1"/>
  <c r="T11" i="83"/>
  <c r="AK11" i="83" s="1"/>
  <c r="T12" i="83"/>
  <c r="U12" i="83" s="1"/>
  <c r="T13" i="83"/>
  <c r="U13" i="83" s="1"/>
  <c r="T14" i="83"/>
  <c r="U14" i="83" s="1"/>
  <c r="T15" i="83"/>
  <c r="AK15" i="83" s="1"/>
  <c r="T16" i="83"/>
  <c r="U16" i="83" s="1"/>
  <c r="T17" i="83"/>
  <c r="U17" i="83" s="1"/>
  <c r="T18" i="83"/>
  <c r="U18" i="83" s="1"/>
  <c r="T19" i="83"/>
  <c r="AK19" i="83" s="1"/>
  <c r="T20" i="83"/>
  <c r="U20" i="83" s="1"/>
  <c r="T21" i="83"/>
  <c r="U21" i="83" s="1"/>
  <c r="T22" i="83"/>
  <c r="U22" i="83" s="1"/>
  <c r="T23" i="83"/>
  <c r="AK23" i="83" s="1"/>
  <c r="T24" i="83"/>
  <c r="U24" i="83" s="1"/>
  <c r="T25" i="83"/>
  <c r="U25" i="83" s="1"/>
  <c r="T26" i="83"/>
  <c r="U26" i="83" s="1"/>
  <c r="T27" i="83"/>
  <c r="AK27" i="83" s="1"/>
  <c r="T28" i="83"/>
  <c r="U28" i="83" s="1"/>
  <c r="T29" i="83"/>
  <c r="U29" i="83" s="1"/>
  <c r="T30" i="83"/>
  <c r="U30" i="83" s="1"/>
  <c r="T31" i="83"/>
  <c r="AK31" i="83" s="1"/>
  <c r="T32" i="83"/>
  <c r="U32" i="83" s="1"/>
  <c r="T33" i="83"/>
  <c r="U33" i="83" s="1"/>
  <c r="T34" i="83"/>
  <c r="U34" i="83" s="1"/>
  <c r="T35" i="83"/>
  <c r="AK35" i="83" s="1"/>
  <c r="T36" i="83"/>
  <c r="U36" i="83" s="1"/>
  <c r="T37" i="83"/>
  <c r="U37" i="83" s="1"/>
  <c r="T38" i="83"/>
  <c r="U38" i="83" s="1"/>
  <c r="T39" i="83"/>
  <c r="AK39" i="83" s="1"/>
  <c r="T40" i="83"/>
  <c r="U40" i="83" s="1"/>
  <c r="T41" i="83"/>
  <c r="U41" i="83" s="1"/>
  <c r="T42" i="83"/>
  <c r="U42" i="83" s="1"/>
  <c r="T43" i="83"/>
  <c r="U43" i="83" s="1"/>
  <c r="T44" i="83"/>
  <c r="U44" i="83" s="1"/>
  <c r="T45" i="83"/>
  <c r="U45" i="83" s="1"/>
  <c r="T46" i="83"/>
  <c r="U46" i="83" s="1"/>
  <c r="T47" i="83"/>
  <c r="U47" i="83" s="1"/>
  <c r="T48" i="83"/>
  <c r="U48" i="83" s="1"/>
  <c r="T3" i="83"/>
  <c r="V3" i="83"/>
  <c r="AL3" i="83" s="1"/>
  <c r="V2" i="83"/>
  <c r="AL2" i="83" s="1"/>
  <c r="L13" i="84" l="1"/>
  <c r="L99" i="71"/>
  <c r="L9" i="84"/>
  <c r="L95" i="71"/>
  <c r="L107" i="71" s="1"/>
  <c r="L5" i="84"/>
  <c r="L91" i="71"/>
  <c r="P96" i="71"/>
  <c r="L93" i="71"/>
  <c r="L105" i="71" s="1"/>
  <c r="M2" i="84"/>
  <c r="P89" i="71"/>
  <c r="T98" i="71"/>
  <c r="L92" i="71"/>
  <c r="L18" i="84" s="1"/>
  <c r="U97" i="71"/>
  <c r="U11" i="84"/>
  <c r="P99" i="71"/>
  <c r="P13" i="84"/>
  <c r="Y14" i="83" s="1"/>
  <c r="T95" i="71"/>
  <c r="T9" i="84"/>
  <c r="R94" i="71"/>
  <c r="R8" i="84"/>
  <c r="N88" i="71"/>
  <c r="N2" i="84"/>
  <c r="P2" i="84"/>
  <c r="Y3" i="83" s="1"/>
  <c r="P88" i="71"/>
  <c r="R96" i="71"/>
  <c r="R10" i="84"/>
  <c r="Q89" i="71"/>
  <c r="Q3" i="84"/>
  <c r="N92" i="71"/>
  <c r="N6" i="84"/>
  <c r="V88" i="71"/>
  <c r="V2" i="84"/>
  <c r="N96" i="71"/>
  <c r="N10" i="84"/>
  <c r="T10" i="84"/>
  <c r="T96" i="71"/>
  <c r="R97" i="71"/>
  <c r="R11" i="84"/>
  <c r="P5" i="84"/>
  <c r="Y6" i="83" s="1"/>
  <c r="P91" i="71"/>
  <c r="R89" i="71"/>
  <c r="R3" i="84"/>
  <c r="T2" i="84"/>
  <c r="T88" i="71"/>
  <c r="P7" i="84"/>
  <c r="Y8" i="83" s="1"/>
  <c r="P93" i="71"/>
  <c r="O91" i="71"/>
  <c r="O5" i="84"/>
  <c r="V3" i="84"/>
  <c r="V89" i="71"/>
  <c r="L109" i="71"/>
  <c r="L23" i="84"/>
  <c r="W95" i="71"/>
  <c r="W9" i="84"/>
  <c r="U94" i="71"/>
  <c r="U8" i="84"/>
  <c r="T99" i="71"/>
  <c r="T13" i="84"/>
  <c r="W98" i="71"/>
  <c r="W12" i="84"/>
  <c r="S98" i="71"/>
  <c r="S12" i="84"/>
  <c r="O98" i="71"/>
  <c r="O12" i="84"/>
  <c r="L111" i="71"/>
  <c r="L37" i="84" s="1"/>
  <c r="L25" i="84"/>
  <c r="L108" i="71"/>
  <c r="L22" i="84"/>
  <c r="P90" i="71"/>
  <c r="V97" i="71"/>
  <c r="V11" i="84"/>
  <c r="O94" i="71"/>
  <c r="O8" i="84"/>
  <c r="U96" i="71"/>
  <c r="U10" i="84"/>
  <c r="U95" i="71"/>
  <c r="U9" i="84"/>
  <c r="U93" i="71"/>
  <c r="U7" i="84"/>
  <c r="V13" i="84"/>
  <c r="V99" i="71"/>
  <c r="O93" i="71"/>
  <c r="O7" i="84"/>
  <c r="L4" i="84"/>
  <c r="L90" i="71"/>
  <c r="Q98" i="71"/>
  <c r="Q12" i="84"/>
  <c r="R7" i="84"/>
  <c r="R93" i="71"/>
  <c r="V90" i="71"/>
  <c r="V4" i="84"/>
  <c r="N97" i="71"/>
  <c r="N11" i="84"/>
  <c r="N95" i="71"/>
  <c r="N9" i="84"/>
  <c r="V93" i="71"/>
  <c r="V7" i="84"/>
  <c r="V91" i="71"/>
  <c r="V5" i="84"/>
  <c r="N99" i="71"/>
  <c r="N13" i="84"/>
  <c r="W45" i="83"/>
  <c r="AM45" i="83" s="1"/>
  <c r="AD44" i="84"/>
  <c r="M98" i="71"/>
  <c r="M12" i="84"/>
  <c r="V116" i="71"/>
  <c r="V42" i="84" s="1"/>
  <c r="V30" i="84"/>
  <c r="T103" i="71"/>
  <c r="T17" i="84"/>
  <c r="P101" i="71"/>
  <c r="P15" i="84"/>
  <c r="Y16" i="83" s="1"/>
  <c r="M99" i="71"/>
  <c r="M13" i="84"/>
  <c r="V96" i="71"/>
  <c r="V10" i="84"/>
  <c r="V95" i="71"/>
  <c r="V9" i="84"/>
  <c r="T6" i="84"/>
  <c r="T92" i="71"/>
  <c r="O88" i="71"/>
  <c r="O2" i="84"/>
  <c r="M95" i="71"/>
  <c r="M9" i="84"/>
  <c r="R6" i="84"/>
  <c r="R92" i="71"/>
  <c r="N5" i="84"/>
  <c r="N91" i="71"/>
  <c r="N4" i="84"/>
  <c r="N90" i="71"/>
  <c r="R9" i="84"/>
  <c r="R95" i="71"/>
  <c r="Q93" i="71"/>
  <c r="Q7" i="84"/>
  <c r="Q90" i="71"/>
  <c r="Q4" i="84"/>
  <c r="L2" i="84"/>
  <c r="L88" i="71"/>
  <c r="V8" i="84"/>
  <c r="V94" i="71"/>
  <c r="L8" i="84"/>
  <c r="L94" i="71"/>
  <c r="Q112" i="71"/>
  <c r="Q38" i="84" s="1"/>
  <c r="Q26" i="84"/>
  <c r="P108" i="71"/>
  <c r="P22" i="84"/>
  <c r="Y23" i="83" s="1"/>
  <c r="L103" i="71"/>
  <c r="L17" i="84"/>
  <c r="R88" i="71"/>
  <c r="P9" i="84"/>
  <c r="Y10" i="83" s="1"/>
  <c r="P95" i="71"/>
  <c r="P6" i="84"/>
  <c r="Y7" i="83" s="1"/>
  <c r="P92" i="71"/>
  <c r="O90" i="71"/>
  <c r="O4" i="84"/>
  <c r="Q97" i="71"/>
  <c r="Q11" i="84"/>
  <c r="M92" i="71"/>
  <c r="M6" i="84"/>
  <c r="V98" i="71"/>
  <c r="V12" i="84"/>
  <c r="R98" i="71"/>
  <c r="R12" i="84"/>
  <c r="N98" i="71"/>
  <c r="N12" i="84"/>
  <c r="N106" i="71"/>
  <c r="T110" i="71"/>
  <c r="T36" i="84" s="1"/>
  <c r="T24" i="84"/>
  <c r="L104" i="71"/>
  <c r="T89" i="71"/>
  <c r="R13" i="84"/>
  <c r="R99" i="71"/>
  <c r="N93" i="71"/>
  <c r="N7" i="84"/>
  <c r="R5" i="84"/>
  <c r="R91" i="71"/>
  <c r="R90" i="71"/>
  <c r="R4" i="84"/>
  <c r="N89" i="71"/>
  <c r="N3" i="84"/>
  <c r="U99" i="71"/>
  <c r="U13" i="84"/>
  <c r="Q94" i="71"/>
  <c r="Q8" i="84"/>
  <c r="U90" i="71"/>
  <c r="U4" i="84"/>
  <c r="T97" i="71"/>
  <c r="T11" i="84"/>
  <c r="T94" i="71"/>
  <c r="T8" i="84"/>
  <c r="M96" i="71"/>
  <c r="M10" i="84"/>
  <c r="P94" i="71"/>
  <c r="P8" i="84"/>
  <c r="Y9" i="83" s="1"/>
  <c r="L3" i="84"/>
  <c r="L89" i="71"/>
  <c r="M100" i="71"/>
  <c r="M14" i="84"/>
  <c r="M97" i="71"/>
  <c r="M11" i="84"/>
  <c r="M93" i="71"/>
  <c r="M7" i="84"/>
  <c r="U91" i="71"/>
  <c r="U5" i="84"/>
  <c r="M89" i="71"/>
  <c r="M3" i="84"/>
  <c r="L11" i="84"/>
  <c r="U98" i="71"/>
  <c r="U12" i="84"/>
  <c r="P109" i="71"/>
  <c r="P23" i="84"/>
  <c r="Y24" i="83" s="1"/>
  <c r="Q96" i="71"/>
  <c r="Q10" i="84"/>
  <c r="T4" i="84"/>
  <c r="T90" i="71"/>
  <c r="Q95" i="71"/>
  <c r="Q9" i="84"/>
  <c r="M90" i="71"/>
  <c r="M4" i="84"/>
  <c r="Q99" i="71"/>
  <c r="Q13" i="84"/>
  <c r="M94" i="71"/>
  <c r="M8" i="84"/>
  <c r="U92" i="71"/>
  <c r="U6" i="84"/>
  <c r="Q92" i="71"/>
  <c r="Q6" i="84"/>
  <c r="Q91" i="71"/>
  <c r="Q5" i="84"/>
  <c r="M91" i="71"/>
  <c r="M5" i="84"/>
  <c r="U89" i="71"/>
  <c r="U3" i="84"/>
  <c r="W92" i="71"/>
  <c r="W6" i="84"/>
  <c r="S99" i="71"/>
  <c r="S13" i="84"/>
  <c r="U100" i="71"/>
  <c r="U14" i="84"/>
  <c r="T93" i="71"/>
  <c r="T7" i="84"/>
  <c r="L98" i="71"/>
  <c r="L12" i="84"/>
  <c r="W90" i="71"/>
  <c r="W4" i="84"/>
  <c r="P24" i="84"/>
  <c r="Y25" i="83" s="1"/>
  <c r="W97" i="71"/>
  <c r="W11" i="84"/>
  <c r="S97" i="71"/>
  <c r="S11" i="84"/>
  <c r="O97" i="71"/>
  <c r="O11" i="84"/>
  <c r="W96" i="71"/>
  <c r="W10" i="84"/>
  <c r="S96" i="71"/>
  <c r="S10" i="84"/>
  <c r="O96" i="71"/>
  <c r="O10" i="84"/>
  <c r="S95" i="71"/>
  <c r="S9" i="84"/>
  <c r="O95" i="71"/>
  <c r="O9" i="84"/>
  <c r="W94" i="71"/>
  <c r="W8" i="84"/>
  <c r="S94" i="71"/>
  <c r="S8" i="84"/>
  <c r="W93" i="71"/>
  <c r="W7" i="84"/>
  <c r="S93" i="71"/>
  <c r="S7" i="84"/>
  <c r="S92" i="71"/>
  <c r="S6" i="84"/>
  <c r="O92" i="71"/>
  <c r="O6" i="84"/>
  <c r="W91" i="71"/>
  <c r="W5" i="84"/>
  <c r="S91" i="71"/>
  <c r="S5" i="84"/>
  <c r="S90" i="71"/>
  <c r="S4" i="84"/>
  <c r="W89" i="71"/>
  <c r="W3" i="84"/>
  <c r="S89" i="71"/>
  <c r="S3" i="84"/>
  <c r="O89" i="71"/>
  <c r="O3" i="84"/>
  <c r="W100" i="71"/>
  <c r="W14" i="84"/>
  <c r="S100" i="71"/>
  <c r="S14" i="84"/>
  <c r="W99" i="71"/>
  <c r="W13" i="84"/>
  <c r="O99" i="71"/>
  <c r="O13" i="84"/>
  <c r="W2" i="84"/>
  <c r="S2" i="84"/>
  <c r="P12" i="84"/>
  <c r="Y13" i="83" s="1"/>
  <c r="AK36" i="83"/>
  <c r="AK20" i="83"/>
  <c r="AK47" i="83"/>
  <c r="AK4" i="83"/>
  <c r="AK44" i="83"/>
  <c r="AK28" i="83"/>
  <c r="AK12" i="83"/>
  <c r="AK43" i="83"/>
  <c r="AK48" i="83"/>
  <c r="AK40" i="83"/>
  <c r="AK32" i="83"/>
  <c r="AK24" i="83"/>
  <c r="AK16" i="83"/>
  <c r="AK8" i="83"/>
  <c r="AK3" i="83"/>
  <c r="AK46" i="83"/>
  <c r="AK42" i="83"/>
  <c r="AK38" i="83"/>
  <c r="AK34" i="83"/>
  <c r="AK30" i="83"/>
  <c r="AK26" i="83"/>
  <c r="AK22" i="83"/>
  <c r="AK18" i="83"/>
  <c r="AK14" i="83"/>
  <c r="AK10" i="83"/>
  <c r="AK6" i="83"/>
  <c r="Z3" i="83"/>
  <c r="AA3" i="83" s="1"/>
  <c r="AB3" i="83" s="1"/>
  <c r="AK45" i="83"/>
  <c r="AK41" i="83"/>
  <c r="AK37" i="83"/>
  <c r="AK33" i="83"/>
  <c r="AK29" i="83"/>
  <c r="AK25" i="83"/>
  <c r="AK21" i="83"/>
  <c r="AK17" i="83"/>
  <c r="AK13" i="83"/>
  <c r="AK9" i="83"/>
  <c r="AK5" i="83"/>
  <c r="AD38" i="84"/>
  <c r="AD42" i="84"/>
  <c r="AD43" i="84"/>
  <c r="W48" i="83"/>
  <c r="AM48" i="83" s="1"/>
  <c r="W40" i="83"/>
  <c r="AM40" i="83" s="1"/>
  <c r="AH3" i="84"/>
  <c r="AD46" i="84"/>
  <c r="AD41" i="84"/>
  <c r="W46" i="83"/>
  <c r="AM46" i="83" s="1"/>
  <c r="U3" i="83"/>
  <c r="U39" i="83"/>
  <c r="U35" i="83"/>
  <c r="U31" i="83"/>
  <c r="U27" i="83"/>
  <c r="U23" i="83"/>
  <c r="U19" i="83"/>
  <c r="U15" i="83"/>
  <c r="U11" i="83"/>
  <c r="U7" i="83"/>
  <c r="D25" i="18"/>
  <c r="L21" i="84" l="1"/>
  <c r="L19" i="84"/>
  <c r="W102" i="71"/>
  <c r="W16" i="84"/>
  <c r="S25" i="84"/>
  <c r="S111" i="71"/>
  <c r="S37" i="84" s="1"/>
  <c r="Q103" i="71"/>
  <c r="Q17" i="84"/>
  <c r="Q111" i="71"/>
  <c r="Q37" i="84" s="1"/>
  <c r="Q25" i="84"/>
  <c r="Q21" i="84"/>
  <c r="Q107" i="71"/>
  <c r="U110" i="71"/>
  <c r="U36" i="84" s="1"/>
  <c r="U24" i="84"/>
  <c r="L101" i="71"/>
  <c r="L15" i="84"/>
  <c r="R111" i="71"/>
  <c r="R37" i="84" s="1"/>
  <c r="R25" i="84"/>
  <c r="P107" i="71"/>
  <c r="P21" i="84"/>
  <c r="Y22" i="83" s="1"/>
  <c r="Q105" i="71"/>
  <c r="Q19" i="84"/>
  <c r="V21" i="84"/>
  <c r="V107" i="71"/>
  <c r="T29" i="84"/>
  <c r="T115" i="71"/>
  <c r="T41" i="84" s="1"/>
  <c r="N111" i="71"/>
  <c r="N37" i="84" s="1"/>
  <c r="N25" i="84"/>
  <c r="N23" i="84"/>
  <c r="N109" i="71"/>
  <c r="U21" i="84"/>
  <c r="U107" i="71"/>
  <c r="P103" i="71"/>
  <c r="P17" i="84"/>
  <c r="Y18" i="83" s="1"/>
  <c r="W111" i="71"/>
  <c r="W37" i="84" s="1"/>
  <c r="W25" i="84"/>
  <c r="S101" i="71"/>
  <c r="S15" i="84"/>
  <c r="W103" i="71"/>
  <c r="W17" i="84"/>
  <c r="W105" i="71"/>
  <c r="W19" i="84"/>
  <c r="W106" i="71"/>
  <c r="W20" i="84"/>
  <c r="S108" i="71"/>
  <c r="S22" i="84"/>
  <c r="W109" i="71"/>
  <c r="W23" i="84"/>
  <c r="M23" i="84"/>
  <c r="M109" i="71"/>
  <c r="M22" i="84"/>
  <c r="M108" i="71"/>
  <c r="Q106" i="71"/>
  <c r="Q20" i="84"/>
  <c r="R110" i="71"/>
  <c r="R36" i="84" s="1"/>
  <c r="R24" i="84"/>
  <c r="V20" i="84"/>
  <c r="V106" i="71"/>
  <c r="R21" i="84"/>
  <c r="R107" i="71"/>
  <c r="T104" i="71"/>
  <c r="T18" i="84"/>
  <c r="O110" i="71"/>
  <c r="O36" i="84" s="1"/>
  <c r="O24" i="84"/>
  <c r="U106" i="71"/>
  <c r="U20" i="84"/>
  <c r="O103" i="71"/>
  <c r="O17" i="84"/>
  <c r="R20" i="84"/>
  <c r="R106" i="71"/>
  <c r="L110" i="71"/>
  <c r="L36" i="84" s="1"/>
  <c r="L24" i="84"/>
  <c r="U112" i="71"/>
  <c r="U38" i="84" s="1"/>
  <c r="U26" i="84"/>
  <c r="W104" i="71"/>
  <c r="W18" i="84"/>
  <c r="M103" i="71"/>
  <c r="M17" i="84"/>
  <c r="Q104" i="71"/>
  <c r="Q18" i="84"/>
  <c r="M106" i="71"/>
  <c r="M20" i="84"/>
  <c r="M102" i="71"/>
  <c r="M16" i="84"/>
  <c r="P121" i="71"/>
  <c r="P47" i="84" s="1"/>
  <c r="Y48" i="83" s="1"/>
  <c r="P35" i="84"/>
  <c r="Y36" i="83" s="1"/>
  <c r="T101" i="71"/>
  <c r="T15" i="84"/>
  <c r="L119" i="71"/>
  <c r="L45" i="84" s="1"/>
  <c r="L33" i="84"/>
  <c r="P104" i="71"/>
  <c r="P18" i="84"/>
  <c r="Y19" i="83" s="1"/>
  <c r="R14" i="84"/>
  <c r="R100" i="71"/>
  <c r="L117" i="71"/>
  <c r="L43" i="84" s="1"/>
  <c r="L31" i="84"/>
  <c r="Q102" i="71"/>
  <c r="Q16" i="84"/>
  <c r="M21" i="84"/>
  <c r="M107" i="71"/>
  <c r="V22" i="84"/>
  <c r="V108" i="71"/>
  <c r="P27" i="84"/>
  <c r="Y28" i="83" s="1"/>
  <c r="P113" i="71"/>
  <c r="P39" i="84" s="1"/>
  <c r="Y40" i="83" s="1"/>
  <c r="V17" i="84"/>
  <c r="V103" i="71"/>
  <c r="N21" i="84"/>
  <c r="N107" i="71"/>
  <c r="V102" i="71"/>
  <c r="V16" i="84"/>
  <c r="Q24" i="84"/>
  <c r="Q110" i="71"/>
  <c r="Q36" i="84" s="1"/>
  <c r="O105" i="71"/>
  <c r="O19" i="84"/>
  <c r="U105" i="71"/>
  <c r="U19" i="84"/>
  <c r="U22" i="84"/>
  <c r="U108" i="71"/>
  <c r="V23" i="84"/>
  <c r="V109" i="71"/>
  <c r="V15" i="84"/>
  <c r="V101" i="71"/>
  <c r="P105" i="71"/>
  <c r="P19" i="84"/>
  <c r="Y20" i="83" s="1"/>
  <c r="T105" i="71"/>
  <c r="T19" i="84"/>
  <c r="U101" i="71"/>
  <c r="U15" i="84"/>
  <c r="U104" i="71"/>
  <c r="U18" i="84"/>
  <c r="Q22" i="84"/>
  <c r="Q108" i="71"/>
  <c r="R17" i="84"/>
  <c r="R103" i="71"/>
  <c r="L30" i="84"/>
  <c r="L116" i="71"/>
  <c r="L42" i="84" s="1"/>
  <c r="L29" i="84"/>
  <c r="L115" i="71"/>
  <c r="L41" i="84" s="1"/>
  <c r="P120" i="71"/>
  <c r="P46" i="84" s="1"/>
  <c r="Y47" i="83" s="1"/>
  <c r="P34" i="84"/>
  <c r="Y35" i="83" s="1"/>
  <c r="O100" i="71"/>
  <c r="O14" i="84"/>
  <c r="M111" i="71"/>
  <c r="M37" i="84" s="1"/>
  <c r="M25" i="84"/>
  <c r="M24" i="84"/>
  <c r="M110" i="71"/>
  <c r="M36" i="84" s="1"/>
  <c r="V19" i="84"/>
  <c r="V105" i="71"/>
  <c r="O106" i="71"/>
  <c r="O20" i="84"/>
  <c r="T100" i="71"/>
  <c r="T14" i="84"/>
  <c r="T108" i="71"/>
  <c r="T22" i="84"/>
  <c r="P100" i="71"/>
  <c r="P14" i="84"/>
  <c r="Y15" i="83" s="1"/>
  <c r="W112" i="71"/>
  <c r="W38" i="84" s="1"/>
  <c r="W26" i="84"/>
  <c r="S102" i="71"/>
  <c r="S16" i="84"/>
  <c r="S104" i="71"/>
  <c r="S18" i="84"/>
  <c r="S107" i="71"/>
  <c r="S21" i="84"/>
  <c r="O109" i="71"/>
  <c r="O23" i="84"/>
  <c r="T102" i="71"/>
  <c r="T16" i="84"/>
  <c r="U103" i="71"/>
  <c r="U17" i="84"/>
  <c r="T109" i="71"/>
  <c r="T23" i="84"/>
  <c r="N15" i="84"/>
  <c r="N101" i="71"/>
  <c r="N118" i="71"/>
  <c r="N44" i="84" s="1"/>
  <c r="N32" i="84"/>
  <c r="M104" i="71"/>
  <c r="M18" i="84"/>
  <c r="O102" i="71"/>
  <c r="O16" i="84"/>
  <c r="N17" i="84"/>
  <c r="N103" i="71"/>
  <c r="L120" i="71"/>
  <c r="L46" i="84" s="1"/>
  <c r="L34" i="84"/>
  <c r="W110" i="71"/>
  <c r="W36" i="84" s="1"/>
  <c r="W24" i="84"/>
  <c r="L121" i="71"/>
  <c r="L47" i="84" s="1"/>
  <c r="L35" i="84"/>
  <c r="V14" i="84"/>
  <c r="V100" i="71"/>
  <c r="Q101" i="71"/>
  <c r="Q15" i="84"/>
  <c r="P111" i="71"/>
  <c r="P37" i="84" s="1"/>
  <c r="Y38" i="83" s="1"/>
  <c r="P25" i="84"/>
  <c r="Y26" i="83" s="1"/>
  <c r="O111" i="71"/>
  <c r="O37" i="84" s="1"/>
  <c r="O25" i="84"/>
  <c r="S112" i="71"/>
  <c r="S38" i="84" s="1"/>
  <c r="S26" i="84"/>
  <c r="O101" i="71"/>
  <c r="O15" i="84"/>
  <c r="W101" i="71"/>
  <c r="W15" i="84"/>
  <c r="S103" i="71"/>
  <c r="S17" i="84"/>
  <c r="O104" i="71"/>
  <c r="O18" i="84"/>
  <c r="S105" i="71"/>
  <c r="S19" i="84"/>
  <c r="S106" i="71"/>
  <c r="S20" i="84"/>
  <c r="O107" i="71"/>
  <c r="O21" i="84"/>
  <c r="O108" i="71"/>
  <c r="O22" i="84"/>
  <c r="W108" i="71"/>
  <c r="W22" i="84"/>
  <c r="S109" i="71"/>
  <c r="S23" i="84"/>
  <c r="M101" i="71"/>
  <c r="M15" i="84"/>
  <c r="M105" i="71"/>
  <c r="M19" i="84"/>
  <c r="M112" i="71"/>
  <c r="M38" i="84" s="1"/>
  <c r="M26" i="84"/>
  <c r="P106" i="71"/>
  <c r="P20" i="84"/>
  <c r="Y21" i="83" s="1"/>
  <c r="T106" i="71"/>
  <c r="T20" i="84"/>
  <c r="U102" i="71"/>
  <c r="U16" i="84"/>
  <c r="U111" i="71"/>
  <c r="U37" i="84" s="1"/>
  <c r="U25" i="84"/>
  <c r="R16" i="84"/>
  <c r="R102" i="71"/>
  <c r="N19" i="84"/>
  <c r="N105" i="71"/>
  <c r="N110" i="71"/>
  <c r="N36" i="84" s="1"/>
  <c r="N24" i="84"/>
  <c r="V110" i="71"/>
  <c r="V36" i="84" s="1"/>
  <c r="V24" i="84"/>
  <c r="Q23" i="84"/>
  <c r="Q109" i="71"/>
  <c r="L106" i="71"/>
  <c r="L20" i="84"/>
  <c r="L100" i="71"/>
  <c r="L14" i="84"/>
  <c r="N16" i="84"/>
  <c r="N102" i="71"/>
  <c r="R18" i="84"/>
  <c r="R104" i="71"/>
  <c r="R19" i="84"/>
  <c r="R105" i="71"/>
  <c r="L102" i="71"/>
  <c r="L16" i="84"/>
  <c r="V111" i="71"/>
  <c r="V37" i="84" s="1"/>
  <c r="V25" i="84"/>
  <c r="P102" i="71"/>
  <c r="P16" i="84"/>
  <c r="Y17" i="83" s="1"/>
  <c r="S110" i="71"/>
  <c r="S36" i="84" s="1"/>
  <c r="S24" i="84"/>
  <c r="T111" i="71"/>
  <c r="T37" i="84" s="1"/>
  <c r="T25" i="84"/>
  <c r="W107" i="71"/>
  <c r="W21" i="84"/>
  <c r="R15" i="84"/>
  <c r="R101" i="71"/>
  <c r="R109" i="71"/>
  <c r="R23" i="84"/>
  <c r="N108" i="71"/>
  <c r="N22" i="84"/>
  <c r="N104" i="71"/>
  <c r="N18" i="84"/>
  <c r="R22" i="84"/>
  <c r="R108" i="71"/>
  <c r="N14" i="84"/>
  <c r="N100" i="71"/>
  <c r="T107" i="71"/>
  <c r="T21" i="84"/>
  <c r="U23" i="84"/>
  <c r="U109" i="71"/>
  <c r="AH4" i="84"/>
  <c r="X4" i="83"/>
  <c r="Z4" i="83" s="1"/>
  <c r="AA4" i="83" s="1"/>
  <c r="AB4" i="83" s="1"/>
  <c r="K36" i="11"/>
  <c r="J36" i="11"/>
  <c r="I36" i="11"/>
  <c r="H36" i="11"/>
  <c r="G36" i="11"/>
  <c r="F36" i="11"/>
  <c r="E36" i="11"/>
  <c r="D36" i="11"/>
  <c r="C36" i="11"/>
  <c r="G37" i="11"/>
  <c r="F37" i="11"/>
  <c r="E37" i="11"/>
  <c r="D37" i="11"/>
  <c r="C37" i="11"/>
  <c r="B37" i="11"/>
  <c r="B67" i="11"/>
  <c r="Q121" i="71" l="1"/>
  <c r="Q47" i="84" s="1"/>
  <c r="Q35" i="84"/>
  <c r="R114" i="71"/>
  <c r="R40" i="84" s="1"/>
  <c r="R28" i="84"/>
  <c r="V112" i="71"/>
  <c r="V38" i="84" s="1"/>
  <c r="V26" i="84"/>
  <c r="N115" i="71"/>
  <c r="N41" i="84" s="1"/>
  <c r="N29" i="84"/>
  <c r="R115" i="71"/>
  <c r="R41" i="84" s="1"/>
  <c r="R29" i="84"/>
  <c r="U120" i="71"/>
  <c r="U46" i="84" s="1"/>
  <c r="U34" i="84"/>
  <c r="V118" i="71"/>
  <c r="V44" i="84" s="1"/>
  <c r="V32" i="84"/>
  <c r="M121" i="71"/>
  <c r="M47" i="84" s="1"/>
  <c r="M35" i="84"/>
  <c r="P114" i="71"/>
  <c r="P40" i="84" s="1"/>
  <c r="Y41" i="83" s="1"/>
  <c r="P28" i="84"/>
  <c r="Y29" i="83" s="1"/>
  <c r="L28" i="84"/>
  <c r="L114" i="71"/>
  <c r="L40" i="84" s="1"/>
  <c r="L26" i="84"/>
  <c r="L112" i="71"/>
  <c r="L38" i="84" s="1"/>
  <c r="P118" i="71"/>
  <c r="P44" i="84" s="1"/>
  <c r="Y45" i="83" s="1"/>
  <c r="P32" i="84"/>
  <c r="Y33" i="83" s="1"/>
  <c r="S35" i="84"/>
  <c r="S121" i="71"/>
  <c r="S47" i="84" s="1"/>
  <c r="S118" i="71"/>
  <c r="S44" i="84" s="1"/>
  <c r="S32" i="84"/>
  <c r="W113" i="71"/>
  <c r="W39" i="84" s="1"/>
  <c r="W27" i="84"/>
  <c r="O121" i="71"/>
  <c r="O47" i="84" s="1"/>
  <c r="O35" i="84"/>
  <c r="S116" i="71"/>
  <c r="S42" i="84" s="1"/>
  <c r="S30" i="84"/>
  <c r="T34" i="84"/>
  <c r="T120" i="71"/>
  <c r="T46" i="84" s="1"/>
  <c r="U116" i="71"/>
  <c r="U42" i="84" s="1"/>
  <c r="U30" i="84"/>
  <c r="O117" i="71"/>
  <c r="O43" i="84" s="1"/>
  <c r="O31" i="84"/>
  <c r="Q114" i="71"/>
  <c r="Q40" i="84" s="1"/>
  <c r="Q28" i="84"/>
  <c r="M118" i="71"/>
  <c r="M44" i="84" s="1"/>
  <c r="M32" i="84"/>
  <c r="U118" i="71"/>
  <c r="U44" i="84" s="1"/>
  <c r="U32" i="84"/>
  <c r="Q118" i="71"/>
  <c r="Q44" i="84" s="1"/>
  <c r="Q32" i="84"/>
  <c r="S120" i="71"/>
  <c r="S46" i="84" s="1"/>
  <c r="S34" i="84"/>
  <c r="S113" i="71"/>
  <c r="S39" i="84" s="1"/>
  <c r="S27" i="84"/>
  <c r="P29" i="84"/>
  <c r="Y30" i="83" s="1"/>
  <c r="P115" i="71"/>
  <c r="P41" i="84" s="1"/>
  <c r="Y42" i="83" s="1"/>
  <c r="U121" i="71"/>
  <c r="U47" i="84" s="1"/>
  <c r="U35" i="84"/>
  <c r="N112" i="71"/>
  <c r="N38" i="84" s="1"/>
  <c r="N26" i="84"/>
  <c r="R117" i="71"/>
  <c r="R43" i="84" s="1"/>
  <c r="R31" i="84"/>
  <c r="N114" i="71"/>
  <c r="N40" i="84" s="1"/>
  <c r="N28" i="84"/>
  <c r="N117" i="71"/>
  <c r="N43" i="84" s="1"/>
  <c r="N31" i="84"/>
  <c r="V117" i="71"/>
  <c r="V43" i="84" s="1"/>
  <c r="V31" i="84"/>
  <c r="Q120" i="71"/>
  <c r="Q46" i="84" s="1"/>
  <c r="Q34" i="84"/>
  <c r="V121" i="71"/>
  <c r="V47" i="84" s="1"/>
  <c r="V35" i="84"/>
  <c r="N119" i="71"/>
  <c r="N45" i="84" s="1"/>
  <c r="N33" i="84"/>
  <c r="M119" i="71"/>
  <c r="M45" i="84" s="1"/>
  <c r="M33" i="84"/>
  <c r="R119" i="71"/>
  <c r="R45" i="84" s="1"/>
  <c r="R33" i="84"/>
  <c r="M120" i="71"/>
  <c r="M46" i="84" s="1"/>
  <c r="M34" i="84"/>
  <c r="U119" i="71"/>
  <c r="U45" i="84" s="1"/>
  <c r="U33" i="84"/>
  <c r="V119" i="71"/>
  <c r="V45" i="84" s="1"/>
  <c r="V33" i="84"/>
  <c r="Q119" i="71"/>
  <c r="Q45" i="84" s="1"/>
  <c r="Q33" i="84"/>
  <c r="R120" i="71"/>
  <c r="R46" i="84" s="1"/>
  <c r="R34" i="84"/>
  <c r="R113" i="71"/>
  <c r="R39" i="84" s="1"/>
  <c r="R27" i="84"/>
  <c r="R116" i="71"/>
  <c r="R42" i="84" s="1"/>
  <c r="R30" i="84"/>
  <c r="N113" i="71"/>
  <c r="N39" i="84" s="1"/>
  <c r="N27" i="84"/>
  <c r="V113" i="71"/>
  <c r="V39" i="84" s="1"/>
  <c r="V27" i="84"/>
  <c r="V115" i="71"/>
  <c r="V41" i="84" s="1"/>
  <c r="V29" i="84"/>
  <c r="V120" i="71"/>
  <c r="V46" i="84" s="1"/>
  <c r="V34" i="84"/>
  <c r="R112" i="71"/>
  <c r="R38" i="84" s="1"/>
  <c r="R26" i="84"/>
  <c r="R118" i="71"/>
  <c r="R44" i="84" s="1"/>
  <c r="R32" i="84"/>
  <c r="N121" i="71"/>
  <c r="N47" i="84" s="1"/>
  <c r="N35" i="84"/>
  <c r="T119" i="71"/>
  <c r="T45" i="84" s="1"/>
  <c r="T33" i="84"/>
  <c r="N120" i="71"/>
  <c r="N46" i="84" s="1"/>
  <c r="N34" i="84"/>
  <c r="U114" i="71"/>
  <c r="U40" i="84" s="1"/>
  <c r="U28" i="84"/>
  <c r="M117" i="71"/>
  <c r="M43" i="84" s="1"/>
  <c r="M31" i="84"/>
  <c r="O34" i="84"/>
  <c r="O120" i="71"/>
  <c r="O46" i="84" s="1"/>
  <c r="O116" i="71"/>
  <c r="O42" i="84" s="1"/>
  <c r="O30" i="84"/>
  <c r="M116" i="71"/>
  <c r="M42" i="84" s="1"/>
  <c r="M30" i="84"/>
  <c r="U115" i="71"/>
  <c r="U41" i="84" s="1"/>
  <c r="U29" i="84"/>
  <c r="O32" i="84"/>
  <c r="O118" i="71"/>
  <c r="O44" i="84" s="1"/>
  <c r="O26" i="84"/>
  <c r="O112" i="71"/>
  <c r="O38" i="84" s="1"/>
  <c r="T117" i="71"/>
  <c r="T43" i="84" s="1"/>
  <c r="T31" i="84"/>
  <c r="V114" i="71"/>
  <c r="V40" i="84" s="1"/>
  <c r="V28" i="84"/>
  <c r="M115" i="71"/>
  <c r="M41" i="84" s="1"/>
  <c r="M29" i="84"/>
  <c r="T30" i="84"/>
  <c r="T116" i="71"/>
  <c r="T42" i="84" s="1"/>
  <c r="W117" i="71"/>
  <c r="W43" i="84" s="1"/>
  <c r="W31" i="84"/>
  <c r="Q117" i="71"/>
  <c r="Q43" i="84" s="1"/>
  <c r="Q31" i="84"/>
  <c r="N116" i="71"/>
  <c r="N42" i="84" s="1"/>
  <c r="N30" i="84"/>
  <c r="R121" i="71"/>
  <c r="R47" i="84" s="1"/>
  <c r="R35" i="84"/>
  <c r="W119" i="71"/>
  <c r="W45" i="84" s="1"/>
  <c r="W33" i="84"/>
  <c r="L32" i="84"/>
  <c r="L118" i="71"/>
  <c r="L44" i="84" s="1"/>
  <c r="T118" i="71"/>
  <c r="T44" i="84" s="1"/>
  <c r="T32" i="84"/>
  <c r="M113" i="71"/>
  <c r="M39" i="84" s="1"/>
  <c r="M27" i="84"/>
  <c r="W34" i="84"/>
  <c r="W120" i="71"/>
  <c r="W46" i="84" s="1"/>
  <c r="O119" i="71"/>
  <c r="O45" i="84" s="1"/>
  <c r="O33" i="84"/>
  <c r="S117" i="71"/>
  <c r="S43" i="84" s="1"/>
  <c r="S31" i="84"/>
  <c r="S115" i="71"/>
  <c r="S41" i="84" s="1"/>
  <c r="S29" i="84"/>
  <c r="O113" i="71"/>
  <c r="O39" i="84" s="1"/>
  <c r="O27" i="84"/>
  <c r="Q113" i="71"/>
  <c r="Q39" i="84" s="1"/>
  <c r="Q27" i="84"/>
  <c r="O28" i="84"/>
  <c r="O114" i="71"/>
  <c r="O40" i="84" s="1"/>
  <c r="T121" i="71"/>
  <c r="T47" i="84" s="1"/>
  <c r="T35" i="84"/>
  <c r="T114" i="71"/>
  <c r="T40" i="84" s="1"/>
  <c r="T28" i="84"/>
  <c r="S33" i="84"/>
  <c r="S119" i="71"/>
  <c r="S45" i="84" s="1"/>
  <c r="S114" i="71"/>
  <c r="S40" i="84" s="1"/>
  <c r="S28" i="84"/>
  <c r="P112" i="71"/>
  <c r="P38" i="84" s="1"/>
  <c r="Y39" i="83" s="1"/>
  <c r="P26" i="84"/>
  <c r="Y27" i="83" s="1"/>
  <c r="T112" i="71"/>
  <c r="T38" i="84" s="1"/>
  <c r="T26" i="84"/>
  <c r="U113" i="71"/>
  <c r="U39" i="84" s="1"/>
  <c r="U27" i="84"/>
  <c r="P117" i="71"/>
  <c r="P43" i="84" s="1"/>
  <c r="Y44" i="83" s="1"/>
  <c r="P31" i="84"/>
  <c r="Y32" i="83" s="1"/>
  <c r="U117" i="71"/>
  <c r="U43" i="84" s="1"/>
  <c r="U31" i="84"/>
  <c r="P116" i="71"/>
  <c r="P42" i="84" s="1"/>
  <c r="Y43" i="83" s="1"/>
  <c r="P30" i="84"/>
  <c r="Y31" i="83" s="1"/>
  <c r="T113" i="71"/>
  <c r="T39" i="84" s="1"/>
  <c r="T27" i="84"/>
  <c r="M114" i="71"/>
  <c r="M40" i="84" s="1"/>
  <c r="M28" i="84"/>
  <c r="Q116" i="71"/>
  <c r="Q42" i="84" s="1"/>
  <c r="Q30" i="84"/>
  <c r="W30" i="84"/>
  <c r="W116" i="71"/>
  <c r="W42" i="84" s="1"/>
  <c r="O115" i="71"/>
  <c r="O41" i="84" s="1"/>
  <c r="O29" i="84"/>
  <c r="W121" i="71"/>
  <c r="W47" i="84" s="1"/>
  <c r="W35" i="84"/>
  <c r="W118" i="71"/>
  <c r="W44" i="84" s="1"/>
  <c r="W32" i="84"/>
  <c r="W115" i="71"/>
  <c r="W41" i="84" s="1"/>
  <c r="W29" i="84"/>
  <c r="P33" i="84"/>
  <c r="Y34" i="83" s="1"/>
  <c r="P119" i="71"/>
  <c r="P45" i="84" s="1"/>
  <c r="Y46" i="83" s="1"/>
  <c r="L27" i="84"/>
  <c r="L113" i="71"/>
  <c r="L39" i="84" s="1"/>
  <c r="Q115" i="71"/>
  <c r="Q41" i="84" s="1"/>
  <c r="Q29" i="84"/>
  <c r="W28" i="84"/>
  <c r="W114" i="71"/>
  <c r="W40" i="84" s="1"/>
  <c r="AH5" i="84"/>
  <c r="X5" i="83"/>
  <c r="Z5" i="83" s="1"/>
  <c r="B36" i="11"/>
  <c r="B66" i="11"/>
  <c r="L2" i="83"/>
  <c r="M2" i="83"/>
  <c r="N2" i="83"/>
  <c r="J2" i="83"/>
  <c r="K66" i="11"/>
  <c r="K32" i="11"/>
  <c r="K27" i="11"/>
  <c r="K14" i="11"/>
  <c r="B5" i="83"/>
  <c r="B4" i="83" s="1"/>
  <c r="B3" i="83" s="1"/>
  <c r="B6" i="83"/>
  <c r="B7" i="83"/>
  <c r="B8" i="83"/>
  <c r="B9" i="83"/>
  <c r="B10" i="83"/>
  <c r="B11" i="83"/>
  <c r="B12" i="83"/>
  <c r="B13" i="83"/>
  <c r="B14" i="83"/>
  <c r="B15" i="83"/>
  <c r="B16" i="83"/>
  <c r="B17" i="83"/>
  <c r="B18" i="83"/>
  <c r="B19" i="83"/>
  <c r="B20" i="83"/>
  <c r="B21" i="83"/>
  <c r="B22" i="83"/>
  <c r="B23" i="83"/>
  <c r="B24" i="83"/>
  <c r="B25" i="83"/>
  <c r="B26" i="83"/>
  <c r="B27" i="83"/>
  <c r="B28" i="83"/>
  <c r="B29" i="83"/>
  <c r="B30" i="83"/>
  <c r="B31" i="83"/>
  <c r="B32" i="83"/>
  <c r="B33" i="83"/>
  <c r="B34" i="83"/>
  <c r="B35" i="83"/>
  <c r="B36" i="83"/>
  <c r="B37" i="83"/>
  <c r="B38" i="83"/>
  <c r="B39" i="83"/>
  <c r="B40" i="83"/>
  <c r="B41" i="83"/>
  <c r="B42" i="83"/>
  <c r="B43" i="83"/>
  <c r="B44" i="83"/>
  <c r="B45" i="83"/>
  <c r="B46" i="83"/>
  <c r="B47" i="83"/>
  <c r="B48" i="83"/>
  <c r="B49" i="83"/>
  <c r="B50" i="83"/>
  <c r="F50" i="83"/>
  <c r="F49" i="83"/>
  <c r="F48" i="83"/>
  <c r="F47" i="83"/>
  <c r="F46" i="83"/>
  <c r="F45" i="83"/>
  <c r="F44" i="83"/>
  <c r="F43" i="83"/>
  <c r="F42" i="83"/>
  <c r="F41" i="83"/>
  <c r="F40" i="83"/>
  <c r="F39" i="83"/>
  <c r="F38" i="83"/>
  <c r="F37" i="83"/>
  <c r="F36" i="83"/>
  <c r="F35" i="83"/>
  <c r="F34" i="83"/>
  <c r="F33" i="83"/>
  <c r="F32" i="83"/>
  <c r="F31" i="83"/>
  <c r="F30" i="83"/>
  <c r="F29" i="83"/>
  <c r="F28" i="83"/>
  <c r="F27" i="83"/>
  <c r="F26" i="83"/>
  <c r="F25" i="83"/>
  <c r="F24" i="83"/>
  <c r="F23" i="83"/>
  <c r="F22" i="83"/>
  <c r="F21" i="83"/>
  <c r="F20" i="83"/>
  <c r="F19" i="83"/>
  <c r="F18" i="83"/>
  <c r="F17" i="83"/>
  <c r="F16" i="83"/>
  <c r="F15" i="83"/>
  <c r="F14" i="83"/>
  <c r="F13" i="83"/>
  <c r="F12" i="83"/>
  <c r="F11" i="83"/>
  <c r="F10" i="83"/>
  <c r="F9" i="83"/>
  <c r="F8" i="83"/>
  <c r="F7" i="83"/>
  <c r="F6" i="83"/>
  <c r="F5" i="83"/>
  <c r="F4" i="83"/>
  <c r="F3" i="83"/>
  <c r="M6" i="83" l="1"/>
  <c r="M5" i="83"/>
  <c r="L5" i="83"/>
  <c r="AA5" i="83"/>
  <c r="AH6" i="84"/>
  <c r="X6" i="83"/>
  <c r="Z6" i="83" s="1"/>
  <c r="L3" i="83"/>
  <c r="N3" i="83"/>
  <c r="M3" i="83"/>
  <c r="J5" i="83"/>
  <c r="N4" i="83"/>
  <c r="L4" i="83"/>
  <c r="L6" i="83"/>
  <c r="J6" i="83"/>
  <c r="N5" i="83"/>
  <c r="M4" i="83"/>
  <c r="J3" i="83"/>
  <c r="N6" i="83"/>
  <c r="J4" i="83"/>
  <c r="AA6" i="83" l="1"/>
  <c r="AB5" i="83"/>
  <c r="AH7" i="84"/>
  <c r="X7" i="83"/>
  <c r="Z7" i="83" s="1"/>
  <c r="I37" i="11"/>
  <c r="P4" i="83"/>
  <c r="H37" i="11"/>
  <c r="P3" i="83"/>
  <c r="K37" i="11"/>
  <c r="P6" i="83"/>
  <c r="J37" i="11"/>
  <c r="P5" i="83"/>
  <c r="AA7" i="83" l="1"/>
  <c r="AH8" i="84"/>
  <c r="X8" i="83"/>
  <c r="Z8" i="83" s="1"/>
  <c r="AB6" i="83"/>
  <c r="P11" i="83"/>
  <c r="AA8" i="83" l="1"/>
  <c r="AB7" i="83"/>
  <c r="AH9" i="84"/>
  <c r="X9" i="83"/>
  <c r="Z9" i="83" s="1"/>
  <c r="AB8" i="83" l="1"/>
  <c r="AH10" i="84"/>
  <c r="X10" i="83"/>
  <c r="Z10" i="83" s="1"/>
  <c r="AA9" i="83"/>
  <c r="AA10" i="83" l="1"/>
  <c r="AH11" i="84"/>
  <c r="X11" i="83"/>
  <c r="Z11" i="83" s="1"/>
  <c r="AB9" i="83"/>
  <c r="I15" i="63"/>
  <c r="AA11" i="83" l="1"/>
  <c r="AB10" i="83"/>
  <c r="AH12" i="84"/>
  <c r="X12" i="83"/>
  <c r="Z12" i="83" s="1"/>
  <c r="AA12" i="83" l="1"/>
  <c r="AH13" i="84"/>
  <c r="X13" i="83"/>
  <c r="Z13" i="83" s="1"/>
  <c r="AB11" i="83"/>
  <c r="AA13" i="83" l="1"/>
  <c r="AH14" i="84"/>
  <c r="X14" i="83"/>
  <c r="Z14" i="83" s="1"/>
  <c r="AB12" i="83"/>
  <c r="Q1" i="61"/>
  <c r="P1" i="61"/>
  <c r="AB13" i="83" l="1"/>
  <c r="AA14" i="83"/>
  <c r="AH15" i="84"/>
  <c r="X15" i="83"/>
  <c r="Z15" i="83" s="1"/>
  <c r="L4" i="9"/>
  <c r="L5" i="9"/>
  <c r="L6" i="9"/>
  <c r="L7" i="9"/>
  <c r="L8" i="9"/>
  <c r="L9" i="9"/>
  <c r="L10" i="9"/>
  <c r="L11" i="9"/>
  <c r="L12" i="9"/>
  <c r="L3" i="9"/>
  <c r="B3" i="18"/>
  <c r="B4" i="18"/>
  <c r="B5" i="18"/>
  <c r="B6" i="18"/>
  <c r="B7" i="18"/>
  <c r="B8" i="18"/>
  <c r="B9" i="18"/>
  <c r="B10" i="18"/>
  <c r="B11" i="18"/>
  <c r="B2" i="18"/>
  <c r="L25" i="9" l="1"/>
  <c r="L28" i="9"/>
  <c r="L24" i="9"/>
  <c r="L21" i="9"/>
  <c r="L27" i="9"/>
  <c r="L23" i="9"/>
  <c r="K22" i="11"/>
  <c r="L26" i="9"/>
  <c r="L22" i="9"/>
  <c r="AA15" i="83"/>
  <c r="AB14" i="83"/>
  <c r="AH16" i="84"/>
  <c r="X16" i="83"/>
  <c r="Z16" i="83" s="1"/>
  <c r="Q186" i="76"/>
  <c r="Q187" i="76"/>
  <c r="Q188" i="76"/>
  <c r="Q189" i="76"/>
  <c r="Q190" i="76"/>
  <c r="Q191" i="76"/>
  <c r="Q192" i="76"/>
  <c r="Q193" i="76"/>
  <c r="Q194" i="76"/>
  <c r="Q195" i="76"/>
  <c r="Q196" i="76"/>
  <c r="Q199" i="76" s="1"/>
  <c r="Q185" i="76"/>
  <c r="Q197" i="76" l="1"/>
  <c r="AA16" i="83"/>
  <c r="AH17" i="84"/>
  <c r="X17" i="83"/>
  <c r="Z17" i="83" s="1"/>
  <c r="AB15" i="83"/>
  <c r="I4" i="81"/>
  <c r="K2" i="81"/>
  <c r="L2" i="81"/>
  <c r="M2" i="81"/>
  <c r="N2" i="81"/>
  <c r="J2" i="81"/>
  <c r="B4" i="81"/>
  <c r="B5" i="81"/>
  <c r="B6" i="81"/>
  <c r="B7" i="81"/>
  <c r="B8" i="81"/>
  <c r="B9" i="81"/>
  <c r="B10" i="81"/>
  <c r="B11" i="81"/>
  <c r="B12" i="81"/>
  <c r="B13" i="81"/>
  <c r="B14" i="81"/>
  <c r="B15" i="81"/>
  <c r="B16" i="81"/>
  <c r="B17" i="81"/>
  <c r="B18" i="81"/>
  <c r="B19" i="81"/>
  <c r="B20" i="81"/>
  <c r="B21" i="81"/>
  <c r="B22" i="81"/>
  <c r="B23" i="81"/>
  <c r="B24" i="81"/>
  <c r="B25" i="81"/>
  <c r="B26" i="81"/>
  <c r="B27" i="81"/>
  <c r="B28" i="81"/>
  <c r="B29" i="81"/>
  <c r="B30" i="81"/>
  <c r="B31" i="81"/>
  <c r="B32" i="81"/>
  <c r="B33" i="81"/>
  <c r="B34" i="81"/>
  <c r="B35" i="81"/>
  <c r="B36" i="81"/>
  <c r="B37" i="81"/>
  <c r="B38" i="81"/>
  <c r="B39" i="81"/>
  <c r="B40" i="81"/>
  <c r="B41" i="81"/>
  <c r="B42" i="81"/>
  <c r="B43" i="81"/>
  <c r="B44" i="81"/>
  <c r="B45" i="81"/>
  <c r="B46" i="81"/>
  <c r="B47" i="81"/>
  <c r="B48" i="81"/>
  <c r="B49" i="81"/>
  <c r="B50" i="81"/>
  <c r="B51" i="81"/>
  <c r="B52" i="81"/>
  <c r="B53" i="81"/>
  <c r="B54" i="81"/>
  <c r="B55" i="81"/>
  <c r="B56" i="81"/>
  <c r="B57" i="81"/>
  <c r="B58" i="81"/>
  <c r="B59" i="81"/>
  <c r="B60" i="81"/>
  <c r="B61" i="81"/>
  <c r="B62" i="81"/>
  <c r="B63" i="81"/>
  <c r="B64" i="81"/>
  <c r="B65" i="81"/>
  <c r="B66" i="81"/>
  <c r="B67" i="81"/>
  <c r="B68" i="81"/>
  <c r="B69" i="81"/>
  <c r="B70" i="81"/>
  <c r="B71" i="81"/>
  <c r="B72" i="81"/>
  <c r="B73" i="81"/>
  <c r="B74" i="81"/>
  <c r="B75" i="81"/>
  <c r="B76" i="81"/>
  <c r="B77" i="81"/>
  <c r="B78" i="81"/>
  <c r="B79" i="81"/>
  <c r="B80" i="81"/>
  <c r="B81" i="81"/>
  <c r="B82" i="81"/>
  <c r="B83" i="81"/>
  <c r="B84" i="81"/>
  <c r="B85" i="81"/>
  <c r="B86" i="81"/>
  <c r="B87" i="81"/>
  <c r="B88" i="81"/>
  <c r="B89" i="81"/>
  <c r="B90" i="81"/>
  <c r="B91" i="81"/>
  <c r="B92" i="81"/>
  <c r="B93" i="81"/>
  <c r="B94" i="81"/>
  <c r="B95" i="81"/>
  <c r="B96" i="81"/>
  <c r="B97" i="81"/>
  <c r="B98" i="81"/>
  <c r="B99" i="81"/>
  <c r="B100" i="81"/>
  <c r="B101" i="81"/>
  <c r="B102" i="81"/>
  <c r="B103" i="81"/>
  <c r="B104" i="81"/>
  <c r="B105" i="81"/>
  <c r="B106" i="81"/>
  <c r="B107" i="81"/>
  <c r="B108" i="81"/>
  <c r="B109" i="81"/>
  <c r="B110" i="81"/>
  <c r="B111" i="81"/>
  <c r="B112" i="81"/>
  <c r="B113" i="81"/>
  <c r="B114" i="81"/>
  <c r="B115" i="81"/>
  <c r="B116" i="81"/>
  <c r="B117" i="81"/>
  <c r="B118" i="81"/>
  <c r="B119" i="81"/>
  <c r="B120" i="81"/>
  <c r="B121" i="81"/>
  <c r="B122" i="81"/>
  <c r="B123" i="81"/>
  <c r="B124" i="81"/>
  <c r="B125" i="81"/>
  <c r="B126" i="81"/>
  <c r="B127" i="81"/>
  <c r="B128" i="81"/>
  <c r="B129" i="81"/>
  <c r="B130" i="81"/>
  <c r="B131" i="81"/>
  <c r="B132" i="81"/>
  <c r="B133" i="81"/>
  <c r="B134" i="81"/>
  <c r="B3" i="81"/>
  <c r="AA17" i="83" l="1"/>
  <c r="AH18" i="84"/>
  <c r="X18" i="83"/>
  <c r="Z18" i="83" s="1"/>
  <c r="AB16" i="83"/>
  <c r="K3" i="81"/>
  <c r="M3" i="81"/>
  <c r="L4" i="81"/>
  <c r="M4" i="81"/>
  <c r="L3" i="81"/>
  <c r="J4" i="81"/>
  <c r="K4" i="81"/>
  <c r="I5" i="81"/>
  <c r="J3" i="81"/>
  <c r="AA18" i="83" l="1"/>
  <c r="AH19" i="84"/>
  <c r="X19" i="83"/>
  <c r="Z19" i="83" s="1"/>
  <c r="AB17" i="83"/>
  <c r="M5" i="81"/>
  <c r="I6" i="81"/>
  <c r="K5" i="81"/>
  <c r="L5" i="81"/>
  <c r="J5" i="81"/>
  <c r="A24" i="63"/>
  <c r="A25" i="63"/>
  <c r="A26" i="63"/>
  <c r="A27" i="63"/>
  <c r="A28" i="63"/>
  <c r="A29" i="63"/>
  <c r="A30" i="63"/>
  <c r="A31" i="63"/>
  <c r="A32" i="63"/>
  <c r="A33" i="63"/>
  <c r="A34" i="63"/>
  <c r="A35" i="63"/>
  <c r="A36" i="63"/>
  <c r="A37" i="63"/>
  <c r="A38" i="63"/>
  <c r="A39" i="63"/>
  <c r="A40" i="63"/>
  <c r="A41" i="63"/>
  <c r="A42" i="63"/>
  <c r="A43" i="63"/>
  <c r="A44" i="63"/>
  <c r="A45" i="63"/>
  <c r="A46" i="63"/>
  <c r="A47" i="63"/>
  <c r="A48" i="63"/>
  <c r="A49" i="63"/>
  <c r="A50" i="63"/>
  <c r="A51" i="63"/>
  <c r="A52" i="63"/>
  <c r="A53" i="63"/>
  <c r="A54" i="63"/>
  <c r="A55" i="63"/>
  <c r="A56" i="63"/>
  <c r="A57" i="63"/>
  <c r="A58" i="63"/>
  <c r="A59" i="63"/>
  <c r="A60" i="63"/>
  <c r="A61" i="63"/>
  <c r="A62" i="63"/>
  <c r="A63" i="63"/>
  <c r="A64" i="63"/>
  <c r="A65" i="63"/>
  <c r="A66" i="63"/>
  <c r="A67" i="63"/>
  <c r="A68" i="63"/>
  <c r="A69" i="63"/>
  <c r="A70" i="63"/>
  <c r="A71" i="63"/>
  <c r="A72" i="63"/>
  <c r="A73" i="63"/>
  <c r="A74" i="63"/>
  <c r="A75" i="63"/>
  <c r="A76" i="63"/>
  <c r="A77" i="63"/>
  <c r="A78" i="63"/>
  <c r="A79" i="63"/>
  <c r="A80" i="63"/>
  <c r="A81" i="63"/>
  <c r="A82" i="63"/>
  <c r="A83" i="63"/>
  <c r="A84" i="63"/>
  <c r="A85" i="63"/>
  <c r="A86" i="63"/>
  <c r="A87" i="63"/>
  <c r="A88" i="63"/>
  <c r="A89" i="63"/>
  <c r="A90" i="63"/>
  <c r="A91" i="63"/>
  <c r="A92" i="63"/>
  <c r="A93" i="63"/>
  <c r="A94" i="63"/>
  <c r="A95" i="63"/>
  <c r="A96" i="63"/>
  <c r="A97" i="63"/>
  <c r="A98" i="63"/>
  <c r="A99" i="63"/>
  <c r="A100" i="63"/>
  <c r="A101" i="63"/>
  <c r="A102" i="63"/>
  <c r="A103" i="63"/>
  <c r="A104" i="63"/>
  <c r="A105" i="63"/>
  <c r="A106" i="63"/>
  <c r="A107" i="63"/>
  <c r="A108" i="63"/>
  <c r="A109" i="63"/>
  <c r="A110" i="63"/>
  <c r="A111" i="63"/>
  <c r="A112" i="63"/>
  <c r="A113" i="63"/>
  <c r="A114" i="63"/>
  <c r="A115" i="63"/>
  <c r="A116" i="63"/>
  <c r="A117" i="63"/>
  <c r="A118" i="63"/>
  <c r="A119" i="63"/>
  <c r="A120" i="63"/>
  <c r="A121" i="63"/>
  <c r="A122" i="63"/>
  <c r="A123" i="63"/>
  <c r="A124" i="63"/>
  <c r="A125" i="63"/>
  <c r="A126" i="63"/>
  <c r="A127" i="63"/>
  <c r="A128" i="63"/>
  <c r="A129" i="63"/>
  <c r="A130" i="63"/>
  <c r="A131" i="63"/>
  <c r="A132" i="63"/>
  <c r="A133" i="63"/>
  <c r="A134" i="63"/>
  <c r="A135" i="63"/>
  <c r="A136" i="63"/>
  <c r="A137" i="63"/>
  <c r="A138" i="63"/>
  <c r="A139" i="63"/>
  <c r="A140" i="63"/>
  <c r="A141" i="63"/>
  <c r="A142" i="63"/>
  <c r="A143" i="63"/>
  <c r="A144" i="63"/>
  <c r="A145" i="63"/>
  <c r="A146" i="63"/>
  <c r="A147" i="63"/>
  <c r="A148" i="63"/>
  <c r="A149" i="63"/>
  <c r="A150" i="63"/>
  <c r="A151" i="63"/>
  <c r="A152" i="63"/>
  <c r="A153" i="63"/>
  <c r="A154" i="63"/>
  <c r="A155" i="63"/>
  <c r="A156" i="63"/>
  <c r="A157" i="63"/>
  <c r="A158" i="63"/>
  <c r="A159" i="63"/>
  <c r="A160" i="63"/>
  <c r="A161" i="63"/>
  <c r="A162" i="63"/>
  <c r="A163" i="63"/>
  <c r="A164" i="63"/>
  <c r="A165" i="63"/>
  <c r="A166" i="63"/>
  <c r="A23" i="63"/>
  <c r="AB18" i="83" l="1"/>
  <c r="AH20" i="84"/>
  <c r="X20" i="83"/>
  <c r="Z20" i="83" s="1"/>
  <c r="AA19" i="83"/>
  <c r="I7" i="81"/>
  <c r="M6" i="81"/>
  <c r="J6" i="81"/>
  <c r="K6" i="81"/>
  <c r="L6" i="81"/>
  <c r="D3" i="76"/>
  <c r="D4" i="76"/>
  <c r="D5" i="76"/>
  <c r="D6" i="76"/>
  <c r="D7" i="76"/>
  <c r="D8" i="76"/>
  <c r="D9" i="76"/>
  <c r="D10" i="76"/>
  <c r="D11" i="76"/>
  <c r="D12" i="76"/>
  <c r="D13" i="76"/>
  <c r="D14" i="76"/>
  <c r="D15" i="76"/>
  <c r="P122" i="61" s="1"/>
  <c r="D16" i="76"/>
  <c r="P123" i="61" s="1"/>
  <c r="D17" i="76"/>
  <c r="P124" i="61" s="1"/>
  <c r="D18" i="76"/>
  <c r="P125" i="61" s="1"/>
  <c r="D19" i="76"/>
  <c r="P126" i="61" s="1"/>
  <c r="D20" i="76"/>
  <c r="P127" i="61" s="1"/>
  <c r="D21" i="76"/>
  <c r="P128" i="61" s="1"/>
  <c r="D22" i="76"/>
  <c r="P129" i="61" s="1"/>
  <c r="D23" i="76"/>
  <c r="P130" i="61" s="1"/>
  <c r="D24" i="76"/>
  <c r="P131" i="61" s="1"/>
  <c r="D25" i="76"/>
  <c r="P132" i="61" s="1"/>
  <c r="D26" i="76"/>
  <c r="P133" i="61" s="1"/>
  <c r="D27" i="76"/>
  <c r="P134" i="61" s="1"/>
  <c r="D28" i="76"/>
  <c r="P135" i="61" s="1"/>
  <c r="D29" i="76"/>
  <c r="P136" i="61" s="1"/>
  <c r="D30" i="76"/>
  <c r="P137" i="61" s="1"/>
  <c r="D31" i="76"/>
  <c r="P138" i="61" s="1"/>
  <c r="D32" i="76"/>
  <c r="P139" i="61" s="1"/>
  <c r="D33" i="76"/>
  <c r="P140" i="61" s="1"/>
  <c r="D34" i="76"/>
  <c r="P141" i="61" s="1"/>
  <c r="D35" i="76"/>
  <c r="P142" i="61" s="1"/>
  <c r="D36" i="76"/>
  <c r="P143" i="61" s="1"/>
  <c r="D37" i="76"/>
  <c r="P144" i="61" s="1"/>
  <c r="D38" i="76"/>
  <c r="P145" i="61" s="1"/>
  <c r="D39" i="76"/>
  <c r="P146" i="61" s="1"/>
  <c r="D40" i="76"/>
  <c r="P147" i="61" s="1"/>
  <c r="D41" i="76"/>
  <c r="P148" i="61" s="1"/>
  <c r="D42" i="76"/>
  <c r="P149" i="61" s="1"/>
  <c r="D43" i="76"/>
  <c r="P150" i="61" s="1"/>
  <c r="D44" i="76"/>
  <c r="P151" i="61" s="1"/>
  <c r="D45" i="76"/>
  <c r="P152" i="61" s="1"/>
  <c r="D46" i="76"/>
  <c r="P153" i="61" s="1"/>
  <c r="D47" i="76"/>
  <c r="P154" i="61" s="1"/>
  <c r="D48" i="76"/>
  <c r="P155" i="61" s="1"/>
  <c r="D49" i="76"/>
  <c r="P156" i="61" s="1"/>
  <c r="D50" i="76"/>
  <c r="P157" i="61" s="1"/>
  <c r="D51" i="76"/>
  <c r="P158" i="61" s="1"/>
  <c r="D52" i="76"/>
  <c r="P159" i="61" s="1"/>
  <c r="D53" i="76"/>
  <c r="P160" i="61" s="1"/>
  <c r="D54" i="76"/>
  <c r="P161" i="61" s="1"/>
  <c r="D55" i="76"/>
  <c r="P162" i="61" s="1"/>
  <c r="D56" i="76"/>
  <c r="P163" i="61" s="1"/>
  <c r="D57" i="76"/>
  <c r="P164" i="61" s="1"/>
  <c r="D58" i="76"/>
  <c r="P165" i="61" s="1"/>
  <c r="D59" i="76"/>
  <c r="P166" i="61" s="1"/>
  <c r="D60" i="76"/>
  <c r="P167" i="61" s="1"/>
  <c r="D61" i="76"/>
  <c r="P168" i="61" s="1"/>
  <c r="D62" i="76"/>
  <c r="P169" i="61" s="1"/>
  <c r="D63" i="76"/>
  <c r="P170" i="61" s="1"/>
  <c r="D64" i="76"/>
  <c r="P171" i="61" s="1"/>
  <c r="D65" i="76"/>
  <c r="P172" i="61" s="1"/>
  <c r="D66" i="76"/>
  <c r="P173" i="61" s="1"/>
  <c r="D67" i="76"/>
  <c r="P174" i="61" s="1"/>
  <c r="D68" i="76"/>
  <c r="P175" i="61" s="1"/>
  <c r="D69" i="76"/>
  <c r="P176" i="61" s="1"/>
  <c r="D70" i="76"/>
  <c r="P177" i="61" s="1"/>
  <c r="D71" i="76"/>
  <c r="P178" i="61" s="1"/>
  <c r="D72" i="76"/>
  <c r="P179" i="61" s="1"/>
  <c r="D73" i="76"/>
  <c r="P180" i="61" s="1"/>
  <c r="D74" i="76"/>
  <c r="P181" i="61" s="1"/>
  <c r="D75" i="76"/>
  <c r="P182" i="61" s="1"/>
  <c r="D76" i="76"/>
  <c r="P183" i="61" s="1"/>
  <c r="D77" i="76"/>
  <c r="P184" i="61" s="1"/>
  <c r="D78" i="76"/>
  <c r="P185" i="61" s="1"/>
  <c r="D79" i="76"/>
  <c r="P186" i="61" s="1"/>
  <c r="D80" i="76"/>
  <c r="P187" i="61" s="1"/>
  <c r="D81" i="76"/>
  <c r="P188" i="61" s="1"/>
  <c r="D82" i="76"/>
  <c r="P189" i="61" s="1"/>
  <c r="D83" i="76"/>
  <c r="P190" i="61" s="1"/>
  <c r="D84" i="76"/>
  <c r="P191" i="61" s="1"/>
  <c r="D85" i="76"/>
  <c r="P192" i="61" s="1"/>
  <c r="D86" i="76"/>
  <c r="P193" i="61" s="1"/>
  <c r="D87" i="76"/>
  <c r="P194" i="61" s="1"/>
  <c r="D88" i="76"/>
  <c r="P195" i="61" s="1"/>
  <c r="D89" i="76"/>
  <c r="P196" i="61" s="1"/>
  <c r="D90" i="76"/>
  <c r="P197" i="61" s="1"/>
  <c r="D91" i="76"/>
  <c r="P198" i="61" s="1"/>
  <c r="D92" i="76"/>
  <c r="P199" i="61" s="1"/>
  <c r="D93" i="76"/>
  <c r="P200" i="61" s="1"/>
  <c r="D94" i="76"/>
  <c r="P201" i="61" s="1"/>
  <c r="D95" i="76"/>
  <c r="P202" i="61" s="1"/>
  <c r="D96" i="76"/>
  <c r="P203" i="61" s="1"/>
  <c r="D97" i="76"/>
  <c r="P204" i="61" s="1"/>
  <c r="D98" i="76"/>
  <c r="P205" i="61" s="1"/>
  <c r="D99" i="76"/>
  <c r="P206" i="61" s="1"/>
  <c r="D100" i="76"/>
  <c r="P207" i="61" s="1"/>
  <c r="D101" i="76"/>
  <c r="P208" i="61" s="1"/>
  <c r="D102" i="76"/>
  <c r="P209" i="61" s="1"/>
  <c r="D103" i="76"/>
  <c r="P210" i="61" s="1"/>
  <c r="D104" i="76"/>
  <c r="P211" i="61" s="1"/>
  <c r="D105" i="76"/>
  <c r="P212" i="61" s="1"/>
  <c r="D106" i="76"/>
  <c r="P213" i="61" s="1"/>
  <c r="D107" i="76"/>
  <c r="P214" i="61" s="1"/>
  <c r="D108" i="76"/>
  <c r="P215" i="61" s="1"/>
  <c r="D109" i="76"/>
  <c r="P216" i="61" s="1"/>
  <c r="D110" i="76"/>
  <c r="P217" i="61" s="1"/>
  <c r="D111" i="76"/>
  <c r="P218" i="61" s="1"/>
  <c r="D112" i="76"/>
  <c r="P219" i="61" s="1"/>
  <c r="D113" i="76"/>
  <c r="P220" i="61" s="1"/>
  <c r="D114" i="76"/>
  <c r="P221" i="61" s="1"/>
  <c r="D115" i="76"/>
  <c r="P222" i="61" s="1"/>
  <c r="D116" i="76"/>
  <c r="P223" i="61" s="1"/>
  <c r="D117" i="76"/>
  <c r="P224" i="61" s="1"/>
  <c r="D118" i="76"/>
  <c r="P225" i="61" s="1"/>
  <c r="D119" i="76"/>
  <c r="P226" i="61" s="1"/>
  <c r="D120" i="76"/>
  <c r="P227" i="61" s="1"/>
  <c r="D121" i="76"/>
  <c r="P228" i="61" s="1"/>
  <c r="D122" i="76"/>
  <c r="P229" i="61" s="1"/>
  <c r="D123" i="76"/>
  <c r="D124" i="76"/>
  <c r="D125" i="76"/>
  <c r="D126" i="76"/>
  <c r="D127" i="76"/>
  <c r="D128" i="76"/>
  <c r="D129" i="76"/>
  <c r="D130" i="76"/>
  <c r="D131" i="76"/>
  <c r="D132" i="76"/>
  <c r="D133" i="76"/>
  <c r="D134" i="76"/>
  <c r="G134" i="81"/>
  <c r="G133" i="81"/>
  <c r="G132" i="81"/>
  <c r="G131" i="81"/>
  <c r="G130" i="81"/>
  <c r="G129" i="81"/>
  <c r="G128" i="81"/>
  <c r="G127" i="81"/>
  <c r="G126" i="81"/>
  <c r="G125" i="81"/>
  <c r="G124" i="81"/>
  <c r="G123" i="81"/>
  <c r="G122" i="81"/>
  <c r="G121" i="81"/>
  <c r="G120" i="81"/>
  <c r="G119" i="81"/>
  <c r="G118" i="81"/>
  <c r="G117" i="81"/>
  <c r="G116" i="81"/>
  <c r="G115" i="81"/>
  <c r="G114" i="81"/>
  <c r="G113" i="81"/>
  <c r="G112" i="81"/>
  <c r="G111" i="81"/>
  <c r="G110" i="81"/>
  <c r="G109" i="81"/>
  <c r="G108" i="81"/>
  <c r="G107" i="81"/>
  <c r="G106" i="81"/>
  <c r="G105" i="81"/>
  <c r="G104" i="81"/>
  <c r="G103" i="81"/>
  <c r="G102" i="81"/>
  <c r="G101" i="81"/>
  <c r="G100" i="81"/>
  <c r="G99" i="81"/>
  <c r="G98" i="81"/>
  <c r="G97" i="81"/>
  <c r="G96" i="81"/>
  <c r="G95" i="81"/>
  <c r="G94" i="81"/>
  <c r="G93" i="81"/>
  <c r="G92" i="81"/>
  <c r="G91" i="81"/>
  <c r="G90" i="81"/>
  <c r="G89" i="81"/>
  <c r="G88" i="81"/>
  <c r="G87" i="81"/>
  <c r="G86" i="81"/>
  <c r="G85" i="81"/>
  <c r="G84" i="81"/>
  <c r="G83" i="81"/>
  <c r="G82" i="81"/>
  <c r="G81" i="81"/>
  <c r="G80" i="81"/>
  <c r="G79" i="81"/>
  <c r="G78" i="81"/>
  <c r="G77" i="81"/>
  <c r="G76" i="81"/>
  <c r="G75" i="81"/>
  <c r="G74" i="81"/>
  <c r="G73" i="81"/>
  <c r="G72" i="81"/>
  <c r="G71" i="81"/>
  <c r="G70" i="81"/>
  <c r="G69" i="81"/>
  <c r="G68" i="81"/>
  <c r="G67" i="81"/>
  <c r="G66" i="81"/>
  <c r="G65" i="81"/>
  <c r="G64" i="81"/>
  <c r="G63" i="81"/>
  <c r="G62" i="81"/>
  <c r="G61" i="81"/>
  <c r="G60" i="81"/>
  <c r="G59" i="81"/>
  <c r="G58" i="81"/>
  <c r="G57" i="81"/>
  <c r="G56" i="81"/>
  <c r="G55" i="81"/>
  <c r="G54" i="81"/>
  <c r="G53" i="81"/>
  <c r="G52" i="81"/>
  <c r="G51" i="81"/>
  <c r="G50" i="81"/>
  <c r="G49" i="81"/>
  <c r="G48" i="81"/>
  <c r="G47" i="81"/>
  <c r="G46" i="81"/>
  <c r="G45" i="81"/>
  <c r="G44" i="81"/>
  <c r="G43" i="81"/>
  <c r="G42" i="81"/>
  <c r="G41" i="81"/>
  <c r="G40" i="81"/>
  <c r="G39" i="81"/>
  <c r="G38" i="81"/>
  <c r="G37" i="81"/>
  <c r="G36" i="81"/>
  <c r="G35" i="81"/>
  <c r="G34" i="81"/>
  <c r="G33" i="81"/>
  <c r="G32" i="81"/>
  <c r="G31" i="81"/>
  <c r="G30" i="81"/>
  <c r="G29" i="81"/>
  <c r="G28" i="81"/>
  <c r="G27" i="81"/>
  <c r="G26" i="81"/>
  <c r="G25" i="81"/>
  <c r="G24" i="81"/>
  <c r="G23" i="81"/>
  <c r="G22" i="81"/>
  <c r="G21" i="81"/>
  <c r="G20" i="81"/>
  <c r="G19" i="81"/>
  <c r="G18" i="81"/>
  <c r="G17" i="81"/>
  <c r="G16" i="81"/>
  <c r="G15" i="81"/>
  <c r="G14" i="81"/>
  <c r="G13" i="81"/>
  <c r="G12" i="81"/>
  <c r="G11" i="81"/>
  <c r="G10" i="81"/>
  <c r="G9" i="81"/>
  <c r="G8" i="81"/>
  <c r="G7" i="81"/>
  <c r="G6" i="81"/>
  <c r="G5" i="81"/>
  <c r="G4" i="81"/>
  <c r="G3" i="81"/>
  <c r="P240" i="61" l="1"/>
  <c r="D210" i="76"/>
  <c r="P236" i="61"/>
  <c r="D206" i="76"/>
  <c r="P232" i="61"/>
  <c r="D202" i="76"/>
  <c r="P238" i="61"/>
  <c r="D208" i="76"/>
  <c r="P234" i="61"/>
  <c r="D204" i="76"/>
  <c r="P230" i="61"/>
  <c r="D200" i="76"/>
  <c r="P239" i="61"/>
  <c r="D209" i="76"/>
  <c r="P235" i="61"/>
  <c r="D205" i="76"/>
  <c r="P231" i="61"/>
  <c r="D201" i="76"/>
  <c r="P241" i="61"/>
  <c r="D211" i="76"/>
  <c r="P237" i="61"/>
  <c r="D207" i="76"/>
  <c r="P233" i="61"/>
  <c r="D203" i="76"/>
  <c r="AA20" i="83"/>
  <c r="AB19" i="83"/>
  <c r="AH21" i="84"/>
  <c r="X21" i="83"/>
  <c r="Z21" i="83" s="1"/>
  <c r="N6" i="81"/>
  <c r="N3" i="81"/>
  <c r="N4" i="81"/>
  <c r="N5" i="81"/>
  <c r="I8" i="81"/>
  <c r="M7" i="81"/>
  <c r="N7" i="81"/>
  <c r="J7" i="81"/>
  <c r="K7" i="81"/>
  <c r="L7" i="81"/>
  <c r="A13" i="9"/>
  <c r="A13" i="89" s="1"/>
  <c r="A23" i="89" s="1"/>
  <c r="A14" i="9"/>
  <c r="A14" i="89" s="1"/>
  <c r="A4" i="9"/>
  <c r="A5" i="9"/>
  <c r="A6" i="9"/>
  <c r="A7" i="9"/>
  <c r="A8" i="9"/>
  <c r="A9" i="9"/>
  <c r="A10" i="9"/>
  <c r="A11" i="9"/>
  <c r="A11" i="89" s="1"/>
  <c r="A21" i="89" s="1"/>
  <c r="A12" i="9"/>
  <c r="A12" i="89" s="1"/>
  <c r="A3" i="9"/>
  <c r="P155" i="62"/>
  <c r="B134" i="62"/>
  <c r="B135" i="62"/>
  <c r="B136" i="62"/>
  <c r="B137" i="62"/>
  <c r="B138" i="62"/>
  <c r="B139" i="62"/>
  <c r="B140" i="62"/>
  <c r="B141" i="62"/>
  <c r="B142" i="62"/>
  <c r="B143" i="62"/>
  <c r="B144" i="62"/>
  <c r="B145" i="62"/>
  <c r="B146" i="62"/>
  <c r="B147" i="62"/>
  <c r="B148" i="62"/>
  <c r="B149" i="62"/>
  <c r="B150" i="62"/>
  <c r="B151" i="62"/>
  <c r="B152" i="62"/>
  <c r="B153" i="62"/>
  <c r="B154" i="62"/>
  <c r="B155" i="62"/>
  <c r="B156" i="62"/>
  <c r="B157" i="62"/>
  <c r="AL27" i="62"/>
  <c r="T135" i="62" s="1"/>
  <c r="AA135" i="62" s="1"/>
  <c r="AL28" i="62"/>
  <c r="V146" i="62" s="1"/>
  <c r="AL26" i="62"/>
  <c r="AM28" i="62"/>
  <c r="AM27" i="62"/>
  <c r="AM26" i="62"/>
  <c r="AM21" i="62"/>
  <c r="AM22" i="62"/>
  <c r="AM20" i="62"/>
  <c r="AL21" i="62"/>
  <c r="P137" i="62" s="1"/>
  <c r="AL22" i="62"/>
  <c r="P147" i="62" s="1"/>
  <c r="AL20" i="62"/>
  <c r="A25" i="9" l="1"/>
  <c r="A7" i="89"/>
  <c r="A28" i="9"/>
  <c r="A10" i="89"/>
  <c r="A24" i="9"/>
  <c r="A6" i="89"/>
  <c r="A21" i="9"/>
  <c r="A3" i="89"/>
  <c r="A27" i="9"/>
  <c r="A9" i="89"/>
  <c r="A23" i="9"/>
  <c r="A5" i="89"/>
  <c r="A26" i="9"/>
  <c r="A8" i="89"/>
  <c r="A22" i="9"/>
  <c r="A4" i="89"/>
  <c r="P153" i="62"/>
  <c r="AB20" i="83"/>
  <c r="AA21" i="83"/>
  <c r="AH22" i="84"/>
  <c r="X22" i="83"/>
  <c r="Z22" i="83" s="1"/>
  <c r="P136" i="62"/>
  <c r="Q155" i="62"/>
  <c r="Q149" i="62"/>
  <c r="R156" i="62"/>
  <c r="S153" i="62"/>
  <c r="T150" i="62"/>
  <c r="T147" i="62"/>
  <c r="P143" i="62"/>
  <c r="P138" i="62"/>
  <c r="Q156" i="62"/>
  <c r="Q153" i="62"/>
  <c r="Q150" i="62"/>
  <c r="V157" i="62"/>
  <c r="T156" i="62"/>
  <c r="V154" i="62"/>
  <c r="U153" i="62"/>
  <c r="AB153" i="62" s="1"/>
  <c r="S152" i="62"/>
  <c r="U150" i="62"/>
  <c r="S149" i="62"/>
  <c r="R148" i="62"/>
  <c r="T146" i="62"/>
  <c r="P142" i="62"/>
  <c r="U157" i="62"/>
  <c r="U154" i="62"/>
  <c r="AB154" i="62" s="1"/>
  <c r="U151" i="62"/>
  <c r="R149" i="62"/>
  <c r="R146" i="62"/>
  <c r="P134" i="62"/>
  <c r="P140" i="62"/>
  <c r="P135" i="62"/>
  <c r="Q152" i="62"/>
  <c r="Q148" i="62"/>
  <c r="R157" i="62"/>
  <c r="U155" i="62"/>
  <c r="T154" i="62"/>
  <c r="V152" i="62"/>
  <c r="AC152" i="62" s="1"/>
  <c r="T151" i="62"/>
  <c r="R150" i="62"/>
  <c r="T148" i="62"/>
  <c r="S147" i="62"/>
  <c r="L145" i="62"/>
  <c r="P144" i="62"/>
  <c r="P139" i="62"/>
  <c r="Q157" i="62"/>
  <c r="Q154" i="62"/>
  <c r="Q151" i="62"/>
  <c r="V156" i="62"/>
  <c r="T155" i="62"/>
  <c r="V153" i="62"/>
  <c r="T152" i="62"/>
  <c r="S151" i="62"/>
  <c r="U149" i="62"/>
  <c r="S148" i="62"/>
  <c r="L157" i="62"/>
  <c r="S144" i="62"/>
  <c r="Z144" i="62" s="1"/>
  <c r="R140" i="62"/>
  <c r="Y140" i="62" s="1"/>
  <c r="U135" i="62"/>
  <c r="AB135" i="62" s="1"/>
  <c r="E142" i="62"/>
  <c r="E154" i="62" s="1"/>
  <c r="H135" i="62"/>
  <c r="H147" i="62" s="1"/>
  <c r="I140" i="62"/>
  <c r="I145" i="62"/>
  <c r="I157" i="62" s="1"/>
  <c r="L139" i="62"/>
  <c r="L151" i="62" s="1"/>
  <c r="M144" i="62"/>
  <c r="M156" i="62" s="1"/>
  <c r="P148" i="62"/>
  <c r="P150" i="62"/>
  <c r="P152" i="62"/>
  <c r="P154" i="62"/>
  <c r="P156" i="62"/>
  <c r="P146" i="62"/>
  <c r="Q139" i="62"/>
  <c r="X139" i="62" s="1"/>
  <c r="P157" i="62"/>
  <c r="P149" i="62"/>
  <c r="AB151" i="62"/>
  <c r="R144" i="62"/>
  <c r="Y144" i="62" s="1"/>
  <c r="V141" i="62"/>
  <c r="AC141" i="62" s="1"/>
  <c r="U139" i="62"/>
  <c r="AB139" i="62" s="1"/>
  <c r="U137" i="62"/>
  <c r="AB137" i="62" s="1"/>
  <c r="D140" i="62"/>
  <c r="D152" i="62" s="1"/>
  <c r="E140" i="62"/>
  <c r="E152" i="62" s="1"/>
  <c r="I135" i="62"/>
  <c r="I147" i="62" s="1"/>
  <c r="H141" i="62"/>
  <c r="H153" i="62" s="1"/>
  <c r="M134" i="62"/>
  <c r="M139" i="62"/>
  <c r="S134" i="62"/>
  <c r="Z134" i="62" s="1"/>
  <c r="R135" i="62"/>
  <c r="Y135" i="62" s="1"/>
  <c r="V135" i="62"/>
  <c r="AC135" i="62" s="1"/>
  <c r="U136" i="62"/>
  <c r="AB136" i="62" s="1"/>
  <c r="T137" i="62"/>
  <c r="AA137" i="62" s="1"/>
  <c r="S138" i="62"/>
  <c r="Z138" i="62" s="1"/>
  <c r="R139" i="62"/>
  <c r="Y139" i="62" s="1"/>
  <c r="V139" i="62"/>
  <c r="AC139" i="62" s="1"/>
  <c r="U140" i="62"/>
  <c r="AB140" i="62" s="1"/>
  <c r="T141" i="62"/>
  <c r="AA141" i="62" s="1"/>
  <c r="S142" i="62"/>
  <c r="Z142" i="62" s="1"/>
  <c r="R143" i="62"/>
  <c r="Y143" i="62" s="1"/>
  <c r="V143" i="62"/>
  <c r="AC143" i="62" s="1"/>
  <c r="U144" i="62"/>
  <c r="AB144" i="62" s="1"/>
  <c r="T145" i="62"/>
  <c r="AA145" i="62" s="1"/>
  <c r="V134" i="62"/>
  <c r="AC134" i="62" s="1"/>
  <c r="R136" i="62"/>
  <c r="Y136" i="62" s="1"/>
  <c r="R137" i="62"/>
  <c r="Y137" i="62" s="1"/>
  <c r="R138" i="62"/>
  <c r="Y138" i="62" s="1"/>
  <c r="S139" i="62"/>
  <c r="Z139" i="62" s="1"/>
  <c r="S140" i="62"/>
  <c r="Z140" i="62" s="1"/>
  <c r="S141" i="62"/>
  <c r="Z141" i="62" s="1"/>
  <c r="T142" i="62"/>
  <c r="AA142" i="62" s="1"/>
  <c r="T143" i="62"/>
  <c r="AA143" i="62" s="1"/>
  <c r="T144" i="62"/>
  <c r="AA144" i="62" s="1"/>
  <c r="U145" i="62"/>
  <c r="AB145" i="62" s="1"/>
  <c r="Q137" i="62"/>
  <c r="X137" i="62" s="1"/>
  <c r="Q141" i="62"/>
  <c r="X141" i="62" s="1"/>
  <c r="Q145" i="62"/>
  <c r="X145" i="62" s="1"/>
  <c r="R134" i="62"/>
  <c r="Y134" i="62" s="1"/>
  <c r="S135" i="62"/>
  <c r="Z135" i="62" s="1"/>
  <c r="S136" i="62"/>
  <c r="Z136" i="62" s="1"/>
  <c r="S137" i="62"/>
  <c r="Z137" i="62" s="1"/>
  <c r="T138" i="62"/>
  <c r="AA138" i="62" s="1"/>
  <c r="T139" i="62"/>
  <c r="AA139" i="62" s="1"/>
  <c r="T140" i="62"/>
  <c r="AA140" i="62" s="1"/>
  <c r="U141" i="62"/>
  <c r="AB141" i="62" s="1"/>
  <c r="U142" i="62"/>
  <c r="AB142" i="62" s="1"/>
  <c r="U143" i="62"/>
  <c r="AB143" i="62" s="1"/>
  <c r="V144" i="62"/>
  <c r="AC144" i="62" s="1"/>
  <c r="V145" i="62"/>
  <c r="AC145" i="62" s="1"/>
  <c r="Q138" i="62"/>
  <c r="X138" i="62" s="1"/>
  <c r="Q142" i="62"/>
  <c r="X142" i="62" s="1"/>
  <c r="Q134" i="62"/>
  <c r="X134" i="62" s="1"/>
  <c r="Q143" i="62"/>
  <c r="X143" i="62" s="1"/>
  <c r="Q135" i="62"/>
  <c r="X135" i="62" s="1"/>
  <c r="R145" i="62"/>
  <c r="Y145" i="62" s="1"/>
  <c r="V142" i="62"/>
  <c r="AC142" i="62" s="1"/>
  <c r="V140" i="62"/>
  <c r="AC140" i="62" s="1"/>
  <c r="U138" i="62"/>
  <c r="AB138" i="62" s="1"/>
  <c r="T136" i="62"/>
  <c r="AA136" i="62" s="1"/>
  <c r="T134" i="62"/>
  <c r="AA134" i="62" s="1"/>
  <c r="D145" i="62"/>
  <c r="D157" i="62" s="1"/>
  <c r="D135" i="62"/>
  <c r="D147" i="62" s="1"/>
  <c r="E135" i="62"/>
  <c r="E147" i="62" s="1"/>
  <c r="I138" i="62"/>
  <c r="I143" i="62"/>
  <c r="L137" i="62"/>
  <c r="L149" i="62" s="1"/>
  <c r="M142" i="62"/>
  <c r="M154" i="62" s="1"/>
  <c r="I9" i="81"/>
  <c r="M8" i="81"/>
  <c r="N8" i="81"/>
  <c r="K8" i="81"/>
  <c r="J8" i="81"/>
  <c r="L8" i="81"/>
  <c r="Q140" i="62"/>
  <c r="X140" i="62" s="1"/>
  <c r="R142" i="62"/>
  <c r="Y142" i="62" s="1"/>
  <c r="V137" i="62"/>
  <c r="AC137" i="62" s="1"/>
  <c r="D141" i="62"/>
  <c r="L144" i="62"/>
  <c r="L156" i="62" s="1"/>
  <c r="L142" i="62"/>
  <c r="L154" i="62" s="1"/>
  <c r="L140" i="62"/>
  <c r="L152" i="62" s="1"/>
  <c r="L138" i="62"/>
  <c r="L136" i="62"/>
  <c r="L148" i="62" s="1"/>
  <c r="L134" i="62"/>
  <c r="L146" i="62" s="1"/>
  <c r="H144" i="62"/>
  <c r="H156" i="62" s="1"/>
  <c r="H142" i="62"/>
  <c r="H140" i="62"/>
  <c r="H138" i="62"/>
  <c r="H150" i="62" s="1"/>
  <c r="H136" i="62"/>
  <c r="H134" i="62"/>
  <c r="E137" i="62"/>
  <c r="E149" i="62" s="1"/>
  <c r="E141" i="62"/>
  <c r="E153" i="62" s="1"/>
  <c r="E145" i="62"/>
  <c r="E157" i="62" s="1"/>
  <c r="D138" i="62"/>
  <c r="D142" i="62"/>
  <c r="X154" i="62" s="1"/>
  <c r="D134" i="62"/>
  <c r="M143" i="62"/>
  <c r="L141" i="62"/>
  <c r="L153" i="62" s="1"/>
  <c r="M138" i="62"/>
  <c r="M150" i="62" s="1"/>
  <c r="M135" i="62"/>
  <c r="H145" i="62"/>
  <c r="H157" i="62" s="1"/>
  <c r="I142" i="62"/>
  <c r="I154" i="62" s="1"/>
  <c r="I139" i="62"/>
  <c r="H137" i="62"/>
  <c r="H149" i="62" s="1"/>
  <c r="I134" i="62"/>
  <c r="E138" i="62"/>
  <c r="E150" i="62" s="1"/>
  <c r="E143" i="62"/>
  <c r="E155" i="62" s="1"/>
  <c r="D137" i="62"/>
  <c r="D149" i="62" s="1"/>
  <c r="D143" i="62"/>
  <c r="D155" i="62" s="1"/>
  <c r="M145" i="62"/>
  <c r="L143" i="62"/>
  <c r="L155" i="62" s="1"/>
  <c r="M140" i="62"/>
  <c r="M152" i="62" s="1"/>
  <c r="M137" i="62"/>
  <c r="L135" i="62"/>
  <c r="L147" i="62" s="1"/>
  <c r="I144" i="62"/>
  <c r="I156" i="62" s="1"/>
  <c r="I141" i="62"/>
  <c r="I153" i="62" s="1"/>
  <c r="H139" i="62"/>
  <c r="I136" i="62"/>
  <c r="I148" i="62" s="1"/>
  <c r="E134" i="62"/>
  <c r="E146" i="62" s="1"/>
  <c r="E139" i="62"/>
  <c r="E151" i="62" s="1"/>
  <c r="E144" i="62"/>
  <c r="E156" i="62" s="1"/>
  <c r="D139" i="62"/>
  <c r="D151" i="62" s="1"/>
  <c r="D144" i="62"/>
  <c r="D156" i="62" s="1"/>
  <c r="Q144" i="62"/>
  <c r="X144" i="62" s="1"/>
  <c r="Q136" i="62"/>
  <c r="X136" i="62" s="1"/>
  <c r="P151" i="62"/>
  <c r="Y150" i="62"/>
  <c r="S145" i="62"/>
  <c r="Z145" i="62" s="1"/>
  <c r="S143" i="62"/>
  <c r="Z143" i="62" s="1"/>
  <c r="R141" i="62"/>
  <c r="Y141" i="62" s="1"/>
  <c r="V138" i="62"/>
  <c r="AC138" i="62" s="1"/>
  <c r="V136" i="62"/>
  <c r="AC136" i="62" s="1"/>
  <c r="U134" i="62"/>
  <c r="AB134" i="62" s="1"/>
  <c r="D136" i="62"/>
  <c r="E136" i="62"/>
  <c r="E148" i="62" s="1"/>
  <c r="I137" i="62"/>
  <c r="I149" i="62" s="1"/>
  <c r="H143" i="62"/>
  <c r="H155" i="62" s="1"/>
  <c r="M136" i="62"/>
  <c r="M148" i="62" s="1"/>
  <c r="M141" i="62"/>
  <c r="S146" i="62"/>
  <c r="R147" i="62"/>
  <c r="Y147" i="62" s="1"/>
  <c r="V147" i="62"/>
  <c r="U148" i="62"/>
  <c r="T149" i="62"/>
  <c r="AA149" i="62" s="1"/>
  <c r="S150" i="62"/>
  <c r="R151" i="62"/>
  <c r="V151" i="62"/>
  <c r="U152" i="62"/>
  <c r="T153" i="62"/>
  <c r="S154" i="62"/>
  <c r="R155" i="62"/>
  <c r="V155" i="62"/>
  <c r="U156" i="62"/>
  <c r="T157" i="62"/>
  <c r="Q147" i="62"/>
  <c r="X147" i="62" s="1"/>
  <c r="P145" i="62"/>
  <c r="P141" i="62"/>
  <c r="Q146" i="62"/>
  <c r="S157" i="62"/>
  <c r="S156" i="62"/>
  <c r="S155" i="62"/>
  <c r="Z155" i="62" s="1"/>
  <c r="R154" i="62"/>
  <c r="R153" i="62"/>
  <c r="Y153" i="62" s="1"/>
  <c r="R152" i="62"/>
  <c r="V150" i="62"/>
  <c r="V149" i="62"/>
  <c r="V148" i="62"/>
  <c r="U147" i="62"/>
  <c r="U146" i="62"/>
  <c r="H154" i="62"/>
  <c r="AA148" i="62"/>
  <c r="AC150" i="62" l="1"/>
  <c r="AB156" i="62"/>
  <c r="Z148" i="62"/>
  <c r="AA150" i="62"/>
  <c r="X157" i="62"/>
  <c r="Y156" i="62"/>
  <c r="AB147" i="62"/>
  <c r="Y152" i="62"/>
  <c r="AB152" i="62"/>
  <c r="X152" i="62"/>
  <c r="AB157" i="62"/>
  <c r="AA147" i="62"/>
  <c r="AH23" i="84"/>
  <c r="X23" i="83"/>
  <c r="Z23" i="83" s="1"/>
  <c r="AB21" i="83"/>
  <c r="AA22" i="83"/>
  <c r="X149" i="62"/>
  <c r="Y154" i="62"/>
  <c r="Y151" i="62"/>
  <c r="Z157" i="62"/>
  <c r="AB146" i="62"/>
  <c r="AA153" i="62"/>
  <c r="X150" i="62"/>
  <c r="Z154" i="62"/>
  <c r="Y157" i="62"/>
  <c r="D154" i="62"/>
  <c r="AC157" i="62"/>
  <c r="M157" i="62"/>
  <c r="D153" i="62"/>
  <c r="X153" i="62"/>
  <c r="AC153" i="62"/>
  <c r="M153" i="62"/>
  <c r="I151" i="62"/>
  <c r="AA151" i="62"/>
  <c r="Z152" i="62"/>
  <c r="H152" i="62"/>
  <c r="I10" i="81"/>
  <c r="M9" i="81"/>
  <c r="J9" i="81"/>
  <c r="N9" i="81"/>
  <c r="K9" i="81"/>
  <c r="L9" i="81"/>
  <c r="D148" i="62"/>
  <c r="X148" i="62"/>
  <c r="Z146" i="62"/>
  <c r="L150" i="62"/>
  <c r="AB150" i="62"/>
  <c r="Y149" i="62"/>
  <c r="AA152" i="62"/>
  <c r="I152" i="62"/>
  <c r="AC154" i="62"/>
  <c r="D150" i="62"/>
  <c r="AA154" i="62"/>
  <c r="I150" i="62"/>
  <c r="AC148" i="62"/>
  <c r="Y155" i="62"/>
  <c r="AB148" i="62"/>
  <c r="Y148" i="62"/>
  <c r="AB155" i="62"/>
  <c r="H151" i="62"/>
  <c r="Z151" i="62"/>
  <c r="AC149" i="62"/>
  <c r="M149" i="62"/>
  <c r="AA146" i="62"/>
  <c r="I146" i="62"/>
  <c r="AC155" i="62"/>
  <c r="M155" i="62"/>
  <c r="Z156" i="62"/>
  <c r="AB149" i="62"/>
  <c r="AC151" i="62"/>
  <c r="M151" i="62"/>
  <c r="Y146" i="62"/>
  <c r="H146" i="62"/>
  <c r="AA156" i="62"/>
  <c r="H148" i="62"/>
  <c r="AA157" i="62"/>
  <c r="X156" i="62"/>
  <c r="AC147" i="62"/>
  <c r="M147" i="62"/>
  <c r="X146" i="62"/>
  <c r="D146" i="62"/>
  <c r="Z150" i="62"/>
  <c r="I155" i="62"/>
  <c r="AA155" i="62"/>
  <c r="AC156" i="62"/>
  <c r="M146" i="62"/>
  <c r="AC146" i="62"/>
  <c r="Z153" i="62"/>
  <c r="X151" i="62"/>
  <c r="Z149" i="62"/>
  <c r="Z147" i="62"/>
  <c r="X155" i="62"/>
  <c r="J196" i="76"/>
  <c r="C196" i="76"/>
  <c r="B196" i="76"/>
  <c r="J195" i="76"/>
  <c r="C195" i="76"/>
  <c r="B195" i="76"/>
  <c r="J194" i="76"/>
  <c r="C194" i="76"/>
  <c r="B194" i="76"/>
  <c r="J193" i="76"/>
  <c r="C193" i="76"/>
  <c r="B193" i="76"/>
  <c r="J192" i="76"/>
  <c r="C192" i="76"/>
  <c r="B192" i="76"/>
  <c r="J191" i="76"/>
  <c r="C191" i="76"/>
  <c r="B191" i="76"/>
  <c r="J190" i="76"/>
  <c r="C190" i="76"/>
  <c r="B190" i="76"/>
  <c r="J189" i="76"/>
  <c r="C189" i="76"/>
  <c r="B189" i="76"/>
  <c r="J188" i="76"/>
  <c r="C188" i="76"/>
  <c r="B188" i="76"/>
  <c r="J187" i="76"/>
  <c r="C187" i="76"/>
  <c r="B187" i="76"/>
  <c r="J186" i="76"/>
  <c r="C186" i="76"/>
  <c r="B186" i="76"/>
  <c r="J185" i="76"/>
  <c r="C185" i="76"/>
  <c r="B185" i="76"/>
  <c r="Q184" i="76"/>
  <c r="C158" i="76"/>
  <c r="B158" i="76"/>
  <c r="C157" i="76"/>
  <c r="B157" i="76"/>
  <c r="C156" i="76"/>
  <c r="B156" i="76"/>
  <c r="C155" i="76"/>
  <c r="B155" i="76"/>
  <c r="C154" i="76"/>
  <c r="B154" i="76"/>
  <c r="C153" i="76"/>
  <c r="B153" i="76"/>
  <c r="C152" i="76"/>
  <c r="B152" i="76"/>
  <c r="C151" i="76"/>
  <c r="B151" i="76"/>
  <c r="C150" i="76"/>
  <c r="B150" i="76"/>
  <c r="C149" i="76"/>
  <c r="B149" i="76"/>
  <c r="C148" i="76"/>
  <c r="B148" i="76"/>
  <c r="C147" i="76"/>
  <c r="B147" i="76"/>
  <c r="C146" i="76"/>
  <c r="B146" i="76"/>
  <c r="C145" i="76"/>
  <c r="B145" i="76"/>
  <c r="C144" i="76"/>
  <c r="B144" i="76"/>
  <c r="C143" i="76"/>
  <c r="B143" i="76"/>
  <c r="C142" i="76"/>
  <c r="B142" i="76"/>
  <c r="C141" i="76"/>
  <c r="B141" i="76"/>
  <c r="C140" i="76"/>
  <c r="B140" i="76"/>
  <c r="C139" i="76"/>
  <c r="B139" i="76"/>
  <c r="C138" i="76"/>
  <c r="B138" i="76"/>
  <c r="C137" i="76"/>
  <c r="B137" i="76"/>
  <c r="C136" i="76"/>
  <c r="B136" i="76"/>
  <c r="C135" i="76"/>
  <c r="B135" i="76"/>
  <c r="I134" i="76"/>
  <c r="H134" i="76"/>
  <c r="C134" i="76"/>
  <c r="B134" i="76"/>
  <c r="I133" i="76"/>
  <c r="H133" i="76"/>
  <c r="C133" i="76"/>
  <c r="B133" i="76"/>
  <c r="I132" i="76"/>
  <c r="H132" i="76"/>
  <c r="C132" i="76"/>
  <c r="B132" i="76"/>
  <c r="I131" i="76"/>
  <c r="H131" i="76"/>
  <c r="C131" i="76"/>
  <c r="B131" i="76"/>
  <c r="I130" i="76"/>
  <c r="H130" i="76"/>
  <c r="C130" i="76"/>
  <c r="B130" i="76"/>
  <c r="I129" i="76"/>
  <c r="H129" i="76"/>
  <c r="C129" i="76"/>
  <c r="B129" i="76"/>
  <c r="I128" i="76"/>
  <c r="H128" i="76"/>
  <c r="C128" i="76"/>
  <c r="B128" i="76"/>
  <c r="I127" i="76"/>
  <c r="H127" i="76"/>
  <c r="C127" i="76"/>
  <c r="B127" i="76"/>
  <c r="I126" i="76"/>
  <c r="H126" i="76"/>
  <c r="C126" i="76"/>
  <c r="B126" i="76"/>
  <c r="I125" i="76"/>
  <c r="H125" i="76"/>
  <c r="C125" i="76"/>
  <c r="B125" i="76"/>
  <c r="I124" i="76"/>
  <c r="H124" i="76"/>
  <c r="C124" i="76"/>
  <c r="B124" i="76"/>
  <c r="I123" i="76"/>
  <c r="H123" i="76"/>
  <c r="C123" i="76"/>
  <c r="B123" i="76"/>
  <c r="I122" i="76"/>
  <c r="H122" i="76"/>
  <c r="C122" i="76"/>
  <c r="B122" i="76"/>
  <c r="I121" i="76"/>
  <c r="H121" i="76"/>
  <c r="C121" i="76"/>
  <c r="B121" i="76"/>
  <c r="I120" i="76"/>
  <c r="H120" i="76"/>
  <c r="C120" i="76"/>
  <c r="B120" i="76"/>
  <c r="I119" i="76"/>
  <c r="H119" i="76"/>
  <c r="C119" i="76"/>
  <c r="B119" i="76"/>
  <c r="I118" i="76"/>
  <c r="H118" i="76"/>
  <c r="C118" i="76"/>
  <c r="B118" i="76"/>
  <c r="I117" i="76"/>
  <c r="H117" i="76"/>
  <c r="C117" i="76"/>
  <c r="B117" i="76"/>
  <c r="I116" i="76"/>
  <c r="H116" i="76"/>
  <c r="C116" i="76"/>
  <c r="B116" i="76"/>
  <c r="I115" i="76"/>
  <c r="H115" i="76"/>
  <c r="C115" i="76"/>
  <c r="B115" i="76"/>
  <c r="I114" i="76"/>
  <c r="H114" i="76"/>
  <c r="C114" i="76"/>
  <c r="B114" i="76"/>
  <c r="I113" i="76"/>
  <c r="H113" i="76"/>
  <c r="C113" i="76"/>
  <c r="B113" i="76"/>
  <c r="I112" i="76"/>
  <c r="H112" i="76"/>
  <c r="C112" i="76"/>
  <c r="B112" i="76"/>
  <c r="I111" i="76"/>
  <c r="H111" i="76"/>
  <c r="C111" i="76"/>
  <c r="B111" i="76"/>
  <c r="I110" i="76"/>
  <c r="H110" i="76"/>
  <c r="C110" i="76"/>
  <c r="B110" i="76"/>
  <c r="I109" i="76"/>
  <c r="H109" i="76"/>
  <c r="C109" i="76"/>
  <c r="B109" i="76"/>
  <c r="I108" i="76"/>
  <c r="H108" i="76"/>
  <c r="C108" i="76"/>
  <c r="B108" i="76"/>
  <c r="I107" i="76"/>
  <c r="H107" i="76"/>
  <c r="C107" i="76"/>
  <c r="B107" i="76"/>
  <c r="I106" i="76"/>
  <c r="H106" i="76"/>
  <c r="C106" i="76"/>
  <c r="B106" i="76"/>
  <c r="I105" i="76"/>
  <c r="H105" i="76"/>
  <c r="C105" i="76"/>
  <c r="B105" i="76"/>
  <c r="I104" i="76"/>
  <c r="H104" i="76"/>
  <c r="C104" i="76"/>
  <c r="B104" i="76"/>
  <c r="I103" i="76"/>
  <c r="H103" i="76"/>
  <c r="C103" i="76"/>
  <c r="B103" i="76"/>
  <c r="I102" i="76"/>
  <c r="H102" i="76"/>
  <c r="C102" i="76"/>
  <c r="B102" i="76"/>
  <c r="I101" i="76"/>
  <c r="H101" i="76"/>
  <c r="C101" i="76"/>
  <c r="B101" i="76"/>
  <c r="I100" i="76"/>
  <c r="H100" i="76"/>
  <c r="C100" i="76"/>
  <c r="B100" i="76"/>
  <c r="I99" i="76"/>
  <c r="H99" i="76"/>
  <c r="C99" i="76"/>
  <c r="B99" i="76"/>
  <c r="I98" i="76"/>
  <c r="H98" i="76"/>
  <c r="C98" i="76"/>
  <c r="B98" i="76"/>
  <c r="I97" i="76"/>
  <c r="H97" i="76"/>
  <c r="C97" i="76"/>
  <c r="B97" i="76"/>
  <c r="I96" i="76"/>
  <c r="H96" i="76"/>
  <c r="C96" i="76"/>
  <c r="B96" i="76"/>
  <c r="I95" i="76"/>
  <c r="H95" i="76"/>
  <c r="C95" i="76"/>
  <c r="B95" i="76"/>
  <c r="I94" i="76"/>
  <c r="H94" i="76"/>
  <c r="C94" i="76"/>
  <c r="B94" i="76"/>
  <c r="I93" i="76"/>
  <c r="H93" i="76"/>
  <c r="C93" i="76"/>
  <c r="B93" i="76"/>
  <c r="I92" i="76"/>
  <c r="H92" i="76"/>
  <c r="C92" i="76"/>
  <c r="B92" i="76"/>
  <c r="I91" i="76"/>
  <c r="H91" i="76"/>
  <c r="C91" i="76"/>
  <c r="B91" i="76"/>
  <c r="I90" i="76"/>
  <c r="H90" i="76"/>
  <c r="C90" i="76"/>
  <c r="B90" i="76"/>
  <c r="I89" i="76"/>
  <c r="H89" i="76"/>
  <c r="C89" i="76"/>
  <c r="B89" i="76"/>
  <c r="I88" i="76"/>
  <c r="H88" i="76"/>
  <c r="C88" i="76"/>
  <c r="B88" i="76"/>
  <c r="I87" i="76"/>
  <c r="H87" i="76"/>
  <c r="C87" i="76"/>
  <c r="B87" i="76"/>
  <c r="I86" i="76"/>
  <c r="H86" i="76"/>
  <c r="C86" i="76"/>
  <c r="B86" i="76"/>
  <c r="I85" i="76"/>
  <c r="H85" i="76"/>
  <c r="C85" i="76"/>
  <c r="B85" i="76"/>
  <c r="I84" i="76"/>
  <c r="H84" i="76"/>
  <c r="C84" i="76"/>
  <c r="B84" i="76"/>
  <c r="I83" i="76"/>
  <c r="H83" i="76"/>
  <c r="C83" i="76"/>
  <c r="B83" i="76"/>
  <c r="I82" i="76"/>
  <c r="H82" i="76"/>
  <c r="C82" i="76"/>
  <c r="B82" i="76"/>
  <c r="I81" i="76"/>
  <c r="H81" i="76"/>
  <c r="C81" i="76"/>
  <c r="B81" i="76"/>
  <c r="I80" i="76"/>
  <c r="H80" i="76"/>
  <c r="C80" i="76"/>
  <c r="B80" i="76"/>
  <c r="I79" i="76"/>
  <c r="H79" i="76"/>
  <c r="C79" i="76"/>
  <c r="B79" i="76"/>
  <c r="I78" i="76"/>
  <c r="H78" i="76"/>
  <c r="C78" i="76"/>
  <c r="B78" i="76"/>
  <c r="I77" i="76"/>
  <c r="H77" i="76"/>
  <c r="C77" i="76"/>
  <c r="B77" i="76"/>
  <c r="I76" i="76"/>
  <c r="H76" i="76"/>
  <c r="C76" i="76"/>
  <c r="B76" i="76"/>
  <c r="I75" i="76"/>
  <c r="H75" i="76"/>
  <c r="C75" i="76"/>
  <c r="B75" i="76"/>
  <c r="I74" i="76"/>
  <c r="H74" i="76"/>
  <c r="C74" i="76"/>
  <c r="B74" i="76"/>
  <c r="I73" i="76"/>
  <c r="H73" i="76"/>
  <c r="C73" i="76"/>
  <c r="B73" i="76"/>
  <c r="I72" i="76"/>
  <c r="H72" i="76"/>
  <c r="C72" i="76"/>
  <c r="B72" i="76"/>
  <c r="I71" i="76"/>
  <c r="H71" i="76"/>
  <c r="C71" i="76"/>
  <c r="B71" i="76"/>
  <c r="I70" i="76"/>
  <c r="H70" i="76"/>
  <c r="C70" i="76"/>
  <c r="B70" i="76"/>
  <c r="I69" i="76"/>
  <c r="H69" i="76"/>
  <c r="C69" i="76"/>
  <c r="B69" i="76"/>
  <c r="I68" i="76"/>
  <c r="H68" i="76"/>
  <c r="C68" i="76"/>
  <c r="B68" i="76"/>
  <c r="I67" i="76"/>
  <c r="H67" i="76"/>
  <c r="C67" i="76"/>
  <c r="B67" i="76"/>
  <c r="I66" i="76"/>
  <c r="H66" i="76"/>
  <c r="C66" i="76"/>
  <c r="B66" i="76"/>
  <c r="I65" i="76"/>
  <c r="H65" i="76"/>
  <c r="C65" i="76"/>
  <c r="B65" i="76"/>
  <c r="I64" i="76"/>
  <c r="H64" i="76"/>
  <c r="C64" i="76"/>
  <c r="B64" i="76"/>
  <c r="I63" i="76"/>
  <c r="H63" i="76"/>
  <c r="C63" i="76"/>
  <c r="B63" i="76"/>
  <c r="I62" i="76"/>
  <c r="H62" i="76"/>
  <c r="C62" i="76"/>
  <c r="B62" i="76"/>
  <c r="I61" i="76"/>
  <c r="H61" i="76"/>
  <c r="C61" i="76"/>
  <c r="B61" i="76"/>
  <c r="I60" i="76"/>
  <c r="H60" i="76"/>
  <c r="C60" i="76"/>
  <c r="B60" i="76"/>
  <c r="I59" i="76"/>
  <c r="H59" i="76"/>
  <c r="C59" i="76"/>
  <c r="B59" i="76"/>
  <c r="I58" i="76"/>
  <c r="H58" i="76"/>
  <c r="C58" i="76"/>
  <c r="B58" i="76"/>
  <c r="I57" i="76"/>
  <c r="H57" i="76"/>
  <c r="C57" i="76"/>
  <c r="B57" i="76"/>
  <c r="I56" i="76"/>
  <c r="H56" i="76"/>
  <c r="C56" i="76"/>
  <c r="B56" i="76"/>
  <c r="I55" i="76"/>
  <c r="H55" i="76"/>
  <c r="C55" i="76"/>
  <c r="B55" i="76"/>
  <c r="I54" i="76"/>
  <c r="H54" i="76"/>
  <c r="C54" i="76"/>
  <c r="B54" i="76"/>
  <c r="I53" i="76"/>
  <c r="H53" i="76"/>
  <c r="C53" i="76"/>
  <c r="B53" i="76"/>
  <c r="I52" i="76"/>
  <c r="H52" i="76"/>
  <c r="C52" i="76"/>
  <c r="B52" i="76"/>
  <c r="I51" i="76"/>
  <c r="H51" i="76"/>
  <c r="C51" i="76"/>
  <c r="B51" i="76"/>
  <c r="I50" i="76"/>
  <c r="H50" i="76"/>
  <c r="C50" i="76"/>
  <c r="B50" i="76"/>
  <c r="I49" i="76"/>
  <c r="H49" i="76"/>
  <c r="C49" i="76"/>
  <c r="B49" i="76"/>
  <c r="I48" i="76"/>
  <c r="H48" i="76"/>
  <c r="C48" i="76"/>
  <c r="B48" i="76"/>
  <c r="I47" i="76"/>
  <c r="H47" i="76"/>
  <c r="C47" i="76"/>
  <c r="B47" i="76"/>
  <c r="I46" i="76"/>
  <c r="H46" i="76"/>
  <c r="C46" i="76"/>
  <c r="B46" i="76"/>
  <c r="I45" i="76"/>
  <c r="H45" i="76"/>
  <c r="C45" i="76"/>
  <c r="B45" i="76"/>
  <c r="I44" i="76"/>
  <c r="H44" i="76"/>
  <c r="C44" i="76"/>
  <c r="B44" i="76"/>
  <c r="I43" i="76"/>
  <c r="H43" i="76"/>
  <c r="C43" i="76"/>
  <c r="B43" i="76"/>
  <c r="I42" i="76"/>
  <c r="H42" i="76"/>
  <c r="C42" i="76"/>
  <c r="B42" i="76"/>
  <c r="I41" i="76"/>
  <c r="H41" i="76"/>
  <c r="C41" i="76"/>
  <c r="B41" i="76"/>
  <c r="I40" i="76"/>
  <c r="H40" i="76"/>
  <c r="C40" i="76"/>
  <c r="B40" i="76"/>
  <c r="I39" i="76"/>
  <c r="H39" i="76"/>
  <c r="C39" i="76"/>
  <c r="B39" i="76"/>
  <c r="I38" i="76"/>
  <c r="H38" i="76"/>
  <c r="C38" i="76"/>
  <c r="B38" i="76"/>
  <c r="I37" i="76"/>
  <c r="H37" i="76"/>
  <c r="C37" i="76"/>
  <c r="B37" i="76"/>
  <c r="I36" i="76"/>
  <c r="H36" i="76"/>
  <c r="C36" i="76"/>
  <c r="B36" i="76"/>
  <c r="I35" i="76"/>
  <c r="H35" i="76"/>
  <c r="C35" i="76"/>
  <c r="B35" i="76"/>
  <c r="I34" i="76"/>
  <c r="H34" i="76"/>
  <c r="C34" i="76"/>
  <c r="B34" i="76"/>
  <c r="I33" i="76"/>
  <c r="H33" i="76"/>
  <c r="C33" i="76"/>
  <c r="B33" i="76"/>
  <c r="I32" i="76"/>
  <c r="H32" i="76"/>
  <c r="C32" i="76"/>
  <c r="B32" i="76"/>
  <c r="I31" i="76"/>
  <c r="H31" i="76"/>
  <c r="C31" i="76"/>
  <c r="B31" i="76"/>
  <c r="I30" i="76"/>
  <c r="H30" i="76"/>
  <c r="C30" i="76"/>
  <c r="B30" i="76"/>
  <c r="I29" i="76"/>
  <c r="H29" i="76"/>
  <c r="C29" i="76"/>
  <c r="B29" i="76"/>
  <c r="I28" i="76"/>
  <c r="H28" i="76"/>
  <c r="C28" i="76"/>
  <c r="B28" i="76"/>
  <c r="I27" i="76"/>
  <c r="H27" i="76"/>
  <c r="C27" i="76"/>
  <c r="B27" i="76"/>
  <c r="K26" i="76"/>
  <c r="I26" i="76"/>
  <c r="H26" i="76"/>
  <c r="C26" i="76"/>
  <c r="B26" i="76"/>
  <c r="K25" i="76"/>
  <c r="K37" i="76" s="1"/>
  <c r="K49" i="76" s="1"/>
  <c r="K61" i="76" s="1"/>
  <c r="K73" i="76" s="1"/>
  <c r="K85" i="76" s="1"/>
  <c r="K97" i="76" s="1"/>
  <c r="K109" i="76" s="1"/>
  <c r="K121" i="76" s="1"/>
  <c r="K133" i="76" s="1"/>
  <c r="I25" i="76"/>
  <c r="H25" i="76"/>
  <c r="C25" i="76"/>
  <c r="B25" i="76"/>
  <c r="K24" i="76"/>
  <c r="K36" i="76" s="1"/>
  <c r="I24" i="76"/>
  <c r="H24" i="76"/>
  <c r="C24" i="76"/>
  <c r="B24" i="76"/>
  <c r="K23" i="76"/>
  <c r="K35" i="76" s="1"/>
  <c r="K47" i="76" s="1"/>
  <c r="K59" i="76" s="1"/>
  <c r="K71" i="76" s="1"/>
  <c r="K83" i="76" s="1"/>
  <c r="K95" i="76" s="1"/>
  <c r="K107" i="76" s="1"/>
  <c r="K119" i="76" s="1"/>
  <c r="K131" i="76" s="1"/>
  <c r="I23" i="76"/>
  <c r="H23" i="76"/>
  <c r="C23" i="76"/>
  <c r="B23" i="76"/>
  <c r="K22" i="76"/>
  <c r="K34" i="76" s="1"/>
  <c r="I22" i="76"/>
  <c r="H22" i="76"/>
  <c r="C22" i="76"/>
  <c r="B22" i="76"/>
  <c r="K21" i="76"/>
  <c r="K33" i="76" s="1"/>
  <c r="K45" i="76" s="1"/>
  <c r="K57" i="76" s="1"/>
  <c r="K69" i="76" s="1"/>
  <c r="K81" i="76" s="1"/>
  <c r="K93" i="76" s="1"/>
  <c r="K105" i="76" s="1"/>
  <c r="K117" i="76" s="1"/>
  <c r="K129" i="76" s="1"/>
  <c r="I21" i="76"/>
  <c r="H21" i="76"/>
  <c r="C21" i="76"/>
  <c r="B21" i="76"/>
  <c r="K20" i="76"/>
  <c r="K32" i="76" s="1"/>
  <c r="I20" i="76"/>
  <c r="H20" i="76"/>
  <c r="C20" i="76"/>
  <c r="B20" i="76"/>
  <c r="K19" i="76"/>
  <c r="K31" i="76" s="1"/>
  <c r="K43" i="76" s="1"/>
  <c r="K55" i="76" s="1"/>
  <c r="K67" i="76" s="1"/>
  <c r="K79" i="76" s="1"/>
  <c r="K91" i="76" s="1"/>
  <c r="K103" i="76" s="1"/>
  <c r="K115" i="76" s="1"/>
  <c r="K127" i="76" s="1"/>
  <c r="I19" i="76"/>
  <c r="H19" i="76"/>
  <c r="C19" i="76"/>
  <c r="B19" i="76"/>
  <c r="K18" i="76"/>
  <c r="I18" i="76"/>
  <c r="H18" i="76"/>
  <c r="C18" i="76"/>
  <c r="B18" i="76"/>
  <c r="K17" i="76"/>
  <c r="K29" i="76" s="1"/>
  <c r="K41" i="76" s="1"/>
  <c r="K53" i="76" s="1"/>
  <c r="K65" i="76" s="1"/>
  <c r="K77" i="76" s="1"/>
  <c r="K89" i="76" s="1"/>
  <c r="K101" i="76" s="1"/>
  <c r="K113" i="76" s="1"/>
  <c r="K125" i="76" s="1"/>
  <c r="I17" i="76"/>
  <c r="H17" i="76"/>
  <c r="C17" i="76"/>
  <c r="B17" i="76"/>
  <c r="K16" i="76"/>
  <c r="I16" i="76"/>
  <c r="H16" i="76"/>
  <c r="C16" i="76"/>
  <c r="B16" i="76"/>
  <c r="K15" i="76"/>
  <c r="K27" i="76" s="1"/>
  <c r="K39" i="76" s="1"/>
  <c r="K51" i="76" s="1"/>
  <c r="K63" i="76" s="1"/>
  <c r="K75" i="76" s="1"/>
  <c r="K87" i="76" s="1"/>
  <c r="K99" i="76" s="1"/>
  <c r="K111" i="76" s="1"/>
  <c r="K123" i="76" s="1"/>
  <c r="I15" i="76"/>
  <c r="H15" i="76"/>
  <c r="C15" i="76"/>
  <c r="B15" i="76"/>
  <c r="I14" i="76"/>
  <c r="H14" i="76"/>
  <c r="G14" i="76"/>
  <c r="C14" i="76"/>
  <c r="B14" i="76"/>
  <c r="I13" i="76"/>
  <c r="H13" i="76"/>
  <c r="G13" i="76"/>
  <c r="C13" i="76"/>
  <c r="B13" i="76"/>
  <c r="I12" i="76"/>
  <c r="H12" i="76"/>
  <c r="G12" i="76"/>
  <c r="C12" i="76"/>
  <c r="B12" i="76"/>
  <c r="I11" i="76"/>
  <c r="H11" i="76"/>
  <c r="G11" i="76"/>
  <c r="C11" i="76"/>
  <c r="B11" i="76"/>
  <c r="I10" i="76"/>
  <c r="H10" i="76"/>
  <c r="G10" i="76"/>
  <c r="C10" i="76"/>
  <c r="B10" i="76"/>
  <c r="I9" i="76"/>
  <c r="H9" i="76"/>
  <c r="G9" i="76"/>
  <c r="C9" i="76"/>
  <c r="B9" i="76"/>
  <c r="I8" i="76"/>
  <c r="H8" i="76"/>
  <c r="G8" i="76"/>
  <c r="C8" i="76"/>
  <c r="B8" i="76"/>
  <c r="I7" i="76"/>
  <c r="H7" i="76"/>
  <c r="G7" i="76"/>
  <c r="C7" i="76"/>
  <c r="B7" i="76"/>
  <c r="I6" i="76"/>
  <c r="H6" i="76"/>
  <c r="G6" i="76"/>
  <c r="C6" i="76"/>
  <c r="B6" i="76"/>
  <c r="I5" i="76"/>
  <c r="H5" i="76"/>
  <c r="G5" i="76"/>
  <c r="C5" i="76"/>
  <c r="B5" i="76"/>
  <c r="I4" i="76"/>
  <c r="H4" i="76"/>
  <c r="G4" i="76"/>
  <c r="C4" i="76"/>
  <c r="B4" i="76"/>
  <c r="I3" i="76"/>
  <c r="H3" i="76"/>
  <c r="G3" i="76"/>
  <c r="C3" i="76"/>
  <c r="B3" i="76"/>
  <c r="M2" i="76"/>
  <c r="K137" i="76" l="1"/>
  <c r="K149" i="76" s="1"/>
  <c r="K187" i="76" s="1"/>
  <c r="K202" i="76"/>
  <c r="K141" i="76"/>
  <c r="K153" i="76" s="1"/>
  <c r="K191" i="76" s="1"/>
  <c r="K206" i="76"/>
  <c r="K145" i="76"/>
  <c r="K157" i="76" s="1"/>
  <c r="K195" i="76" s="1"/>
  <c r="K210" i="76"/>
  <c r="K135" i="76"/>
  <c r="K147" i="76" s="1"/>
  <c r="K185" i="76" s="1"/>
  <c r="K200" i="76"/>
  <c r="K139" i="76"/>
  <c r="K151" i="76" s="1"/>
  <c r="K189" i="76" s="1"/>
  <c r="K204" i="76"/>
  <c r="K143" i="76"/>
  <c r="K155" i="76" s="1"/>
  <c r="K193" i="76" s="1"/>
  <c r="K208" i="76"/>
  <c r="AA23" i="83"/>
  <c r="AB22" i="83"/>
  <c r="AH24" i="84"/>
  <c r="X24" i="83"/>
  <c r="Z24" i="83" s="1"/>
  <c r="O3" i="76"/>
  <c r="I11" i="81"/>
  <c r="M10" i="81"/>
  <c r="J10" i="81"/>
  <c r="N10" i="81"/>
  <c r="K10" i="81"/>
  <c r="L10" i="81"/>
  <c r="K44" i="76"/>
  <c r="K48" i="76"/>
  <c r="K46" i="76"/>
  <c r="D174" i="76"/>
  <c r="B12" i="89" s="1"/>
  <c r="E173" i="76"/>
  <c r="R173" i="76" s="1"/>
  <c r="D170" i="76"/>
  <c r="B8" i="89" s="1"/>
  <c r="E169" i="76"/>
  <c r="R169" i="76" s="1"/>
  <c r="D166" i="76"/>
  <c r="B4" i="89" s="1"/>
  <c r="D165" i="76"/>
  <c r="B3" i="89" s="1"/>
  <c r="D173" i="76"/>
  <c r="B11" i="89" s="1"/>
  <c r="E172" i="76"/>
  <c r="R172" i="76" s="1"/>
  <c r="D169" i="76"/>
  <c r="B7" i="89" s="1"/>
  <c r="E168" i="76"/>
  <c r="R168" i="76" s="1"/>
  <c r="D172" i="76"/>
  <c r="B10" i="89" s="1"/>
  <c r="E171" i="76"/>
  <c r="R171" i="76" s="1"/>
  <c r="D168" i="76"/>
  <c r="B6" i="89" s="1"/>
  <c r="E167" i="76"/>
  <c r="R167" i="76" s="1"/>
  <c r="D167" i="76"/>
  <c r="B5" i="89" s="1"/>
  <c r="E174" i="76"/>
  <c r="R174" i="76" s="1"/>
  <c r="E170" i="76"/>
  <c r="R170" i="76" s="1"/>
  <c r="E165" i="76"/>
  <c r="R165" i="76" s="1"/>
  <c r="D171" i="76"/>
  <c r="B9" i="89" s="1"/>
  <c r="E166" i="76"/>
  <c r="R166" i="76" s="1"/>
  <c r="K28" i="76"/>
  <c r="K30" i="76"/>
  <c r="K38" i="76"/>
  <c r="C5" i="89" l="1"/>
  <c r="H5" i="89"/>
  <c r="C10" i="89"/>
  <c r="H10" i="89"/>
  <c r="C3" i="89"/>
  <c r="H3" i="89"/>
  <c r="C6" i="89"/>
  <c r="H6" i="89"/>
  <c r="C7" i="89"/>
  <c r="H7" i="89"/>
  <c r="C4" i="89"/>
  <c r="H4" i="89"/>
  <c r="C12" i="89"/>
  <c r="H12" i="89"/>
  <c r="C9" i="89"/>
  <c r="H9" i="89"/>
  <c r="C11" i="89"/>
  <c r="H11" i="89"/>
  <c r="C8" i="89"/>
  <c r="H8" i="89"/>
  <c r="H16" i="89" s="1"/>
  <c r="AA24" i="83"/>
  <c r="AH25" i="84"/>
  <c r="X25" i="83"/>
  <c r="Z25" i="83" s="1"/>
  <c r="AB23" i="83"/>
  <c r="I12" i="81"/>
  <c r="M11" i="81"/>
  <c r="N11" i="81"/>
  <c r="J11" i="81"/>
  <c r="K11" i="81"/>
  <c r="L11" i="81"/>
  <c r="B5" i="9"/>
  <c r="C5" i="9" s="1"/>
  <c r="D4" i="11"/>
  <c r="B7" i="9"/>
  <c r="C7" i="9" s="1"/>
  <c r="F4" i="11"/>
  <c r="B12" i="9"/>
  <c r="K4" i="11"/>
  <c r="B3" i="9"/>
  <c r="C3" i="9" s="1"/>
  <c r="B4" i="11"/>
  <c r="B6" i="9"/>
  <c r="C6" i="9" s="1"/>
  <c r="E4" i="11"/>
  <c r="B4" i="9"/>
  <c r="C4" i="9" s="1"/>
  <c r="C4" i="11"/>
  <c r="B9" i="9"/>
  <c r="H4" i="11"/>
  <c r="B10" i="9"/>
  <c r="C10" i="9" s="1"/>
  <c r="I4" i="11"/>
  <c r="B11" i="9"/>
  <c r="C11" i="9" s="1"/>
  <c r="J4" i="11"/>
  <c r="B8" i="9"/>
  <c r="C8" i="9" s="1"/>
  <c r="G4" i="11"/>
  <c r="K58" i="76"/>
  <c r="K60" i="76"/>
  <c r="K50" i="76"/>
  <c r="D178" i="76"/>
  <c r="K42" i="76"/>
  <c r="P3" i="76"/>
  <c r="K40" i="76"/>
  <c r="K56" i="76"/>
  <c r="AA25" i="83" l="1"/>
  <c r="AB24" i="83"/>
  <c r="AH26" i="84"/>
  <c r="X26" i="83"/>
  <c r="Z26" i="83" s="1"/>
  <c r="I13" i="81"/>
  <c r="M12" i="81"/>
  <c r="L12" i="81"/>
  <c r="N12" i="81"/>
  <c r="K12" i="81"/>
  <c r="J12" i="81"/>
  <c r="C9" i="9"/>
  <c r="C12" i="9"/>
  <c r="K68" i="76"/>
  <c r="K62" i="76"/>
  <c r="K72" i="76"/>
  <c r="K52" i="76"/>
  <c r="Q3" i="76"/>
  <c r="R3" i="76" s="1"/>
  <c r="K54" i="76"/>
  <c r="K70" i="76"/>
  <c r="AH27" i="84" l="1"/>
  <c r="X27" i="83"/>
  <c r="Z27" i="83" s="1"/>
  <c r="AB25" i="83"/>
  <c r="AA26" i="83"/>
  <c r="M13" i="81"/>
  <c r="N13" i="81"/>
  <c r="K13" i="81"/>
  <c r="L13" i="81"/>
  <c r="J13" i="81"/>
  <c r="K82" i="76"/>
  <c r="K84" i="76"/>
  <c r="K66" i="76"/>
  <c r="K64" i="76"/>
  <c r="K74" i="76"/>
  <c r="K80" i="76"/>
  <c r="AB26" i="83" l="1"/>
  <c r="AA27" i="83"/>
  <c r="AH28" i="84"/>
  <c r="X28" i="83"/>
  <c r="Z28" i="83" s="1"/>
  <c r="K92" i="76"/>
  <c r="K96" i="76"/>
  <c r="K76" i="76"/>
  <c r="K86" i="76"/>
  <c r="K78" i="76"/>
  <c r="K94" i="76"/>
  <c r="AH29" i="84" l="1"/>
  <c r="X29" i="83"/>
  <c r="Z29" i="83" s="1"/>
  <c r="AB27" i="83"/>
  <c r="AA28" i="83"/>
  <c r="K90" i="76"/>
  <c r="K88" i="76"/>
  <c r="K108" i="76"/>
  <c r="K106" i="76"/>
  <c r="K98" i="76"/>
  <c r="K104" i="76"/>
  <c r="AA29" i="83" l="1"/>
  <c r="AB28" i="83"/>
  <c r="AH30" i="84"/>
  <c r="X30" i="83"/>
  <c r="Z30" i="83" s="1"/>
  <c r="K116" i="76"/>
  <c r="K110" i="76"/>
  <c r="K100" i="76"/>
  <c r="K120" i="76"/>
  <c r="K102" i="76"/>
  <c r="K118" i="76"/>
  <c r="AA30" i="83" l="1"/>
  <c r="AH31" i="84"/>
  <c r="X31" i="83"/>
  <c r="Z31" i="83" s="1"/>
  <c r="AB29" i="83"/>
  <c r="K130" i="76"/>
  <c r="K207" i="76" s="1"/>
  <c r="K112" i="76"/>
  <c r="K128" i="76"/>
  <c r="K205" i="76" s="1"/>
  <c r="K122" i="76"/>
  <c r="K114" i="76"/>
  <c r="K132" i="76"/>
  <c r="K209" i="76" s="1"/>
  <c r="AA31" i="83" l="1"/>
  <c r="AH32" i="84"/>
  <c r="X32" i="83"/>
  <c r="Z32" i="83" s="1"/>
  <c r="AB30" i="83"/>
  <c r="K140" i="76"/>
  <c r="K152" i="76" s="1"/>
  <c r="K190" i="76" s="1"/>
  <c r="K134" i="76"/>
  <c r="K211" i="76" s="1"/>
  <c r="K144" i="76"/>
  <c r="K156" i="76" s="1"/>
  <c r="K194" i="76" s="1"/>
  <c r="K126" i="76"/>
  <c r="K203" i="76" s="1"/>
  <c r="K124" i="76"/>
  <c r="K201" i="76" s="1"/>
  <c r="K142" i="76"/>
  <c r="K154" i="76" s="1"/>
  <c r="K192" i="76" s="1"/>
  <c r="AA32" i="83" l="1"/>
  <c r="AB31" i="83"/>
  <c r="AH33" i="84"/>
  <c r="X33" i="83"/>
  <c r="Z33" i="83" s="1"/>
  <c r="K138" i="76"/>
  <c r="K150" i="76" s="1"/>
  <c r="K188" i="76" s="1"/>
  <c r="K146" i="76"/>
  <c r="K158" i="76" s="1"/>
  <c r="K196" i="76" s="1"/>
  <c r="K136" i="76"/>
  <c r="K148" i="76" s="1"/>
  <c r="K186" i="76" s="1"/>
  <c r="AA33" i="83" l="1"/>
  <c r="AH34" i="84"/>
  <c r="X34" i="83"/>
  <c r="Z34" i="83" s="1"/>
  <c r="AB32" i="83"/>
  <c r="N134" i="59"/>
  <c r="O134" i="59"/>
  <c r="O122" i="59"/>
  <c r="N122" i="59"/>
  <c r="Q121" i="59"/>
  <c r="N121" i="59"/>
  <c r="O121" i="59"/>
  <c r="P121" i="59"/>
  <c r="L121" i="59"/>
  <c r="M121" i="59"/>
  <c r="K121" i="59"/>
  <c r="Y145" i="59"/>
  <c r="Y144" i="59"/>
  <c r="Y143" i="59"/>
  <c r="Y142" i="59"/>
  <c r="Y141" i="59"/>
  <c r="Y140" i="59"/>
  <c r="Y139" i="59"/>
  <c r="Y138" i="59"/>
  <c r="Y137" i="59"/>
  <c r="Y136" i="59"/>
  <c r="Y135" i="59"/>
  <c r="Y134" i="59"/>
  <c r="Y133" i="59"/>
  <c r="Y132" i="59"/>
  <c r="Y131" i="59"/>
  <c r="Y130" i="59"/>
  <c r="Y129" i="59"/>
  <c r="Y128" i="59"/>
  <c r="Y127" i="59"/>
  <c r="Y126" i="59"/>
  <c r="Y125" i="59"/>
  <c r="Y124" i="59"/>
  <c r="Y123" i="59"/>
  <c r="Y122" i="59"/>
  <c r="V145" i="59"/>
  <c r="V144" i="59"/>
  <c r="V143" i="59"/>
  <c r="V142" i="59"/>
  <c r="V141" i="59"/>
  <c r="V140" i="59"/>
  <c r="V139" i="59"/>
  <c r="V138" i="59"/>
  <c r="V137" i="59"/>
  <c r="V136" i="59"/>
  <c r="V135" i="59"/>
  <c r="V134" i="59"/>
  <c r="V133" i="59"/>
  <c r="V132" i="59"/>
  <c r="V131" i="59"/>
  <c r="V130" i="59"/>
  <c r="V129" i="59"/>
  <c r="V128" i="59"/>
  <c r="V127" i="59"/>
  <c r="V126" i="59"/>
  <c r="V125" i="59"/>
  <c r="V124" i="59"/>
  <c r="V123" i="59"/>
  <c r="V122" i="59"/>
  <c r="AH17" i="59"/>
  <c r="AH16" i="59"/>
  <c r="S135" i="59"/>
  <c r="S136" i="59"/>
  <c r="S137" i="59"/>
  <c r="S138" i="59"/>
  <c r="S139" i="59"/>
  <c r="S140" i="59"/>
  <c r="S141" i="59"/>
  <c r="S142" i="59"/>
  <c r="S143" i="59"/>
  <c r="S144" i="59"/>
  <c r="S145" i="59"/>
  <c r="S134" i="59"/>
  <c r="S123" i="59"/>
  <c r="S124" i="59"/>
  <c r="S125" i="59"/>
  <c r="S126" i="59"/>
  <c r="S127" i="59"/>
  <c r="S128" i="59"/>
  <c r="S129" i="59"/>
  <c r="S130" i="59"/>
  <c r="S131" i="59"/>
  <c r="S132" i="59"/>
  <c r="S133" i="59"/>
  <c r="S122" i="59"/>
  <c r="T140" i="59" l="1"/>
  <c r="T135" i="59"/>
  <c r="T136" i="59"/>
  <c r="T139" i="59"/>
  <c r="T134" i="59"/>
  <c r="T138" i="59"/>
  <c r="T141" i="59"/>
  <c r="T145" i="59"/>
  <c r="T144" i="59"/>
  <c r="T142" i="59"/>
  <c r="T137" i="59"/>
  <c r="T143" i="59"/>
  <c r="AH35" i="84"/>
  <c r="X35" i="83"/>
  <c r="Z35" i="83" s="1"/>
  <c r="AA34" i="83"/>
  <c r="AB33" i="83"/>
  <c r="K134" i="59" l="1"/>
  <c r="AA35" i="83"/>
  <c r="AB34" i="83"/>
  <c r="AH36" i="84"/>
  <c r="X36" i="83"/>
  <c r="Z36" i="83" s="1"/>
  <c r="Y1" i="59"/>
  <c r="V1" i="59"/>
  <c r="C2" i="63"/>
  <c r="B57" i="11"/>
  <c r="B61" i="11"/>
  <c r="B62" i="11"/>
  <c r="C67" i="11"/>
  <c r="C66" i="11"/>
  <c r="B32" i="11"/>
  <c r="C32" i="11"/>
  <c r="B28" i="11"/>
  <c r="B27" i="11"/>
  <c r="C28" i="11"/>
  <c r="C27" i="11"/>
  <c r="B14" i="11"/>
  <c r="C14" i="11"/>
  <c r="D62" i="11"/>
  <c r="E62" i="11"/>
  <c r="F62" i="11"/>
  <c r="G62" i="11"/>
  <c r="H62" i="11"/>
  <c r="I62" i="11"/>
  <c r="J62" i="11"/>
  <c r="K62" i="11"/>
  <c r="C57" i="11"/>
  <c r="C62" i="11"/>
  <c r="C61" i="11"/>
  <c r="D61" i="11"/>
  <c r="E61" i="11"/>
  <c r="F61" i="11"/>
  <c r="G61" i="11"/>
  <c r="H61" i="11"/>
  <c r="I61" i="11"/>
  <c r="J61" i="11"/>
  <c r="K61" i="11"/>
  <c r="D57" i="11"/>
  <c r="E57" i="11"/>
  <c r="F57" i="11"/>
  <c r="G57" i="11"/>
  <c r="H57" i="11"/>
  <c r="I57" i="11"/>
  <c r="J57" i="11"/>
  <c r="K57" i="11"/>
  <c r="C23" i="11"/>
  <c r="B23" i="11"/>
  <c r="K4" i="9"/>
  <c r="C22" i="11"/>
  <c r="K5" i="9"/>
  <c r="K6" i="9"/>
  <c r="K7" i="9"/>
  <c r="K8" i="9"/>
  <c r="K9" i="9"/>
  <c r="K10" i="9"/>
  <c r="K11" i="9"/>
  <c r="K12" i="9"/>
  <c r="B22" i="11"/>
  <c r="K3" i="9"/>
  <c r="I9" i="9" l="1"/>
  <c r="K27" i="9"/>
  <c r="I5" i="9"/>
  <c r="K23" i="9"/>
  <c r="I8" i="9"/>
  <c r="K26" i="9"/>
  <c r="I11" i="9"/>
  <c r="I7" i="9"/>
  <c r="K25" i="9"/>
  <c r="I4" i="9"/>
  <c r="K22" i="9"/>
  <c r="I3" i="9"/>
  <c r="K21" i="9"/>
  <c r="I10" i="9"/>
  <c r="K28" i="9"/>
  <c r="I6" i="9"/>
  <c r="K24" i="9"/>
  <c r="B42" i="11"/>
  <c r="AA36" i="83"/>
  <c r="AH37" i="84"/>
  <c r="X37" i="83"/>
  <c r="Z37" i="83" s="1"/>
  <c r="AB35" i="83"/>
  <c r="I12" i="9"/>
  <c r="K18" i="11"/>
  <c r="H11" i="9"/>
  <c r="H9" i="9"/>
  <c r="H45" i="11"/>
  <c r="H3" i="9"/>
  <c r="B45" i="11"/>
  <c r="H10" i="9"/>
  <c r="E45" i="11"/>
  <c r="C42" i="11"/>
  <c r="B18" i="11"/>
  <c r="B41" i="11" s="1"/>
  <c r="C18" i="11"/>
  <c r="I45" i="11" l="1"/>
  <c r="G45" i="11"/>
  <c r="F45" i="11"/>
  <c r="H8" i="9"/>
  <c r="H7" i="9"/>
  <c r="H5" i="9"/>
  <c r="H6" i="9"/>
  <c r="C45" i="11"/>
  <c r="J8" i="11"/>
  <c r="H4" i="9"/>
  <c r="J45" i="11"/>
  <c r="D45" i="11"/>
  <c r="C41" i="11"/>
  <c r="K41" i="11"/>
  <c r="AH38" i="84"/>
  <c r="X38" i="83"/>
  <c r="Z38" i="83" s="1"/>
  <c r="AA37" i="83"/>
  <c r="AB36" i="83"/>
  <c r="H12" i="9"/>
  <c r="K8" i="11"/>
  <c r="K45" i="11"/>
  <c r="Z25" i="71"/>
  <c r="Z37" i="71" s="1"/>
  <c r="Z49" i="71" s="1"/>
  <c r="Z61" i="71" s="1"/>
  <c r="Z73" i="71" s="1"/>
  <c r="Z85" i="71" s="1"/>
  <c r="Y25" i="71"/>
  <c r="Y37" i="71" s="1"/>
  <c r="Y49" i="71" s="1"/>
  <c r="Y61" i="71" s="1"/>
  <c r="Y73" i="71" s="1"/>
  <c r="Y85" i="71" s="1"/>
  <c r="Z24" i="71"/>
  <c r="Z36" i="71" s="1"/>
  <c r="Z48" i="71" s="1"/>
  <c r="Z60" i="71" s="1"/>
  <c r="Z72" i="71" s="1"/>
  <c r="Z84" i="71" s="1"/>
  <c r="Y24" i="71"/>
  <c r="Y36" i="71" s="1"/>
  <c r="Y48" i="71" s="1"/>
  <c r="Y60" i="71" s="1"/>
  <c r="Y72" i="71" s="1"/>
  <c r="Y84" i="71" s="1"/>
  <c r="Z23" i="71"/>
  <c r="Z35" i="71" s="1"/>
  <c r="Z47" i="71" s="1"/>
  <c r="Z59" i="71" s="1"/>
  <c r="Z71" i="71" s="1"/>
  <c r="Z83" i="71" s="1"/>
  <c r="Y23" i="71"/>
  <c r="Y35" i="71" s="1"/>
  <c r="Y47" i="71" s="1"/>
  <c r="Y59" i="71" s="1"/>
  <c r="Y71" i="71" s="1"/>
  <c r="Y83" i="71" s="1"/>
  <c r="Z22" i="71"/>
  <c r="Z34" i="71" s="1"/>
  <c r="Z46" i="71" s="1"/>
  <c r="Z58" i="71" s="1"/>
  <c r="Z70" i="71" s="1"/>
  <c r="Z82" i="71" s="1"/>
  <c r="Y22" i="71"/>
  <c r="Y34" i="71" s="1"/>
  <c r="Y46" i="71" s="1"/>
  <c r="Y58" i="71" s="1"/>
  <c r="Y70" i="71" s="1"/>
  <c r="Y82" i="71" s="1"/>
  <c r="Z21" i="71"/>
  <c r="Z33" i="71" s="1"/>
  <c r="Z45" i="71" s="1"/>
  <c r="Z57" i="71" s="1"/>
  <c r="Z69" i="71" s="1"/>
  <c r="Z81" i="71" s="1"/>
  <c r="Y21" i="71"/>
  <c r="Y33" i="71" s="1"/>
  <c r="Y45" i="71" s="1"/>
  <c r="Y57" i="71" s="1"/>
  <c r="Y69" i="71" s="1"/>
  <c r="Y81" i="71" s="1"/>
  <c r="Z20" i="71"/>
  <c r="Z32" i="71" s="1"/>
  <c r="Z44" i="71" s="1"/>
  <c r="Z56" i="71" s="1"/>
  <c r="Z68" i="71" s="1"/>
  <c r="Z80" i="71" s="1"/>
  <c r="Y20" i="71"/>
  <c r="Y32" i="71" s="1"/>
  <c r="Y44" i="71" s="1"/>
  <c r="Y56" i="71" s="1"/>
  <c r="Y68" i="71" s="1"/>
  <c r="Y80" i="71" s="1"/>
  <c r="Z19" i="71"/>
  <c r="Z31" i="71" s="1"/>
  <c r="Z43" i="71" s="1"/>
  <c r="Z55" i="71" s="1"/>
  <c r="Z67" i="71" s="1"/>
  <c r="Z79" i="71" s="1"/>
  <c r="Y19" i="71"/>
  <c r="Y31" i="71" s="1"/>
  <c r="Y43" i="71" s="1"/>
  <c r="Y55" i="71" s="1"/>
  <c r="Y67" i="71" s="1"/>
  <c r="Y79" i="71" s="1"/>
  <c r="Z18" i="71"/>
  <c r="Z30" i="71" s="1"/>
  <c r="Z42" i="71" s="1"/>
  <c r="Z54" i="71" s="1"/>
  <c r="Z66" i="71" s="1"/>
  <c r="Z78" i="71" s="1"/>
  <c r="Y18" i="71"/>
  <c r="Y30" i="71" s="1"/>
  <c r="Y42" i="71" s="1"/>
  <c r="Y54" i="71" s="1"/>
  <c r="Y66" i="71" s="1"/>
  <c r="Y78" i="71" s="1"/>
  <c r="Z17" i="71"/>
  <c r="Z29" i="71" s="1"/>
  <c r="Z41" i="71" s="1"/>
  <c r="Z53" i="71" s="1"/>
  <c r="Z65" i="71" s="1"/>
  <c r="Z77" i="71" s="1"/>
  <c r="Y17" i="71"/>
  <c r="Y29" i="71" s="1"/>
  <c r="Y41" i="71" s="1"/>
  <c r="Y53" i="71" s="1"/>
  <c r="Y65" i="71" s="1"/>
  <c r="Y77" i="71" s="1"/>
  <c r="Z16" i="71"/>
  <c r="Z28" i="71" s="1"/>
  <c r="Z40" i="71" s="1"/>
  <c r="Z52" i="71" s="1"/>
  <c r="Z64" i="71" s="1"/>
  <c r="Z76" i="71" s="1"/>
  <c r="Y16" i="71"/>
  <c r="Y28" i="71" s="1"/>
  <c r="Y40" i="71" s="1"/>
  <c r="Y52" i="71" s="1"/>
  <c r="Y64" i="71" s="1"/>
  <c r="Y76" i="71" s="1"/>
  <c r="Z15" i="71"/>
  <c r="Z27" i="71" s="1"/>
  <c r="Z39" i="71" s="1"/>
  <c r="Z51" i="71" s="1"/>
  <c r="Z63" i="71" s="1"/>
  <c r="Z75" i="71" s="1"/>
  <c r="Z87" i="71" s="1"/>
  <c r="Y15" i="71"/>
  <c r="Y27" i="71" s="1"/>
  <c r="Y39" i="71" s="1"/>
  <c r="Y51" i="71" s="1"/>
  <c r="Y63" i="71" s="1"/>
  <c r="Y75" i="71" s="1"/>
  <c r="Y87" i="71" s="1"/>
  <c r="Z14" i="71"/>
  <c r="Z26" i="71" s="1"/>
  <c r="Z38" i="71" s="1"/>
  <c r="Z50" i="71" s="1"/>
  <c r="Z62" i="71" s="1"/>
  <c r="Z74" i="71" s="1"/>
  <c r="Z86" i="71" s="1"/>
  <c r="Y14" i="71"/>
  <c r="Y26" i="71" s="1"/>
  <c r="Y38" i="71" s="1"/>
  <c r="Y50" i="71" s="1"/>
  <c r="Y62" i="71" s="1"/>
  <c r="Y74" i="71" s="1"/>
  <c r="Y86" i="71" s="1"/>
  <c r="S122" i="61"/>
  <c r="S124" i="61"/>
  <c r="S123" i="61"/>
  <c r="S125" i="61"/>
  <c r="S126" i="61"/>
  <c r="S127" i="61"/>
  <c r="S128" i="61"/>
  <c r="S129" i="61"/>
  <c r="S130" i="61"/>
  <c r="S131" i="61"/>
  <c r="S132" i="61"/>
  <c r="S133" i="61"/>
  <c r="S134" i="61"/>
  <c r="S135" i="61"/>
  <c r="S136" i="61"/>
  <c r="S137" i="61"/>
  <c r="S138" i="61"/>
  <c r="S139" i="61"/>
  <c r="S140" i="61"/>
  <c r="S141" i="61"/>
  <c r="S142" i="61"/>
  <c r="S143" i="61"/>
  <c r="S144" i="61"/>
  <c r="S145" i="61"/>
  <c r="S146" i="61"/>
  <c r="S147" i="61"/>
  <c r="S148" i="61"/>
  <c r="S149" i="61"/>
  <c r="S150" i="61"/>
  <c r="S151" i="61"/>
  <c r="S152" i="61"/>
  <c r="S153" i="61"/>
  <c r="S154" i="61"/>
  <c r="S155" i="61"/>
  <c r="S156" i="61"/>
  <c r="S157" i="61"/>
  <c r="S158" i="61"/>
  <c r="S159" i="61"/>
  <c r="S160" i="61"/>
  <c r="S161" i="61"/>
  <c r="S162" i="61"/>
  <c r="S163" i="61"/>
  <c r="S164" i="61"/>
  <c r="S165" i="61"/>
  <c r="S166" i="61"/>
  <c r="S167" i="61"/>
  <c r="S168" i="61"/>
  <c r="S169" i="61"/>
  <c r="S170" i="61"/>
  <c r="S171" i="61"/>
  <c r="S172" i="61"/>
  <c r="S173" i="61"/>
  <c r="S174" i="61"/>
  <c r="S175" i="61"/>
  <c r="S176" i="61"/>
  <c r="S177" i="61"/>
  <c r="S178" i="61"/>
  <c r="S179" i="61"/>
  <c r="S180" i="61"/>
  <c r="S181" i="61"/>
  <c r="S182" i="61"/>
  <c r="S183" i="61"/>
  <c r="S184" i="61"/>
  <c r="S185" i="61"/>
  <c r="S186" i="61"/>
  <c r="S187" i="61"/>
  <c r="S188" i="61"/>
  <c r="S189" i="61"/>
  <c r="S190" i="61"/>
  <c r="S191" i="61"/>
  <c r="S192" i="61"/>
  <c r="S193" i="61"/>
  <c r="S194" i="61"/>
  <c r="S195" i="61"/>
  <c r="S196" i="61"/>
  <c r="S197" i="61"/>
  <c r="S198" i="61"/>
  <c r="S199" i="61"/>
  <c r="S200" i="61"/>
  <c r="S201" i="61"/>
  <c r="S202" i="61"/>
  <c r="S203" i="61"/>
  <c r="S204" i="61"/>
  <c r="S205" i="61"/>
  <c r="S206" i="61"/>
  <c r="S207" i="61"/>
  <c r="S208" i="61"/>
  <c r="S209" i="61"/>
  <c r="S210" i="61"/>
  <c r="S211" i="61"/>
  <c r="S212" i="61"/>
  <c r="S213" i="61"/>
  <c r="S214" i="61"/>
  <c r="S215" i="61"/>
  <c r="S216" i="61"/>
  <c r="S217" i="61"/>
  <c r="S218" i="61"/>
  <c r="S219" i="61"/>
  <c r="S220" i="61"/>
  <c r="S221" i="61"/>
  <c r="S222" i="61"/>
  <c r="S223" i="61"/>
  <c r="S224" i="61"/>
  <c r="S225" i="61"/>
  <c r="S226" i="61"/>
  <c r="S227" i="61"/>
  <c r="S228" i="61"/>
  <c r="S229" i="61"/>
  <c r="S230" i="61"/>
  <c r="S231" i="61"/>
  <c r="S232" i="61"/>
  <c r="S233" i="61"/>
  <c r="S234" i="61"/>
  <c r="S235" i="61"/>
  <c r="S236" i="61"/>
  <c r="S237" i="61"/>
  <c r="S238" i="61"/>
  <c r="S239" i="61"/>
  <c r="S240" i="61"/>
  <c r="S241" i="61"/>
  <c r="R122" i="61"/>
  <c r="R123" i="61"/>
  <c r="R125" i="61"/>
  <c r="R126" i="61"/>
  <c r="R127" i="61"/>
  <c r="R128" i="61"/>
  <c r="R129" i="61"/>
  <c r="R130" i="61"/>
  <c r="R131" i="61"/>
  <c r="R132" i="61"/>
  <c r="R133" i="61"/>
  <c r="R134" i="61"/>
  <c r="R135" i="61"/>
  <c r="R136" i="61"/>
  <c r="R137" i="61"/>
  <c r="R138" i="61"/>
  <c r="R139" i="61"/>
  <c r="R140" i="61"/>
  <c r="R141" i="61"/>
  <c r="R142" i="61"/>
  <c r="R143" i="61"/>
  <c r="R144" i="61"/>
  <c r="R145" i="61"/>
  <c r="R146" i="61"/>
  <c r="R147" i="61"/>
  <c r="R148" i="61"/>
  <c r="R149" i="61"/>
  <c r="R150" i="61"/>
  <c r="R151" i="61"/>
  <c r="R152" i="61"/>
  <c r="R153" i="61"/>
  <c r="R154" i="61"/>
  <c r="R155" i="61"/>
  <c r="R156" i="61"/>
  <c r="R157" i="61"/>
  <c r="R158" i="61"/>
  <c r="R159" i="61"/>
  <c r="R160" i="61"/>
  <c r="R161" i="61"/>
  <c r="R162" i="61"/>
  <c r="R163" i="61"/>
  <c r="R164" i="61"/>
  <c r="R165" i="61"/>
  <c r="R166" i="61"/>
  <c r="R167" i="61"/>
  <c r="R168" i="61"/>
  <c r="R169" i="61"/>
  <c r="R170" i="61"/>
  <c r="R171" i="61"/>
  <c r="R172" i="61"/>
  <c r="R173" i="61"/>
  <c r="R174" i="61"/>
  <c r="R175" i="61"/>
  <c r="R176" i="61"/>
  <c r="R177" i="61"/>
  <c r="R178" i="61"/>
  <c r="R179" i="61"/>
  <c r="R180" i="61"/>
  <c r="R181" i="61"/>
  <c r="R182" i="61"/>
  <c r="R183" i="61"/>
  <c r="R184" i="61"/>
  <c r="R185" i="61"/>
  <c r="R186" i="61"/>
  <c r="R187" i="61"/>
  <c r="R188" i="61"/>
  <c r="R189" i="61"/>
  <c r="R190" i="61"/>
  <c r="R191" i="61"/>
  <c r="R192" i="61"/>
  <c r="R193" i="61"/>
  <c r="R194" i="61"/>
  <c r="R195" i="61"/>
  <c r="R196" i="61"/>
  <c r="R197" i="61"/>
  <c r="R198" i="61"/>
  <c r="R199" i="61"/>
  <c r="R200" i="61"/>
  <c r="R201" i="61"/>
  <c r="R202" i="61"/>
  <c r="R203" i="61"/>
  <c r="R204" i="61"/>
  <c r="R205" i="61"/>
  <c r="R206" i="61"/>
  <c r="R207" i="61"/>
  <c r="R208" i="61"/>
  <c r="R209" i="61"/>
  <c r="R210" i="61"/>
  <c r="R211" i="61"/>
  <c r="R212" i="61"/>
  <c r="R213" i="61"/>
  <c r="R214" i="61"/>
  <c r="R215" i="61"/>
  <c r="R216" i="61"/>
  <c r="R217" i="61"/>
  <c r="R218" i="61"/>
  <c r="R219" i="61"/>
  <c r="R220" i="61"/>
  <c r="R221" i="61"/>
  <c r="R222" i="61"/>
  <c r="R223" i="61"/>
  <c r="R224" i="61"/>
  <c r="R225" i="61"/>
  <c r="R226" i="61"/>
  <c r="R227" i="61"/>
  <c r="R228" i="61"/>
  <c r="R229" i="61"/>
  <c r="R230" i="61"/>
  <c r="R231" i="61"/>
  <c r="R232" i="61"/>
  <c r="R233" i="61"/>
  <c r="R234" i="61"/>
  <c r="R235" i="61"/>
  <c r="R236" i="61"/>
  <c r="R237" i="61"/>
  <c r="R238" i="61"/>
  <c r="R239" i="61"/>
  <c r="R240" i="61"/>
  <c r="R241" i="61"/>
  <c r="BM3" i="71"/>
  <c r="BN3" i="71"/>
  <c r="BO3" i="71"/>
  <c r="BP3" i="71"/>
  <c r="BQ3" i="71"/>
  <c r="BR3" i="71"/>
  <c r="BS3" i="71"/>
  <c r="BT3" i="71"/>
  <c r="BU3" i="71"/>
  <c r="BV3" i="71"/>
  <c r="BW3" i="71"/>
  <c r="BX3" i="71"/>
  <c r="BY3" i="71"/>
  <c r="BM4" i="71"/>
  <c r="BN4" i="71"/>
  <c r="BO4" i="71"/>
  <c r="BP4" i="71"/>
  <c r="BQ4" i="71"/>
  <c r="BR4" i="71"/>
  <c r="BS4" i="71"/>
  <c r="BT4" i="71"/>
  <c r="BU4" i="71"/>
  <c r="BV4" i="71"/>
  <c r="BW4" i="71"/>
  <c r="BX4" i="71"/>
  <c r="BY4" i="71"/>
  <c r="BM5" i="71"/>
  <c r="BN5" i="71"/>
  <c r="BO5" i="71"/>
  <c r="BP5" i="71"/>
  <c r="BQ5" i="71"/>
  <c r="BR5" i="71"/>
  <c r="BS5" i="71"/>
  <c r="BT5" i="71"/>
  <c r="BU5" i="71"/>
  <c r="BV5" i="71"/>
  <c r="BW5" i="71"/>
  <c r="BX5" i="71"/>
  <c r="BY5" i="71"/>
  <c r="BM6" i="71"/>
  <c r="BN6" i="71"/>
  <c r="BO6" i="71"/>
  <c r="BP6" i="71"/>
  <c r="BQ6" i="71"/>
  <c r="BR6" i="71"/>
  <c r="BS6" i="71"/>
  <c r="BT6" i="71"/>
  <c r="BU6" i="71"/>
  <c r="BV6" i="71"/>
  <c r="BW6" i="71"/>
  <c r="BX6" i="71"/>
  <c r="BY6" i="71"/>
  <c r="BM7" i="71"/>
  <c r="BN7" i="71"/>
  <c r="BO7" i="71"/>
  <c r="BP7" i="71"/>
  <c r="BQ7" i="71"/>
  <c r="BR7" i="71"/>
  <c r="BS7" i="71"/>
  <c r="BT7" i="71"/>
  <c r="BU7" i="71"/>
  <c r="BV7" i="71"/>
  <c r="BW7" i="71"/>
  <c r="BX7" i="71"/>
  <c r="BY7" i="71"/>
  <c r="BM8" i="71"/>
  <c r="BN8" i="71"/>
  <c r="BO8" i="71"/>
  <c r="BP8" i="71"/>
  <c r="BQ8" i="71"/>
  <c r="BR8" i="71"/>
  <c r="BS8" i="71"/>
  <c r="BT8" i="71"/>
  <c r="BU8" i="71"/>
  <c r="BV8" i="71"/>
  <c r="BW8" i="71"/>
  <c r="BX8" i="71"/>
  <c r="BY8" i="71"/>
  <c r="BM9" i="71"/>
  <c r="BN9" i="71"/>
  <c r="BO9" i="71"/>
  <c r="BP9" i="71"/>
  <c r="BQ9" i="71"/>
  <c r="BR9" i="71"/>
  <c r="BS9" i="71"/>
  <c r="BT9" i="71"/>
  <c r="BU9" i="71"/>
  <c r="BV9" i="71"/>
  <c r="BW9" i="71"/>
  <c r="BX9" i="71"/>
  <c r="BY9" i="71"/>
  <c r="BM10" i="71"/>
  <c r="BN10" i="71"/>
  <c r="BO10" i="71"/>
  <c r="BP10" i="71"/>
  <c r="BQ10" i="71"/>
  <c r="BR10" i="71"/>
  <c r="BS10" i="71"/>
  <c r="BT10" i="71"/>
  <c r="BU10" i="71"/>
  <c r="BV10" i="71"/>
  <c r="BW10" i="71"/>
  <c r="BX10" i="71"/>
  <c r="BY10" i="71"/>
  <c r="BM11" i="71"/>
  <c r="BN11" i="71"/>
  <c r="BO11" i="71"/>
  <c r="BP11" i="71"/>
  <c r="BQ11" i="71"/>
  <c r="BR11" i="71"/>
  <c r="BS11" i="71"/>
  <c r="BT11" i="71"/>
  <c r="BU11" i="71"/>
  <c r="BV11" i="71"/>
  <c r="BW11" i="71"/>
  <c r="BX11" i="71"/>
  <c r="BY11" i="71"/>
  <c r="BM12" i="71"/>
  <c r="BN12" i="71"/>
  <c r="BO12" i="71"/>
  <c r="BP12" i="71"/>
  <c r="BQ12" i="71"/>
  <c r="BR12" i="71"/>
  <c r="BS12" i="71"/>
  <c r="BT12" i="71"/>
  <c r="BU12" i="71"/>
  <c r="BV12" i="71"/>
  <c r="BW12" i="71"/>
  <c r="BX12" i="71"/>
  <c r="BY12" i="71"/>
  <c r="BM13" i="71"/>
  <c r="BN13" i="71"/>
  <c r="BO13" i="71"/>
  <c r="BP13" i="71"/>
  <c r="BQ13" i="71"/>
  <c r="BR13" i="71"/>
  <c r="BS13" i="71"/>
  <c r="BT13" i="71"/>
  <c r="BU13" i="71"/>
  <c r="BV13" i="71"/>
  <c r="BW13" i="71"/>
  <c r="BX13" i="71"/>
  <c r="BY13" i="71"/>
  <c r="BM14" i="71"/>
  <c r="BN14" i="71"/>
  <c r="BO14" i="71"/>
  <c r="BP14" i="71"/>
  <c r="BQ14" i="71"/>
  <c r="BR14" i="71"/>
  <c r="BS14" i="71"/>
  <c r="BT14" i="71"/>
  <c r="BU14" i="71"/>
  <c r="BV14" i="71"/>
  <c r="BW14" i="71"/>
  <c r="BX14" i="71"/>
  <c r="BY14" i="71"/>
  <c r="BM15" i="71"/>
  <c r="BN15" i="71"/>
  <c r="BO15" i="71"/>
  <c r="BP15" i="71"/>
  <c r="BQ15" i="71"/>
  <c r="BR15" i="71"/>
  <c r="BS15" i="71"/>
  <c r="BT15" i="71"/>
  <c r="BU15" i="71"/>
  <c r="BV15" i="71"/>
  <c r="BW15" i="71"/>
  <c r="BX15" i="71"/>
  <c r="BY15" i="71"/>
  <c r="BM16" i="71"/>
  <c r="BN16" i="71"/>
  <c r="BO16" i="71"/>
  <c r="BP16" i="71"/>
  <c r="BQ16" i="71"/>
  <c r="BR16" i="71"/>
  <c r="BS16" i="71"/>
  <c r="BT16" i="71"/>
  <c r="BU16" i="71"/>
  <c r="BV16" i="71"/>
  <c r="BW16" i="71"/>
  <c r="BX16" i="71"/>
  <c r="BY16" i="71"/>
  <c r="BM17" i="71"/>
  <c r="BN17" i="71"/>
  <c r="BO17" i="71"/>
  <c r="BP17" i="71"/>
  <c r="BQ17" i="71"/>
  <c r="BR17" i="71"/>
  <c r="BS17" i="71"/>
  <c r="BT17" i="71"/>
  <c r="BU17" i="71"/>
  <c r="BV17" i="71"/>
  <c r="BW17" i="71"/>
  <c r="BX17" i="71"/>
  <c r="BY17" i="71"/>
  <c r="BM18" i="71"/>
  <c r="BN18" i="71"/>
  <c r="BO18" i="71"/>
  <c r="BP18" i="71"/>
  <c r="BQ18" i="71"/>
  <c r="BR18" i="71"/>
  <c r="BS18" i="71"/>
  <c r="BT18" i="71"/>
  <c r="BU18" i="71"/>
  <c r="BV18" i="71"/>
  <c r="BW18" i="71"/>
  <c r="BX18" i="71"/>
  <c r="BY18" i="71"/>
  <c r="BM19" i="71"/>
  <c r="BN19" i="71"/>
  <c r="BO19" i="71"/>
  <c r="BP19" i="71"/>
  <c r="BQ19" i="71"/>
  <c r="BR19" i="71"/>
  <c r="BS19" i="71"/>
  <c r="BT19" i="71"/>
  <c r="BU19" i="71"/>
  <c r="BV19" i="71"/>
  <c r="BW19" i="71"/>
  <c r="BX19" i="71"/>
  <c r="BY19" i="71"/>
  <c r="BM20" i="71"/>
  <c r="BN20" i="71"/>
  <c r="BO20" i="71"/>
  <c r="BP20" i="71"/>
  <c r="BQ20" i="71"/>
  <c r="BR20" i="71"/>
  <c r="BS20" i="71"/>
  <c r="BT20" i="71"/>
  <c r="BU20" i="71"/>
  <c r="BV20" i="71"/>
  <c r="BW20" i="71"/>
  <c r="BX20" i="71"/>
  <c r="BY20" i="71"/>
  <c r="BM21" i="71"/>
  <c r="BN21" i="71"/>
  <c r="BO21" i="71"/>
  <c r="BP21" i="71"/>
  <c r="BQ21" i="71"/>
  <c r="BR21" i="71"/>
  <c r="BS21" i="71"/>
  <c r="BT21" i="71"/>
  <c r="BU21" i="71"/>
  <c r="BV21" i="71"/>
  <c r="BW21" i="71"/>
  <c r="BX21" i="71"/>
  <c r="BY21" i="71"/>
  <c r="BM22" i="71"/>
  <c r="BN22" i="71"/>
  <c r="BO22" i="71"/>
  <c r="BP22" i="71"/>
  <c r="BQ22" i="71"/>
  <c r="BR22" i="71"/>
  <c r="BS22" i="71"/>
  <c r="BT22" i="71"/>
  <c r="BU22" i="71"/>
  <c r="BV22" i="71"/>
  <c r="BW22" i="71"/>
  <c r="BX22" i="71"/>
  <c r="BY22" i="71"/>
  <c r="BM23" i="71"/>
  <c r="BN23" i="71"/>
  <c r="BO23" i="71"/>
  <c r="BP23" i="71"/>
  <c r="BQ23" i="71"/>
  <c r="BR23" i="71"/>
  <c r="BS23" i="71"/>
  <c r="BT23" i="71"/>
  <c r="BU23" i="71"/>
  <c r="BV23" i="71"/>
  <c r="BW23" i="71"/>
  <c r="BX23" i="71"/>
  <c r="BY23" i="71"/>
  <c r="BM24" i="71"/>
  <c r="BN24" i="71"/>
  <c r="BO24" i="71"/>
  <c r="BP24" i="71"/>
  <c r="BQ24" i="71"/>
  <c r="BR24" i="71"/>
  <c r="BS24" i="71"/>
  <c r="BT24" i="71"/>
  <c r="BU24" i="71"/>
  <c r="BV24" i="71"/>
  <c r="BW24" i="71"/>
  <c r="BX24" i="71"/>
  <c r="BY24" i="71"/>
  <c r="BM25" i="71"/>
  <c r="BN25" i="71"/>
  <c r="BO25" i="71"/>
  <c r="BP25" i="71"/>
  <c r="BQ25" i="71"/>
  <c r="BR25" i="71"/>
  <c r="BS25" i="71"/>
  <c r="BT25" i="71"/>
  <c r="BU25" i="71"/>
  <c r="BV25" i="71"/>
  <c r="BW25" i="71"/>
  <c r="BX25" i="71"/>
  <c r="BY25" i="71"/>
  <c r="BM26" i="71"/>
  <c r="BN26" i="71"/>
  <c r="BO26" i="71"/>
  <c r="BP26" i="71"/>
  <c r="BQ26" i="71"/>
  <c r="BR26" i="71"/>
  <c r="BS26" i="71"/>
  <c r="BT26" i="71"/>
  <c r="BU26" i="71"/>
  <c r="BV26" i="71"/>
  <c r="BW26" i="71"/>
  <c r="BX26" i="71"/>
  <c r="BY26" i="71"/>
  <c r="BM27" i="71"/>
  <c r="BN27" i="71"/>
  <c r="BO27" i="71"/>
  <c r="BP27" i="71"/>
  <c r="BQ27" i="71"/>
  <c r="BR27" i="71"/>
  <c r="BS27" i="71"/>
  <c r="BT27" i="71"/>
  <c r="BU27" i="71"/>
  <c r="BV27" i="71"/>
  <c r="BW27" i="71"/>
  <c r="BX27" i="71"/>
  <c r="BY27" i="71"/>
  <c r="BM28" i="71"/>
  <c r="BN28" i="71"/>
  <c r="BO28" i="71"/>
  <c r="BP28" i="71"/>
  <c r="BQ28" i="71"/>
  <c r="BR28" i="71"/>
  <c r="BS28" i="71"/>
  <c r="BT28" i="71"/>
  <c r="BU28" i="71"/>
  <c r="BV28" i="71"/>
  <c r="BW28" i="71"/>
  <c r="BX28" i="71"/>
  <c r="BY28" i="71"/>
  <c r="BM29" i="71"/>
  <c r="BN29" i="71"/>
  <c r="BO29" i="71"/>
  <c r="BP29" i="71"/>
  <c r="BQ29" i="71"/>
  <c r="BR29" i="71"/>
  <c r="BS29" i="71"/>
  <c r="BT29" i="71"/>
  <c r="BU29" i="71"/>
  <c r="BV29" i="71"/>
  <c r="BW29" i="71"/>
  <c r="BX29" i="71"/>
  <c r="BY29" i="71"/>
  <c r="BM30" i="71"/>
  <c r="BN30" i="71"/>
  <c r="BO30" i="71"/>
  <c r="BP30" i="71"/>
  <c r="BQ30" i="71"/>
  <c r="BR30" i="71"/>
  <c r="BS30" i="71"/>
  <c r="BT30" i="71"/>
  <c r="BU30" i="71"/>
  <c r="BV30" i="71"/>
  <c r="BW30" i="71"/>
  <c r="BX30" i="71"/>
  <c r="BY30" i="71"/>
  <c r="BM31" i="71"/>
  <c r="BN31" i="71"/>
  <c r="BO31" i="71"/>
  <c r="BP31" i="71"/>
  <c r="BQ31" i="71"/>
  <c r="BR31" i="71"/>
  <c r="BS31" i="71"/>
  <c r="BT31" i="71"/>
  <c r="BU31" i="71"/>
  <c r="BV31" i="71"/>
  <c r="BW31" i="71"/>
  <c r="BX31" i="71"/>
  <c r="BY31" i="71"/>
  <c r="BM32" i="71"/>
  <c r="BN32" i="71"/>
  <c r="BO32" i="71"/>
  <c r="BP32" i="71"/>
  <c r="BQ32" i="71"/>
  <c r="BR32" i="71"/>
  <c r="BS32" i="71"/>
  <c r="BT32" i="71"/>
  <c r="BU32" i="71"/>
  <c r="BV32" i="71"/>
  <c r="BW32" i="71"/>
  <c r="BX32" i="71"/>
  <c r="BY32" i="71"/>
  <c r="BM33" i="71"/>
  <c r="BN33" i="71"/>
  <c r="BO33" i="71"/>
  <c r="BP33" i="71"/>
  <c r="BQ33" i="71"/>
  <c r="BR33" i="71"/>
  <c r="BS33" i="71"/>
  <c r="BT33" i="71"/>
  <c r="BU33" i="71"/>
  <c r="BV33" i="71"/>
  <c r="BW33" i="71"/>
  <c r="BX33" i="71"/>
  <c r="BY33" i="71"/>
  <c r="BM34" i="71"/>
  <c r="BN34" i="71"/>
  <c r="BO34" i="71"/>
  <c r="BP34" i="71"/>
  <c r="BQ34" i="71"/>
  <c r="BR34" i="71"/>
  <c r="BS34" i="71"/>
  <c r="BT34" i="71"/>
  <c r="BU34" i="71"/>
  <c r="BV34" i="71"/>
  <c r="BW34" i="71"/>
  <c r="BX34" i="71"/>
  <c r="BY34" i="71"/>
  <c r="BM35" i="71"/>
  <c r="BN35" i="71"/>
  <c r="BO35" i="71"/>
  <c r="BP35" i="71"/>
  <c r="BQ35" i="71"/>
  <c r="BR35" i="71"/>
  <c r="BS35" i="71"/>
  <c r="BT35" i="71"/>
  <c r="BU35" i="71"/>
  <c r="BV35" i="71"/>
  <c r="BW35" i="71"/>
  <c r="BX35" i="71"/>
  <c r="BY35" i="71"/>
  <c r="BM36" i="71"/>
  <c r="BN36" i="71"/>
  <c r="BO36" i="71"/>
  <c r="BP36" i="71"/>
  <c r="BQ36" i="71"/>
  <c r="BR36" i="71"/>
  <c r="BS36" i="71"/>
  <c r="BT36" i="71"/>
  <c r="BU36" i="71"/>
  <c r="BV36" i="71"/>
  <c r="BW36" i="71"/>
  <c r="BX36" i="71"/>
  <c r="BY36" i="71"/>
  <c r="BM37" i="71"/>
  <c r="BN37" i="71"/>
  <c r="BO37" i="71"/>
  <c r="BP37" i="71"/>
  <c r="BQ37" i="71"/>
  <c r="BR37" i="71"/>
  <c r="BS37" i="71"/>
  <c r="BT37" i="71"/>
  <c r="BU37" i="71"/>
  <c r="BV37" i="71"/>
  <c r="BW37" i="71"/>
  <c r="BX37" i="71"/>
  <c r="BY37" i="71"/>
  <c r="BM38" i="71"/>
  <c r="BN38" i="71"/>
  <c r="BO38" i="71"/>
  <c r="BP38" i="71"/>
  <c r="BQ38" i="71"/>
  <c r="BR38" i="71"/>
  <c r="BS38" i="71"/>
  <c r="BT38" i="71"/>
  <c r="BU38" i="71"/>
  <c r="BV38" i="71"/>
  <c r="BW38" i="71"/>
  <c r="BX38" i="71"/>
  <c r="BY38" i="71"/>
  <c r="BM39" i="71"/>
  <c r="BN39" i="71"/>
  <c r="BO39" i="71"/>
  <c r="BP39" i="71"/>
  <c r="BQ39" i="71"/>
  <c r="BR39" i="71"/>
  <c r="BS39" i="71"/>
  <c r="BT39" i="71"/>
  <c r="BU39" i="71"/>
  <c r="BV39" i="71"/>
  <c r="BW39" i="71"/>
  <c r="BX39" i="71"/>
  <c r="BY39" i="71"/>
  <c r="BM40" i="71"/>
  <c r="BN40" i="71"/>
  <c r="BO40" i="71"/>
  <c r="BP40" i="71"/>
  <c r="BQ40" i="71"/>
  <c r="BR40" i="71"/>
  <c r="BS40" i="71"/>
  <c r="BT40" i="71"/>
  <c r="BU40" i="71"/>
  <c r="BV40" i="71"/>
  <c r="BW40" i="71"/>
  <c r="BX40" i="71"/>
  <c r="BY40" i="71"/>
  <c r="BM41" i="71"/>
  <c r="BN41" i="71"/>
  <c r="BO41" i="71"/>
  <c r="BP41" i="71"/>
  <c r="BQ41" i="71"/>
  <c r="BR41" i="71"/>
  <c r="BS41" i="71"/>
  <c r="BT41" i="71"/>
  <c r="BU41" i="71"/>
  <c r="BV41" i="71"/>
  <c r="BW41" i="71"/>
  <c r="BX41" i="71"/>
  <c r="BY41" i="71"/>
  <c r="BM42" i="71"/>
  <c r="BN42" i="71"/>
  <c r="BO42" i="71"/>
  <c r="BP42" i="71"/>
  <c r="BQ42" i="71"/>
  <c r="BR42" i="71"/>
  <c r="BS42" i="71"/>
  <c r="BT42" i="71"/>
  <c r="BU42" i="71"/>
  <c r="BV42" i="71"/>
  <c r="BW42" i="71"/>
  <c r="BX42" i="71"/>
  <c r="BY42" i="71"/>
  <c r="BM43" i="71"/>
  <c r="BN43" i="71"/>
  <c r="BO43" i="71"/>
  <c r="BP43" i="71"/>
  <c r="BQ43" i="71"/>
  <c r="BR43" i="71"/>
  <c r="BS43" i="71"/>
  <c r="BT43" i="71"/>
  <c r="BU43" i="71"/>
  <c r="BV43" i="71"/>
  <c r="BW43" i="71"/>
  <c r="BX43" i="71"/>
  <c r="BY43" i="71"/>
  <c r="BM44" i="71"/>
  <c r="BN44" i="71"/>
  <c r="BO44" i="71"/>
  <c r="BP44" i="71"/>
  <c r="BQ44" i="71"/>
  <c r="BR44" i="71"/>
  <c r="BS44" i="71"/>
  <c r="BT44" i="71"/>
  <c r="BU44" i="71"/>
  <c r="BV44" i="71"/>
  <c r="BW44" i="71"/>
  <c r="BX44" i="71"/>
  <c r="BY44" i="71"/>
  <c r="BM45" i="71"/>
  <c r="BN45" i="71"/>
  <c r="BO45" i="71"/>
  <c r="BP45" i="71"/>
  <c r="BQ45" i="71"/>
  <c r="BR45" i="71"/>
  <c r="BS45" i="71"/>
  <c r="BT45" i="71"/>
  <c r="BU45" i="71"/>
  <c r="BV45" i="71"/>
  <c r="BW45" i="71"/>
  <c r="BX45" i="71"/>
  <c r="BY45" i="71"/>
  <c r="BM46" i="71"/>
  <c r="BN46" i="71"/>
  <c r="BO46" i="71"/>
  <c r="BP46" i="71"/>
  <c r="BQ46" i="71"/>
  <c r="BR46" i="71"/>
  <c r="BS46" i="71"/>
  <c r="BT46" i="71"/>
  <c r="BU46" i="71"/>
  <c r="BV46" i="71"/>
  <c r="BW46" i="71"/>
  <c r="BX46" i="71"/>
  <c r="BY46" i="71"/>
  <c r="BM47" i="71"/>
  <c r="BN47" i="71"/>
  <c r="BO47" i="71"/>
  <c r="BP47" i="71"/>
  <c r="BQ47" i="71"/>
  <c r="BR47" i="71"/>
  <c r="BS47" i="71"/>
  <c r="BT47" i="71"/>
  <c r="BU47" i="71"/>
  <c r="BV47" i="71"/>
  <c r="BW47" i="71"/>
  <c r="BX47" i="71"/>
  <c r="BY47" i="71"/>
  <c r="BM48" i="71"/>
  <c r="BN48" i="71"/>
  <c r="BO48" i="71"/>
  <c r="BP48" i="71"/>
  <c r="BQ48" i="71"/>
  <c r="BR48" i="71"/>
  <c r="BS48" i="71"/>
  <c r="BT48" i="71"/>
  <c r="BU48" i="71"/>
  <c r="BV48" i="71"/>
  <c r="BW48" i="71"/>
  <c r="BX48" i="71"/>
  <c r="BY48" i="71"/>
  <c r="BM49" i="71"/>
  <c r="BN49" i="71"/>
  <c r="BO49" i="71"/>
  <c r="BP49" i="71"/>
  <c r="BQ49" i="71"/>
  <c r="BR49" i="71"/>
  <c r="BS49" i="71"/>
  <c r="BT49" i="71"/>
  <c r="BU49" i="71"/>
  <c r="BV49" i="71"/>
  <c r="BW49" i="71"/>
  <c r="BX49" i="71"/>
  <c r="BY49" i="71"/>
  <c r="BM50" i="71"/>
  <c r="BN50" i="71"/>
  <c r="BO50" i="71"/>
  <c r="BP50" i="71"/>
  <c r="BQ50" i="71"/>
  <c r="BR50" i="71"/>
  <c r="BS50" i="71"/>
  <c r="BT50" i="71"/>
  <c r="BU50" i="71"/>
  <c r="BV50" i="71"/>
  <c r="BW50" i="71"/>
  <c r="BX50" i="71"/>
  <c r="BY50" i="71"/>
  <c r="BM51" i="71"/>
  <c r="BN51" i="71"/>
  <c r="BO51" i="71"/>
  <c r="BP51" i="71"/>
  <c r="BQ51" i="71"/>
  <c r="BR51" i="71"/>
  <c r="BS51" i="71"/>
  <c r="BT51" i="71"/>
  <c r="BU51" i="71"/>
  <c r="BV51" i="71"/>
  <c r="BW51" i="71"/>
  <c r="BX51" i="71"/>
  <c r="BY51" i="71"/>
  <c r="BM52" i="71"/>
  <c r="BN52" i="71"/>
  <c r="BO52" i="71"/>
  <c r="BP52" i="71"/>
  <c r="BQ52" i="71"/>
  <c r="BR52" i="71"/>
  <c r="BS52" i="71"/>
  <c r="BT52" i="71"/>
  <c r="BU52" i="71"/>
  <c r="BV52" i="71"/>
  <c r="BW52" i="71"/>
  <c r="BX52" i="71"/>
  <c r="BY52" i="71"/>
  <c r="BM53" i="71"/>
  <c r="BN53" i="71"/>
  <c r="BO53" i="71"/>
  <c r="BP53" i="71"/>
  <c r="BQ53" i="71"/>
  <c r="BR53" i="71"/>
  <c r="BS53" i="71"/>
  <c r="BT53" i="71"/>
  <c r="BU53" i="71"/>
  <c r="BV53" i="71"/>
  <c r="BW53" i="71"/>
  <c r="BX53" i="71"/>
  <c r="BY53" i="71"/>
  <c r="BM54" i="71"/>
  <c r="BN54" i="71"/>
  <c r="BO54" i="71"/>
  <c r="BP54" i="71"/>
  <c r="BQ54" i="71"/>
  <c r="BR54" i="71"/>
  <c r="BS54" i="71"/>
  <c r="BT54" i="71"/>
  <c r="BU54" i="71"/>
  <c r="BV54" i="71"/>
  <c r="BW54" i="71"/>
  <c r="BX54" i="71"/>
  <c r="BY54" i="71"/>
  <c r="BM55" i="71"/>
  <c r="BN55" i="71"/>
  <c r="BO55" i="71"/>
  <c r="BP55" i="71"/>
  <c r="BQ55" i="71"/>
  <c r="BR55" i="71"/>
  <c r="BS55" i="71"/>
  <c r="BT55" i="71"/>
  <c r="BU55" i="71"/>
  <c r="BV55" i="71"/>
  <c r="BW55" i="71"/>
  <c r="BX55" i="71"/>
  <c r="BY55" i="71"/>
  <c r="BM56" i="71"/>
  <c r="BN56" i="71"/>
  <c r="BO56" i="71"/>
  <c r="BP56" i="71"/>
  <c r="BQ56" i="71"/>
  <c r="BR56" i="71"/>
  <c r="BS56" i="71"/>
  <c r="BT56" i="71"/>
  <c r="BU56" i="71"/>
  <c r="BV56" i="71"/>
  <c r="BW56" i="71"/>
  <c r="BX56" i="71"/>
  <c r="BY56" i="71"/>
  <c r="BM57" i="71"/>
  <c r="BN57" i="71"/>
  <c r="BO57" i="71"/>
  <c r="BP57" i="71"/>
  <c r="BQ57" i="71"/>
  <c r="BR57" i="71"/>
  <c r="BS57" i="71"/>
  <c r="BT57" i="71"/>
  <c r="BU57" i="71"/>
  <c r="BV57" i="71"/>
  <c r="BW57" i="71"/>
  <c r="BX57" i="71"/>
  <c r="BY57" i="71"/>
  <c r="BM58" i="71"/>
  <c r="BN58" i="71"/>
  <c r="BO58" i="71"/>
  <c r="BP58" i="71"/>
  <c r="BQ58" i="71"/>
  <c r="BR58" i="71"/>
  <c r="BS58" i="71"/>
  <c r="BT58" i="71"/>
  <c r="BU58" i="71"/>
  <c r="BV58" i="71"/>
  <c r="BW58" i="71"/>
  <c r="BX58" i="71"/>
  <c r="BY58" i="71"/>
  <c r="BM59" i="71"/>
  <c r="BN59" i="71"/>
  <c r="BO59" i="71"/>
  <c r="BP59" i="71"/>
  <c r="BQ59" i="71"/>
  <c r="BR59" i="71"/>
  <c r="BS59" i="71"/>
  <c r="BT59" i="71"/>
  <c r="BU59" i="71"/>
  <c r="BV59" i="71"/>
  <c r="BW59" i="71"/>
  <c r="BX59" i="71"/>
  <c r="BY59" i="71"/>
  <c r="BM60" i="71"/>
  <c r="BN60" i="71"/>
  <c r="BO60" i="71"/>
  <c r="BP60" i="71"/>
  <c r="BQ60" i="71"/>
  <c r="BR60" i="71"/>
  <c r="BS60" i="71"/>
  <c r="BT60" i="71"/>
  <c r="BU60" i="71"/>
  <c r="BV60" i="71"/>
  <c r="BW60" i="71"/>
  <c r="BX60" i="71"/>
  <c r="BY60" i="71"/>
  <c r="BM61" i="71"/>
  <c r="BN61" i="71"/>
  <c r="BO61" i="71"/>
  <c r="BP61" i="71"/>
  <c r="BQ61" i="71"/>
  <c r="BR61" i="71"/>
  <c r="BS61" i="71"/>
  <c r="BT61" i="71"/>
  <c r="BU61" i="71"/>
  <c r="BV61" i="71"/>
  <c r="BW61" i="71"/>
  <c r="BX61" i="71"/>
  <c r="BY61" i="71"/>
  <c r="BM62" i="71"/>
  <c r="BN62" i="71"/>
  <c r="BO62" i="71"/>
  <c r="BP62" i="71"/>
  <c r="BQ62" i="71"/>
  <c r="BR62" i="71"/>
  <c r="BS62" i="71"/>
  <c r="BT62" i="71"/>
  <c r="BU62" i="71"/>
  <c r="BV62" i="71"/>
  <c r="BW62" i="71"/>
  <c r="BX62" i="71"/>
  <c r="BY62" i="71"/>
  <c r="BM63" i="71"/>
  <c r="BN63" i="71"/>
  <c r="BO63" i="71"/>
  <c r="BP63" i="71"/>
  <c r="BQ63" i="71"/>
  <c r="BR63" i="71"/>
  <c r="BS63" i="71"/>
  <c r="BT63" i="71"/>
  <c r="BU63" i="71"/>
  <c r="BV63" i="71"/>
  <c r="BW63" i="71"/>
  <c r="BX63" i="71"/>
  <c r="BY63" i="71"/>
  <c r="BM64" i="71"/>
  <c r="BN64" i="71"/>
  <c r="BO64" i="71"/>
  <c r="BP64" i="71"/>
  <c r="BQ64" i="71"/>
  <c r="BR64" i="71"/>
  <c r="BS64" i="71"/>
  <c r="BT64" i="71"/>
  <c r="BU64" i="71"/>
  <c r="BV64" i="71"/>
  <c r="BW64" i="71"/>
  <c r="BX64" i="71"/>
  <c r="BY64" i="71"/>
  <c r="BM65" i="71"/>
  <c r="BN65" i="71"/>
  <c r="BO65" i="71"/>
  <c r="BP65" i="71"/>
  <c r="BQ65" i="71"/>
  <c r="BR65" i="71"/>
  <c r="BS65" i="71"/>
  <c r="BT65" i="71"/>
  <c r="BU65" i="71"/>
  <c r="BV65" i="71"/>
  <c r="BW65" i="71"/>
  <c r="BX65" i="71"/>
  <c r="BY65" i="71"/>
  <c r="BM66" i="71"/>
  <c r="BN66" i="71"/>
  <c r="BO66" i="71"/>
  <c r="BP66" i="71"/>
  <c r="BQ66" i="71"/>
  <c r="BR66" i="71"/>
  <c r="BS66" i="71"/>
  <c r="BT66" i="71"/>
  <c r="BU66" i="71"/>
  <c r="BV66" i="71"/>
  <c r="BW66" i="71"/>
  <c r="BX66" i="71"/>
  <c r="BY66" i="71"/>
  <c r="BM67" i="71"/>
  <c r="BN67" i="71"/>
  <c r="BO67" i="71"/>
  <c r="BP67" i="71"/>
  <c r="BQ67" i="71"/>
  <c r="BR67" i="71"/>
  <c r="BS67" i="71"/>
  <c r="BT67" i="71"/>
  <c r="BU67" i="71"/>
  <c r="BV67" i="71"/>
  <c r="BW67" i="71"/>
  <c r="BX67" i="71"/>
  <c r="BY67" i="71"/>
  <c r="BM68" i="71"/>
  <c r="BN68" i="71"/>
  <c r="BO68" i="71"/>
  <c r="BP68" i="71"/>
  <c r="BQ68" i="71"/>
  <c r="BR68" i="71"/>
  <c r="BS68" i="71"/>
  <c r="BT68" i="71"/>
  <c r="BU68" i="71"/>
  <c r="BV68" i="71"/>
  <c r="BW68" i="71"/>
  <c r="BX68" i="71"/>
  <c r="BY68" i="71"/>
  <c r="BM69" i="71"/>
  <c r="BN69" i="71"/>
  <c r="BO69" i="71"/>
  <c r="BP69" i="71"/>
  <c r="BQ69" i="71"/>
  <c r="BR69" i="71"/>
  <c r="BS69" i="71"/>
  <c r="BT69" i="71"/>
  <c r="BU69" i="71"/>
  <c r="BV69" i="71"/>
  <c r="BW69" i="71"/>
  <c r="BX69" i="71"/>
  <c r="BY69" i="71"/>
  <c r="BM70" i="71"/>
  <c r="BN70" i="71"/>
  <c r="BO70" i="71"/>
  <c r="BP70" i="71"/>
  <c r="BQ70" i="71"/>
  <c r="BR70" i="71"/>
  <c r="BS70" i="71"/>
  <c r="BT70" i="71"/>
  <c r="BU70" i="71"/>
  <c r="BV70" i="71"/>
  <c r="BW70" i="71"/>
  <c r="BX70" i="71"/>
  <c r="BY70" i="71"/>
  <c r="BM71" i="71"/>
  <c r="BN71" i="71"/>
  <c r="BO71" i="71"/>
  <c r="BP71" i="71"/>
  <c r="BQ71" i="71"/>
  <c r="BR71" i="71"/>
  <c r="BS71" i="71"/>
  <c r="BT71" i="71"/>
  <c r="BU71" i="71"/>
  <c r="BV71" i="71"/>
  <c r="BW71" i="71"/>
  <c r="BX71" i="71"/>
  <c r="BY71" i="71"/>
  <c r="BM72" i="71"/>
  <c r="BN72" i="71"/>
  <c r="BO72" i="71"/>
  <c r="BP72" i="71"/>
  <c r="BQ72" i="71"/>
  <c r="BR72" i="71"/>
  <c r="BS72" i="71"/>
  <c r="BT72" i="71"/>
  <c r="BU72" i="71"/>
  <c r="BV72" i="71"/>
  <c r="BW72" i="71"/>
  <c r="BX72" i="71"/>
  <c r="BY72" i="71"/>
  <c r="BM73" i="71"/>
  <c r="BN73" i="71"/>
  <c r="BO73" i="71"/>
  <c r="BP73" i="71"/>
  <c r="BQ73" i="71"/>
  <c r="BR73" i="71"/>
  <c r="BS73" i="71"/>
  <c r="BT73" i="71"/>
  <c r="BU73" i="71"/>
  <c r="BV73" i="71"/>
  <c r="BW73" i="71"/>
  <c r="BX73" i="71"/>
  <c r="BY73" i="71"/>
  <c r="BM74" i="71"/>
  <c r="BN74" i="71"/>
  <c r="BO74" i="71"/>
  <c r="BP74" i="71"/>
  <c r="BQ74" i="71"/>
  <c r="BR74" i="71"/>
  <c r="BS74" i="71"/>
  <c r="BT74" i="71"/>
  <c r="BU74" i="71"/>
  <c r="BV74" i="71"/>
  <c r="BW74" i="71"/>
  <c r="BX74" i="71"/>
  <c r="BY74" i="71"/>
  <c r="BM75" i="71"/>
  <c r="BN75" i="71"/>
  <c r="BO75" i="71"/>
  <c r="BP75" i="71"/>
  <c r="BQ75" i="71"/>
  <c r="BR75" i="71"/>
  <c r="BS75" i="71"/>
  <c r="BT75" i="71"/>
  <c r="BU75" i="71"/>
  <c r="BV75" i="71"/>
  <c r="BW75" i="71"/>
  <c r="BX75" i="71"/>
  <c r="BY75" i="71"/>
  <c r="BM76" i="71"/>
  <c r="BN76" i="71"/>
  <c r="BO76" i="71"/>
  <c r="BP76" i="71"/>
  <c r="BQ76" i="71"/>
  <c r="BR76" i="71"/>
  <c r="BS76" i="71"/>
  <c r="BT76" i="71"/>
  <c r="BU76" i="71"/>
  <c r="BV76" i="71"/>
  <c r="BW76" i="71"/>
  <c r="BX76" i="71"/>
  <c r="BY76" i="71"/>
  <c r="BM77" i="71"/>
  <c r="BN77" i="71"/>
  <c r="BO77" i="71"/>
  <c r="BP77" i="71"/>
  <c r="BQ77" i="71"/>
  <c r="BR77" i="71"/>
  <c r="BS77" i="71"/>
  <c r="BT77" i="71"/>
  <c r="BU77" i="71"/>
  <c r="BV77" i="71"/>
  <c r="BW77" i="71"/>
  <c r="BX77" i="71"/>
  <c r="BY77" i="71"/>
  <c r="BM78" i="71"/>
  <c r="BN78" i="71"/>
  <c r="BO78" i="71"/>
  <c r="BP78" i="71"/>
  <c r="BQ78" i="71"/>
  <c r="BR78" i="71"/>
  <c r="BS78" i="71"/>
  <c r="BT78" i="71"/>
  <c r="BU78" i="71"/>
  <c r="BV78" i="71"/>
  <c r="BW78" i="71"/>
  <c r="BX78" i="71"/>
  <c r="BY78" i="71"/>
  <c r="BM79" i="71"/>
  <c r="BN79" i="71"/>
  <c r="BO79" i="71"/>
  <c r="BP79" i="71"/>
  <c r="BQ79" i="71"/>
  <c r="BR79" i="71"/>
  <c r="BS79" i="71"/>
  <c r="BT79" i="71"/>
  <c r="BU79" i="71"/>
  <c r="BV79" i="71"/>
  <c r="BW79" i="71"/>
  <c r="BX79" i="71"/>
  <c r="BY79" i="71"/>
  <c r="BM80" i="71"/>
  <c r="BN80" i="71"/>
  <c r="BO80" i="71"/>
  <c r="BP80" i="71"/>
  <c r="BQ80" i="71"/>
  <c r="BR80" i="71"/>
  <c r="BS80" i="71"/>
  <c r="BT80" i="71"/>
  <c r="BU80" i="71"/>
  <c r="BV80" i="71"/>
  <c r="BW80" i="71"/>
  <c r="BX80" i="71"/>
  <c r="BY80" i="71"/>
  <c r="BM81" i="71"/>
  <c r="BN81" i="71"/>
  <c r="BO81" i="71"/>
  <c r="BP81" i="71"/>
  <c r="BQ81" i="71"/>
  <c r="BR81" i="71"/>
  <c r="BS81" i="71"/>
  <c r="BT81" i="71"/>
  <c r="BU81" i="71"/>
  <c r="BV81" i="71"/>
  <c r="BW81" i="71"/>
  <c r="BX81" i="71"/>
  <c r="BY81" i="71"/>
  <c r="BM82" i="71"/>
  <c r="BN82" i="71"/>
  <c r="BO82" i="71"/>
  <c r="BP82" i="71"/>
  <c r="BQ82" i="71"/>
  <c r="BR82" i="71"/>
  <c r="BS82" i="71"/>
  <c r="BT82" i="71"/>
  <c r="BU82" i="71"/>
  <c r="BV82" i="71"/>
  <c r="BW82" i="71"/>
  <c r="BX82" i="71"/>
  <c r="BY82" i="71"/>
  <c r="BM83" i="71"/>
  <c r="BN83" i="71"/>
  <c r="BO83" i="71"/>
  <c r="BP83" i="71"/>
  <c r="BQ83" i="71"/>
  <c r="BR83" i="71"/>
  <c r="BS83" i="71"/>
  <c r="BT83" i="71"/>
  <c r="BU83" i="71"/>
  <c r="BV83" i="71"/>
  <c r="BW83" i="71"/>
  <c r="BX83" i="71"/>
  <c r="BY83" i="71"/>
  <c r="BM84" i="71"/>
  <c r="BN84" i="71"/>
  <c r="BO84" i="71"/>
  <c r="BP84" i="71"/>
  <c r="BQ84" i="71"/>
  <c r="BR84" i="71"/>
  <c r="BS84" i="71"/>
  <c r="BT84" i="71"/>
  <c r="BU84" i="71"/>
  <c r="BV84" i="71"/>
  <c r="BW84" i="71"/>
  <c r="BX84" i="71"/>
  <c r="BY84" i="71"/>
  <c r="BM85" i="71"/>
  <c r="BN85" i="71"/>
  <c r="BO85" i="71"/>
  <c r="BP85" i="71"/>
  <c r="BQ85" i="71"/>
  <c r="BR85" i="71"/>
  <c r="BS85" i="71"/>
  <c r="BT85" i="71"/>
  <c r="BU85" i="71"/>
  <c r="BV85" i="71"/>
  <c r="BW85" i="71"/>
  <c r="BX85" i="71"/>
  <c r="BY85" i="71"/>
  <c r="BM86" i="71"/>
  <c r="BN86" i="71"/>
  <c r="BO86" i="71"/>
  <c r="BP86" i="71"/>
  <c r="BQ86" i="71"/>
  <c r="BR86" i="71"/>
  <c r="BS86" i="71"/>
  <c r="BT86" i="71"/>
  <c r="BU86" i="71"/>
  <c r="BV86" i="71"/>
  <c r="BW86" i="71"/>
  <c r="BX86" i="71"/>
  <c r="BY86" i="71"/>
  <c r="BM87" i="71"/>
  <c r="BN87" i="71"/>
  <c r="BO87" i="71"/>
  <c r="BP87" i="71"/>
  <c r="BQ87" i="71"/>
  <c r="BR87" i="71"/>
  <c r="BS87" i="71"/>
  <c r="BT87" i="71"/>
  <c r="BU87" i="71"/>
  <c r="BV87" i="71"/>
  <c r="BW87" i="71"/>
  <c r="BX87" i="71"/>
  <c r="BY87" i="71"/>
  <c r="BM88" i="71"/>
  <c r="BN88" i="71"/>
  <c r="BO88" i="71"/>
  <c r="BP88" i="71"/>
  <c r="BQ88" i="71"/>
  <c r="BR88" i="71"/>
  <c r="BS88" i="71"/>
  <c r="BT88" i="71"/>
  <c r="BU88" i="71"/>
  <c r="BV88" i="71"/>
  <c r="BW88" i="71"/>
  <c r="BX88" i="71"/>
  <c r="BY88" i="71"/>
  <c r="BM89" i="71"/>
  <c r="BN89" i="71"/>
  <c r="BO89" i="71"/>
  <c r="BP89" i="71"/>
  <c r="BQ89" i="71"/>
  <c r="BR89" i="71"/>
  <c r="BS89" i="71"/>
  <c r="BT89" i="71"/>
  <c r="BU89" i="71"/>
  <c r="BV89" i="71"/>
  <c r="BW89" i="71"/>
  <c r="BX89" i="71"/>
  <c r="BY89" i="71"/>
  <c r="BM90" i="71"/>
  <c r="BN90" i="71"/>
  <c r="BO90" i="71"/>
  <c r="BP90" i="71"/>
  <c r="BQ90" i="71"/>
  <c r="BR90" i="71"/>
  <c r="BS90" i="71"/>
  <c r="BT90" i="71"/>
  <c r="BU90" i="71"/>
  <c r="BV90" i="71"/>
  <c r="BW90" i="71"/>
  <c r="BX90" i="71"/>
  <c r="BY90" i="71"/>
  <c r="BM91" i="71"/>
  <c r="BN91" i="71"/>
  <c r="BO91" i="71"/>
  <c r="BP91" i="71"/>
  <c r="BQ91" i="71"/>
  <c r="BR91" i="71"/>
  <c r="BS91" i="71"/>
  <c r="BT91" i="71"/>
  <c r="BU91" i="71"/>
  <c r="BV91" i="71"/>
  <c r="BW91" i="71"/>
  <c r="BX91" i="71"/>
  <c r="BY91" i="71"/>
  <c r="BM92" i="71"/>
  <c r="BN92" i="71"/>
  <c r="BO92" i="71"/>
  <c r="BP92" i="71"/>
  <c r="BQ92" i="71"/>
  <c r="BR92" i="71"/>
  <c r="BS92" i="71"/>
  <c r="BT92" i="71"/>
  <c r="BU92" i="71"/>
  <c r="BV92" i="71"/>
  <c r="BW92" i="71"/>
  <c r="BX92" i="71"/>
  <c r="BY92" i="71"/>
  <c r="BM93" i="71"/>
  <c r="BN93" i="71"/>
  <c r="BO93" i="71"/>
  <c r="BP93" i="71"/>
  <c r="BQ93" i="71"/>
  <c r="BR93" i="71"/>
  <c r="BS93" i="71"/>
  <c r="BT93" i="71"/>
  <c r="BU93" i="71"/>
  <c r="BV93" i="71"/>
  <c r="BW93" i="71"/>
  <c r="BX93" i="71"/>
  <c r="BY93" i="71"/>
  <c r="BM94" i="71"/>
  <c r="BN94" i="71"/>
  <c r="BO94" i="71"/>
  <c r="BP94" i="71"/>
  <c r="BQ94" i="71"/>
  <c r="BR94" i="71"/>
  <c r="BS94" i="71"/>
  <c r="BT94" i="71"/>
  <c r="BU94" i="71"/>
  <c r="BV94" i="71"/>
  <c r="BW94" i="71"/>
  <c r="BX94" i="71"/>
  <c r="BY94" i="71"/>
  <c r="BM95" i="71"/>
  <c r="BN95" i="71"/>
  <c r="BO95" i="71"/>
  <c r="BP95" i="71"/>
  <c r="BQ95" i="71"/>
  <c r="BR95" i="71"/>
  <c r="BS95" i="71"/>
  <c r="BT95" i="71"/>
  <c r="BU95" i="71"/>
  <c r="BV95" i="71"/>
  <c r="BW95" i="71"/>
  <c r="BX95" i="71"/>
  <c r="BY95" i="71"/>
  <c r="BM96" i="71"/>
  <c r="BN96" i="71"/>
  <c r="BO96" i="71"/>
  <c r="BP96" i="71"/>
  <c r="BQ96" i="71"/>
  <c r="BR96" i="71"/>
  <c r="BS96" i="71"/>
  <c r="BT96" i="71"/>
  <c r="BU96" i="71"/>
  <c r="BV96" i="71"/>
  <c r="BW96" i="71"/>
  <c r="BX96" i="71"/>
  <c r="BY96" i="71"/>
  <c r="BM97" i="71"/>
  <c r="BN97" i="71"/>
  <c r="BO97" i="71"/>
  <c r="BP97" i="71"/>
  <c r="BQ97" i="71"/>
  <c r="BR97" i="71"/>
  <c r="BS97" i="71"/>
  <c r="BT97" i="71"/>
  <c r="BU97" i="71"/>
  <c r="BV97" i="71"/>
  <c r="BW97" i="71"/>
  <c r="BX97" i="71"/>
  <c r="BY97" i="71"/>
  <c r="BM98" i="71"/>
  <c r="BN98" i="71"/>
  <c r="BO98" i="71"/>
  <c r="BP98" i="71"/>
  <c r="BQ98" i="71"/>
  <c r="BR98" i="71"/>
  <c r="BS98" i="71"/>
  <c r="BT98" i="71"/>
  <c r="BU98" i="71"/>
  <c r="BV98" i="71"/>
  <c r="BW98" i="71"/>
  <c r="BX98" i="71"/>
  <c r="BY98" i="71"/>
  <c r="BM99" i="71"/>
  <c r="BN99" i="71"/>
  <c r="BO99" i="71"/>
  <c r="BP99" i="71"/>
  <c r="BQ99" i="71"/>
  <c r="BR99" i="71"/>
  <c r="BS99" i="71"/>
  <c r="BT99" i="71"/>
  <c r="BU99" i="71"/>
  <c r="BV99" i="71"/>
  <c r="BW99" i="71"/>
  <c r="BX99" i="71"/>
  <c r="BY99" i="71"/>
  <c r="BM100" i="71"/>
  <c r="BN100" i="71"/>
  <c r="BO100" i="71"/>
  <c r="BP100" i="71"/>
  <c r="BQ100" i="71"/>
  <c r="BR100" i="71"/>
  <c r="BS100" i="71"/>
  <c r="BT100" i="71"/>
  <c r="BU100" i="71"/>
  <c r="BV100" i="71"/>
  <c r="BW100" i="71"/>
  <c r="BX100" i="71"/>
  <c r="BY100" i="71"/>
  <c r="BM101" i="71"/>
  <c r="BN101" i="71"/>
  <c r="BO101" i="71"/>
  <c r="BP101" i="71"/>
  <c r="BQ101" i="71"/>
  <c r="BR101" i="71"/>
  <c r="BS101" i="71"/>
  <c r="BT101" i="71"/>
  <c r="BU101" i="71"/>
  <c r="BV101" i="71"/>
  <c r="BW101" i="71"/>
  <c r="BX101" i="71"/>
  <c r="BY101" i="71"/>
  <c r="BM102" i="71"/>
  <c r="BN102" i="71"/>
  <c r="BO102" i="71"/>
  <c r="BP102" i="71"/>
  <c r="BQ102" i="71"/>
  <c r="BR102" i="71"/>
  <c r="BS102" i="71"/>
  <c r="BT102" i="71"/>
  <c r="BU102" i="71"/>
  <c r="BV102" i="71"/>
  <c r="BW102" i="71"/>
  <c r="BX102" i="71"/>
  <c r="BY102" i="71"/>
  <c r="BM103" i="71"/>
  <c r="BN103" i="71"/>
  <c r="BO103" i="71"/>
  <c r="BP103" i="71"/>
  <c r="BQ103" i="71"/>
  <c r="BR103" i="71"/>
  <c r="BS103" i="71"/>
  <c r="BT103" i="71"/>
  <c r="BU103" i="71"/>
  <c r="BV103" i="71"/>
  <c r="BW103" i="71"/>
  <c r="BX103" i="71"/>
  <c r="BY103" i="71"/>
  <c r="BM104" i="71"/>
  <c r="BN104" i="71"/>
  <c r="BO104" i="71"/>
  <c r="BP104" i="71"/>
  <c r="BQ104" i="71"/>
  <c r="BR104" i="71"/>
  <c r="BS104" i="71"/>
  <c r="BT104" i="71"/>
  <c r="BU104" i="71"/>
  <c r="BV104" i="71"/>
  <c r="BW104" i="71"/>
  <c r="BX104" i="71"/>
  <c r="BY104" i="71"/>
  <c r="BM105" i="71"/>
  <c r="BN105" i="71"/>
  <c r="BO105" i="71"/>
  <c r="BP105" i="71"/>
  <c r="BQ105" i="71"/>
  <c r="BR105" i="71"/>
  <c r="BS105" i="71"/>
  <c r="BT105" i="71"/>
  <c r="BU105" i="71"/>
  <c r="BV105" i="71"/>
  <c r="BW105" i="71"/>
  <c r="BX105" i="71"/>
  <c r="BY105" i="71"/>
  <c r="BM106" i="71"/>
  <c r="BN106" i="71"/>
  <c r="BO106" i="71"/>
  <c r="BP106" i="71"/>
  <c r="BQ106" i="71"/>
  <c r="BR106" i="71"/>
  <c r="BS106" i="71"/>
  <c r="BT106" i="71"/>
  <c r="BU106" i="71"/>
  <c r="BV106" i="71"/>
  <c r="BW106" i="71"/>
  <c r="BX106" i="71"/>
  <c r="BY106" i="71"/>
  <c r="BM107" i="71"/>
  <c r="BN107" i="71"/>
  <c r="BO107" i="71"/>
  <c r="BP107" i="71"/>
  <c r="BQ107" i="71"/>
  <c r="BR107" i="71"/>
  <c r="BS107" i="71"/>
  <c r="BT107" i="71"/>
  <c r="BU107" i="71"/>
  <c r="BV107" i="71"/>
  <c r="BW107" i="71"/>
  <c r="BX107" i="71"/>
  <c r="BY107" i="71"/>
  <c r="BM108" i="71"/>
  <c r="BN108" i="71"/>
  <c r="BO108" i="71"/>
  <c r="BP108" i="71"/>
  <c r="BQ108" i="71"/>
  <c r="BR108" i="71"/>
  <c r="BS108" i="71"/>
  <c r="BT108" i="71"/>
  <c r="BU108" i="71"/>
  <c r="BV108" i="71"/>
  <c r="BW108" i="71"/>
  <c r="BX108" i="71"/>
  <c r="BY108" i="71"/>
  <c r="BM109" i="71"/>
  <c r="BN109" i="71"/>
  <c r="BO109" i="71"/>
  <c r="BP109" i="71"/>
  <c r="BQ109" i="71"/>
  <c r="BR109" i="71"/>
  <c r="BS109" i="71"/>
  <c r="BT109" i="71"/>
  <c r="BU109" i="71"/>
  <c r="BV109" i="71"/>
  <c r="BW109" i="71"/>
  <c r="BX109" i="71"/>
  <c r="BY109" i="71"/>
  <c r="BM110" i="71"/>
  <c r="BN110" i="71"/>
  <c r="BO110" i="71"/>
  <c r="BP110" i="71"/>
  <c r="BQ110" i="71"/>
  <c r="BR110" i="71"/>
  <c r="BS110" i="71"/>
  <c r="BT110" i="71"/>
  <c r="BU110" i="71"/>
  <c r="BV110" i="71"/>
  <c r="BW110" i="71"/>
  <c r="BX110" i="71"/>
  <c r="BY110" i="71"/>
  <c r="BM111" i="71"/>
  <c r="BN111" i="71"/>
  <c r="BO111" i="71"/>
  <c r="BP111" i="71"/>
  <c r="BQ111" i="71"/>
  <c r="BR111" i="71"/>
  <c r="BS111" i="71"/>
  <c r="BT111" i="71"/>
  <c r="BU111" i="71"/>
  <c r="BV111" i="71"/>
  <c r="BW111" i="71"/>
  <c r="BX111" i="71"/>
  <c r="BY111" i="71"/>
  <c r="BM112" i="71"/>
  <c r="BN112" i="71"/>
  <c r="BO112" i="71"/>
  <c r="BP112" i="71"/>
  <c r="BQ112" i="71"/>
  <c r="BR112" i="71"/>
  <c r="AC112" i="71" s="1"/>
  <c r="BS112" i="71"/>
  <c r="AD112" i="71" s="1"/>
  <c r="BT112" i="71"/>
  <c r="BU112" i="71"/>
  <c r="BV112" i="71"/>
  <c r="BW112" i="71"/>
  <c r="BX112" i="71"/>
  <c r="BY112" i="71"/>
  <c r="BM113" i="71"/>
  <c r="BN113" i="71"/>
  <c r="BO113" i="71"/>
  <c r="BP113" i="71"/>
  <c r="BQ113" i="71"/>
  <c r="BR113" i="71"/>
  <c r="AC113" i="71" s="1"/>
  <c r="BS113" i="71"/>
  <c r="AD113" i="71" s="1"/>
  <c r="BT113" i="71"/>
  <c r="BU113" i="71"/>
  <c r="BV113" i="71"/>
  <c r="BW113" i="71"/>
  <c r="BX113" i="71"/>
  <c r="BY113" i="71"/>
  <c r="BM114" i="71"/>
  <c r="BN114" i="71"/>
  <c r="BO114" i="71"/>
  <c r="BP114" i="71"/>
  <c r="BQ114" i="71"/>
  <c r="BR114" i="71"/>
  <c r="AC114" i="71" s="1"/>
  <c r="BS114" i="71"/>
  <c r="AD114" i="71" s="1"/>
  <c r="BT114" i="71"/>
  <c r="BU114" i="71"/>
  <c r="BV114" i="71"/>
  <c r="BW114" i="71"/>
  <c r="BX114" i="71"/>
  <c r="BY114" i="71"/>
  <c r="BM115" i="71"/>
  <c r="BN115" i="71"/>
  <c r="BO115" i="71"/>
  <c r="BP115" i="71"/>
  <c r="BQ115" i="71"/>
  <c r="BR115" i="71"/>
  <c r="AC115" i="71" s="1"/>
  <c r="BS115" i="71"/>
  <c r="AD115" i="71" s="1"/>
  <c r="BT115" i="71"/>
  <c r="BU115" i="71"/>
  <c r="BV115" i="71"/>
  <c r="BW115" i="71"/>
  <c r="BX115" i="71"/>
  <c r="BY115" i="71"/>
  <c r="BM116" i="71"/>
  <c r="BN116" i="71"/>
  <c r="BO116" i="71"/>
  <c r="BP116" i="71"/>
  <c r="BQ116" i="71"/>
  <c r="BR116" i="71"/>
  <c r="AC116" i="71" s="1"/>
  <c r="BS116" i="71"/>
  <c r="AD116" i="71" s="1"/>
  <c r="BT116" i="71"/>
  <c r="BU116" i="71"/>
  <c r="BV116" i="71"/>
  <c r="BW116" i="71"/>
  <c r="BX116" i="71"/>
  <c r="BY116" i="71"/>
  <c r="BM117" i="71"/>
  <c r="BN117" i="71"/>
  <c r="BO117" i="71"/>
  <c r="BP117" i="71"/>
  <c r="BQ117" i="71"/>
  <c r="BR117" i="71"/>
  <c r="AC117" i="71" s="1"/>
  <c r="BS117" i="71"/>
  <c r="AD117" i="71" s="1"/>
  <c r="BT117" i="71"/>
  <c r="BU117" i="71"/>
  <c r="BV117" i="71"/>
  <c r="BW117" i="71"/>
  <c r="BX117" i="71"/>
  <c r="BY117" i="71"/>
  <c r="BM118" i="71"/>
  <c r="BN118" i="71"/>
  <c r="BO118" i="71"/>
  <c r="BP118" i="71"/>
  <c r="BQ118" i="71"/>
  <c r="BR118" i="71"/>
  <c r="AC118" i="71" s="1"/>
  <c r="BS118" i="71"/>
  <c r="AD118" i="71" s="1"/>
  <c r="BT118" i="71"/>
  <c r="BU118" i="71"/>
  <c r="BV118" i="71"/>
  <c r="BW118" i="71"/>
  <c r="BX118" i="71"/>
  <c r="BY118" i="71"/>
  <c r="BM119" i="71"/>
  <c r="BN119" i="71"/>
  <c r="BO119" i="71"/>
  <c r="BP119" i="71"/>
  <c r="BQ119" i="71"/>
  <c r="BR119" i="71"/>
  <c r="AC119" i="71" s="1"/>
  <c r="BS119" i="71"/>
  <c r="AD119" i="71" s="1"/>
  <c r="BT119" i="71"/>
  <c r="BU119" i="71"/>
  <c r="BV119" i="71"/>
  <c r="BW119" i="71"/>
  <c r="BX119" i="71"/>
  <c r="BY119" i="71"/>
  <c r="BM120" i="71"/>
  <c r="BN120" i="71"/>
  <c r="BO120" i="71"/>
  <c r="BP120" i="71"/>
  <c r="BQ120" i="71"/>
  <c r="BR120" i="71"/>
  <c r="AC120" i="71" s="1"/>
  <c r="BS120" i="71"/>
  <c r="AD120" i="71" s="1"/>
  <c r="BT120" i="71"/>
  <c r="BU120" i="71"/>
  <c r="BV120" i="71"/>
  <c r="BW120" i="71"/>
  <c r="BX120" i="71"/>
  <c r="BY120" i="71"/>
  <c r="BM121" i="71"/>
  <c r="BN121" i="71"/>
  <c r="BO121" i="71"/>
  <c r="BP121" i="71"/>
  <c r="BQ121" i="71"/>
  <c r="BR121" i="71"/>
  <c r="AC121" i="71" s="1"/>
  <c r="BS121" i="71"/>
  <c r="AD121" i="71" s="1"/>
  <c r="BT121" i="71"/>
  <c r="BU121" i="71"/>
  <c r="BV121" i="71"/>
  <c r="BW121" i="71"/>
  <c r="BX121" i="71"/>
  <c r="BY121" i="71"/>
  <c r="BY2" i="71"/>
  <c r="BN2" i="71"/>
  <c r="BO2" i="71"/>
  <c r="BP2" i="71"/>
  <c r="BQ2" i="71"/>
  <c r="BR2" i="71"/>
  <c r="BS2" i="71"/>
  <c r="BT2" i="71"/>
  <c r="BU2" i="71"/>
  <c r="BV2" i="71"/>
  <c r="BW2" i="71"/>
  <c r="BX2" i="71"/>
  <c r="BN1" i="71"/>
  <c r="BO1" i="71"/>
  <c r="BP1" i="71"/>
  <c r="BQ1" i="71"/>
  <c r="BR1" i="71"/>
  <c r="BS1" i="71"/>
  <c r="BT1" i="71"/>
  <c r="BU1" i="71"/>
  <c r="BV1" i="71"/>
  <c r="BW1" i="71"/>
  <c r="BX1" i="71"/>
  <c r="BY1" i="71"/>
  <c r="BM2" i="71"/>
  <c r="BM1" i="71"/>
  <c r="AX1" i="71"/>
  <c r="AX2" i="71"/>
  <c r="AX3" i="71"/>
  <c r="AX4" i="71"/>
  <c r="AX5" i="71"/>
  <c r="AX6" i="71"/>
  <c r="AX7" i="71"/>
  <c r="AX8" i="71"/>
  <c r="AX9" i="71"/>
  <c r="AX10" i="71"/>
  <c r="AX11" i="71"/>
  <c r="AX12" i="71"/>
  <c r="AX13" i="71"/>
  <c r="AX14" i="71"/>
  <c r="AX15" i="71"/>
  <c r="AX16" i="71"/>
  <c r="AX17" i="71"/>
  <c r="AX18" i="71"/>
  <c r="AX19" i="71"/>
  <c r="AX20" i="71"/>
  <c r="AX21" i="71"/>
  <c r="BC21" i="71"/>
  <c r="AX22" i="71"/>
  <c r="AX23" i="71"/>
  <c r="AX24" i="71"/>
  <c r="AX25" i="71"/>
  <c r="AX26" i="71"/>
  <c r="AX27" i="71"/>
  <c r="AX28" i="71"/>
  <c r="AX29" i="71"/>
  <c r="AX30" i="71"/>
  <c r="AX31" i="71"/>
  <c r="AX32" i="71"/>
  <c r="AX33" i="71"/>
  <c r="AX34" i="71"/>
  <c r="BE34" i="71"/>
  <c r="AX35" i="71"/>
  <c r="AX36" i="71"/>
  <c r="AX37" i="71"/>
  <c r="AX38" i="71"/>
  <c r="AX39" i="71"/>
  <c r="AX40" i="71"/>
  <c r="AX41" i="71"/>
  <c r="AX42" i="71"/>
  <c r="AX43" i="71"/>
  <c r="AX44" i="71"/>
  <c r="AX45" i="71"/>
  <c r="AX46" i="71"/>
  <c r="AX47" i="71"/>
  <c r="AX48" i="71"/>
  <c r="AX49" i="71"/>
  <c r="AX50" i="71"/>
  <c r="AX51" i="71"/>
  <c r="AX52" i="71"/>
  <c r="AX53" i="71"/>
  <c r="AX54" i="71"/>
  <c r="AX55" i="71"/>
  <c r="AX56" i="71"/>
  <c r="AX57" i="71"/>
  <c r="AX58" i="71"/>
  <c r="AX59" i="71"/>
  <c r="AX60" i="71"/>
  <c r="AX61" i="71"/>
  <c r="AX62" i="71"/>
  <c r="AX63" i="71"/>
  <c r="AX64" i="71"/>
  <c r="AX65" i="71"/>
  <c r="AX66" i="71"/>
  <c r="AX67" i="71"/>
  <c r="BK67" i="71"/>
  <c r="AX68" i="71"/>
  <c r="AX69" i="71"/>
  <c r="AX70" i="71"/>
  <c r="BE70" i="71"/>
  <c r="AX71" i="71"/>
  <c r="AX72" i="71"/>
  <c r="AX73" i="71"/>
  <c r="AX74" i="71"/>
  <c r="AX75" i="71"/>
  <c r="AX76" i="71"/>
  <c r="AX77" i="71"/>
  <c r="AX78" i="71"/>
  <c r="AX79" i="71"/>
  <c r="AX80" i="71"/>
  <c r="AX81" i="71"/>
  <c r="AX82" i="71"/>
  <c r="AX83" i="71"/>
  <c r="AX84" i="71"/>
  <c r="AX85" i="71"/>
  <c r="AX86" i="71"/>
  <c r="AX87" i="71"/>
  <c r="AX88" i="71"/>
  <c r="AX89" i="71"/>
  <c r="AX90" i="71"/>
  <c r="AX91" i="71"/>
  <c r="AX92" i="71"/>
  <c r="AX93" i="71"/>
  <c r="AX94" i="71"/>
  <c r="BJ94" i="71"/>
  <c r="AX95" i="71"/>
  <c r="AX96" i="71"/>
  <c r="AX97" i="71"/>
  <c r="AX98" i="71"/>
  <c r="AX99" i="71"/>
  <c r="AX100" i="71"/>
  <c r="AX101" i="71"/>
  <c r="AX102" i="71"/>
  <c r="AX103" i="71"/>
  <c r="AX104" i="71"/>
  <c r="AX105" i="71"/>
  <c r="AX106" i="71"/>
  <c r="BF106" i="71"/>
  <c r="AX107" i="71"/>
  <c r="AX108" i="71"/>
  <c r="AX109" i="71"/>
  <c r="AX110" i="71"/>
  <c r="AX111" i="71"/>
  <c r="AX112" i="71"/>
  <c r="AX113" i="71"/>
  <c r="AX114" i="71"/>
  <c r="BE114" i="71"/>
  <c r="AX115" i="71"/>
  <c r="AX116" i="71"/>
  <c r="AX117" i="71"/>
  <c r="AX118" i="71"/>
  <c r="BI118" i="71"/>
  <c r="AX119" i="71"/>
  <c r="AX120" i="71"/>
  <c r="BK120" i="71"/>
  <c r="AX121" i="71"/>
  <c r="W15" i="62"/>
  <c r="BF3" i="71" s="1"/>
  <c r="X15" i="62"/>
  <c r="BG3" i="71" s="1"/>
  <c r="Y15" i="62"/>
  <c r="BH3" i="71" s="1"/>
  <c r="Z15" i="62"/>
  <c r="BI3" i="71" s="1"/>
  <c r="AA15" i="62"/>
  <c r="BJ3" i="71" s="1"/>
  <c r="AB15" i="62"/>
  <c r="BK3" i="71" s="1"/>
  <c r="AC15" i="62"/>
  <c r="BL3" i="71" s="1"/>
  <c r="W16" i="62"/>
  <c r="BF4" i="71" s="1"/>
  <c r="X16" i="62"/>
  <c r="BG4" i="71" s="1"/>
  <c r="Y16" i="62"/>
  <c r="BH4" i="71" s="1"/>
  <c r="Z16" i="62"/>
  <c r="BI4" i="71" s="1"/>
  <c r="AA16" i="62"/>
  <c r="BJ4" i="71" s="1"/>
  <c r="AB16" i="62"/>
  <c r="BK4" i="71" s="1"/>
  <c r="AC16" i="62"/>
  <c r="BL4" i="71" s="1"/>
  <c r="W17" i="62"/>
  <c r="BF5" i="71" s="1"/>
  <c r="X17" i="62"/>
  <c r="BG5" i="71" s="1"/>
  <c r="Y17" i="62"/>
  <c r="BH5" i="71" s="1"/>
  <c r="Z17" i="62"/>
  <c r="BI5" i="71" s="1"/>
  <c r="AA17" i="62"/>
  <c r="BJ5" i="71" s="1"/>
  <c r="AB17" i="62"/>
  <c r="BK5" i="71" s="1"/>
  <c r="AC17" i="62"/>
  <c r="BL5" i="71" s="1"/>
  <c r="W18" i="62"/>
  <c r="BF6" i="71" s="1"/>
  <c r="X18" i="62"/>
  <c r="BG6" i="71" s="1"/>
  <c r="Y18" i="62"/>
  <c r="BH6" i="71" s="1"/>
  <c r="Z18" i="62"/>
  <c r="BI6" i="71" s="1"/>
  <c r="AA18" i="62"/>
  <c r="BJ6" i="71" s="1"/>
  <c r="AB18" i="62"/>
  <c r="BK6" i="71" s="1"/>
  <c r="AC18" i="62"/>
  <c r="BL6" i="71" s="1"/>
  <c r="W19" i="62"/>
  <c r="BF7" i="71" s="1"/>
  <c r="X19" i="62"/>
  <c r="BG7" i="71" s="1"/>
  <c r="Y19" i="62"/>
  <c r="BH7" i="71" s="1"/>
  <c r="Z19" i="62"/>
  <c r="BI7" i="71" s="1"/>
  <c r="AA19" i="62"/>
  <c r="BJ7" i="71" s="1"/>
  <c r="AB19" i="62"/>
  <c r="BK7" i="71" s="1"/>
  <c r="AC19" i="62"/>
  <c r="BL7" i="71" s="1"/>
  <c r="W20" i="62"/>
  <c r="BF8" i="71" s="1"/>
  <c r="X20" i="62"/>
  <c r="BG8" i="71" s="1"/>
  <c r="Y20" i="62"/>
  <c r="BH8" i="71" s="1"/>
  <c r="Z20" i="62"/>
  <c r="BI8" i="71" s="1"/>
  <c r="AA20" i="62"/>
  <c r="BJ8" i="71" s="1"/>
  <c r="AB20" i="62"/>
  <c r="BK8" i="71" s="1"/>
  <c r="AC20" i="62"/>
  <c r="BL8" i="71" s="1"/>
  <c r="W21" i="62"/>
  <c r="BF9" i="71" s="1"/>
  <c r="X21" i="62"/>
  <c r="BG9" i="71" s="1"/>
  <c r="Y21" i="62"/>
  <c r="BH9" i="71" s="1"/>
  <c r="Z21" i="62"/>
  <c r="BI9" i="71" s="1"/>
  <c r="AA21" i="62"/>
  <c r="BJ9" i="71" s="1"/>
  <c r="AB21" i="62"/>
  <c r="BK9" i="71" s="1"/>
  <c r="AC21" i="62"/>
  <c r="BL9" i="71" s="1"/>
  <c r="W22" i="62"/>
  <c r="BF10" i="71" s="1"/>
  <c r="X22" i="62"/>
  <c r="BG10" i="71" s="1"/>
  <c r="Y22" i="62"/>
  <c r="BH10" i="71" s="1"/>
  <c r="Z22" i="62"/>
  <c r="BI10" i="71" s="1"/>
  <c r="AA22" i="62"/>
  <c r="BJ10" i="71" s="1"/>
  <c r="AB22" i="62"/>
  <c r="BK10" i="71" s="1"/>
  <c r="AC22" i="62"/>
  <c r="BL10" i="71" s="1"/>
  <c r="W23" i="62"/>
  <c r="BF11" i="71" s="1"/>
  <c r="X23" i="62"/>
  <c r="BG11" i="71" s="1"/>
  <c r="Y23" i="62"/>
  <c r="BH11" i="71" s="1"/>
  <c r="Z23" i="62"/>
  <c r="BI11" i="71" s="1"/>
  <c r="AA23" i="62"/>
  <c r="BJ11" i="71" s="1"/>
  <c r="AB23" i="62"/>
  <c r="BK11" i="71" s="1"/>
  <c r="AC23" i="62"/>
  <c r="BL11" i="71" s="1"/>
  <c r="W24" i="62"/>
  <c r="BF12" i="71" s="1"/>
  <c r="X24" i="62"/>
  <c r="BG12" i="71" s="1"/>
  <c r="Y24" i="62"/>
  <c r="BH12" i="71" s="1"/>
  <c r="Z24" i="62"/>
  <c r="BI12" i="71" s="1"/>
  <c r="AA24" i="62"/>
  <c r="BJ12" i="71" s="1"/>
  <c r="AB24" i="62"/>
  <c r="BK12" i="71" s="1"/>
  <c r="AC24" i="62"/>
  <c r="BL12" i="71" s="1"/>
  <c r="W25" i="62"/>
  <c r="BF13" i="71" s="1"/>
  <c r="X25" i="62"/>
  <c r="BG13" i="71" s="1"/>
  <c r="Y25" i="62"/>
  <c r="BH13" i="71" s="1"/>
  <c r="Z25" i="62"/>
  <c r="BI13" i="71" s="1"/>
  <c r="AA25" i="62"/>
  <c r="BJ13" i="71" s="1"/>
  <c r="AB25" i="62"/>
  <c r="BK13" i="71" s="1"/>
  <c r="AC25" i="62"/>
  <c r="BL13" i="71" s="1"/>
  <c r="W26" i="62"/>
  <c r="BF14" i="71" s="1"/>
  <c r="X26" i="62"/>
  <c r="BG14" i="71" s="1"/>
  <c r="Y26" i="62"/>
  <c r="BH14" i="71" s="1"/>
  <c r="Z26" i="62"/>
  <c r="BI14" i="71" s="1"/>
  <c r="AA26" i="62"/>
  <c r="BJ14" i="71" s="1"/>
  <c r="AB26" i="62"/>
  <c r="BK14" i="71" s="1"/>
  <c r="AC26" i="62"/>
  <c r="BL14" i="71" s="1"/>
  <c r="W27" i="62"/>
  <c r="BF15" i="71" s="1"/>
  <c r="X27" i="62"/>
  <c r="BG15" i="71" s="1"/>
  <c r="Y27" i="62"/>
  <c r="BH15" i="71" s="1"/>
  <c r="Z27" i="62"/>
  <c r="BI15" i="71" s="1"/>
  <c r="AA27" i="62"/>
  <c r="BJ15" i="71" s="1"/>
  <c r="AB27" i="62"/>
  <c r="BK15" i="71" s="1"/>
  <c r="AC27" i="62"/>
  <c r="BL15" i="71" s="1"/>
  <c r="W28" i="62"/>
  <c r="BF16" i="71" s="1"/>
  <c r="X28" i="62"/>
  <c r="BG16" i="71" s="1"/>
  <c r="Y28" i="62"/>
  <c r="BH16" i="71" s="1"/>
  <c r="Z28" i="62"/>
  <c r="BI16" i="71" s="1"/>
  <c r="AA28" i="62"/>
  <c r="BJ16" i="71" s="1"/>
  <c r="AB28" i="62"/>
  <c r="BK16" i="71" s="1"/>
  <c r="AC28" i="62"/>
  <c r="BL16" i="71" s="1"/>
  <c r="W29" i="62"/>
  <c r="BF17" i="71" s="1"/>
  <c r="X29" i="62"/>
  <c r="BG17" i="71" s="1"/>
  <c r="Y29" i="62"/>
  <c r="BH17" i="71" s="1"/>
  <c r="Z29" i="62"/>
  <c r="BI17" i="71" s="1"/>
  <c r="AA29" i="62"/>
  <c r="BJ17" i="71" s="1"/>
  <c r="AB29" i="62"/>
  <c r="BK17" i="71" s="1"/>
  <c r="AC29" i="62"/>
  <c r="BL17" i="71" s="1"/>
  <c r="W30" i="62"/>
  <c r="BF18" i="71" s="1"/>
  <c r="X30" i="62"/>
  <c r="BG18" i="71" s="1"/>
  <c r="Y30" i="62"/>
  <c r="BH18" i="71" s="1"/>
  <c r="Z30" i="62"/>
  <c r="BI18" i="71" s="1"/>
  <c r="AA30" i="62"/>
  <c r="BJ18" i="71" s="1"/>
  <c r="AB30" i="62"/>
  <c r="BK18" i="71" s="1"/>
  <c r="AC30" i="62"/>
  <c r="BL18" i="71" s="1"/>
  <c r="W31" i="62"/>
  <c r="BF19" i="71" s="1"/>
  <c r="X31" i="62"/>
  <c r="BG19" i="71" s="1"/>
  <c r="Y31" i="62"/>
  <c r="BH19" i="71" s="1"/>
  <c r="Z31" i="62"/>
  <c r="BI19" i="71" s="1"/>
  <c r="AA31" i="62"/>
  <c r="BJ19" i="71" s="1"/>
  <c r="AB31" i="62"/>
  <c r="BK19" i="71" s="1"/>
  <c r="AC31" i="62"/>
  <c r="BL19" i="71" s="1"/>
  <c r="W32" i="62"/>
  <c r="BF20" i="71" s="1"/>
  <c r="X32" i="62"/>
  <c r="BG20" i="71" s="1"/>
  <c r="Y32" i="62"/>
  <c r="BH20" i="71" s="1"/>
  <c r="Z32" i="62"/>
  <c r="BI20" i="71" s="1"/>
  <c r="AA32" i="62"/>
  <c r="BJ20" i="71" s="1"/>
  <c r="AB32" i="62"/>
  <c r="BK20" i="71" s="1"/>
  <c r="AC32" i="62"/>
  <c r="BL20" i="71" s="1"/>
  <c r="W33" i="62"/>
  <c r="BF21" i="71" s="1"/>
  <c r="X33" i="62"/>
  <c r="BG21" i="71" s="1"/>
  <c r="Y33" i="62"/>
  <c r="BH21" i="71" s="1"/>
  <c r="Z33" i="62"/>
  <c r="BI21" i="71" s="1"/>
  <c r="AA33" i="62"/>
  <c r="BJ21" i="71" s="1"/>
  <c r="AB33" i="62"/>
  <c r="BK21" i="71" s="1"/>
  <c r="AC33" i="62"/>
  <c r="BL21" i="71" s="1"/>
  <c r="W34" i="62"/>
  <c r="BF22" i="71" s="1"/>
  <c r="X34" i="62"/>
  <c r="BG22" i="71" s="1"/>
  <c r="Y34" i="62"/>
  <c r="BH22" i="71" s="1"/>
  <c r="Z34" i="62"/>
  <c r="BI22" i="71" s="1"/>
  <c r="AA34" i="62"/>
  <c r="BJ22" i="71" s="1"/>
  <c r="AB34" i="62"/>
  <c r="BK22" i="71" s="1"/>
  <c r="AC34" i="62"/>
  <c r="BL22" i="71" s="1"/>
  <c r="W35" i="62"/>
  <c r="BF23" i="71" s="1"/>
  <c r="X35" i="62"/>
  <c r="BG23" i="71" s="1"/>
  <c r="Y35" i="62"/>
  <c r="BH23" i="71" s="1"/>
  <c r="Z35" i="62"/>
  <c r="BI23" i="71" s="1"/>
  <c r="AA35" i="62"/>
  <c r="BJ23" i="71" s="1"/>
  <c r="AB35" i="62"/>
  <c r="BK23" i="71" s="1"/>
  <c r="AC35" i="62"/>
  <c r="BL23" i="71" s="1"/>
  <c r="W36" i="62"/>
  <c r="BF24" i="71" s="1"/>
  <c r="X36" i="62"/>
  <c r="BG24" i="71" s="1"/>
  <c r="Y36" i="62"/>
  <c r="BH24" i="71" s="1"/>
  <c r="Z36" i="62"/>
  <c r="BI24" i="71" s="1"/>
  <c r="AA36" i="62"/>
  <c r="BJ24" i="71" s="1"/>
  <c r="AB36" i="62"/>
  <c r="BK24" i="71" s="1"/>
  <c r="AC36" i="62"/>
  <c r="BL24" i="71" s="1"/>
  <c r="W37" i="62"/>
  <c r="BF25" i="71" s="1"/>
  <c r="X37" i="62"/>
  <c r="BG25" i="71" s="1"/>
  <c r="Y37" i="62"/>
  <c r="BH25" i="71" s="1"/>
  <c r="Z37" i="62"/>
  <c r="BI25" i="71" s="1"/>
  <c r="AA37" i="62"/>
  <c r="BJ25" i="71" s="1"/>
  <c r="AB37" i="62"/>
  <c r="BK25" i="71" s="1"/>
  <c r="AC37" i="62"/>
  <c r="BL25" i="71" s="1"/>
  <c r="W38" i="62"/>
  <c r="BF26" i="71" s="1"/>
  <c r="X38" i="62"/>
  <c r="BG26" i="71" s="1"/>
  <c r="Y38" i="62"/>
  <c r="BH26" i="71" s="1"/>
  <c r="Z38" i="62"/>
  <c r="BI26" i="71" s="1"/>
  <c r="AA38" i="62"/>
  <c r="BJ26" i="71" s="1"/>
  <c r="AB38" i="62"/>
  <c r="BK26" i="71" s="1"/>
  <c r="AC38" i="62"/>
  <c r="BL26" i="71" s="1"/>
  <c r="W39" i="62"/>
  <c r="BF27" i="71" s="1"/>
  <c r="X39" i="62"/>
  <c r="BG27" i="71" s="1"/>
  <c r="Y39" i="62"/>
  <c r="BH27" i="71" s="1"/>
  <c r="Z39" i="62"/>
  <c r="BI27" i="71" s="1"/>
  <c r="AA39" i="62"/>
  <c r="BJ27" i="71" s="1"/>
  <c r="AB39" i="62"/>
  <c r="BK27" i="71" s="1"/>
  <c r="AC39" i="62"/>
  <c r="BL27" i="71" s="1"/>
  <c r="W40" i="62"/>
  <c r="BF28" i="71" s="1"/>
  <c r="X40" i="62"/>
  <c r="BG28" i="71" s="1"/>
  <c r="Y40" i="62"/>
  <c r="BH28" i="71" s="1"/>
  <c r="Z40" i="62"/>
  <c r="BI28" i="71" s="1"/>
  <c r="AA40" i="62"/>
  <c r="BJ28" i="71" s="1"/>
  <c r="AB40" i="62"/>
  <c r="BK28" i="71" s="1"/>
  <c r="AC40" i="62"/>
  <c r="BL28" i="71" s="1"/>
  <c r="W41" i="62"/>
  <c r="BF29" i="71" s="1"/>
  <c r="X41" i="62"/>
  <c r="BG29" i="71" s="1"/>
  <c r="Y41" i="62"/>
  <c r="BH29" i="71" s="1"/>
  <c r="Z41" i="62"/>
  <c r="BI29" i="71" s="1"/>
  <c r="AA41" i="62"/>
  <c r="BJ29" i="71" s="1"/>
  <c r="AB41" i="62"/>
  <c r="BK29" i="71" s="1"/>
  <c r="AC41" i="62"/>
  <c r="BL29" i="71" s="1"/>
  <c r="W42" i="62"/>
  <c r="BF30" i="71" s="1"/>
  <c r="X42" i="62"/>
  <c r="BG30" i="71" s="1"/>
  <c r="Y42" i="62"/>
  <c r="BH30" i="71" s="1"/>
  <c r="Z42" i="62"/>
  <c r="BI30" i="71" s="1"/>
  <c r="AA42" i="62"/>
  <c r="BJ30" i="71" s="1"/>
  <c r="AB42" i="62"/>
  <c r="BK30" i="71" s="1"/>
  <c r="AC42" i="62"/>
  <c r="BL30" i="71" s="1"/>
  <c r="W43" i="62"/>
  <c r="BF31" i="71" s="1"/>
  <c r="X43" i="62"/>
  <c r="BG31" i="71" s="1"/>
  <c r="Y43" i="62"/>
  <c r="BH31" i="71" s="1"/>
  <c r="Z43" i="62"/>
  <c r="BI31" i="71" s="1"/>
  <c r="AA43" i="62"/>
  <c r="BJ31" i="71" s="1"/>
  <c r="AB43" i="62"/>
  <c r="BK31" i="71" s="1"/>
  <c r="AC43" i="62"/>
  <c r="BL31" i="71" s="1"/>
  <c r="W44" i="62"/>
  <c r="BF32" i="71" s="1"/>
  <c r="X44" i="62"/>
  <c r="BG32" i="71" s="1"/>
  <c r="Y44" i="62"/>
  <c r="BH32" i="71" s="1"/>
  <c r="Z44" i="62"/>
  <c r="BI32" i="71" s="1"/>
  <c r="AA44" i="62"/>
  <c r="BJ32" i="71" s="1"/>
  <c r="AB44" i="62"/>
  <c r="BK32" i="71" s="1"/>
  <c r="AC44" i="62"/>
  <c r="BL32" i="71" s="1"/>
  <c r="W45" i="62"/>
  <c r="BF33" i="71" s="1"/>
  <c r="X45" i="62"/>
  <c r="BG33" i="71" s="1"/>
  <c r="Y45" i="62"/>
  <c r="BH33" i="71" s="1"/>
  <c r="Z45" i="62"/>
  <c r="BI33" i="71" s="1"/>
  <c r="AA45" i="62"/>
  <c r="BJ33" i="71" s="1"/>
  <c r="AB45" i="62"/>
  <c r="BK33" i="71" s="1"/>
  <c r="AC45" i="62"/>
  <c r="BL33" i="71" s="1"/>
  <c r="W46" i="62"/>
  <c r="BF34" i="71" s="1"/>
  <c r="X46" i="62"/>
  <c r="BG34" i="71" s="1"/>
  <c r="Y46" i="62"/>
  <c r="BH34" i="71" s="1"/>
  <c r="Z46" i="62"/>
  <c r="BI34" i="71" s="1"/>
  <c r="AA46" i="62"/>
  <c r="BJ34" i="71" s="1"/>
  <c r="AB46" i="62"/>
  <c r="BK34" i="71" s="1"/>
  <c r="AC46" i="62"/>
  <c r="BL34" i="71" s="1"/>
  <c r="W47" i="62"/>
  <c r="BF35" i="71" s="1"/>
  <c r="X47" i="62"/>
  <c r="BG35" i="71" s="1"/>
  <c r="Y47" i="62"/>
  <c r="BH35" i="71" s="1"/>
  <c r="Z47" i="62"/>
  <c r="BI35" i="71" s="1"/>
  <c r="AA47" i="62"/>
  <c r="BJ35" i="71" s="1"/>
  <c r="AB47" i="62"/>
  <c r="BK35" i="71" s="1"/>
  <c r="AC47" i="62"/>
  <c r="BL35" i="71" s="1"/>
  <c r="W48" i="62"/>
  <c r="BF36" i="71" s="1"/>
  <c r="X48" i="62"/>
  <c r="BG36" i="71" s="1"/>
  <c r="Y48" i="62"/>
  <c r="BH36" i="71" s="1"/>
  <c r="Z48" i="62"/>
  <c r="BI36" i="71" s="1"/>
  <c r="AA48" i="62"/>
  <c r="BJ36" i="71" s="1"/>
  <c r="AB48" i="62"/>
  <c r="BK36" i="71" s="1"/>
  <c r="AC48" i="62"/>
  <c r="BL36" i="71" s="1"/>
  <c r="W49" i="62"/>
  <c r="BF37" i="71" s="1"/>
  <c r="X49" i="62"/>
  <c r="BG37" i="71" s="1"/>
  <c r="Y49" i="62"/>
  <c r="BH37" i="71" s="1"/>
  <c r="Z49" i="62"/>
  <c r="BI37" i="71" s="1"/>
  <c r="AA49" i="62"/>
  <c r="BJ37" i="71" s="1"/>
  <c r="AB49" i="62"/>
  <c r="BK37" i="71" s="1"/>
  <c r="AC49" i="62"/>
  <c r="BL37" i="71" s="1"/>
  <c r="W50" i="62"/>
  <c r="BF38" i="71" s="1"/>
  <c r="X50" i="62"/>
  <c r="BG38" i="71" s="1"/>
  <c r="Y50" i="62"/>
  <c r="BH38" i="71" s="1"/>
  <c r="Z50" i="62"/>
  <c r="BI38" i="71" s="1"/>
  <c r="AA50" i="62"/>
  <c r="BJ38" i="71" s="1"/>
  <c r="AB50" i="62"/>
  <c r="BK38" i="71" s="1"/>
  <c r="AC50" i="62"/>
  <c r="BL38" i="71" s="1"/>
  <c r="W51" i="62"/>
  <c r="BF39" i="71" s="1"/>
  <c r="X51" i="62"/>
  <c r="BG39" i="71" s="1"/>
  <c r="Y51" i="62"/>
  <c r="BH39" i="71" s="1"/>
  <c r="Z51" i="62"/>
  <c r="BI39" i="71" s="1"/>
  <c r="AA51" i="62"/>
  <c r="BJ39" i="71" s="1"/>
  <c r="AB51" i="62"/>
  <c r="BK39" i="71" s="1"/>
  <c r="AC51" i="62"/>
  <c r="BL39" i="71" s="1"/>
  <c r="W52" i="62"/>
  <c r="BF40" i="71" s="1"/>
  <c r="X52" i="62"/>
  <c r="BG40" i="71" s="1"/>
  <c r="Y52" i="62"/>
  <c r="BH40" i="71" s="1"/>
  <c r="Z52" i="62"/>
  <c r="BI40" i="71" s="1"/>
  <c r="AA52" i="62"/>
  <c r="BJ40" i="71" s="1"/>
  <c r="AB52" i="62"/>
  <c r="BK40" i="71" s="1"/>
  <c r="AC52" i="62"/>
  <c r="BL40" i="71" s="1"/>
  <c r="W53" i="62"/>
  <c r="BF41" i="71" s="1"/>
  <c r="X53" i="62"/>
  <c r="BG41" i="71" s="1"/>
  <c r="Y53" i="62"/>
  <c r="BH41" i="71" s="1"/>
  <c r="Z53" i="62"/>
  <c r="BI41" i="71" s="1"/>
  <c r="AA53" i="62"/>
  <c r="BJ41" i="71" s="1"/>
  <c r="AB53" i="62"/>
  <c r="BK41" i="71" s="1"/>
  <c r="AC53" i="62"/>
  <c r="BL41" i="71" s="1"/>
  <c r="W54" i="62"/>
  <c r="BF42" i="71" s="1"/>
  <c r="X54" i="62"/>
  <c r="BG42" i="71" s="1"/>
  <c r="Y54" i="62"/>
  <c r="BH42" i="71" s="1"/>
  <c r="Z54" i="62"/>
  <c r="BI42" i="71" s="1"/>
  <c r="AA54" i="62"/>
  <c r="BJ42" i="71" s="1"/>
  <c r="AB54" i="62"/>
  <c r="BK42" i="71" s="1"/>
  <c r="AC54" i="62"/>
  <c r="BL42" i="71" s="1"/>
  <c r="W55" i="62"/>
  <c r="BF43" i="71" s="1"/>
  <c r="X55" i="62"/>
  <c r="BG43" i="71" s="1"/>
  <c r="Y55" i="62"/>
  <c r="BH43" i="71" s="1"/>
  <c r="Z55" i="62"/>
  <c r="BI43" i="71" s="1"/>
  <c r="AA55" i="62"/>
  <c r="BJ43" i="71" s="1"/>
  <c r="AB55" i="62"/>
  <c r="BK43" i="71" s="1"/>
  <c r="AC55" i="62"/>
  <c r="BL43" i="71" s="1"/>
  <c r="W56" i="62"/>
  <c r="BF44" i="71" s="1"/>
  <c r="X56" i="62"/>
  <c r="BG44" i="71" s="1"/>
  <c r="Y56" i="62"/>
  <c r="BH44" i="71" s="1"/>
  <c r="Z56" i="62"/>
  <c r="BI44" i="71" s="1"/>
  <c r="AA56" i="62"/>
  <c r="BJ44" i="71" s="1"/>
  <c r="AB56" i="62"/>
  <c r="BK44" i="71" s="1"/>
  <c r="AC56" i="62"/>
  <c r="BL44" i="71" s="1"/>
  <c r="W57" i="62"/>
  <c r="BF45" i="71" s="1"/>
  <c r="X57" i="62"/>
  <c r="BG45" i="71" s="1"/>
  <c r="Y57" i="62"/>
  <c r="BH45" i="71" s="1"/>
  <c r="Z57" i="62"/>
  <c r="BI45" i="71" s="1"/>
  <c r="AA57" i="62"/>
  <c r="BJ45" i="71" s="1"/>
  <c r="AB57" i="62"/>
  <c r="BK45" i="71" s="1"/>
  <c r="AC57" i="62"/>
  <c r="BL45" i="71" s="1"/>
  <c r="W58" i="62"/>
  <c r="BF46" i="71" s="1"/>
  <c r="X58" i="62"/>
  <c r="BG46" i="71" s="1"/>
  <c r="Y58" i="62"/>
  <c r="BH46" i="71" s="1"/>
  <c r="Z58" i="62"/>
  <c r="BI46" i="71" s="1"/>
  <c r="AA58" i="62"/>
  <c r="BJ46" i="71" s="1"/>
  <c r="AB58" i="62"/>
  <c r="BK46" i="71" s="1"/>
  <c r="AC58" i="62"/>
  <c r="BL46" i="71" s="1"/>
  <c r="W59" i="62"/>
  <c r="BF47" i="71" s="1"/>
  <c r="X59" i="62"/>
  <c r="BG47" i="71" s="1"/>
  <c r="Y59" i="62"/>
  <c r="BH47" i="71" s="1"/>
  <c r="Z59" i="62"/>
  <c r="BI47" i="71" s="1"/>
  <c r="AA59" i="62"/>
  <c r="BJ47" i="71" s="1"/>
  <c r="AB59" i="62"/>
  <c r="BK47" i="71" s="1"/>
  <c r="AC59" i="62"/>
  <c r="BL47" i="71" s="1"/>
  <c r="W60" i="62"/>
  <c r="BF48" i="71" s="1"/>
  <c r="X60" i="62"/>
  <c r="BG48" i="71" s="1"/>
  <c r="Y60" i="62"/>
  <c r="BH48" i="71" s="1"/>
  <c r="Z60" i="62"/>
  <c r="BI48" i="71" s="1"/>
  <c r="AA60" i="62"/>
  <c r="BJ48" i="71" s="1"/>
  <c r="AB60" i="62"/>
  <c r="BK48" i="71" s="1"/>
  <c r="AC60" i="62"/>
  <c r="BL48" i="71" s="1"/>
  <c r="W61" i="62"/>
  <c r="BF49" i="71" s="1"/>
  <c r="X61" i="62"/>
  <c r="BG49" i="71" s="1"/>
  <c r="Y61" i="62"/>
  <c r="BH49" i="71" s="1"/>
  <c r="Z61" i="62"/>
  <c r="BI49" i="71" s="1"/>
  <c r="AA61" i="62"/>
  <c r="BJ49" i="71" s="1"/>
  <c r="AB61" i="62"/>
  <c r="BK49" i="71" s="1"/>
  <c r="AC61" i="62"/>
  <c r="BL49" i="71" s="1"/>
  <c r="W62" i="62"/>
  <c r="BF50" i="71" s="1"/>
  <c r="X62" i="62"/>
  <c r="BG50" i="71" s="1"/>
  <c r="Y62" i="62"/>
  <c r="BH50" i="71" s="1"/>
  <c r="Z62" i="62"/>
  <c r="BI50" i="71" s="1"/>
  <c r="AA62" i="62"/>
  <c r="BJ50" i="71" s="1"/>
  <c r="AB62" i="62"/>
  <c r="BK50" i="71" s="1"/>
  <c r="AC62" i="62"/>
  <c r="BL50" i="71" s="1"/>
  <c r="W63" i="62"/>
  <c r="BF51" i="71" s="1"/>
  <c r="X63" i="62"/>
  <c r="BG51" i="71" s="1"/>
  <c r="Y63" i="62"/>
  <c r="BH51" i="71" s="1"/>
  <c r="Z63" i="62"/>
  <c r="BI51" i="71" s="1"/>
  <c r="AA63" i="62"/>
  <c r="BJ51" i="71" s="1"/>
  <c r="AB63" i="62"/>
  <c r="BK51" i="71" s="1"/>
  <c r="AC63" i="62"/>
  <c r="BL51" i="71" s="1"/>
  <c r="W64" i="62"/>
  <c r="BF52" i="71" s="1"/>
  <c r="X64" i="62"/>
  <c r="BG52" i="71" s="1"/>
  <c r="Y64" i="62"/>
  <c r="BH52" i="71" s="1"/>
  <c r="Z64" i="62"/>
  <c r="BI52" i="71" s="1"/>
  <c r="AA64" i="62"/>
  <c r="BJ52" i="71" s="1"/>
  <c r="AB64" i="62"/>
  <c r="BK52" i="71" s="1"/>
  <c r="AC64" i="62"/>
  <c r="BL52" i="71" s="1"/>
  <c r="W65" i="62"/>
  <c r="BF53" i="71" s="1"/>
  <c r="X65" i="62"/>
  <c r="BG53" i="71" s="1"/>
  <c r="Y65" i="62"/>
  <c r="BH53" i="71" s="1"/>
  <c r="Z65" i="62"/>
  <c r="BI53" i="71" s="1"/>
  <c r="AA65" i="62"/>
  <c r="BJ53" i="71" s="1"/>
  <c r="AB65" i="62"/>
  <c r="BK53" i="71" s="1"/>
  <c r="AC65" i="62"/>
  <c r="BL53" i="71" s="1"/>
  <c r="W66" i="62"/>
  <c r="BF54" i="71" s="1"/>
  <c r="X66" i="62"/>
  <c r="BG54" i="71" s="1"/>
  <c r="Y66" i="62"/>
  <c r="BH54" i="71" s="1"/>
  <c r="Z66" i="62"/>
  <c r="BI54" i="71" s="1"/>
  <c r="AA66" i="62"/>
  <c r="BJ54" i="71" s="1"/>
  <c r="AB66" i="62"/>
  <c r="BK54" i="71" s="1"/>
  <c r="AC66" i="62"/>
  <c r="BL54" i="71" s="1"/>
  <c r="W67" i="62"/>
  <c r="BF55" i="71" s="1"/>
  <c r="X67" i="62"/>
  <c r="BG55" i="71" s="1"/>
  <c r="Y67" i="62"/>
  <c r="BH55" i="71" s="1"/>
  <c r="Z67" i="62"/>
  <c r="BI55" i="71" s="1"/>
  <c r="AA67" i="62"/>
  <c r="BJ55" i="71" s="1"/>
  <c r="AB67" i="62"/>
  <c r="BK55" i="71" s="1"/>
  <c r="AC67" i="62"/>
  <c r="BL55" i="71" s="1"/>
  <c r="W68" i="62"/>
  <c r="BF56" i="71" s="1"/>
  <c r="X68" i="62"/>
  <c r="BG56" i="71" s="1"/>
  <c r="Y68" i="62"/>
  <c r="BH56" i="71" s="1"/>
  <c r="Z68" i="62"/>
  <c r="BI56" i="71" s="1"/>
  <c r="AA68" i="62"/>
  <c r="BJ56" i="71" s="1"/>
  <c r="AB68" i="62"/>
  <c r="BK56" i="71" s="1"/>
  <c r="AC68" i="62"/>
  <c r="BL56" i="71" s="1"/>
  <c r="W69" i="62"/>
  <c r="BF57" i="71" s="1"/>
  <c r="X69" i="62"/>
  <c r="BG57" i="71" s="1"/>
  <c r="Y69" i="62"/>
  <c r="BH57" i="71" s="1"/>
  <c r="Z69" i="62"/>
  <c r="BI57" i="71" s="1"/>
  <c r="AA69" i="62"/>
  <c r="BJ57" i="71" s="1"/>
  <c r="AB69" i="62"/>
  <c r="BK57" i="71" s="1"/>
  <c r="AC69" i="62"/>
  <c r="BL57" i="71" s="1"/>
  <c r="W70" i="62"/>
  <c r="BF58" i="71" s="1"/>
  <c r="X70" i="62"/>
  <c r="BG58" i="71" s="1"/>
  <c r="Y70" i="62"/>
  <c r="BH58" i="71" s="1"/>
  <c r="Z70" i="62"/>
  <c r="BI58" i="71" s="1"/>
  <c r="AA70" i="62"/>
  <c r="BJ58" i="71" s="1"/>
  <c r="AB70" i="62"/>
  <c r="BK58" i="71" s="1"/>
  <c r="AC70" i="62"/>
  <c r="BL58" i="71" s="1"/>
  <c r="W71" i="62"/>
  <c r="BF59" i="71" s="1"/>
  <c r="X71" i="62"/>
  <c r="BG59" i="71" s="1"/>
  <c r="Y71" i="62"/>
  <c r="BH59" i="71" s="1"/>
  <c r="Z71" i="62"/>
  <c r="BI59" i="71" s="1"/>
  <c r="AA71" i="62"/>
  <c r="BJ59" i="71" s="1"/>
  <c r="AB71" i="62"/>
  <c r="BK59" i="71" s="1"/>
  <c r="AC71" i="62"/>
  <c r="BL59" i="71" s="1"/>
  <c r="W72" i="62"/>
  <c r="BF60" i="71" s="1"/>
  <c r="X72" i="62"/>
  <c r="BG60" i="71" s="1"/>
  <c r="Y72" i="62"/>
  <c r="BH60" i="71" s="1"/>
  <c r="Z72" i="62"/>
  <c r="BI60" i="71" s="1"/>
  <c r="AA72" i="62"/>
  <c r="BJ60" i="71" s="1"/>
  <c r="AB72" i="62"/>
  <c r="BK60" i="71" s="1"/>
  <c r="AC72" i="62"/>
  <c r="BL60" i="71" s="1"/>
  <c r="W73" i="62"/>
  <c r="BF61" i="71" s="1"/>
  <c r="X73" i="62"/>
  <c r="BG61" i="71" s="1"/>
  <c r="Y73" i="62"/>
  <c r="BH61" i="71" s="1"/>
  <c r="Z73" i="62"/>
  <c r="BI61" i="71" s="1"/>
  <c r="AA73" i="62"/>
  <c r="BJ61" i="71" s="1"/>
  <c r="AB73" i="62"/>
  <c r="BK61" i="71" s="1"/>
  <c r="AC73" i="62"/>
  <c r="BL61" i="71" s="1"/>
  <c r="W74" i="62"/>
  <c r="BF62" i="71" s="1"/>
  <c r="X74" i="62"/>
  <c r="BG62" i="71" s="1"/>
  <c r="Y74" i="62"/>
  <c r="BH62" i="71" s="1"/>
  <c r="Z74" i="62"/>
  <c r="BI62" i="71" s="1"/>
  <c r="AA74" i="62"/>
  <c r="BJ62" i="71" s="1"/>
  <c r="AB74" i="62"/>
  <c r="BK62" i="71" s="1"/>
  <c r="AC74" i="62"/>
  <c r="BL62" i="71" s="1"/>
  <c r="W75" i="62"/>
  <c r="BF63" i="71" s="1"/>
  <c r="X75" i="62"/>
  <c r="BG63" i="71" s="1"/>
  <c r="Y75" i="62"/>
  <c r="BH63" i="71" s="1"/>
  <c r="Z75" i="62"/>
  <c r="BI63" i="71" s="1"/>
  <c r="AA75" i="62"/>
  <c r="BJ63" i="71" s="1"/>
  <c r="AB75" i="62"/>
  <c r="BK63" i="71" s="1"/>
  <c r="AC75" i="62"/>
  <c r="BL63" i="71" s="1"/>
  <c r="W76" i="62"/>
  <c r="BF64" i="71" s="1"/>
  <c r="X76" i="62"/>
  <c r="BG64" i="71" s="1"/>
  <c r="Y76" i="62"/>
  <c r="BH64" i="71" s="1"/>
  <c r="Z76" i="62"/>
  <c r="BI64" i="71" s="1"/>
  <c r="AA76" i="62"/>
  <c r="BJ64" i="71" s="1"/>
  <c r="AB76" i="62"/>
  <c r="BK64" i="71" s="1"/>
  <c r="AC76" i="62"/>
  <c r="BL64" i="71" s="1"/>
  <c r="W77" i="62"/>
  <c r="BF65" i="71" s="1"/>
  <c r="X77" i="62"/>
  <c r="BG65" i="71" s="1"/>
  <c r="Y77" i="62"/>
  <c r="BH65" i="71" s="1"/>
  <c r="Z77" i="62"/>
  <c r="BI65" i="71" s="1"/>
  <c r="AA77" i="62"/>
  <c r="BJ65" i="71" s="1"/>
  <c r="AB77" i="62"/>
  <c r="BK65" i="71" s="1"/>
  <c r="AC77" i="62"/>
  <c r="BL65" i="71" s="1"/>
  <c r="W78" i="62"/>
  <c r="BF66" i="71" s="1"/>
  <c r="X78" i="62"/>
  <c r="BG66" i="71" s="1"/>
  <c r="Y78" i="62"/>
  <c r="BH66" i="71" s="1"/>
  <c r="Z78" i="62"/>
  <c r="BI66" i="71" s="1"/>
  <c r="AA78" i="62"/>
  <c r="BJ66" i="71" s="1"/>
  <c r="AB78" i="62"/>
  <c r="BK66" i="71" s="1"/>
  <c r="AC78" i="62"/>
  <c r="BL66" i="71" s="1"/>
  <c r="W79" i="62"/>
  <c r="BF67" i="71" s="1"/>
  <c r="X79" i="62"/>
  <c r="BG67" i="71" s="1"/>
  <c r="Y79" i="62"/>
  <c r="BH67" i="71" s="1"/>
  <c r="Z79" i="62"/>
  <c r="BI67" i="71" s="1"/>
  <c r="AA79" i="62"/>
  <c r="BJ67" i="71" s="1"/>
  <c r="AB79" i="62"/>
  <c r="AC79" i="62"/>
  <c r="BL67" i="71" s="1"/>
  <c r="W80" i="62"/>
  <c r="BF68" i="71" s="1"/>
  <c r="X80" i="62"/>
  <c r="BG68" i="71" s="1"/>
  <c r="Y80" i="62"/>
  <c r="BH68" i="71" s="1"/>
  <c r="Z80" i="62"/>
  <c r="BI68" i="71" s="1"/>
  <c r="AA80" i="62"/>
  <c r="BJ68" i="71" s="1"/>
  <c r="AB80" i="62"/>
  <c r="BK68" i="71" s="1"/>
  <c r="AC80" i="62"/>
  <c r="BL68" i="71" s="1"/>
  <c r="W81" i="62"/>
  <c r="BF69" i="71" s="1"/>
  <c r="X81" i="62"/>
  <c r="BG69" i="71" s="1"/>
  <c r="Y81" i="62"/>
  <c r="BH69" i="71" s="1"/>
  <c r="Z81" i="62"/>
  <c r="BI69" i="71" s="1"/>
  <c r="AA81" i="62"/>
  <c r="BJ69" i="71" s="1"/>
  <c r="AB81" i="62"/>
  <c r="BK69" i="71" s="1"/>
  <c r="AC81" i="62"/>
  <c r="BL69" i="71" s="1"/>
  <c r="W82" i="62"/>
  <c r="BF70" i="71" s="1"/>
  <c r="X82" i="62"/>
  <c r="BG70" i="71" s="1"/>
  <c r="Y82" i="62"/>
  <c r="BH70" i="71" s="1"/>
  <c r="Z82" i="62"/>
  <c r="BI70" i="71" s="1"/>
  <c r="AA82" i="62"/>
  <c r="BJ70" i="71" s="1"/>
  <c r="AB82" i="62"/>
  <c r="BK70" i="71" s="1"/>
  <c r="AC82" i="62"/>
  <c r="BL70" i="71" s="1"/>
  <c r="W83" i="62"/>
  <c r="BF71" i="71" s="1"/>
  <c r="X83" i="62"/>
  <c r="BG71" i="71" s="1"/>
  <c r="Y83" i="62"/>
  <c r="BH71" i="71" s="1"/>
  <c r="Z83" i="62"/>
  <c r="BI71" i="71" s="1"/>
  <c r="AA83" i="62"/>
  <c r="BJ71" i="71" s="1"/>
  <c r="AB83" i="62"/>
  <c r="BK71" i="71" s="1"/>
  <c r="AC83" i="62"/>
  <c r="BL71" i="71" s="1"/>
  <c r="W84" i="62"/>
  <c r="BF72" i="71" s="1"/>
  <c r="X84" i="62"/>
  <c r="BG72" i="71" s="1"/>
  <c r="Y84" i="62"/>
  <c r="BH72" i="71" s="1"/>
  <c r="Z84" i="62"/>
  <c r="BI72" i="71" s="1"/>
  <c r="AA84" i="62"/>
  <c r="BJ72" i="71" s="1"/>
  <c r="AB84" i="62"/>
  <c r="BK72" i="71" s="1"/>
  <c r="AC84" i="62"/>
  <c r="BL72" i="71" s="1"/>
  <c r="W85" i="62"/>
  <c r="BF73" i="71" s="1"/>
  <c r="X85" i="62"/>
  <c r="BG73" i="71" s="1"/>
  <c r="Y85" i="62"/>
  <c r="BH73" i="71" s="1"/>
  <c r="Z85" i="62"/>
  <c r="BI73" i="71" s="1"/>
  <c r="AA85" i="62"/>
  <c r="BJ73" i="71" s="1"/>
  <c r="AB85" i="62"/>
  <c r="BK73" i="71" s="1"/>
  <c r="AC85" i="62"/>
  <c r="BL73" i="71" s="1"/>
  <c r="W86" i="62"/>
  <c r="BF74" i="71" s="1"/>
  <c r="X86" i="62"/>
  <c r="BG74" i="71" s="1"/>
  <c r="Y86" i="62"/>
  <c r="BH74" i="71" s="1"/>
  <c r="Z86" i="62"/>
  <c r="BI74" i="71" s="1"/>
  <c r="AA86" i="62"/>
  <c r="BJ74" i="71" s="1"/>
  <c r="AB86" i="62"/>
  <c r="BK74" i="71" s="1"/>
  <c r="AC86" i="62"/>
  <c r="BL74" i="71" s="1"/>
  <c r="W87" i="62"/>
  <c r="BF75" i="71" s="1"/>
  <c r="X87" i="62"/>
  <c r="BG75" i="71" s="1"/>
  <c r="Y87" i="62"/>
  <c r="BH75" i="71" s="1"/>
  <c r="Z87" i="62"/>
  <c r="BI75" i="71" s="1"/>
  <c r="AA87" i="62"/>
  <c r="BJ75" i="71" s="1"/>
  <c r="AB87" i="62"/>
  <c r="BK75" i="71" s="1"/>
  <c r="AC87" i="62"/>
  <c r="BL75" i="71" s="1"/>
  <c r="W88" i="62"/>
  <c r="X88" i="62"/>
  <c r="Y88" i="62"/>
  <c r="Z88" i="62"/>
  <c r="BH2" i="84" s="1"/>
  <c r="AA88" i="62"/>
  <c r="AB88" i="62"/>
  <c r="AC88" i="62"/>
  <c r="W89" i="62"/>
  <c r="X89" i="62"/>
  <c r="Y89" i="62"/>
  <c r="Z89" i="62"/>
  <c r="AA89" i="62"/>
  <c r="AB89" i="62"/>
  <c r="AC89" i="62"/>
  <c r="W90" i="62"/>
  <c r="X90" i="62"/>
  <c r="Y90" i="62"/>
  <c r="Z90" i="62"/>
  <c r="AA90" i="62"/>
  <c r="AB90" i="62"/>
  <c r="AC90" i="62"/>
  <c r="W91" i="62"/>
  <c r="X91" i="62"/>
  <c r="BF5" i="84" s="1"/>
  <c r="Y91" i="62"/>
  <c r="Z91" i="62"/>
  <c r="AA91" i="62"/>
  <c r="AB91" i="62"/>
  <c r="BJ5" i="84" s="1"/>
  <c r="AC91" i="62"/>
  <c r="W92" i="62"/>
  <c r="X92" i="62"/>
  <c r="Y92" i="62"/>
  <c r="Z92" i="62"/>
  <c r="BH6" i="84" s="1"/>
  <c r="AA92" i="62"/>
  <c r="AB92" i="62"/>
  <c r="AC92" i="62"/>
  <c r="W93" i="62"/>
  <c r="X93" i="62"/>
  <c r="Y93" i="62"/>
  <c r="Z93" i="62"/>
  <c r="AA93" i="62"/>
  <c r="AB93" i="62"/>
  <c r="AC93" i="62"/>
  <c r="W94" i="62"/>
  <c r="X94" i="62"/>
  <c r="Y94" i="62"/>
  <c r="Z94" i="62"/>
  <c r="AA94" i="62"/>
  <c r="BI8" i="84" s="1"/>
  <c r="AB94" i="62"/>
  <c r="AC94" i="62"/>
  <c r="W95" i="62"/>
  <c r="X95" i="62"/>
  <c r="Y95" i="62"/>
  <c r="Z95" i="62"/>
  <c r="AA95" i="62"/>
  <c r="AB95" i="62"/>
  <c r="AC95" i="62"/>
  <c r="W96" i="62"/>
  <c r="X96" i="62"/>
  <c r="Y96" i="62"/>
  <c r="Z96" i="62"/>
  <c r="AA96" i="62"/>
  <c r="AB96" i="62"/>
  <c r="AC96" i="62"/>
  <c r="W97" i="62"/>
  <c r="X97" i="62"/>
  <c r="Y97" i="62"/>
  <c r="Z97" i="62"/>
  <c r="AA97" i="62"/>
  <c r="AB97" i="62"/>
  <c r="AC97" i="62"/>
  <c r="W98" i="62"/>
  <c r="X98" i="62"/>
  <c r="BF12" i="84" s="1"/>
  <c r="Y98" i="62"/>
  <c r="Z98" i="62"/>
  <c r="AA98" i="62"/>
  <c r="AB98" i="62"/>
  <c r="AC98" i="62"/>
  <c r="W99" i="62"/>
  <c r="X99" i="62"/>
  <c r="Y99" i="62"/>
  <c r="Z99" i="62"/>
  <c r="AA99" i="62"/>
  <c r="AB99" i="62"/>
  <c r="AC99" i="62"/>
  <c r="W100" i="62"/>
  <c r="X100" i="62"/>
  <c r="Y100" i="62"/>
  <c r="Z100" i="62"/>
  <c r="AA100" i="62"/>
  <c r="AB100" i="62"/>
  <c r="AC100" i="62"/>
  <c r="W101" i="62"/>
  <c r="X101" i="62"/>
  <c r="Y101" i="62"/>
  <c r="Z101" i="62"/>
  <c r="AA101" i="62"/>
  <c r="AB101" i="62"/>
  <c r="AC101" i="62"/>
  <c r="W102" i="62"/>
  <c r="X102" i="62"/>
  <c r="BF16" i="84" s="1"/>
  <c r="Y102" i="62"/>
  <c r="Z102" i="62"/>
  <c r="AA102" i="62"/>
  <c r="AB102" i="62"/>
  <c r="AC102" i="62"/>
  <c r="W103" i="62"/>
  <c r="X103" i="62"/>
  <c r="BF17" i="84" s="1"/>
  <c r="Y103" i="62"/>
  <c r="Z103" i="62"/>
  <c r="AA103" i="62"/>
  <c r="AB103" i="62"/>
  <c r="AC103" i="62"/>
  <c r="BK17" i="84" s="1"/>
  <c r="W104" i="62"/>
  <c r="X104" i="62"/>
  <c r="Y104" i="62"/>
  <c r="Z104" i="62"/>
  <c r="BH18" i="84" s="1"/>
  <c r="AA104" i="62"/>
  <c r="AB104" i="62"/>
  <c r="AC104" i="62"/>
  <c r="W105" i="62"/>
  <c r="X105" i="62"/>
  <c r="Y105" i="62"/>
  <c r="Z105" i="62"/>
  <c r="AA105" i="62"/>
  <c r="AB105" i="62"/>
  <c r="AC105" i="62"/>
  <c r="W106" i="62"/>
  <c r="X106" i="62"/>
  <c r="Y106" i="62"/>
  <c r="Z106" i="62"/>
  <c r="AA106" i="62"/>
  <c r="BI20" i="84" s="1"/>
  <c r="AB106" i="62"/>
  <c r="AC106" i="62"/>
  <c r="W107" i="62"/>
  <c r="X107" i="62"/>
  <c r="Y107" i="62"/>
  <c r="Z107" i="62"/>
  <c r="AA107" i="62"/>
  <c r="AB107" i="62"/>
  <c r="AC107" i="62"/>
  <c r="W108" i="62"/>
  <c r="X108" i="62"/>
  <c r="Y108" i="62"/>
  <c r="Z108" i="62"/>
  <c r="BH22" i="84" s="1"/>
  <c r="AA108" i="62"/>
  <c r="AB108" i="62"/>
  <c r="AC108" i="62"/>
  <c r="W109" i="62"/>
  <c r="X109" i="62"/>
  <c r="Y109" i="62"/>
  <c r="Z109" i="62"/>
  <c r="AA109" i="62"/>
  <c r="AB109" i="62"/>
  <c r="AC109" i="62"/>
  <c r="W110" i="62"/>
  <c r="X110" i="62"/>
  <c r="Y110" i="62"/>
  <c r="Z110" i="62"/>
  <c r="AA110" i="62"/>
  <c r="AB110" i="62"/>
  <c r="AC110" i="62"/>
  <c r="W111" i="62"/>
  <c r="X111" i="62"/>
  <c r="Y111" i="62"/>
  <c r="BG25" i="84" s="1"/>
  <c r="Z111" i="62"/>
  <c r="AA111" i="62"/>
  <c r="AB111" i="62"/>
  <c r="BJ25" i="84" s="1"/>
  <c r="AC111" i="62"/>
  <c r="W112" i="62"/>
  <c r="X112" i="62"/>
  <c r="Y112" i="62"/>
  <c r="Z112" i="62"/>
  <c r="BH26" i="84" s="1"/>
  <c r="AA112" i="62"/>
  <c r="AB112" i="62"/>
  <c r="AC112" i="62"/>
  <c r="W113" i="62"/>
  <c r="X113" i="62"/>
  <c r="Y113" i="62"/>
  <c r="Z113" i="62"/>
  <c r="AA113" i="62"/>
  <c r="AB113" i="62"/>
  <c r="AC113" i="62"/>
  <c r="W114" i="62"/>
  <c r="BE28" i="84" s="1"/>
  <c r="X114" i="62"/>
  <c r="BF28" i="84" s="1"/>
  <c r="Y114" i="62"/>
  <c r="Z114" i="62"/>
  <c r="AA114" i="62"/>
  <c r="AB114" i="62"/>
  <c r="BJ28" i="84" s="1"/>
  <c r="AC114" i="62"/>
  <c r="W115" i="62"/>
  <c r="X115" i="62"/>
  <c r="Y115" i="62"/>
  <c r="BG29" i="84" s="1"/>
  <c r="Z115" i="62"/>
  <c r="AA115" i="62"/>
  <c r="AB115" i="62"/>
  <c r="BJ29" i="84" s="1"/>
  <c r="AC115" i="62"/>
  <c r="W116" i="62"/>
  <c r="X116" i="62"/>
  <c r="Y116" i="62"/>
  <c r="Z116" i="62"/>
  <c r="BH30" i="84" s="1"/>
  <c r="AA116" i="62"/>
  <c r="AB116" i="62"/>
  <c r="AC116" i="62"/>
  <c r="W117" i="62"/>
  <c r="X117" i="62"/>
  <c r="Y117" i="62"/>
  <c r="Z117" i="62"/>
  <c r="AA117" i="62"/>
  <c r="AB117" i="62"/>
  <c r="AC117" i="62"/>
  <c r="W118" i="62"/>
  <c r="BE32" i="84" s="1"/>
  <c r="X118" i="62"/>
  <c r="BF32" i="84" s="1"/>
  <c r="Y118" i="62"/>
  <c r="Z118" i="62"/>
  <c r="AA118" i="62"/>
  <c r="AB118" i="62"/>
  <c r="BJ32" i="84" s="1"/>
  <c r="AC118" i="62"/>
  <c r="W119" i="62"/>
  <c r="X119" i="62"/>
  <c r="Y119" i="62"/>
  <c r="BG33" i="84" s="1"/>
  <c r="Z119" i="62"/>
  <c r="AA119" i="62"/>
  <c r="AB119" i="62"/>
  <c r="BJ33" i="84" s="1"/>
  <c r="AC119" i="62"/>
  <c r="BK33" i="84" s="1"/>
  <c r="W120" i="62"/>
  <c r="X120" i="62"/>
  <c r="Y120" i="62"/>
  <c r="Z120" i="62"/>
  <c r="BH34" i="84" s="1"/>
  <c r="AA120" i="62"/>
  <c r="AB120" i="62"/>
  <c r="AC120" i="62"/>
  <c r="W121" i="62"/>
  <c r="X121" i="62"/>
  <c r="Y121" i="62"/>
  <c r="Z121" i="62"/>
  <c r="AA121" i="62"/>
  <c r="AB121" i="62"/>
  <c r="AC121" i="62"/>
  <c r="X122" i="62"/>
  <c r="Y122" i="62"/>
  <c r="Z122" i="62"/>
  <c r="AA122" i="62"/>
  <c r="AB122" i="62"/>
  <c r="AC122" i="62"/>
  <c r="X123" i="62"/>
  <c r="Y123" i="62"/>
  <c r="Z123" i="62"/>
  <c r="AA123" i="62"/>
  <c r="AB123" i="62"/>
  <c r="AC123" i="62"/>
  <c r="X124" i="62"/>
  <c r="Y124" i="62"/>
  <c r="Z124" i="62"/>
  <c r="AA124" i="62"/>
  <c r="AB124" i="62"/>
  <c r="AC124" i="62"/>
  <c r="X125" i="62"/>
  <c r="Y125" i="62"/>
  <c r="Z125" i="62"/>
  <c r="AA125" i="62"/>
  <c r="AB125" i="62"/>
  <c r="BJ39" i="84" s="1"/>
  <c r="AC125" i="62"/>
  <c r="X126" i="62"/>
  <c r="Y126" i="62"/>
  <c r="Z126" i="62"/>
  <c r="AA126" i="62"/>
  <c r="AB126" i="62"/>
  <c r="AC126" i="62"/>
  <c r="X127" i="62"/>
  <c r="Y127" i="62"/>
  <c r="Z127" i="62"/>
  <c r="BH41" i="84" s="1"/>
  <c r="AA127" i="62"/>
  <c r="AB127" i="62"/>
  <c r="AC127" i="62"/>
  <c r="X128" i="62"/>
  <c r="Y128" i="62"/>
  <c r="Z128" i="62"/>
  <c r="AA128" i="62"/>
  <c r="AB128" i="62"/>
  <c r="AC128" i="62"/>
  <c r="X129" i="62"/>
  <c r="Y129" i="62"/>
  <c r="Z129" i="62"/>
  <c r="AA129" i="62"/>
  <c r="AB129" i="62"/>
  <c r="BJ43" i="84" s="1"/>
  <c r="AC129" i="62"/>
  <c r="X130" i="62"/>
  <c r="Y130" i="62"/>
  <c r="Z130" i="62"/>
  <c r="BH44" i="84" s="1"/>
  <c r="AA130" i="62"/>
  <c r="AB130" i="62"/>
  <c r="AC130" i="62"/>
  <c r="X131" i="62"/>
  <c r="BF45" i="84" s="1"/>
  <c r="Y131" i="62"/>
  <c r="Z131" i="62"/>
  <c r="AA131" i="62"/>
  <c r="AB131" i="62"/>
  <c r="AC131" i="62"/>
  <c r="X132" i="62"/>
  <c r="Y132" i="62"/>
  <c r="Z132" i="62"/>
  <c r="AA132" i="62"/>
  <c r="AB132" i="62"/>
  <c r="BJ46" i="84" s="1"/>
  <c r="AC132" i="62"/>
  <c r="X133" i="62"/>
  <c r="Y133" i="62"/>
  <c r="Z133" i="62"/>
  <c r="AA133" i="62"/>
  <c r="AB133" i="62"/>
  <c r="AC133" i="62"/>
  <c r="X14" i="62"/>
  <c r="BG2" i="71" s="1"/>
  <c r="Y14" i="62"/>
  <c r="BH2" i="71" s="1"/>
  <c r="Z14" i="62"/>
  <c r="BI2" i="71" s="1"/>
  <c r="AA14" i="62"/>
  <c r="BJ2" i="71" s="1"/>
  <c r="AB14" i="62"/>
  <c r="BK2" i="71" s="1"/>
  <c r="AC14" i="62"/>
  <c r="BL2" i="71" s="1"/>
  <c r="W14" i="62"/>
  <c r="BF2" i="71" s="1"/>
  <c r="AB1" i="62"/>
  <c r="AC1" i="62"/>
  <c r="BK1" i="84" s="1"/>
  <c r="X1" i="62"/>
  <c r="Y1" i="62"/>
  <c r="BG1" i="84" s="1"/>
  <c r="Z1" i="62"/>
  <c r="AA1" i="62"/>
  <c r="W1" i="62"/>
  <c r="V1" i="62"/>
  <c r="BD1" i="84" s="1"/>
  <c r="U1" i="62"/>
  <c r="T1" i="62"/>
  <c r="S1" i="62"/>
  <c r="BA1" i="84" s="1"/>
  <c r="R1" i="62"/>
  <c r="AZ1" i="84" s="1"/>
  <c r="Q1" i="62"/>
  <c r="AY1" i="84" s="1"/>
  <c r="P1" i="62"/>
  <c r="AX1" i="84" s="1"/>
  <c r="S15" i="62"/>
  <c r="BB3" i="71" s="1"/>
  <c r="T15" i="62"/>
  <c r="BC3" i="71" s="1"/>
  <c r="U15" i="62"/>
  <c r="BD3" i="71" s="1"/>
  <c r="V15" i="62"/>
  <c r="BE3" i="71" s="1"/>
  <c r="S16" i="62"/>
  <c r="BB4" i="71" s="1"/>
  <c r="T16" i="62"/>
  <c r="BC4" i="71" s="1"/>
  <c r="U16" i="62"/>
  <c r="BD4" i="71" s="1"/>
  <c r="V16" i="62"/>
  <c r="BE4" i="71" s="1"/>
  <c r="S17" i="62"/>
  <c r="BB5" i="71" s="1"/>
  <c r="T17" i="62"/>
  <c r="BC5" i="71" s="1"/>
  <c r="U17" i="62"/>
  <c r="BD5" i="71" s="1"/>
  <c r="V17" i="62"/>
  <c r="BE5" i="71" s="1"/>
  <c r="S18" i="62"/>
  <c r="BB6" i="71" s="1"/>
  <c r="T18" i="62"/>
  <c r="BC6" i="71" s="1"/>
  <c r="U18" i="62"/>
  <c r="BD6" i="71" s="1"/>
  <c r="V18" i="62"/>
  <c r="BE6" i="71" s="1"/>
  <c r="S19" i="62"/>
  <c r="BB7" i="71" s="1"/>
  <c r="T19" i="62"/>
  <c r="BC7" i="71" s="1"/>
  <c r="U19" i="62"/>
  <c r="BD7" i="71" s="1"/>
  <c r="V19" i="62"/>
  <c r="BE7" i="71" s="1"/>
  <c r="S20" i="62"/>
  <c r="BB8" i="71" s="1"/>
  <c r="T20" i="62"/>
  <c r="BC8" i="71" s="1"/>
  <c r="U20" i="62"/>
  <c r="BD8" i="71" s="1"/>
  <c r="V20" i="62"/>
  <c r="BE8" i="71" s="1"/>
  <c r="S21" i="62"/>
  <c r="BB9" i="71" s="1"/>
  <c r="T21" i="62"/>
  <c r="BC9" i="71" s="1"/>
  <c r="U21" i="62"/>
  <c r="BD9" i="71" s="1"/>
  <c r="V21" i="62"/>
  <c r="BE9" i="71" s="1"/>
  <c r="S22" i="62"/>
  <c r="BB10" i="71" s="1"/>
  <c r="T22" i="62"/>
  <c r="BC10" i="71" s="1"/>
  <c r="U22" i="62"/>
  <c r="BD10" i="71" s="1"/>
  <c r="V22" i="62"/>
  <c r="BE10" i="71" s="1"/>
  <c r="S23" i="62"/>
  <c r="BB11" i="71" s="1"/>
  <c r="T23" i="62"/>
  <c r="BC11" i="71" s="1"/>
  <c r="U23" i="62"/>
  <c r="BD11" i="71" s="1"/>
  <c r="V23" i="62"/>
  <c r="BE11" i="71" s="1"/>
  <c r="S24" i="62"/>
  <c r="BB12" i="71" s="1"/>
  <c r="T24" i="62"/>
  <c r="BC12" i="71" s="1"/>
  <c r="U24" i="62"/>
  <c r="BD12" i="71" s="1"/>
  <c r="V24" i="62"/>
  <c r="BE12" i="71" s="1"/>
  <c r="S25" i="62"/>
  <c r="BB13" i="71" s="1"/>
  <c r="T25" i="62"/>
  <c r="BC13" i="71" s="1"/>
  <c r="U25" i="62"/>
  <c r="BD13" i="71" s="1"/>
  <c r="V25" i="62"/>
  <c r="BE13" i="71" s="1"/>
  <c r="S26" i="62"/>
  <c r="BB14" i="71" s="1"/>
  <c r="T26" i="62"/>
  <c r="BC14" i="71" s="1"/>
  <c r="U26" i="62"/>
  <c r="BD14" i="71" s="1"/>
  <c r="V26" i="62"/>
  <c r="BE14" i="71" s="1"/>
  <c r="S27" i="62"/>
  <c r="BB15" i="71" s="1"/>
  <c r="T27" i="62"/>
  <c r="BC15" i="71" s="1"/>
  <c r="U27" i="62"/>
  <c r="BD15" i="71" s="1"/>
  <c r="V27" i="62"/>
  <c r="BE15" i="71" s="1"/>
  <c r="S28" i="62"/>
  <c r="BB16" i="71" s="1"/>
  <c r="T28" i="62"/>
  <c r="BC16" i="71" s="1"/>
  <c r="U28" i="62"/>
  <c r="BD16" i="71" s="1"/>
  <c r="V28" i="62"/>
  <c r="BE16" i="71" s="1"/>
  <c r="S29" i="62"/>
  <c r="BB17" i="71" s="1"/>
  <c r="T29" i="62"/>
  <c r="BC17" i="71" s="1"/>
  <c r="U29" i="62"/>
  <c r="BD17" i="71" s="1"/>
  <c r="V29" i="62"/>
  <c r="BE17" i="71" s="1"/>
  <c r="S30" i="62"/>
  <c r="BB18" i="71" s="1"/>
  <c r="T30" i="62"/>
  <c r="BC18" i="71" s="1"/>
  <c r="U30" i="62"/>
  <c r="BD18" i="71" s="1"/>
  <c r="V30" i="62"/>
  <c r="BE18" i="71" s="1"/>
  <c r="S31" i="62"/>
  <c r="BB19" i="71" s="1"/>
  <c r="T31" i="62"/>
  <c r="BC19" i="71" s="1"/>
  <c r="U31" i="62"/>
  <c r="BD19" i="71" s="1"/>
  <c r="V31" i="62"/>
  <c r="BE19" i="71" s="1"/>
  <c r="S32" i="62"/>
  <c r="BB20" i="71" s="1"/>
  <c r="T32" i="62"/>
  <c r="BC20" i="71" s="1"/>
  <c r="U32" i="62"/>
  <c r="BD20" i="71" s="1"/>
  <c r="V32" i="62"/>
  <c r="BE20" i="71" s="1"/>
  <c r="S33" i="62"/>
  <c r="BB21" i="71" s="1"/>
  <c r="T33" i="62"/>
  <c r="U33" i="62"/>
  <c r="BD21" i="71" s="1"/>
  <c r="V33" i="62"/>
  <c r="BE21" i="71" s="1"/>
  <c r="S34" i="62"/>
  <c r="BB22" i="71" s="1"/>
  <c r="T34" i="62"/>
  <c r="BC22" i="71" s="1"/>
  <c r="U34" i="62"/>
  <c r="BD22" i="71" s="1"/>
  <c r="V34" i="62"/>
  <c r="BE22" i="71" s="1"/>
  <c r="S35" i="62"/>
  <c r="BB23" i="71" s="1"/>
  <c r="T35" i="62"/>
  <c r="BC23" i="71" s="1"/>
  <c r="U35" i="62"/>
  <c r="BD23" i="71" s="1"/>
  <c r="V35" i="62"/>
  <c r="BE23" i="71" s="1"/>
  <c r="S36" i="62"/>
  <c r="BB24" i="71" s="1"/>
  <c r="T36" i="62"/>
  <c r="BC24" i="71" s="1"/>
  <c r="U36" i="62"/>
  <c r="BD24" i="71" s="1"/>
  <c r="V36" i="62"/>
  <c r="BE24" i="71" s="1"/>
  <c r="S37" i="62"/>
  <c r="BB25" i="71" s="1"/>
  <c r="T37" i="62"/>
  <c r="BC25" i="71" s="1"/>
  <c r="U37" i="62"/>
  <c r="BD25" i="71" s="1"/>
  <c r="V37" i="62"/>
  <c r="BE25" i="71" s="1"/>
  <c r="S38" i="62"/>
  <c r="BB26" i="71" s="1"/>
  <c r="T38" i="62"/>
  <c r="BC26" i="71" s="1"/>
  <c r="U38" i="62"/>
  <c r="BD26" i="71" s="1"/>
  <c r="V38" i="62"/>
  <c r="BE26" i="71" s="1"/>
  <c r="S39" i="62"/>
  <c r="BB27" i="71" s="1"/>
  <c r="T39" i="62"/>
  <c r="BC27" i="71" s="1"/>
  <c r="U39" i="62"/>
  <c r="BD27" i="71" s="1"/>
  <c r="V39" i="62"/>
  <c r="BE27" i="71" s="1"/>
  <c r="S40" i="62"/>
  <c r="BB28" i="71" s="1"/>
  <c r="T40" i="62"/>
  <c r="BC28" i="71" s="1"/>
  <c r="U40" i="62"/>
  <c r="BD28" i="71" s="1"/>
  <c r="V40" i="62"/>
  <c r="BE28" i="71" s="1"/>
  <c r="S41" i="62"/>
  <c r="BB29" i="71" s="1"/>
  <c r="T41" i="62"/>
  <c r="BC29" i="71" s="1"/>
  <c r="U41" i="62"/>
  <c r="BD29" i="71" s="1"/>
  <c r="V41" i="62"/>
  <c r="BE29" i="71" s="1"/>
  <c r="S42" i="62"/>
  <c r="BB30" i="71" s="1"/>
  <c r="T42" i="62"/>
  <c r="BC30" i="71" s="1"/>
  <c r="U42" i="62"/>
  <c r="BD30" i="71" s="1"/>
  <c r="V42" i="62"/>
  <c r="BE30" i="71" s="1"/>
  <c r="S43" i="62"/>
  <c r="BB31" i="71" s="1"/>
  <c r="T43" i="62"/>
  <c r="BC31" i="71" s="1"/>
  <c r="U43" i="62"/>
  <c r="BD31" i="71" s="1"/>
  <c r="V43" i="62"/>
  <c r="BE31" i="71" s="1"/>
  <c r="S44" i="62"/>
  <c r="BB32" i="71" s="1"/>
  <c r="T44" i="62"/>
  <c r="BC32" i="71" s="1"/>
  <c r="U44" i="62"/>
  <c r="BD32" i="71" s="1"/>
  <c r="V44" i="62"/>
  <c r="BE32" i="71" s="1"/>
  <c r="S45" i="62"/>
  <c r="BB33" i="71" s="1"/>
  <c r="T45" i="62"/>
  <c r="BC33" i="71" s="1"/>
  <c r="U45" i="62"/>
  <c r="BD33" i="71" s="1"/>
  <c r="V45" i="62"/>
  <c r="BE33" i="71" s="1"/>
  <c r="S46" i="62"/>
  <c r="BB34" i="71" s="1"/>
  <c r="T46" i="62"/>
  <c r="BC34" i="71" s="1"/>
  <c r="U46" i="62"/>
  <c r="BD34" i="71" s="1"/>
  <c r="V46" i="62"/>
  <c r="S47" i="62"/>
  <c r="BB35" i="71" s="1"/>
  <c r="T47" i="62"/>
  <c r="BC35" i="71" s="1"/>
  <c r="U47" i="62"/>
  <c r="BD35" i="71" s="1"/>
  <c r="V47" i="62"/>
  <c r="BE35" i="71" s="1"/>
  <c r="S48" i="62"/>
  <c r="BB36" i="71" s="1"/>
  <c r="T48" i="62"/>
  <c r="BC36" i="71" s="1"/>
  <c r="U48" i="62"/>
  <c r="BD36" i="71" s="1"/>
  <c r="V48" i="62"/>
  <c r="BE36" i="71" s="1"/>
  <c r="S49" i="62"/>
  <c r="BB37" i="71" s="1"/>
  <c r="T49" i="62"/>
  <c r="BC37" i="71" s="1"/>
  <c r="U49" i="62"/>
  <c r="BD37" i="71" s="1"/>
  <c r="V49" i="62"/>
  <c r="BE37" i="71" s="1"/>
  <c r="S50" i="62"/>
  <c r="BB38" i="71" s="1"/>
  <c r="T50" i="62"/>
  <c r="BC38" i="71" s="1"/>
  <c r="U50" i="62"/>
  <c r="BD38" i="71" s="1"/>
  <c r="V50" i="62"/>
  <c r="BE38" i="71" s="1"/>
  <c r="S51" i="62"/>
  <c r="BB39" i="71" s="1"/>
  <c r="T51" i="62"/>
  <c r="BC39" i="71" s="1"/>
  <c r="U51" i="62"/>
  <c r="BD39" i="71" s="1"/>
  <c r="V51" i="62"/>
  <c r="BE39" i="71" s="1"/>
  <c r="S52" i="62"/>
  <c r="BB40" i="71" s="1"/>
  <c r="T52" i="62"/>
  <c r="BC40" i="71" s="1"/>
  <c r="U52" i="62"/>
  <c r="BD40" i="71" s="1"/>
  <c r="V52" i="62"/>
  <c r="BE40" i="71" s="1"/>
  <c r="S53" i="62"/>
  <c r="BB41" i="71" s="1"/>
  <c r="T53" i="62"/>
  <c r="BC41" i="71" s="1"/>
  <c r="U53" i="62"/>
  <c r="BD41" i="71" s="1"/>
  <c r="V53" i="62"/>
  <c r="BE41" i="71" s="1"/>
  <c r="S54" i="62"/>
  <c r="BB42" i="71" s="1"/>
  <c r="T54" i="62"/>
  <c r="BC42" i="71" s="1"/>
  <c r="U54" i="62"/>
  <c r="BD42" i="71" s="1"/>
  <c r="V54" i="62"/>
  <c r="BE42" i="71" s="1"/>
  <c r="S55" i="62"/>
  <c r="BB43" i="71" s="1"/>
  <c r="T55" i="62"/>
  <c r="BC43" i="71" s="1"/>
  <c r="U55" i="62"/>
  <c r="BD43" i="71" s="1"/>
  <c r="V55" i="62"/>
  <c r="BE43" i="71" s="1"/>
  <c r="S56" i="62"/>
  <c r="BB44" i="71" s="1"/>
  <c r="T56" i="62"/>
  <c r="BC44" i="71" s="1"/>
  <c r="U56" i="62"/>
  <c r="BD44" i="71" s="1"/>
  <c r="V56" i="62"/>
  <c r="BE44" i="71" s="1"/>
  <c r="S57" i="62"/>
  <c r="BB45" i="71" s="1"/>
  <c r="T57" i="62"/>
  <c r="BC45" i="71" s="1"/>
  <c r="U57" i="62"/>
  <c r="BD45" i="71" s="1"/>
  <c r="V57" i="62"/>
  <c r="BE45" i="71" s="1"/>
  <c r="S58" i="62"/>
  <c r="BB46" i="71" s="1"/>
  <c r="T58" i="62"/>
  <c r="BC46" i="71" s="1"/>
  <c r="U58" i="62"/>
  <c r="BD46" i="71" s="1"/>
  <c r="V58" i="62"/>
  <c r="BE46" i="71" s="1"/>
  <c r="S59" i="62"/>
  <c r="BB47" i="71" s="1"/>
  <c r="T59" i="62"/>
  <c r="BC47" i="71" s="1"/>
  <c r="U59" i="62"/>
  <c r="BD47" i="71" s="1"/>
  <c r="V59" i="62"/>
  <c r="BE47" i="71" s="1"/>
  <c r="S60" i="62"/>
  <c r="BB48" i="71" s="1"/>
  <c r="T60" i="62"/>
  <c r="BC48" i="71" s="1"/>
  <c r="U60" i="62"/>
  <c r="BD48" i="71" s="1"/>
  <c r="V60" i="62"/>
  <c r="BE48" i="71" s="1"/>
  <c r="S61" i="62"/>
  <c r="BB49" i="71" s="1"/>
  <c r="T61" i="62"/>
  <c r="BC49" i="71" s="1"/>
  <c r="U61" i="62"/>
  <c r="BD49" i="71" s="1"/>
  <c r="V61" i="62"/>
  <c r="BE49" i="71" s="1"/>
  <c r="S62" i="62"/>
  <c r="BB50" i="71" s="1"/>
  <c r="T62" i="62"/>
  <c r="BC50" i="71" s="1"/>
  <c r="U62" i="62"/>
  <c r="BD50" i="71" s="1"/>
  <c r="V62" i="62"/>
  <c r="BE50" i="71" s="1"/>
  <c r="S63" i="62"/>
  <c r="BB51" i="71" s="1"/>
  <c r="T63" i="62"/>
  <c r="BC51" i="71" s="1"/>
  <c r="U63" i="62"/>
  <c r="BD51" i="71" s="1"/>
  <c r="V63" i="62"/>
  <c r="BE51" i="71" s="1"/>
  <c r="S64" i="62"/>
  <c r="BB52" i="71" s="1"/>
  <c r="T64" i="62"/>
  <c r="BC52" i="71" s="1"/>
  <c r="U64" i="62"/>
  <c r="BD52" i="71" s="1"/>
  <c r="V64" i="62"/>
  <c r="BE52" i="71" s="1"/>
  <c r="S65" i="62"/>
  <c r="BB53" i="71" s="1"/>
  <c r="T65" i="62"/>
  <c r="BC53" i="71" s="1"/>
  <c r="U65" i="62"/>
  <c r="BD53" i="71" s="1"/>
  <c r="V65" i="62"/>
  <c r="BE53" i="71" s="1"/>
  <c r="S66" i="62"/>
  <c r="BB54" i="71" s="1"/>
  <c r="T66" i="62"/>
  <c r="BC54" i="71" s="1"/>
  <c r="U66" i="62"/>
  <c r="BD54" i="71" s="1"/>
  <c r="V66" i="62"/>
  <c r="BE54" i="71" s="1"/>
  <c r="S67" i="62"/>
  <c r="BB55" i="71" s="1"/>
  <c r="T67" i="62"/>
  <c r="BC55" i="71" s="1"/>
  <c r="U67" i="62"/>
  <c r="BD55" i="71" s="1"/>
  <c r="V67" i="62"/>
  <c r="BE55" i="71" s="1"/>
  <c r="S68" i="62"/>
  <c r="BB56" i="71" s="1"/>
  <c r="T68" i="62"/>
  <c r="BC56" i="71" s="1"/>
  <c r="U68" i="62"/>
  <c r="BD56" i="71" s="1"/>
  <c r="V68" i="62"/>
  <c r="BE56" i="71" s="1"/>
  <c r="S69" i="62"/>
  <c r="BB57" i="71" s="1"/>
  <c r="T69" i="62"/>
  <c r="BC57" i="71" s="1"/>
  <c r="U69" i="62"/>
  <c r="BD57" i="71" s="1"/>
  <c r="V69" i="62"/>
  <c r="BE57" i="71" s="1"/>
  <c r="S70" i="62"/>
  <c r="BB58" i="71" s="1"/>
  <c r="T70" i="62"/>
  <c r="BC58" i="71" s="1"/>
  <c r="U70" i="62"/>
  <c r="BD58" i="71" s="1"/>
  <c r="V70" i="62"/>
  <c r="BE58" i="71" s="1"/>
  <c r="S71" i="62"/>
  <c r="BB59" i="71" s="1"/>
  <c r="T71" i="62"/>
  <c r="BC59" i="71" s="1"/>
  <c r="U71" i="62"/>
  <c r="BD59" i="71" s="1"/>
  <c r="V71" i="62"/>
  <c r="BE59" i="71" s="1"/>
  <c r="S72" i="62"/>
  <c r="BB60" i="71" s="1"/>
  <c r="T72" i="62"/>
  <c r="BC60" i="71" s="1"/>
  <c r="U72" i="62"/>
  <c r="BD60" i="71" s="1"/>
  <c r="V72" i="62"/>
  <c r="BE60" i="71" s="1"/>
  <c r="S73" i="62"/>
  <c r="BB61" i="71" s="1"/>
  <c r="T73" i="62"/>
  <c r="BC61" i="71" s="1"/>
  <c r="U73" i="62"/>
  <c r="BD61" i="71" s="1"/>
  <c r="V73" i="62"/>
  <c r="BE61" i="71" s="1"/>
  <c r="S74" i="62"/>
  <c r="BB62" i="71" s="1"/>
  <c r="T74" i="62"/>
  <c r="BC62" i="71" s="1"/>
  <c r="U74" i="62"/>
  <c r="BD62" i="71" s="1"/>
  <c r="V74" i="62"/>
  <c r="BE62" i="71" s="1"/>
  <c r="S75" i="62"/>
  <c r="BB63" i="71" s="1"/>
  <c r="T75" i="62"/>
  <c r="BC63" i="71" s="1"/>
  <c r="U75" i="62"/>
  <c r="BD63" i="71" s="1"/>
  <c r="V75" i="62"/>
  <c r="BE63" i="71" s="1"/>
  <c r="S76" i="62"/>
  <c r="BB64" i="71" s="1"/>
  <c r="T76" i="62"/>
  <c r="BC64" i="71" s="1"/>
  <c r="U76" i="62"/>
  <c r="BD64" i="71" s="1"/>
  <c r="V76" i="62"/>
  <c r="BE64" i="71" s="1"/>
  <c r="S77" i="62"/>
  <c r="BB65" i="71" s="1"/>
  <c r="T77" i="62"/>
  <c r="BC65" i="71" s="1"/>
  <c r="U77" i="62"/>
  <c r="BD65" i="71" s="1"/>
  <c r="V77" i="62"/>
  <c r="BE65" i="71" s="1"/>
  <c r="S78" i="62"/>
  <c r="BB66" i="71" s="1"/>
  <c r="T78" i="62"/>
  <c r="BC66" i="71" s="1"/>
  <c r="U78" i="62"/>
  <c r="BD66" i="71" s="1"/>
  <c r="V78" i="62"/>
  <c r="BE66" i="71" s="1"/>
  <c r="S79" i="62"/>
  <c r="BB67" i="71" s="1"/>
  <c r="T79" i="62"/>
  <c r="BC67" i="71" s="1"/>
  <c r="U79" i="62"/>
  <c r="BD67" i="71" s="1"/>
  <c r="V79" i="62"/>
  <c r="BE67" i="71" s="1"/>
  <c r="S80" i="62"/>
  <c r="BB68" i="71" s="1"/>
  <c r="T80" i="62"/>
  <c r="BC68" i="71" s="1"/>
  <c r="U80" i="62"/>
  <c r="BD68" i="71" s="1"/>
  <c r="V80" i="62"/>
  <c r="BE68" i="71" s="1"/>
  <c r="S81" i="62"/>
  <c r="BB69" i="71" s="1"/>
  <c r="T81" i="62"/>
  <c r="BC69" i="71" s="1"/>
  <c r="U81" i="62"/>
  <c r="BD69" i="71" s="1"/>
  <c r="V81" i="62"/>
  <c r="BE69" i="71" s="1"/>
  <c r="S82" i="62"/>
  <c r="BB70" i="71" s="1"/>
  <c r="T82" i="62"/>
  <c r="BC70" i="71" s="1"/>
  <c r="U82" i="62"/>
  <c r="BD70" i="71" s="1"/>
  <c r="V82" i="62"/>
  <c r="S83" i="62"/>
  <c r="BB71" i="71" s="1"/>
  <c r="T83" i="62"/>
  <c r="BC71" i="71" s="1"/>
  <c r="U83" i="62"/>
  <c r="BD71" i="71" s="1"/>
  <c r="V83" i="62"/>
  <c r="BE71" i="71" s="1"/>
  <c r="S84" i="62"/>
  <c r="BB72" i="71" s="1"/>
  <c r="T84" i="62"/>
  <c r="BC72" i="71" s="1"/>
  <c r="U84" i="62"/>
  <c r="BD72" i="71" s="1"/>
  <c r="V84" i="62"/>
  <c r="BE72" i="71" s="1"/>
  <c r="S85" i="62"/>
  <c r="BB73" i="71" s="1"/>
  <c r="T85" i="62"/>
  <c r="BC73" i="71" s="1"/>
  <c r="U85" i="62"/>
  <c r="BD73" i="71" s="1"/>
  <c r="V85" i="62"/>
  <c r="BE73" i="71" s="1"/>
  <c r="S86" i="62"/>
  <c r="BB74" i="71" s="1"/>
  <c r="T86" i="62"/>
  <c r="BC74" i="71" s="1"/>
  <c r="U86" i="62"/>
  <c r="BD74" i="71" s="1"/>
  <c r="V86" i="62"/>
  <c r="BE74" i="71" s="1"/>
  <c r="S87" i="62"/>
  <c r="BB75" i="71" s="1"/>
  <c r="T87" i="62"/>
  <c r="BC75" i="71" s="1"/>
  <c r="U87" i="62"/>
  <c r="BD75" i="71" s="1"/>
  <c r="V87" i="62"/>
  <c r="BE75" i="71" s="1"/>
  <c r="S88" i="62"/>
  <c r="T88" i="62"/>
  <c r="U88" i="62"/>
  <c r="V88" i="62"/>
  <c r="S89" i="62"/>
  <c r="T89" i="62"/>
  <c r="U89" i="62"/>
  <c r="V89" i="62"/>
  <c r="S90" i="62"/>
  <c r="T90" i="62"/>
  <c r="U90" i="62"/>
  <c r="V90" i="62"/>
  <c r="S91" i="62"/>
  <c r="T91" i="62"/>
  <c r="U91" i="62"/>
  <c r="V91" i="62"/>
  <c r="S92" i="62"/>
  <c r="T92" i="62"/>
  <c r="U92" i="62"/>
  <c r="V92" i="62"/>
  <c r="S93" i="62"/>
  <c r="T93" i="62"/>
  <c r="U93" i="62"/>
  <c r="V93" i="62"/>
  <c r="S94" i="62"/>
  <c r="T94" i="62"/>
  <c r="U94" i="62"/>
  <c r="V94" i="62"/>
  <c r="S95" i="62"/>
  <c r="T95" i="62"/>
  <c r="U95" i="62"/>
  <c r="V95" i="62"/>
  <c r="S96" i="62"/>
  <c r="T96" i="62"/>
  <c r="U96" i="62"/>
  <c r="V96" i="62"/>
  <c r="S97" i="62"/>
  <c r="T97" i="62"/>
  <c r="U97" i="62"/>
  <c r="V97" i="62"/>
  <c r="S98" i="62"/>
  <c r="T98" i="62"/>
  <c r="U98" i="62"/>
  <c r="V98" i="62"/>
  <c r="S99" i="62"/>
  <c r="T99" i="62"/>
  <c r="U99" i="62"/>
  <c r="V99" i="62"/>
  <c r="S100" i="62"/>
  <c r="T100" i="62"/>
  <c r="U100" i="62"/>
  <c r="V100" i="62"/>
  <c r="S101" i="62"/>
  <c r="T101" i="62"/>
  <c r="U101" i="62"/>
  <c r="V101" i="62"/>
  <c r="S102" i="62"/>
  <c r="T102" i="62"/>
  <c r="U102" i="62"/>
  <c r="V102" i="62"/>
  <c r="S103" i="62"/>
  <c r="T103" i="62"/>
  <c r="U103" i="62"/>
  <c r="V103" i="62"/>
  <c r="S104" i="62"/>
  <c r="T104" i="62"/>
  <c r="U104" i="62"/>
  <c r="V104" i="62"/>
  <c r="S105" i="62"/>
  <c r="T105" i="62"/>
  <c r="U105" i="62"/>
  <c r="V105" i="62"/>
  <c r="S106" i="62"/>
  <c r="T106" i="62"/>
  <c r="U106" i="62"/>
  <c r="V106" i="62"/>
  <c r="S107" i="62"/>
  <c r="T107" i="62"/>
  <c r="U107" i="62"/>
  <c r="V107" i="62"/>
  <c r="S108" i="62"/>
  <c r="T108" i="62"/>
  <c r="U108" i="62"/>
  <c r="V108" i="62"/>
  <c r="S109" i="62"/>
  <c r="T109" i="62"/>
  <c r="U109" i="62"/>
  <c r="V109" i="62"/>
  <c r="S110" i="62"/>
  <c r="T110" i="62"/>
  <c r="U110" i="62"/>
  <c r="V110" i="62"/>
  <c r="BD24" i="84" s="1"/>
  <c r="S111" i="62"/>
  <c r="T111" i="62"/>
  <c r="U111" i="62"/>
  <c r="V111" i="62"/>
  <c r="S112" i="62"/>
  <c r="T112" i="62"/>
  <c r="U112" i="62"/>
  <c r="V112" i="62"/>
  <c r="S113" i="62"/>
  <c r="T113" i="62"/>
  <c r="U113" i="62"/>
  <c r="V113" i="62"/>
  <c r="S114" i="62"/>
  <c r="T114" i="62"/>
  <c r="U114" i="62"/>
  <c r="V114" i="62"/>
  <c r="S115" i="62"/>
  <c r="T115" i="62"/>
  <c r="U115" i="62"/>
  <c r="V115" i="62"/>
  <c r="S116" i="62"/>
  <c r="T116" i="62"/>
  <c r="U116" i="62"/>
  <c r="V116" i="62"/>
  <c r="S117" i="62"/>
  <c r="T117" i="62"/>
  <c r="U117" i="62"/>
  <c r="V117" i="62"/>
  <c r="S118" i="62"/>
  <c r="T118" i="62"/>
  <c r="U118" i="62"/>
  <c r="V118" i="62"/>
  <c r="S119" i="62"/>
  <c r="T119" i="62"/>
  <c r="U119" i="62"/>
  <c r="V119" i="62"/>
  <c r="S120" i="62"/>
  <c r="T120" i="62"/>
  <c r="U120" i="62"/>
  <c r="V120" i="62"/>
  <c r="S121" i="62"/>
  <c r="T121" i="62"/>
  <c r="U121" i="62"/>
  <c r="V121" i="62"/>
  <c r="S122" i="62"/>
  <c r="T122" i="62"/>
  <c r="U122" i="62"/>
  <c r="V122" i="62"/>
  <c r="S123" i="62"/>
  <c r="T123" i="62"/>
  <c r="U123" i="62"/>
  <c r="V123" i="62"/>
  <c r="S124" i="62"/>
  <c r="T124" i="62"/>
  <c r="U124" i="62"/>
  <c r="V124" i="62"/>
  <c r="S125" i="62"/>
  <c r="T125" i="62"/>
  <c r="BB39" i="84" s="1"/>
  <c r="U125" i="62"/>
  <c r="V125" i="62"/>
  <c r="S126" i="62"/>
  <c r="T126" i="62"/>
  <c r="U126" i="62"/>
  <c r="V126" i="62"/>
  <c r="BD40" i="84" s="1"/>
  <c r="S127" i="62"/>
  <c r="T127" i="62"/>
  <c r="U127" i="62"/>
  <c r="V127" i="62"/>
  <c r="S128" i="62"/>
  <c r="T128" i="62"/>
  <c r="U128" i="62"/>
  <c r="V128" i="62"/>
  <c r="S129" i="62"/>
  <c r="T129" i="62"/>
  <c r="BB43" i="84" s="1"/>
  <c r="U129" i="62"/>
  <c r="V129" i="62"/>
  <c r="S130" i="62"/>
  <c r="T130" i="62"/>
  <c r="U130" i="62"/>
  <c r="V130" i="62"/>
  <c r="S131" i="62"/>
  <c r="T131" i="62"/>
  <c r="U131" i="62"/>
  <c r="V131" i="62"/>
  <c r="S132" i="62"/>
  <c r="T132" i="62"/>
  <c r="U132" i="62"/>
  <c r="V132" i="62"/>
  <c r="S133" i="62"/>
  <c r="T133" i="62"/>
  <c r="U133" i="62"/>
  <c r="V133" i="62"/>
  <c r="V14" i="62"/>
  <c r="BE2" i="71" s="1"/>
  <c r="U14" i="62"/>
  <c r="BD2" i="71" s="1"/>
  <c r="T14" i="62"/>
  <c r="BC2" i="71" s="1"/>
  <c r="S14" i="62"/>
  <c r="BB2" i="71" s="1"/>
  <c r="Q15" i="62"/>
  <c r="AZ3" i="71" s="1"/>
  <c r="R15" i="62"/>
  <c r="BA3" i="71" s="1"/>
  <c r="Q16" i="62"/>
  <c r="AZ4" i="71" s="1"/>
  <c r="R16" i="62"/>
  <c r="BA4" i="71" s="1"/>
  <c r="Q17" i="62"/>
  <c r="AZ5" i="71" s="1"/>
  <c r="R17" i="62"/>
  <c r="BA5" i="71" s="1"/>
  <c r="Q18" i="62"/>
  <c r="AZ6" i="71" s="1"/>
  <c r="R18" i="62"/>
  <c r="BA6" i="71" s="1"/>
  <c r="Q19" i="62"/>
  <c r="AZ7" i="71" s="1"/>
  <c r="R19" i="62"/>
  <c r="BA7" i="71" s="1"/>
  <c r="Q20" i="62"/>
  <c r="AZ8" i="71" s="1"/>
  <c r="R20" i="62"/>
  <c r="BA8" i="71" s="1"/>
  <c r="Q21" i="62"/>
  <c r="AZ9" i="71" s="1"/>
  <c r="R21" i="62"/>
  <c r="BA9" i="71" s="1"/>
  <c r="Q22" i="62"/>
  <c r="AZ10" i="71" s="1"/>
  <c r="R22" i="62"/>
  <c r="BA10" i="71" s="1"/>
  <c r="Q23" i="62"/>
  <c r="AZ11" i="71" s="1"/>
  <c r="R23" i="62"/>
  <c r="BA11" i="71" s="1"/>
  <c r="Q24" i="62"/>
  <c r="AZ12" i="71" s="1"/>
  <c r="R24" i="62"/>
  <c r="BA12" i="71" s="1"/>
  <c r="Q25" i="62"/>
  <c r="AZ13" i="71" s="1"/>
  <c r="R25" i="62"/>
  <c r="BA13" i="71" s="1"/>
  <c r="Q26" i="62"/>
  <c r="AZ14" i="71" s="1"/>
  <c r="R26" i="62"/>
  <c r="BA14" i="71" s="1"/>
  <c r="Q27" i="62"/>
  <c r="AZ15" i="71" s="1"/>
  <c r="R27" i="62"/>
  <c r="BA15" i="71" s="1"/>
  <c r="Q28" i="62"/>
  <c r="AZ16" i="71" s="1"/>
  <c r="R28" i="62"/>
  <c r="BA16" i="71" s="1"/>
  <c r="Q29" i="62"/>
  <c r="AZ17" i="71" s="1"/>
  <c r="R29" i="62"/>
  <c r="BA17" i="71" s="1"/>
  <c r="Q30" i="62"/>
  <c r="AZ18" i="71" s="1"/>
  <c r="R30" i="62"/>
  <c r="BA18" i="71" s="1"/>
  <c r="Q31" i="62"/>
  <c r="AZ19" i="71" s="1"/>
  <c r="R31" i="62"/>
  <c r="BA19" i="71" s="1"/>
  <c r="Q32" i="62"/>
  <c r="AZ20" i="71" s="1"/>
  <c r="R32" i="62"/>
  <c r="BA20" i="71" s="1"/>
  <c r="Q33" i="62"/>
  <c r="AZ21" i="71" s="1"/>
  <c r="R33" i="62"/>
  <c r="BA21" i="71" s="1"/>
  <c r="Q34" i="62"/>
  <c r="AZ22" i="71" s="1"/>
  <c r="R34" i="62"/>
  <c r="BA22" i="71" s="1"/>
  <c r="Q35" i="62"/>
  <c r="AZ23" i="71" s="1"/>
  <c r="R35" i="62"/>
  <c r="BA23" i="71" s="1"/>
  <c r="Q36" i="62"/>
  <c r="AZ24" i="71" s="1"/>
  <c r="R36" i="62"/>
  <c r="BA24" i="71" s="1"/>
  <c r="Q37" i="62"/>
  <c r="AZ25" i="71" s="1"/>
  <c r="R37" i="62"/>
  <c r="BA25" i="71" s="1"/>
  <c r="Q38" i="62"/>
  <c r="AZ26" i="71" s="1"/>
  <c r="R38" i="62"/>
  <c r="BA26" i="71" s="1"/>
  <c r="Q39" i="62"/>
  <c r="AZ27" i="71" s="1"/>
  <c r="R39" i="62"/>
  <c r="BA27" i="71" s="1"/>
  <c r="Q40" i="62"/>
  <c r="AZ28" i="71" s="1"/>
  <c r="R40" i="62"/>
  <c r="BA28" i="71" s="1"/>
  <c r="Q41" i="62"/>
  <c r="AZ29" i="71" s="1"/>
  <c r="R41" i="62"/>
  <c r="BA29" i="71" s="1"/>
  <c r="Q42" i="62"/>
  <c r="AZ30" i="71" s="1"/>
  <c r="R42" i="62"/>
  <c r="BA30" i="71" s="1"/>
  <c r="Q43" i="62"/>
  <c r="AZ31" i="71" s="1"/>
  <c r="R43" i="62"/>
  <c r="BA31" i="71" s="1"/>
  <c r="Q44" i="62"/>
  <c r="AZ32" i="71" s="1"/>
  <c r="R44" i="62"/>
  <c r="BA32" i="71" s="1"/>
  <c r="Q45" i="62"/>
  <c r="AZ33" i="71" s="1"/>
  <c r="R45" i="62"/>
  <c r="BA33" i="71" s="1"/>
  <c r="Q46" i="62"/>
  <c r="AZ34" i="71" s="1"/>
  <c r="R46" i="62"/>
  <c r="BA34" i="71" s="1"/>
  <c r="Q47" i="62"/>
  <c r="AZ35" i="71" s="1"/>
  <c r="R47" i="62"/>
  <c r="BA35" i="71" s="1"/>
  <c r="Q48" i="62"/>
  <c r="AZ36" i="71" s="1"/>
  <c r="R48" i="62"/>
  <c r="BA36" i="71" s="1"/>
  <c r="Q49" i="62"/>
  <c r="AZ37" i="71" s="1"/>
  <c r="R49" i="62"/>
  <c r="BA37" i="71" s="1"/>
  <c r="Q50" i="62"/>
  <c r="AZ38" i="71" s="1"/>
  <c r="R50" i="62"/>
  <c r="BA38" i="71" s="1"/>
  <c r="Q51" i="62"/>
  <c r="AZ39" i="71" s="1"/>
  <c r="R51" i="62"/>
  <c r="BA39" i="71" s="1"/>
  <c r="Q52" i="62"/>
  <c r="AZ40" i="71" s="1"/>
  <c r="R52" i="62"/>
  <c r="BA40" i="71" s="1"/>
  <c r="Q53" i="62"/>
  <c r="AZ41" i="71" s="1"/>
  <c r="R53" i="62"/>
  <c r="BA41" i="71" s="1"/>
  <c r="Q54" i="62"/>
  <c r="AZ42" i="71" s="1"/>
  <c r="R54" i="62"/>
  <c r="BA42" i="71" s="1"/>
  <c r="Q55" i="62"/>
  <c r="AZ43" i="71" s="1"/>
  <c r="R55" i="62"/>
  <c r="BA43" i="71" s="1"/>
  <c r="Q56" i="62"/>
  <c r="AZ44" i="71" s="1"/>
  <c r="R56" i="62"/>
  <c r="BA44" i="71" s="1"/>
  <c r="Q57" i="62"/>
  <c r="AZ45" i="71" s="1"/>
  <c r="R57" i="62"/>
  <c r="BA45" i="71" s="1"/>
  <c r="Q58" i="62"/>
  <c r="AZ46" i="71" s="1"/>
  <c r="R58" i="62"/>
  <c r="BA46" i="71" s="1"/>
  <c r="Q59" i="62"/>
  <c r="AZ47" i="71" s="1"/>
  <c r="R59" i="62"/>
  <c r="BA47" i="71" s="1"/>
  <c r="Q60" i="62"/>
  <c r="AZ48" i="71" s="1"/>
  <c r="R60" i="62"/>
  <c r="BA48" i="71" s="1"/>
  <c r="Q61" i="62"/>
  <c r="AZ49" i="71" s="1"/>
  <c r="R61" i="62"/>
  <c r="BA49" i="71" s="1"/>
  <c r="Q62" i="62"/>
  <c r="AZ50" i="71" s="1"/>
  <c r="R62" i="62"/>
  <c r="BA50" i="71" s="1"/>
  <c r="Q63" i="62"/>
  <c r="AZ51" i="71" s="1"/>
  <c r="R63" i="62"/>
  <c r="BA51" i="71" s="1"/>
  <c r="Q64" i="62"/>
  <c r="AZ52" i="71" s="1"/>
  <c r="R64" i="62"/>
  <c r="BA52" i="71" s="1"/>
  <c r="Q65" i="62"/>
  <c r="AZ53" i="71" s="1"/>
  <c r="R65" i="62"/>
  <c r="BA53" i="71" s="1"/>
  <c r="Q66" i="62"/>
  <c r="AZ54" i="71" s="1"/>
  <c r="R66" i="62"/>
  <c r="BA54" i="71" s="1"/>
  <c r="Q67" i="62"/>
  <c r="AZ55" i="71" s="1"/>
  <c r="R67" i="62"/>
  <c r="BA55" i="71" s="1"/>
  <c r="Q68" i="62"/>
  <c r="AZ56" i="71" s="1"/>
  <c r="R68" i="62"/>
  <c r="BA56" i="71" s="1"/>
  <c r="Q69" i="62"/>
  <c r="AZ57" i="71" s="1"/>
  <c r="R69" i="62"/>
  <c r="BA57" i="71" s="1"/>
  <c r="Q70" i="62"/>
  <c r="AZ58" i="71" s="1"/>
  <c r="R70" i="62"/>
  <c r="BA58" i="71" s="1"/>
  <c r="Q71" i="62"/>
  <c r="AZ59" i="71" s="1"/>
  <c r="R71" i="62"/>
  <c r="BA59" i="71" s="1"/>
  <c r="Q72" i="62"/>
  <c r="AZ60" i="71" s="1"/>
  <c r="R72" i="62"/>
  <c r="BA60" i="71" s="1"/>
  <c r="Q73" i="62"/>
  <c r="AZ61" i="71" s="1"/>
  <c r="R73" i="62"/>
  <c r="BA61" i="71" s="1"/>
  <c r="Q74" i="62"/>
  <c r="AZ62" i="71" s="1"/>
  <c r="R74" i="62"/>
  <c r="BA62" i="71" s="1"/>
  <c r="Q75" i="62"/>
  <c r="AZ63" i="71" s="1"/>
  <c r="R75" i="62"/>
  <c r="BA63" i="71" s="1"/>
  <c r="Q76" i="62"/>
  <c r="AZ64" i="71" s="1"/>
  <c r="R76" i="62"/>
  <c r="BA64" i="71" s="1"/>
  <c r="Q77" i="62"/>
  <c r="AZ65" i="71" s="1"/>
  <c r="R77" i="62"/>
  <c r="BA65" i="71" s="1"/>
  <c r="Q78" i="62"/>
  <c r="AZ66" i="71" s="1"/>
  <c r="R78" i="62"/>
  <c r="BA66" i="71" s="1"/>
  <c r="Q79" i="62"/>
  <c r="AZ67" i="71" s="1"/>
  <c r="R79" i="62"/>
  <c r="BA67" i="71" s="1"/>
  <c r="Q80" i="62"/>
  <c r="AZ68" i="71" s="1"/>
  <c r="R80" i="62"/>
  <c r="BA68" i="71" s="1"/>
  <c r="Q81" i="62"/>
  <c r="AZ69" i="71" s="1"/>
  <c r="R81" i="62"/>
  <c r="BA69" i="71" s="1"/>
  <c r="Q82" i="62"/>
  <c r="AZ70" i="71" s="1"/>
  <c r="R82" i="62"/>
  <c r="BA70" i="71" s="1"/>
  <c r="Q83" i="62"/>
  <c r="AZ71" i="71" s="1"/>
  <c r="R83" i="62"/>
  <c r="BA71" i="71" s="1"/>
  <c r="Q84" i="62"/>
  <c r="AZ72" i="71" s="1"/>
  <c r="R84" i="62"/>
  <c r="BA72" i="71" s="1"/>
  <c r="Q85" i="62"/>
  <c r="AZ73" i="71" s="1"/>
  <c r="R85" i="62"/>
  <c r="BA73" i="71" s="1"/>
  <c r="Q86" i="62"/>
  <c r="AZ74" i="71" s="1"/>
  <c r="R86" i="62"/>
  <c r="BA74" i="71" s="1"/>
  <c r="Q87" i="62"/>
  <c r="AZ75" i="71" s="1"/>
  <c r="R87" i="62"/>
  <c r="BA75" i="71" s="1"/>
  <c r="Q88" i="62"/>
  <c r="R88" i="62"/>
  <c r="Q89" i="62"/>
  <c r="R89" i="62"/>
  <c r="Q90" i="62"/>
  <c r="R90" i="62"/>
  <c r="Q91" i="62"/>
  <c r="R91" i="62"/>
  <c r="Q92" i="62"/>
  <c r="R92" i="62"/>
  <c r="Q93" i="62"/>
  <c r="R93" i="62"/>
  <c r="Q94" i="62"/>
  <c r="R94" i="62"/>
  <c r="Q95" i="62"/>
  <c r="R95" i="62"/>
  <c r="Q96" i="62"/>
  <c r="R96" i="62"/>
  <c r="Q97" i="62"/>
  <c r="R97" i="62"/>
  <c r="Q98" i="62"/>
  <c r="R98" i="62"/>
  <c r="Q99" i="62"/>
  <c r="R99" i="62"/>
  <c r="Q100" i="62"/>
  <c r="R100" i="62"/>
  <c r="Q101" i="62"/>
  <c r="R101" i="62"/>
  <c r="Q102" i="62"/>
  <c r="R102" i="62"/>
  <c r="Q103" i="62"/>
  <c r="R103" i="62"/>
  <c r="Q104" i="62"/>
  <c r="R104" i="62"/>
  <c r="Q105" i="62"/>
  <c r="R105" i="62"/>
  <c r="Q106" i="62"/>
  <c r="R106" i="62"/>
  <c r="Q107" i="62"/>
  <c r="R107" i="62"/>
  <c r="Q108" i="62"/>
  <c r="R108" i="62"/>
  <c r="Q109" i="62"/>
  <c r="R109" i="62"/>
  <c r="Q110" i="62"/>
  <c r="R110" i="62"/>
  <c r="Q111" i="62"/>
  <c r="R111" i="62"/>
  <c r="Q112" i="62"/>
  <c r="R112" i="62"/>
  <c r="Q113" i="62"/>
  <c r="R113" i="62"/>
  <c r="Q114" i="62"/>
  <c r="R114" i="62"/>
  <c r="Q115" i="62"/>
  <c r="R115" i="62"/>
  <c r="Q116" i="62"/>
  <c r="R116" i="62"/>
  <c r="Q117" i="62"/>
  <c r="R117" i="62"/>
  <c r="Q118" i="62"/>
  <c r="R118" i="62"/>
  <c r="Q119" i="62"/>
  <c r="R119" i="62"/>
  <c r="Q120" i="62"/>
  <c r="R120" i="62"/>
  <c r="Q121" i="62"/>
  <c r="R121" i="62"/>
  <c r="Q122" i="62"/>
  <c r="R122" i="62"/>
  <c r="Q123" i="62"/>
  <c r="R123" i="62"/>
  <c r="Q124" i="62"/>
  <c r="R124" i="62"/>
  <c r="Q125" i="62"/>
  <c r="R125" i="62"/>
  <c r="Q126" i="62"/>
  <c r="R126" i="62"/>
  <c r="Q127" i="62"/>
  <c r="R127" i="62"/>
  <c r="Q128" i="62"/>
  <c r="R128" i="62"/>
  <c r="Q129" i="62"/>
  <c r="R129" i="62"/>
  <c r="Q130" i="62"/>
  <c r="R130" i="62"/>
  <c r="Q131" i="62"/>
  <c r="R131" i="62"/>
  <c r="Q132" i="62"/>
  <c r="R132" i="62"/>
  <c r="Q133" i="62"/>
  <c r="R133" i="62"/>
  <c r="Q14" i="62"/>
  <c r="AZ2" i="71" s="1"/>
  <c r="R14" i="62"/>
  <c r="BA2" i="71" s="1"/>
  <c r="P15" i="62"/>
  <c r="AY3" i="71" s="1"/>
  <c r="P16" i="62"/>
  <c r="AY4" i="71" s="1"/>
  <c r="P17" i="62"/>
  <c r="AY5" i="71" s="1"/>
  <c r="P18" i="62"/>
  <c r="AY6" i="71" s="1"/>
  <c r="P19" i="62"/>
  <c r="AY7" i="71" s="1"/>
  <c r="P20" i="62"/>
  <c r="AY8" i="71" s="1"/>
  <c r="P21" i="62"/>
  <c r="AY9" i="71" s="1"/>
  <c r="P22" i="62"/>
  <c r="AY10" i="71" s="1"/>
  <c r="P23" i="62"/>
  <c r="AY11" i="71" s="1"/>
  <c r="P24" i="62"/>
  <c r="AY12" i="71" s="1"/>
  <c r="P25" i="62"/>
  <c r="AY13" i="71" s="1"/>
  <c r="P26" i="62"/>
  <c r="AY14" i="71" s="1"/>
  <c r="P27" i="62"/>
  <c r="AY15" i="71" s="1"/>
  <c r="P28" i="62"/>
  <c r="AY16" i="71" s="1"/>
  <c r="P29" i="62"/>
  <c r="AY17" i="71" s="1"/>
  <c r="P30" i="62"/>
  <c r="AY18" i="71" s="1"/>
  <c r="P31" i="62"/>
  <c r="AY19" i="71" s="1"/>
  <c r="P32" i="62"/>
  <c r="AY20" i="71" s="1"/>
  <c r="P33" i="62"/>
  <c r="AY21" i="71" s="1"/>
  <c r="P34" i="62"/>
  <c r="AY22" i="71" s="1"/>
  <c r="P35" i="62"/>
  <c r="AY23" i="71" s="1"/>
  <c r="P36" i="62"/>
  <c r="AY24" i="71" s="1"/>
  <c r="P37" i="62"/>
  <c r="AY25" i="71" s="1"/>
  <c r="P38" i="62"/>
  <c r="AY26" i="71" s="1"/>
  <c r="P39" i="62"/>
  <c r="AY27" i="71" s="1"/>
  <c r="P40" i="62"/>
  <c r="AY28" i="71" s="1"/>
  <c r="P41" i="62"/>
  <c r="AY29" i="71" s="1"/>
  <c r="P42" i="62"/>
  <c r="AY30" i="71" s="1"/>
  <c r="P43" i="62"/>
  <c r="AY31" i="71" s="1"/>
  <c r="P44" i="62"/>
  <c r="AY32" i="71" s="1"/>
  <c r="P45" i="62"/>
  <c r="AY33" i="71" s="1"/>
  <c r="P46" i="62"/>
  <c r="AY34" i="71" s="1"/>
  <c r="P47" i="62"/>
  <c r="AY35" i="71" s="1"/>
  <c r="P48" i="62"/>
  <c r="AY36" i="71" s="1"/>
  <c r="P49" i="62"/>
  <c r="AY37" i="71" s="1"/>
  <c r="P50" i="62"/>
  <c r="AY38" i="71" s="1"/>
  <c r="P51" i="62"/>
  <c r="AY39" i="71" s="1"/>
  <c r="P52" i="62"/>
  <c r="AY40" i="71" s="1"/>
  <c r="P53" i="62"/>
  <c r="AY41" i="71" s="1"/>
  <c r="P54" i="62"/>
  <c r="AY42" i="71" s="1"/>
  <c r="P55" i="62"/>
  <c r="AY43" i="71" s="1"/>
  <c r="P56" i="62"/>
  <c r="AY44" i="71" s="1"/>
  <c r="P57" i="62"/>
  <c r="AY45" i="71" s="1"/>
  <c r="P58" i="62"/>
  <c r="AY46" i="71" s="1"/>
  <c r="P59" i="62"/>
  <c r="AY47" i="71" s="1"/>
  <c r="P60" i="62"/>
  <c r="AY48" i="71" s="1"/>
  <c r="P61" i="62"/>
  <c r="AY49" i="71" s="1"/>
  <c r="P62" i="62"/>
  <c r="AY50" i="71" s="1"/>
  <c r="P63" i="62"/>
  <c r="AY51" i="71" s="1"/>
  <c r="P64" i="62"/>
  <c r="AY52" i="71" s="1"/>
  <c r="P65" i="62"/>
  <c r="AY53" i="71" s="1"/>
  <c r="P66" i="62"/>
  <c r="AY54" i="71" s="1"/>
  <c r="P67" i="62"/>
  <c r="AY55" i="71" s="1"/>
  <c r="P68" i="62"/>
  <c r="AY56" i="71" s="1"/>
  <c r="P69" i="62"/>
  <c r="AY57" i="71" s="1"/>
  <c r="P70" i="62"/>
  <c r="AY58" i="71" s="1"/>
  <c r="P71" i="62"/>
  <c r="AY59" i="71" s="1"/>
  <c r="P72" i="62"/>
  <c r="AY60" i="71" s="1"/>
  <c r="P73" i="62"/>
  <c r="AY61" i="71" s="1"/>
  <c r="P74" i="62"/>
  <c r="AY62" i="71" s="1"/>
  <c r="P75" i="62"/>
  <c r="AY63" i="71" s="1"/>
  <c r="P76" i="62"/>
  <c r="AY64" i="71" s="1"/>
  <c r="P77" i="62"/>
  <c r="AY65" i="71" s="1"/>
  <c r="P78" i="62"/>
  <c r="AY66" i="71" s="1"/>
  <c r="P79" i="62"/>
  <c r="AY67" i="71" s="1"/>
  <c r="P80" i="62"/>
  <c r="AY68" i="71" s="1"/>
  <c r="P81" i="62"/>
  <c r="AY69" i="71" s="1"/>
  <c r="P82" i="62"/>
  <c r="AY70" i="71" s="1"/>
  <c r="P83" i="62"/>
  <c r="AY71" i="71" s="1"/>
  <c r="P84" i="62"/>
  <c r="AY72" i="71" s="1"/>
  <c r="P85" i="62"/>
  <c r="AY73" i="71" s="1"/>
  <c r="P86" i="62"/>
  <c r="AY74" i="71" s="1"/>
  <c r="P87" i="62"/>
  <c r="AY75" i="71" s="1"/>
  <c r="P88" i="62"/>
  <c r="P89" i="62"/>
  <c r="P90" i="62"/>
  <c r="P91" i="62"/>
  <c r="P92" i="62"/>
  <c r="P93" i="62"/>
  <c r="P94" i="62"/>
  <c r="P95" i="62"/>
  <c r="P96" i="62"/>
  <c r="P97" i="62"/>
  <c r="P98" i="62"/>
  <c r="P99" i="62"/>
  <c r="P100" i="62"/>
  <c r="P101" i="62"/>
  <c r="P102" i="62"/>
  <c r="P103" i="62"/>
  <c r="P104" i="62"/>
  <c r="P105" i="62"/>
  <c r="P106" i="62"/>
  <c r="P107" i="62"/>
  <c r="P108" i="62"/>
  <c r="P109" i="62"/>
  <c r="P110" i="62"/>
  <c r="P111" i="62"/>
  <c r="P112" i="62"/>
  <c r="P113" i="62"/>
  <c r="P114" i="62"/>
  <c r="P115" i="62"/>
  <c r="P116" i="62"/>
  <c r="P117" i="62"/>
  <c r="P118" i="62"/>
  <c r="P119" i="62"/>
  <c r="P120" i="62"/>
  <c r="P121" i="62"/>
  <c r="P14" i="62"/>
  <c r="AY2" i="71" s="1"/>
  <c r="AL108" i="71"/>
  <c r="AL109" i="71"/>
  <c r="AM110" i="71"/>
  <c r="AN110" i="71"/>
  <c r="AO110" i="71"/>
  <c r="AP110" i="71"/>
  <c r="AQ110" i="71"/>
  <c r="AR110" i="71"/>
  <c r="AS110" i="71"/>
  <c r="AT110" i="71"/>
  <c r="AU110" i="71"/>
  <c r="AV110" i="71"/>
  <c r="AW110" i="71"/>
  <c r="AM111" i="71"/>
  <c r="AN111" i="71"/>
  <c r="AO111" i="71"/>
  <c r="AP111" i="71"/>
  <c r="AQ111" i="71"/>
  <c r="AR111" i="71"/>
  <c r="AS111" i="71"/>
  <c r="AT111" i="71"/>
  <c r="AU111" i="71"/>
  <c r="AV111" i="71"/>
  <c r="AW111" i="71"/>
  <c r="AM112" i="71"/>
  <c r="AN112" i="71"/>
  <c r="AO112" i="71"/>
  <c r="AP112" i="71"/>
  <c r="AQ112" i="71"/>
  <c r="AR112" i="71"/>
  <c r="AS112" i="71"/>
  <c r="AT112" i="71"/>
  <c r="AU112" i="71"/>
  <c r="AV112" i="71"/>
  <c r="AW112" i="71"/>
  <c r="AM113" i="71"/>
  <c r="AN113" i="71"/>
  <c r="AO113" i="71"/>
  <c r="AP113" i="71"/>
  <c r="AQ113" i="71"/>
  <c r="AR113" i="71"/>
  <c r="AS113" i="71"/>
  <c r="AT113" i="71"/>
  <c r="AU113" i="71"/>
  <c r="AV113" i="71"/>
  <c r="AW113" i="71"/>
  <c r="AM114" i="71"/>
  <c r="AN114" i="71"/>
  <c r="AO114" i="71"/>
  <c r="AP114" i="71"/>
  <c r="AQ114" i="71"/>
  <c r="AR114" i="71"/>
  <c r="AS114" i="71"/>
  <c r="AT114" i="71"/>
  <c r="AU114" i="71"/>
  <c r="AV114" i="71"/>
  <c r="AW114" i="71"/>
  <c r="AM115" i="71"/>
  <c r="AN115" i="71"/>
  <c r="AO115" i="71"/>
  <c r="AP115" i="71"/>
  <c r="AQ115" i="71"/>
  <c r="AR115" i="71"/>
  <c r="AS115" i="71"/>
  <c r="AT115" i="71"/>
  <c r="AU115" i="71"/>
  <c r="AV115" i="71"/>
  <c r="AW115" i="71"/>
  <c r="AM116" i="71"/>
  <c r="AN116" i="71"/>
  <c r="AO116" i="71"/>
  <c r="AP116" i="71"/>
  <c r="AQ116" i="71"/>
  <c r="AR116" i="71"/>
  <c r="AS116" i="71"/>
  <c r="AT116" i="71"/>
  <c r="AU116" i="71"/>
  <c r="AV116" i="71"/>
  <c r="AW116" i="71"/>
  <c r="AM117" i="71"/>
  <c r="AN117" i="71"/>
  <c r="AO117" i="71"/>
  <c r="AP117" i="71"/>
  <c r="AQ117" i="71"/>
  <c r="AR117" i="71"/>
  <c r="AS117" i="71"/>
  <c r="AT117" i="71"/>
  <c r="AU117" i="71"/>
  <c r="AV117" i="71"/>
  <c r="AW117" i="71"/>
  <c r="AM118" i="71"/>
  <c r="AN118" i="71"/>
  <c r="AO118" i="71"/>
  <c r="AP118" i="71"/>
  <c r="AQ118" i="71"/>
  <c r="AR118" i="71"/>
  <c r="AS118" i="71"/>
  <c r="AT118" i="71"/>
  <c r="AU118" i="71"/>
  <c r="AV118" i="71"/>
  <c r="AW118" i="71"/>
  <c r="AM119" i="71"/>
  <c r="AN119" i="71"/>
  <c r="AO119" i="71"/>
  <c r="AP119" i="71"/>
  <c r="AQ119" i="71"/>
  <c r="AR119" i="71"/>
  <c r="AS119" i="71"/>
  <c r="AT119" i="71"/>
  <c r="AU119" i="71"/>
  <c r="AV119" i="71"/>
  <c r="AW119" i="71"/>
  <c r="AM120" i="71"/>
  <c r="AN120" i="71"/>
  <c r="AO120" i="71"/>
  <c r="AP120" i="71"/>
  <c r="AQ120" i="71"/>
  <c r="AR120" i="71"/>
  <c r="AS120" i="71"/>
  <c r="AT120" i="71"/>
  <c r="AU120" i="71"/>
  <c r="AV120" i="71"/>
  <c r="AW120" i="71"/>
  <c r="AM121" i="71"/>
  <c r="AN121" i="71"/>
  <c r="AO121" i="71"/>
  <c r="AP121" i="71"/>
  <c r="AQ121" i="71"/>
  <c r="AR121" i="71"/>
  <c r="AS121" i="71"/>
  <c r="AT121" i="71"/>
  <c r="AU121" i="71"/>
  <c r="AV121" i="71"/>
  <c r="AW121" i="71"/>
  <c r="C123" i="62"/>
  <c r="AK37" i="84" s="1"/>
  <c r="C124" i="62"/>
  <c r="AK38" i="84" s="1"/>
  <c r="C125" i="62"/>
  <c r="C126" i="62"/>
  <c r="AK40" i="84" s="1"/>
  <c r="C127" i="62"/>
  <c r="AK41" i="84" s="1"/>
  <c r="C128" i="62"/>
  <c r="AK42" i="84" s="1"/>
  <c r="C129" i="62"/>
  <c r="AK43" i="84" s="1"/>
  <c r="C130" i="62"/>
  <c r="AK44" i="84" s="1"/>
  <c r="C131" i="62"/>
  <c r="AK45" i="84" s="1"/>
  <c r="C132" i="62"/>
  <c r="AK46" i="84" s="1"/>
  <c r="C133" i="62"/>
  <c r="AK47" i="84" s="1"/>
  <c r="C122" i="62"/>
  <c r="AK36" i="84" s="1"/>
  <c r="B121" i="62"/>
  <c r="B122" i="62"/>
  <c r="B123" i="62"/>
  <c r="B124" i="62"/>
  <c r="B125" i="62"/>
  <c r="B126" i="62"/>
  <c r="B127" i="62"/>
  <c r="B128" i="62"/>
  <c r="B129" i="62"/>
  <c r="B130" i="62"/>
  <c r="B131" i="62"/>
  <c r="B132" i="62"/>
  <c r="B133" i="62"/>
  <c r="AL2" i="71"/>
  <c r="AM2" i="71"/>
  <c r="AN2" i="71"/>
  <c r="AO2" i="71"/>
  <c r="AP2" i="71"/>
  <c r="AQ2" i="71"/>
  <c r="AR2" i="71"/>
  <c r="AS2" i="71"/>
  <c r="AT2" i="71"/>
  <c r="AU2" i="71"/>
  <c r="AV2" i="71"/>
  <c r="AW2" i="71"/>
  <c r="AL3" i="71"/>
  <c r="AM3" i="71"/>
  <c r="AN3" i="71"/>
  <c r="AO3" i="71"/>
  <c r="AP3" i="71"/>
  <c r="AQ3" i="71"/>
  <c r="AR3" i="71"/>
  <c r="AS3" i="71"/>
  <c r="AT3" i="71"/>
  <c r="AU3" i="71"/>
  <c r="AV3" i="71"/>
  <c r="AW3" i="71"/>
  <c r="AL4" i="71"/>
  <c r="AM4" i="71"/>
  <c r="AN4" i="71"/>
  <c r="AO4" i="71"/>
  <c r="AP4" i="71"/>
  <c r="AQ4" i="71"/>
  <c r="AR4" i="71"/>
  <c r="AS4" i="71"/>
  <c r="AT4" i="71"/>
  <c r="AU4" i="71"/>
  <c r="AV4" i="71"/>
  <c r="AW4" i="71"/>
  <c r="AL5" i="71"/>
  <c r="AM5" i="71"/>
  <c r="AN5" i="71"/>
  <c r="AO5" i="71"/>
  <c r="AP5" i="71"/>
  <c r="AQ5" i="71"/>
  <c r="AR5" i="71"/>
  <c r="AS5" i="71"/>
  <c r="AT5" i="71"/>
  <c r="AU5" i="71"/>
  <c r="AV5" i="71"/>
  <c r="AW5" i="71"/>
  <c r="AL6" i="71"/>
  <c r="AM6" i="71"/>
  <c r="AN6" i="71"/>
  <c r="AO6" i="71"/>
  <c r="AP6" i="71"/>
  <c r="AQ6" i="71"/>
  <c r="AR6" i="71"/>
  <c r="AS6" i="71"/>
  <c r="AT6" i="71"/>
  <c r="AU6" i="71"/>
  <c r="AV6" i="71"/>
  <c r="AW6" i="71"/>
  <c r="AL7" i="71"/>
  <c r="AM7" i="71"/>
  <c r="AN7" i="71"/>
  <c r="AO7" i="71"/>
  <c r="AP7" i="71"/>
  <c r="AQ7" i="71"/>
  <c r="AR7" i="71"/>
  <c r="AS7" i="71"/>
  <c r="AT7" i="71"/>
  <c r="AU7" i="71"/>
  <c r="AV7" i="71"/>
  <c r="AW7" i="71"/>
  <c r="AL8" i="71"/>
  <c r="AM8" i="71"/>
  <c r="AN8" i="71"/>
  <c r="AO8" i="71"/>
  <c r="AP8" i="71"/>
  <c r="AQ8" i="71"/>
  <c r="AR8" i="71"/>
  <c r="AS8" i="71"/>
  <c r="AT8" i="71"/>
  <c r="AU8" i="71"/>
  <c r="AV8" i="71"/>
  <c r="AW8" i="71"/>
  <c r="AL9" i="71"/>
  <c r="AM9" i="71"/>
  <c r="AN9" i="71"/>
  <c r="AO9" i="71"/>
  <c r="AP9" i="71"/>
  <c r="AQ9" i="71"/>
  <c r="AR9" i="71"/>
  <c r="AS9" i="71"/>
  <c r="AT9" i="71"/>
  <c r="AU9" i="71"/>
  <c r="AV9" i="71"/>
  <c r="AW9" i="71"/>
  <c r="AL10" i="71"/>
  <c r="AM10" i="71"/>
  <c r="AN10" i="71"/>
  <c r="AO10" i="71"/>
  <c r="AP10" i="71"/>
  <c r="AQ10" i="71"/>
  <c r="AR10" i="71"/>
  <c r="AS10" i="71"/>
  <c r="AT10" i="71"/>
  <c r="AU10" i="71"/>
  <c r="AV10" i="71"/>
  <c r="AW10" i="71"/>
  <c r="AL11" i="71"/>
  <c r="AM11" i="71"/>
  <c r="AN11" i="71"/>
  <c r="AO11" i="71"/>
  <c r="AP11" i="71"/>
  <c r="AQ11" i="71"/>
  <c r="AR11" i="71"/>
  <c r="AS11" i="71"/>
  <c r="AT11" i="71"/>
  <c r="AU11" i="71"/>
  <c r="AV11" i="71"/>
  <c r="AW11" i="71"/>
  <c r="AL12" i="71"/>
  <c r="AM12" i="71"/>
  <c r="AN12" i="71"/>
  <c r="AO12" i="71"/>
  <c r="AP12" i="71"/>
  <c r="AQ12" i="71"/>
  <c r="AR12" i="71"/>
  <c r="AS12" i="71"/>
  <c r="AT12" i="71"/>
  <c r="AU12" i="71"/>
  <c r="AV12" i="71"/>
  <c r="AW12" i="71"/>
  <c r="AL13" i="71"/>
  <c r="AM13" i="71"/>
  <c r="AN13" i="71"/>
  <c r="AO13" i="71"/>
  <c r="AP13" i="71"/>
  <c r="AQ13" i="71"/>
  <c r="AR13" i="71"/>
  <c r="AS13" i="71"/>
  <c r="AT13" i="71"/>
  <c r="AU13" i="71"/>
  <c r="AV13" i="71"/>
  <c r="AW13" i="71"/>
  <c r="AL14" i="71"/>
  <c r="AM14" i="71"/>
  <c r="AN14" i="71"/>
  <c r="AO14" i="71"/>
  <c r="AP14" i="71"/>
  <c r="AQ14" i="71"/>
  <c r="AR14" i="71"/>
  <c r="AS14" i="71"/>
  <c r="AT14" i="71"/>
  <c r="AU14" i="71"/>
  <c r="AV14" i="71"/>
  <c r="AW14" i="71"/>
  <c r="AL15" i="71"/>
  <c r="AM15" i="71"/>
  <c r="AN15" i="71"/>
  <c r="AO15" i="71"/>
  <c r="AP15" i="71"/>
  <c r="AQ15" i="71"/>
  <c r="AR15" i="71"/>
  <c r="AS15" i="71"/>
  <c r="AT15" i="71"/>
  <c r="AU15" i="71"/>
  <c r="AV15" i="71"/>
  <c r="AW15" i="71"/>
  <c r="AL16" i="71"/>
  <c r="AM16" i="71"/>
  <c r="AN16" i="71"/>
  <c r="AO16" i="71"/>
  <c r="AP16" i="71"/>
  <c r="AQ16" i="71"/>
  <c r="AR16" i="71"/>
  <c r="AS16" i="71"/>
  <c r="AT16" i="71"/>
  <c r="AU16" i="71"/>
  <c r="AV16" i="71"/>
  <c r="AW16" i="71"/>
  <c r="AL17" i="71"/>
  <c r="AM17" i="71"/>
  <c r="AN17" i="71"/>
  <c r="AO17" i="71"/>
  <c r="AP17" i="71"/>
  <c r="AQ17" i="71"/>
  <c r="AR17" i="71"/>
  <c r="AS17" i="71"/>
  <c r="AT17" i="71"/>
  <c r="AU17" i="71"/>
  <c r="AV17" i="71"/>
  <c r="AW17" i="71"/>
  <c r="AL18" i="71"/>
  <c r="AM18" i="71"/>
  <c r="AN18" i="71"/>
  <c r="AO18" i="71"/>
  <c r="AP18" i="71"/>
  <c r="AQ18" i="71"/>
  <c r="AR18" i="71"/>
  <c r="AS18" i="71"/>
  <c r="AT18" i="71"/>
  <c r="AU18" i="71"/>
  <c r="AV18" i="71"/>
  <c r="AW18" i="71"/>
  <c r="AL19" i="71"/>
  <c r="AM19" i="71"/>
  <c r="AN19" i="71"/>
  <c r="AO19" i="71"/>
  <c r="AP19" i="71"/>
  <c r="AQ19" i="71"/>
  <c r="AR19" i="71"/>
  <c r="AS19" i="71"/>
  <c r="AT19" i="71"/>
  <c r="AU19" i="71"/>
  <c r="AV19" i="71"/>
  <c r="AW19" i="71"/>
  <c r="AL20" i="71"/>
  <c r="AM20" i="71"/>
  <c r="AN20" i="71"/>
  <c r="AO20" i="71"/>
  <c r="AP20" i="71"/>
  <c r="AQ20" i="71"/>
  <c r="AR20" i="71"/>
  <c r="AS20" i="71"/>
  <c r="AT20" i="71"/>
  <c r="AU20" i="71"/>
  <c r="AV20" i="71"/>
  <c r="AW20" i="71"/>
  <c r="AL21" i="71"/>
  <c r="AM21" i="71"/>
  <c r="AN21" i="71"/>
  <c r="AO21" i="71"/>
  <c r="AP21" i="71"/>
  <c r="AQ21" i="71"/>
  <c r="AR21" i="71"/>
  <c r="AS21" i="71"/>
  <c r="AT21" i="71"/>
  <c r="AU21" i="71"/>
  <c r="AV21" i="71"/>
  <c r="AW21" i="71"/>
  <c r="AL22" i="71"/>
  <c r="AM22" i="71"/>
  <c r="AN22" i="71"/>
  <c r="AO22" i="71"/>
  <c r="AP22" i="71"/>
  <c r="AQ22" i="71"/>
  <c r="AR22" i="71"/>
  <c r="AS22" i="71"/>
  <c r="AT22" i="71"/>
  <c r="AU22" i="71"/>
  <c r="AV22" i="71"/>
  <c r="AW22" i="71"/>
  <c r="AL23" i="71"/>
  <c r="AM23" i="71"/>
  <c r="AN23" i="71"/>
  <c r="AO23" i="71"/>
  <c r="AP23" i="71"/>
  <c r="AQ23" i="71"/>
  <c r="AR23" i="71"/>
  <c r="AS23" i="71"/>
  <c r="AT23" i="71"/>
  <c r="AU23" i="71"/>
  <c r="AV23" i="71"/>
  <c r="AW23" i="71"/>
  <c r="AL24" i="71"/>
  <c r="AM24" i="71"/>
  <c r="AN24" i="71"/>
  <c r="AO24" i="71"/>
  <c r="AP24" i="71"/>
  <c r="AQ24" i="71"/>
  <c r="AR24" i="71"/>
  <c r="AS24" i="71"/>
  <c r="AT24" i="71"/>
  <c r="AU24" i="71"/>
  <c r="AV24" i="71"/>
  <c r="AW24" i="71"/>
  <c r="AL25" i="71"/>
  <c r="AM25" i="71"/>
  <c r="AN25" i="71"/>
  <c r="AO25" i="71"/>
  <c r="AP25" i="71"/>
  <c r="AQ25" i="71"/>
  <c r="AR25" i="71"/>
  <c r="AS25" i="71"/>
  <c r="AT25" i="71"/>
  <c r="AU25" i="71"/>
  <c r="AV25" i="71"/>
  <c r="AW25" i="71"/>
  <c r="AL26" i="71"/>
  <c r="AM26" i="71"/>
  <c r="AN26" i="71"/>
  <c r="AO26" i="71"/>
  <c r="AP26" i="71"/>
  <c r="AQ26" i="71"/>
  <c r="AR26" i="71"/>
  <c r="AS26" i="71"/>
  <c r="AT26" i="71"/>
  <c r="AU26" i="71"/>
  <c r="AV26" i="71"/>
  <c r="AW26" i="71"/>
  <c r="AL27" i="71"/>
  <c r="AM27" i="71"/>
  <c r="AN27" i="71"/>
  <c r="AO27" i="71"/>
  <c r="AP27" i="71"/>
  <c r="AQ27" i="71"/>
  <c r="AR27" i="71"/>
  <c r="AS27" i="71"/>
  <c r="AT27" i="71"/>
  <c r="AU27" i="71"/>
  <c r="AV27" i="71"/>
  <c r="AW27" i="71"/>
  <c r="AL28" i="71"/>
  <c r="AM28" i="71"/>
  <c r="AN28" i="71"/>
  <c r="AO28" i="71"/>
  <c r="AP28" i="71"/>
  <c r="AQ28" i="71"/>
  <c r="AR28" i="71"/>
  <c r="AS28" i="71"/>
  <c r="AT28" i="71"/>
  <c r="AU28" i="71"/>
  <c r="AV28" i="71"/>
  <c r="AW28" i="71"/>
  <c r="AL29" i="71"/>
  <c r="AM29" i="71"/>
  <c r="AN29" i="71"/>
  <c r="AO29" i="71"/>
  <c r="AP29" i="71"/>
  <c r="AQ29" i="71"/>
  <c r="AR29" i="71"/>
  <c r="AS29" i="71"/>
  <c r="AT29" i="71"/>
  <c r="AU29" i="71"/>
  <c r="AV29" i="71"/>
  <c r="AW29" i="71"/>
  <c r="AL30" i="71"/>
  <c r="AM30" i="71"/>
  <c r="AN30" i="71"/>
  <c r="AO30" i="71"/>
  <c r="AP30" i="71"/>
  <c r="AQ30" i="71"/>
  <c r="AR30" i="71"/>
  <c r="AS30" i="71"/>
  <c r="AT30" i="71"/>
  <c r="AU30" i="71"/>
  <c r="AV30" i="71"/>
  <c r="AW30" i="71"/>
  <c r="AL31" i="71"/>
  <c r="AM31" i="71"/>
  <c r="AN31" i="71"/>
  <c r="AO31" i="71"/>
  <c r="AP31" i="71"/>
  <c r="AQ31" i="71"/>
  <c r="AR31" i="71"/>
  <c r="AS31" i="71"/>
  <c r="AT31" i="71"/>
  <c r="AU31" i="71"/>
  <c r="AV31" i="71"/>
  <c r="AW31" i="71"/>
  <c r="AL32" i="71"/>
  <c r="AM32" i="71"/>
  <c r="AN32" i="71"/>
  <c r="AO32" i="71"/>
  <c r="AP32" i="71"/>
  <c r="AQ32" i="71"/>
  <c r="AR32" i="71"/>
  <c r="AS32" i="71"/>
  <c r="AT32" i="71"/>
  <c r="AU32" i="71"/>
  <c r="AV32" i="71"/>
  <c r="AW32" i="71"/>
  <c r="AL33" i="71"/>
  <c r="AM33" i="71"/>
  <c r="AN33" i="71"/>
  <c r="AO33" i="71"/>
  <c r="AP33" i="71"/>
  <c r="AQ33" i="71"/>
  <c r="AR33" i="71"/>
  <c r="AS33" i="71"/>
  <c r="AT33" i="71"/>
  <c r="AU33" i="71"/>
  <c r="AV33" i="71"/>
  <c r="AW33" i="71"/>
  <c r="AL34" i="71"/>
  <c r="AM34" i="71"/>
  <c r="AN34" i="71"/>
  <c r="AO34" i="71"/>
  <c r="AP34" i="71"/>
  <c r="AQ34" i="71"/>
  <c r="AR34" i="71"/>
  <c r="AS34" i="71"/>
  <c r="AT34" i="71"/>
  <c r="AU34" i="71"/>
  <c r="AV34" i="71"/>
  <c r="AW34" i="71"/>
  <c r="AL35" i="71"/>
  <c r="AM35" i="71"/>
  <c r="AN35" i="71"/>
  <c r="AO35" i="71"/>
  <c r="AP35" i="71"/>
  <c r="AQ35" i="71"/>
  <c r="AR35" i="71"/>
  <c r="AS35" i="71"/>
  <c r="AT35" i="71"/>
  <c r="AU35" i="71"/>
  <c r="AV35" i="71"/>
  <c r="AW35" i="71"/>
  <c r="AL36" i="71"/>
  <c r="AM36" i="71"/>
  <c r="AN36" i="71"/>
  <c r="AO36" i="71"/>
  <c r="AP36" i="71"/>
  <c r="AQ36" i="71"/>
  <c r="AR36" i="71"/>
  <c r="AS36" i="71"/>
  <c r="AT36" i="71"/>
  <c r="AU36" i="71"/>
  <c r="AV36" i="71"/>
  <c r="AW36" i="71"/>
  <c r="AL37" i="71"/>
  <c r="AM37" i="71"/>
  <c r="AN37" i="71"/>
  <c r="AO37" i="71"/>
  <c r="AP37" i="71"/>
  <c r="AQ37" i="71"/>
  <c r="AR37" i="71"/>
  <c r="AS37" i="71"/>
  <c r="AT37" i="71"/>
  <c r="AU37" i="71"/>
  <c r="AV37" i="71"/>
  <c r="AW37" i="71"/>
  <c r="AL38" i="71"/>
  <c r="AM38" i="71"/>
  <c r="AN38" i="71"/>
  <c r="AO38" i="71"/>
  <c r="AP38" i="71"/>
  <c r="AQ38" i="71"/>
  <c r="AR38" i="71"/>
  <c r="AS38" i="71"/>
  <c r="AT38" i="71"/>
  <c r="AU38" i="71"/>
  <c r="AV38" i="71"/>
  <c r="AW38" i="71"/>
  <c r="AL39" i="71"/>
  <c r="AM39" i="71"/>
  <c r="AN39" i="71"/>
  <c r="AO39" i="71"/>
  <c r="AP39" i="71"/>
  <c r="AQ39" i="71"/>
  <c r="AR39" i="71"/>
  <c r="AS39" i="71"/>
  <c r="AT39" i="71"/>
  <c r="AU39" i="71"/>
  <c r="AV39" i="71"/>
  <c r="AW39" i="71"/>
  <c r="AL40" i="71"/>
  <c r="AM40" i="71"/>
  <c r="AN40" i="71"/>
  <c r="AO40" i="71"/>
  <c r="AP40" i="71"/>
  <c r="AQ40" i="71"/>
  <c r="AR40" i="71"/>
  <c r="AS40" i="71"/>
  <c r="AT40" i="71"/>
  <c r="AU40" i="71"/>
  <c r="AV40" i="71"/>
  <c r="AW40" i="71"/>
  <c r="AL41" i="71"/>
  <c r="AM41" i="71"/>
  <c r="AN41" i="71"/>
  <c r="AO41" i="71"/>
  <c r="AP41" i="71"/>
  <c r="AQ41" i="71"/>
  <c r="AR41" i="71"/>
  <c r="AS41" i="71"/>
  <c r="AT41" i="71"/>
  <c r="AU41" i="71"/>
  <c r="AV41" i="71"/>
  <c r="AW41" i="71"/>
  <c r="AL42" i="71"/>
  <c r="AM42" i="71"/>
  <c r="AN42" i="71"/>
  <c r="AO42" i="71"/>
  <c r="AP42" i="71"/>
  <c r="AQ42" i="71"/>
  <c r="AR42" i="71"/>
  <c r="AS42" i="71"/>
  <c r="AT42" i="71"/>
  <c r="AU42" i="71"/>
  <c r="AV42" i="71"/>
  <c r="AW42" i="71"/>
  <c r="AL43" i="71"/>
  <c r="AM43" i="71"/>
  <c r="AN43" i="71"/>
  <c r="AO43" i="71"/>
  <c r="AP43" i="71"/>
  <c r="AQ43" i="71"/>
  <c r="AR43" i="71"/>
  <c r="AS43" i="71"/>
  <c r="AT43" i="71"/>
  <c r="AU43" i="71"/>
  <c r="AV43" i="71"/>
  <c r="AW43" i="71"/>
  <c r="AL44" i="71"/>
  <c r="AM44" i="71"/>
  <c r="AN44" i="71"/>
  <c r="AO44" i="71"/>
  <c r="AP44" i="71"/>
  <c r="AQ44" i="71"/>
  <c r="AR44" i="71"/>
  <c r="AS44" i="71"/>
  <c r="AT44" i="71"/>
  <c r="AU44" i="71"/>
  <c r="AV44" i="71"/>
  <c r="AW44" i="71"/>
  <c r="AL45" i="71"/>
  <c r="AM45" i="71"/>
  <c r="AN45" i="71"/>
  <c r="AO45" i="71"/>
  <c r="AP45" i="71"/>
  <c r="AQ45" i="71"/>
  <c r="AR45" i="71"/>
  <c r="AS45" i="71"/>
  <c r="AT45" i="71"/>
  <c r="AU45" i="71"/>
  <c r="AV45" i="71"/>
  <c r="AW45" i="71"/>
  <c r="AL46" i="71"/>
  <c r="AM46" i="71"/>
  <c r="AN46" i="71"/>
  <c r="AO46" i="71"/>
  <c r="AP46" i="71"/>
  <c r="AQ46" i="71"/>
  <c r="AR46" i="71"/>
  <c r="AS46" i="71"/>
  <c r="AT46" i="71"/>
  <c r="AU46" i="71"/>
  <c r="AV46" i="71"/>
  <c r="AW46" i="71"/>
  <c r="AL47" i="71"/>
  <c r="AM47" i="71"/>
  <c r="AN47" i="71"/>
  <c r="AO47" i="71"/>
  <c r="AP47" i="71"/>
  <c r="AQ47" i="71"/>
  <c r="AR47" i="71"/>
  <c r="AS47" i="71"/>
  <c r="AT47" i="71"/>
  <c r="AU47" i="71"/>
  <c r="AV47" i="71"/>
  <c r="AW47" i="71"/>
  <c r="AL48" i="71"/>
  <c r="AM48" i="71"/>
  <c r="AN48" i="71"/>
  <c r="AO48" i="71"/>
  <c r="AP48" i="71"/>
  <c r="AQ48" i="71"/>
  <c r="AR48" i="71"/>
  <c r="AS48" i="71"/>
  <c r="AT48" i="71"/>
  <c r="AU48" i="71"/>
  <c r="AV48" i="71"/>
  <c r="AW48" i="71"/>
  <c r="AL49" i="71"/>
  <c r="AM49" i="71"/>
  <c r="AN49" i="71"/>
  <c r="AO49" i="71"/>
  <c r="AP49" i="71"/>
  <c r="AQ49" i="71"/>
  <c r="AR49" i="71"/>
  <c r="AS49" i="71"/>
  <c r="AT49" i="71"/>
  <c r="AU49" i="71"/>
  <c r="AV49" i="71"/>
  <c r="AW49" i="71"/>
  <c r="AL50" i="71"/>
  <c r="AM50" i="71"/>
  <c r="AN50" i="71"/>
  <c r="AO50" i="71"/>
  <c r="AP50" i="71"/>
  <c r="AQ50" i="71"/>
  <c r="AR50" i="71"/>
  <c r="AS50" i="71"/>
  <c r="AT50" i="71"/>
  <c r="AU50" i="71"/>
  <c r="AV50" i="71"/>
  <c r="AW50" i="71"/>
  <c r="AL51" i="71"/>
  <c r="AM51" i="71"/>
  <c r="AN51" i="71"/>
  <c r="AO51" i="71"/>
  <c r="AP51" i="71"/>
  <c r="AQ51" i="71"/>
  <c r="AR51" i="71"/>
  <c r="AS51" i="71"/>
  <c r="AT51" i="71"/>
  <c r="AU51" i="71"/>
  <c r="AV51" i="71"/>
  <c r="AW51" i="71"/>
  <c r="AL52" i="71"/>
  <c r="AM52" i="71"/>
  <c r="AN52" i="71"/>
  <c r="AO52" i="71"/>
  <c r="AP52" i="71"/>
  <c r="AQ52" i="71"/>
  <c r="AR52" i="71"/>
  <c r="AS52" i="71"/>
  <c r="AT52" i="71"/>
  <c r="AU52" i="71"/>
  <c r="AV52" i="71"/>
  <c r="AW52" i="71"/>
  <c r="AL53" i="71"/>
  <c r="AM53" i="71"/>
  <c r="AN53" i="71"/>
  <c r="AO53" i="71"/>
  <c r="AP53" i="71"/>
  <c r="AQ53" i="71"/>
  <c r="AR53" i="71"/>
  <c r="AS53" i="71"/>
  <c r="AT53" i="71"/>
  <c r="AU53" i="71"/>
  <c r="AV53" i="71"/>
  <c r="AW53" i="71"/>
  <c r="AL54" i="71"/>
  <c r="AM54" i="71"/>
  <c r="AN54" i="71"/>
  <c r="AO54" i="71"/>
  <c r="AP54" i="71"/>
  <c r="AQ54" i="71"/>
  <c r="AR54" i="71"/>
  <c r="AS54" i="71"/>
  <c r="AT54" i="71"/>
  <c r="AU54" i="71"/>
  <c r="AV54" i="71"/>
  <c r="AW54" i="71"/>
  <c r="AL55" i="71"/>
  <c r="AM55" i="71"/>
  <c r="AN55" i="71"/>
  <c r="AO55" i="71"/>
  <c r="AP55" i="71"/>
  <c r="AQ55" i="71"/>
  <c r="AR55" i="71"/>
  <c r="AS55" i="71"/>
  <c r="AT55" i="71"/>
  <c r="AU55" i="71"/>
  <c r="AV55" i="71"/>
  <c r="AW55" i="71"/>
  <c r="AL56" i="71"/>
  <c r="AM56" i="71"/>
  <c r="AN56" i="71"/>
  <c r="AO56" i="71"/>
  <c r="AP56" i="71"/>
  <c r="AQ56" i="71"/>
  <c r="AR56" i="71"/>
  <c r="AS56" i="71"/>
  <c r="AT56" i="71"/>
  <c r="AU56" i="71"/>
  <c r="AV56" i="71"/>
  <c r="AW56" i="71"/>
  <c r="AL57" i="71"/>
  <c r="AM57" i="71"/>
  <c r="AN57" i="71"/>
  <c r="AO57" i="71"/>
  <c r="AP57" i="71"/>
  <c r="AQ57" i="71"/>
  <c r="AR57" i="71"/>
  <c r="AS57" i="71"/>
  <c r="AT57" i="71"/>
  <c r="AU57" i="71"/>
  <c r="AV57" i="71"/>
  <c r="AW57" i="71"/>
  <c r="AL58" i="71"/>
  <c r="AM58" i="71"/>
  <c r="AN58" i="71"/>
  <c r="AO58" i="71"/>
  <c r="AP58" i="71"/>
  <c r="AQ58" i="71"/>
  <c r="AR58" i="71"/>
  <c r="AS58" i="71"/>
  <c r="AT58" i="71"/>
  <c r="AU58" i="71"/>
  <c r="AV58" i="71"/>
  <c r="AW58" i="71"/>
  <c r="AL59" i="71"/>
  <c r="AM59" i="71"/>
  <c r="AN59" i="71"/>
  <c r="AO59" i="71"/>
  <c r="AP59" i="71"/>
  <c r="AQ59" i="71"/>
  <c r="AR59" i="71"/>
  <c r="AS59" i="71"/>
  <c r="AT59" i="71"/>
  <c r="AU59" i="71"/>
  <c r="AV59" i="71"/>
  <c r="AW59" i="71"/>
  <c r="AL60" i="71"/>
  <c r="AM60" i="71"/>
  <c r="AN60" i="71"/>
  <c r="AO60" i="71"/>
  <c r="AP60" i="71"/>
  <c r="AQ60" i="71"/>
  <c r="AR60" i="71"/>
  <c r="AS60" i="71"/>
  <c r="AT60" i="71"/>
  <c r="AU60" i="71"/>
  <c r="AV60" i="71"/>
  <c r="AW60" i="71"/>
  <c r="AL61" i="71"/>
  <c r="AM61" i="71"/>
  <c r="AN61" i="71"/>
  <c r="AO61" i="71"/>
  <c r="AP61" i="71"/>
  <c r="AQ61" i="71"/>
  <c r="AR61" i="71"/>
  <c r="AS61" i="71"/>
  <c r="AT61" i="71"/>
  <c r="AU61" i="71"/>
  <c r="AV61" i="71"/>
  <c r="AW61" i="71"/>
  <c r="AL62" i="71"/>
  <c r="AM62" i="71"/>
  <c r="AN62" i="71"/>
  <c r="AO62" i="71"/>
  <c r="AP62" i="71"/>
  <c r="AQ62" i="71"/>
  <c r="AR62" i="71"/>
  <c r="AS62" i="71"/>
  <c r="AT62" i="71"/>
  <c r="AU62" i="71"/>
  <c r="AV62" i="71"/>
  <c r="AW62" i="71"/>
  <c r="AL63" i="71"/>
  <c r="AM63" i="71"/>
  <c r="AN63" i="71"/>
  <c r="AO63" i="71"/>
  <c r="AP63" i="71"/>
  <c r="AQ63" i="71"/>
  <c r="AR63" i="71"/>
  <c r="AS63" i="71"/>
  <c r="AT63" i="71"/>
  <c r="AU63" i="71"/>
  <c r="AV63" i="71"/>
  <c r="AW63" i="71"/>
  <c r="AL64" i="71"/>
  <c r="AM64" i="71"/>
  <c r="AN64" i="71"/>
  <c r="AO64" i="71"/>
  <c r="AP64" i="71"/>
  <c r="AQ64" i="71"/>
  <c r="AR64" i="71"/>
  <c r="AS64" i="71"/>
  <c r="AT64" i="71"/>
  <c r="AU64" i="71"/>
  <c r="AV64" i="71"/>
  <c r="AW64" i="71"/>
  <c r="AL65" i="71"/>
  <c r="AM65" i="71"/>
  <c r="AN65" i="71"/>
  <c r="AO65" i="71"/>
  <c r="AP65" i="71"/>
  <c r="AQ65" i="71"/>
  <c r="AR65" i="71"/>
  <c r="AS65" i="71"/>
  <c r="AT65" i="71"/>
  <c r="AU65" i="71"/>
  <c r="AV65" i="71"/>
  <c r="AW65" i="71"/>
  <c r="AL66" i="71"/>
  <c r="AM66" i="71"/>
  <c r="AN66" i="71"/>
  <c r="AO66" i="71"/>
  <c r="AP66" i="71"/>
  <c r="AQ66" i="71"/>
  <c r="AR66" i="71"/>
  <c r="AS66" i="71"/>
  <c r="AT66" i="71"/>
  <c r="AU66" i="71"/>
  <c r="AV66" i="71"/>
  <c r="AW66" i="71"/>
  <c r="AL67" i="71"/>
  <c r="AM67" i="71"/>
  <c r="AN67" i="71"/>
  <c r="AO67" i="71"/>
  <c r="AP67" i="71"/>
  <c r="AQ67" i="71"/>
  <c r="AR67" i="71"/>
  <c r="AS67" i="71"/>
  <c r="AT67" i="71"/>
  <c r="AU67" i="71"/>
  <c r="AV67" i="71"/>
  <c r="AW67" i="71"/>
  <c r="AL68" i="71"/>
  <c r="AM68" i="71"/>
  <c r="AN68" i="71"/>
  <c r="AO68" i="71"/>
  <c r="AP68" i="71"/>
  <c r="AQ68" i="71"/>
  <c r="AR68" i="71"/>
  <c r="AS68" i="71"/>
  <c r="AT68" i="71"/>
  <c r="AU68" i="71"/>
  <c r="AV68" i="71"/>
  <c r="AW68" i="71"/>
  <c r="AL69" i="71"/>
  <c r="AM69" i="71"/>
  <c r="AN69" i="71"/>
  <c r="AO69" i="71"/>
  <c r="AP69" i="71"/>
  <c r="AQ69" i="71"/>
  <c r="AR69" i="71"/>
  <c r="AS69" i="71"/>
  <c r="AT69" i="71"/>
  <c r="AU69" i="71"/>
  <c r="AV69" i="71"/>
  <c r="AW69" i="71"/>
  <c r="AL70" i="71"/>
  <c r="AM70" i="71"/>
  <c r="AN70" i="71"/>
  <c r="AO70" i="71"/>
  <c r="AP70" i="71"/>
  <c r="AQ70" i="71"/>
  <c r="AR70" i="71"/>
  <c r="AS70" i="71"/>
  <c r="AT70" i="71"/>
  <c r="AU70" i="71"/>
  <c r="AV70" i="71"/>
  <c r="AW70" i="71"/>
  <c r="AL71" i="71"/>
  <c r="AM71" i="71"/>
  <c r="AN71" i="71"/>
  <c r="AO71" i="71"/>
  <c r="AP71" i="71"/>
  <c r="AQ71" i="71"/>
  <c r="AR71" i="71"/>
  <c r="AS71" i="71"/>
  <c r="AT71" i="71"/>
  <c r="AU71" i="71"/>
  <c r="AV71" i="71"/>
  <c r="AW71" i="71"/>
  <c r="AL72" i="71"/>
  <c r="AM72" i="71"/>
  <c r="AN72" i="71"/>
  <c r="AO72" i="71"/>
  <c r="AP72" i="71"/>
  <c r="AQ72" i="71"/>
  <c r="AR72" i="71"/>
  <c r="AS72" i="71"/>
  <c r="AT72" i="71"/>
  <c r="AU72" i="71"/>
  <c r="AV72" i="71"/>
  <c r="AW72" i="71"/>
  <c r="AL73" i="71"/>
  <c r="AM73" i="71"/>
  <c r="AN73" i="71"/>
  <c r="AO73" i="71"/>
  <c r="AP73" i="71"/>
  <c r="AQ73" i="71"/>
  <c r="AR73" i="71"/>
  <c r="AS73" i="71"/>
  <c r="AT73" i="71"/>
  <c r="AU73" i="71"/>
  <c r="AV73" i="71"/>
  <c r="AW73" i="71"/>
  <c r="AL74" i="71"/>
  <c r="AM74" i="71"/>
  <c r="AN74" i="71"/>
  <c r="AO74" i="71"/>
  <c r="AP74" i="71"/>
  <c r="AQ74" i="71"/>
  <c r="AR74" i="71"/>
  <c r="AS74" i="71"/>
  <c r="AT74" i="71"/>
  <c r="AU74" i="71"/>
  <c r="AV74" i="71"/>
  <c r="AW74" i="71"/>
  <c r="AL75" i="71"/>
  <c r="AM75" i="71"/>
  <c r="AN75" i="71"/>
  <c r="AO75" i="71"/>
  <c r="AP75" i="71"/>
  <c r="AQ75" i="71"/>
  <c r="AR75" i="71"/>
  <c r="AS75" i="71"/>
  <c r="AT75" i="71"/>
  <c r="AU75" i="71"/>
  <c r="AV75" i="71"/>
  <c r="AW75" i="71"/>
  <c r="AL76" i="71"/>
  <c r="AM76" i="71"/>
  <c r="AN76" i="71"/>
  <c r="AO76" i="71"/>
  <c r="AP76" i="71"/>
  <c r="AQ76" i="71"/>
  <c r="AR76" i="71"/>
  <c r="AS76" i="71"/>
  <c r="AT76" i="71"/>
  <c r="AU76" i="71"/>
  <c r="AV76" i="71"/>
  <c r="AW76" i="71"/>
  <c r="AL77" i="71"/>
  <c r="AM77" i="71"/>
  <c r="AN77" i="71"/>
  <c r="AO77" i="71"/>
  <c r="AP77" i="71"/>
  <c r="AQ77" i="71"/>
  <c r="AR77" i="71"/>
  <c r="AS77" i="71"/>
  <c r="AT77" i="71"/>
  <c r="AU77" i="71"/>
  <c r="AV77" i="71"/>
  <c r="AW77" i="71"/>
  <c r="AL78" i="71"/>
  <c r="AM78" i="71"/>
  <c r="AN78" i="71"/>
  <c r="AO78" i="71"/>
  <c r="AP78" i="71"/>
  <c r="AQ78" i="71"/>
  <c r="AR78" i="71"/>
  <c r="AS78" i="71"/>
  <c r="AT78" i="71"/>
  <c r="AU78" i="71"/>
  <c r="AV78" i="71"/>
  <c r="AW78" i="71"/>
  <c r="AL79" i="71"/>
  <c r="AM79" i="71"/>
  <c r="AN79" i="71"/>
  <c r="AO79" i="71"/>
  <c r="AP79" i="71"/>
  <c r="AQ79" i="71"/>
  <c r="AR79" i="71"/>
  <c r="AS79" i="71"/>
  <c r="AT79" i="71"/>
  <c r="AU79" i="71"/>
  <c r="AV79" i="71"/>
  <c r="AW79" i="71"/>
  <c r="AL80" i="71"/>
  <c r="AM80" i="71"/>
  <c r="AN80" i="71"/>
  <c r="AO80" i="71"/>
  <c r="AP80" i="71"/>
  <c r="AQ80" i="71"/>
  <c r="AR80" i="71"/>
  <c r="AS80" i="71"/>
  <c r="AT80" i="71"/>
  <c r="AU80" i="71"/>
  <c r="AV80" i="71"/>
  <c r="AW80" i="71"/>
  <c r="AL81" i="71"/>
  <c r="AM81" i="71"/>
  <c r="AN81" i="71"/>
  <c r="AO81" i="71"/>
  <c r="AP81" i="71"/>
  <c r="AQ81" i="71"/>
  <c r="AR81" i="71"/>
  <c r="AS81" i="71"/>
  <c r="AT81" i="71"/>
  <c r="AU81" i="71"/>
  <c r="AV81" i="71"/>
  <c r="AW81" i="71"/>
  <c r="AL82" i="71"/>
  <c r="AM82" i="71"/>
  <c r="AN82" i="71"/>
  <c r="AO82" i="71"/>
  <c r="AP82" i="71"/>
  <c r="AQ82" i="71"/>
  <c r="AR82" i="71"/>
  <c r="AS82" i="71"/>
  <c r="AT82" i="71"/>
  <c r="AU82" i="71"/>
  <c r="AV82" i="71"/>
  <c r="AW82" i="71"/>
  <c r="AL83" i="71"/>
  <c r="AM83" i="71"/>
  <c r="AN83" i="71"/>
  <c r="AO83" i="71"/>
  <c r="AP83" i="71"/>
  <c r="AQ83" i="71"/>
  <c r="AR83" i="71"/>
  <c r="AS83" i="71"/>
  <c r="AT83" i="71"/>
  <c r="AU83" i="71"/>
  <c r="AV83" i="71"/>
  <c r="AW83" i="71"/>
  <c r="AL84" i="71"/>
  <c r="AM84" i="71"/>
  <c r="AN84" i="71"/>
  <c r="AO84" i="71"/>
  <c r="AP84" i="71"/>
  <c r="AQ84" i="71"/>
  <c r="AR84" i="71"/>
  <c r="AS84" i="71"/>
  <c r="AT84" i="71"/>
  <c r="AU84" i="71"/>
  <c r="AV84" i="71"/>
  <c r="AW84" i="71"/>
  <c r="AL85" i="71"/>
  <c r="AM85" i="71"/>
  <c r="AN85" i="71"/>
  <c r="AO85" i="71"/>
  <c r="AP85" i="71"/>
  <c r="AQ85" i="71"/>
  <c r="AR85" i="71"/>
  <c r="AS85" i="71"/>
  <c r="AT85" i="71"/>
  <c r="AU85" i="71"/>
  <c r="AV85" i="71"/>
  <c r="AW85" i="71"/>
  <c r="AL86" i="71"/>
  <c r="AM86" i="71"/>
  <c r="AN86" i="71"/>
  <c r="AO86" i="71"/>
  <c r="AP86" i="71"/>
  <c r="AQ86" i="71"/>
  <c r="AR86" i="71"/>
  <c r="AS86" i="71"/>
  <c r="AT86" i="71"/>
  <c r="AU86" i="71"/>
  <c r="AV86" i="71"/>
  <c r="AW86" i="71"/>
  <c r="AL87" i="71"/>
  <c r="AM87" i="71"/>
  <c r="AN87" i="71"/>
  <c r="AO87" i="71"/>
  <c r="AP87" i="71"/>
  <c r="AQ87" i="71"/>
  <c r="AR87" i="71"/>
  <c r="AS87" i="71"/>
  <c r="AT87" i="71"/>
  <c r="AU87" i="71"/>
  <c r="AV87" i="71"/>
  <c r="AW87" i="71"/>
  <c r="AL88" i="71"/>
  <c r="AM88" i="71"/>
  <c r="AN88" i="71"/>
  <c r="AO88" i="71"/>
  <c r="AP88" i="71"/>
  <c r="AQ88" i="71"/>
  <c r="AR88" i="71"/>
  <c r="AS88" i="71"/>
  <c r="AT88" i="71"/>
  <c r="AU88" i="71"/>
  <c r="AV88" i="71"/>
  <c r="AW88" i="71"/>
  <c r="AL89" i="71"/>
  <c r="AM89" i="71"/>
  <c r="AN89" i="71"/>
  <c r="AO89" i="71"/>
  <c r="AP89" i="71"/>
  <c r="AQ89" i="71"/>
  <c r="AR89" i="71"/>
  <c r="AS89" i="71"/>
  <c r="AT89" i="71"/>
  <c r="AU89" i="71"/>
  <c r="AV89" i="71"/>
  <c r="AW89" i="71"/>
  <c r="AL90" i="71"/>
  <c r="AM90" i="71"/>
  <c r="AN90" i="71"/>
  <c r="AO90" i="71"/>
  <c r="AP90" i="71"/>
  <c r="AQ90" i="71"/>
  <c r="AR90" i="71"/>
  <c r="AS90" i="71"/>
  <c r="AT90" i="71"/>
  <c r="AU90" i="71"/>
  <c r="AV90" i="71"/>
  <c r="AW90" i="71"/>
  <c r="AL91" i="71"/>
  <c r="AM91" i="71"/>
  <c r="AN91" i="71"/>
  <c r="AO91" i="71"/>
  <c r="AP91" i="71"/>
  <c r="AQ91" i="71"/>
  <c r="AR91" i="71"/>
  <c r="AS91" i="71"/>
  <c r="AT91" i="71"/>
  <c r="AU91" i="71"/>
  <c r="AV91" i="71"/>
  <c r="AW91" i="71"/>
  <c r="AL92" i="71"/>
  <c r="AM92" i="71"/>
  <c r="AN92" i="71"/>
  <c r="AO92" i="71"/>
  <c r="AP92" i="71"/>
  <c r="AQ92" i="71"/>
  <c r="AR92" i="71"/>
  <c r="AS92" i="71"/>
  <c r="AT92" i="71"/>
  <c r="AU92" i="71"/>
  <c r="AV92" i="71"/>
  <c r="AW92" i="71"/>
  <c r="AL93" i="71"/>
  <c r="AM93" i="71"/>
  <c r="AN93" i="71"/>
  <c r="AO93" i="71"/>
  <c r="AP93" i="71"/>
  <c r="AQ93" i="71"/>
  <c r="AR93" i="71"/>
  <c r="AS93" i="71"/>
  <c r="AT93" i="71"/>
  <c r="AU93" i="71"/>
  <c r="AV93" i="71"/>
  <c r="AW93" i="71"/>
  <c r="AL94" i="71"/>
  <c r="AM94" i="71"/>
  <c r="AN94" i="71"/>
  <c r="AO94" i="71"/>
  <c r="AP94" i="71"/>
  <c r="AQ94" i="71"/>
  <c r="AR94" i="71"/>
  <c r="AS94" i="71"/>
  <c r="AT94" i="71"/>
  <c r="AU94" i="71"/>
  <c r="AV94" i="71"/>
  <c r="AW94" i="71"/>
  <c r="AL95" i="71"/>
  <c r="AM95" i="71"/>
  <c r="AN95" i="71"/>
  <c r="AO95" i="71"/>
  <c r="AP95" i="71"/>
  <c r="AQ95" i="71"/>
  <c r="AR95" i="71"/>
  <c r="AS95" i="71"/>
  <c r="AT95" i="71"/>
  <c r="AU95" i="71"/>
  <c r="AV95" i="71"/>
  <c r="AW95" i="71"/>
  <c r="AL96" i="71"/>
  <c r="AM96" i="71"/>
  <c r="AN96" i="71"/>
  <c r="AO96" i="71"/>
  <c r="AP96" i="71"/>
  <c r="AQ96" i="71"/>
  <c r="AR96" i="71"/>
  <c r="AS96" i="71"/>
  <c r="AT96" i="71"/>
  <c r="AU96" i="71"/>
  <c r="AV96" i="71"/>
  <c r="AW96" i="71"/>
  <c r="AL97" i="71"/>
  <c r="AM97" i="71"/>
  <c r="AN97" i="71"/>
  <c r="AO97" i="71"/>
  <c r="AP97" i="71"/>
  <c r="AQ97" i="71"/>
  <c r="AR97" i="71"/>
  <c r="AS97" i="71"/>
  <c r="AT97" i="71"/>
  <c r="AU97" i="71"/>
  <c r="AV97" i="71"/>
  <c r="AW97" i="71"/>
  <c r="AL98" i="71"/>
  <c r="AM98" i="71"/>
  <c r="AN98" i="71"/>
  <c r="AO98" i="71"/>
  <c r="AP98" i="71"/>
  <c r="AQ98" i="71"/>
  <c r="AR98" i="71"/>
  <c r="AS98" i="71"/>
  <c r="AT98" i="71"/>
  <c r="AU98" i="71"/>
  <c r="AV98" i="71"/>
  <c r="AW98" i="71"/>
  <c r="AL99" i="71"/>
  <c r="AM99" i="71"/>
  <c r="AN99" i="71"/>
  <c r="AO99" i="71"/>
  <c r="AP99" i="71"/>
  <c r="AQ99" i="71"/>
  <c r="AR99" i="71"/>
  <c r="AS99" i="71"/>
  <c r="AT99" i="71"/>
  <c r="AU99" i="71"/>
  <c r="AV99" i="71"/>
  <c r="AW99" i="71"/>
  <c r="AL100" i="71"/>
  <c r="AM100" i="71"/>
  <c r="AN100" i="71"/>
  <c r="AO100" i="71"/>
  <c r="AP100" i="71"/>
  <c r="AQ100" i="71"/>
  <c r="AR100" i="71"/>
  <c r="AS100" i="71"/>
  <c r="AT100" i="71"/>
  <c r="AU100" i="71"/>
  <c r="AV100" i="71"/>
  <c r="AW100" i="71"/>
  <c r="AL101" i="71"/>
  <c r="AM101" i="71"/>
  <c r="AN101" i="71"/>
  <c r="AO101" i="71"/>
  <c r="AP101" i="71"/>
  <c r="AQ101" i="71"/>
  <c r="AR101" i="71"/>
  <c r="AS101" i="71"/>
  <c r="AT101" i="71"/>
  <c r="AU101" i="71"/>
  <c r="AV101" i="71"/>
  <c r="AW101" i="71"/>
  <c r="AL102" i="71"/>
  <c r="AM102" i="71"/>
  <c r="AN102" i="71"/>
  <c r="AO102" i="71"/>
  <c r="AP102" i="71"/>
  <c r="AQ102" i="71"/>
  <c r="AR102" i="71"/>
  <c r="AS102" i="71"/>
  <c r="AT102" i="71"/>
  <c r="AU102" i="71"/>
  <c r="AV102" i="71"/>
  <c r="AW102" i="71"/>
  <c r="AL103" i="71"/>
  <c r="AM103" i="71"/>
  <c r="AN103" i="71"/>
  <c r="AO103" i="71"/>
  <c r="AP103" i="71"/>
  <c r="AQ103" i="71"/>
  <c r="AR103" i="71"/>
  <c r="AS103" i="71"/>
  <c r="AT103" i="71"/>
  <c r="AU103" i="71"/>
  <c r="AV103" i="71"/>
  <c r="AW103" i="71"/>
  <c r="AL104" i="71"/>
  <c r="AM104" i="71"/>
  <c r="AN104" i="71"/>
  <c r="AO104" i="71"/>
  <c r="AP104" i="71"/>
  <c r="AQ104" i="71"/>
  <c r="AR104" i="71"/>
  <c r="AS104" i="71"/>
  <c r="AT104" i="71"/>
  <c r="AU104" i="71"/>
  <c r="AV104" i="71"/>
  <c r="AW104" i="71"/>
  <c r="AL105" i="71"/>
  <c r="AM105" i="71"/>
  <c r="AN105" i="71"/>
  <c r="AO105" i="71"/>
  <c r="AP105" i="71"/>
  <c r="AQ105" i="71"/>
  <c r="AR105" i="71"/>
  <c r="AS105" i="71"/>
  <c r="AT105" i="71"/>
  <c r="AU105" i="71"/>
  <c r="AV105" i="71"/>
  <c r="AW105" i="71"/>
  <c r="AL106" i="71"/>
  <c r="AM106" i="71"/>
  <c r="AN106" i="71"/>
  <c r="AO106" i="71"/>
  <c r="AP106" i="71"/>
  <c r="AQ106" i="71"/>
  <c r="AR106" i="71"/>
  <c r="AS106" i="71"/>
  <c r="AT106" i="71"/>
  <c r="AU106" i="71"/>
  <c r="AV106" i="71"/>
  <c r="AW106" i="71"/>
  <c r="AL107" i="71"/>
  <c r="AM107" i="71"/>
  <c r="AN107" i="71"/>
  <c r="AO107" i="71"/>
  <c r="AP107" i="71"/>
  <c r="AQ107" i="71"/>
  <c r="AR107" i="71"/>
  <c r="AS107" i="71"/>
  <c r="AT107" i="71"/>
  <c r="AU107" i="71"/>
  <c r="AV107" i="71"/>
  <c r="AW107" i="71"/>
  <c r="AM108" i="71"/>
  <c r="AN108" i="71"/>
  <c r="AO108" i="71"/>
  <c r="AP108" i="71"/>
  <c r="AQ108" i="71"/>
  <c r="AR108" i="71"/>
  <c r="AS108" i="71"/>
  <c r="AT108" i="71"/>
  <c r="AU108" i="71"/>
  <c r="AV108" i="71"/>
  <c r="AW108" i="71"/>
  <c r="AM109" i="71"/>
  <c r="AN109" i="71"/>
  <c r="AO109" i="71"/>
  <c r="AP109" i="71"/>
  <c r="AQ109" i="71"/>
  <c r="AR109" i="71"/>
  <c r="AS109" i="71"/>
  <c r="AT109" i="71"/>
  <c r="AU109" i="71"/>
  <c r="AV109" i="71"/>
  <c r="AW109" i="71"/>
  <c r="AM1" i="71"/>
  <c r="AN1" i="71"/>
  <c r="AO1" i="71"/>
  <c r="AP1" i="71"/>
  <c r="AQ1" i="71"/>
  <c r="AR1" i="71"/>
  <c r="AS1" i="71"/>
  <c r="AT1" i="71"/>
  <c r="AU1" i="71"/>
  <c r="AV1" i="71"/>
  <c r="AW1" i="71"/>
  <c r="AL1" i="71"/>
  <c r="J121" i="71"/>
  <c r="I121" i="71"/>
  <c r="B121" i="71"/>
  <c r="J120" i="71"/>
  <c r="I120" i="71"/>
  <c r="B120" i="71"/>
  <c r="J119" i="71"/>
  <c r="I119" i="71"/>
  <c r="B119" i="71"/>
  <c r="J118" i="71"/>
  <c r="I118" i="71"/>
  <c r="B118" i="71"/>
  <c r="J117" i="71"/>
  <c r="I117" i="71"/>
  <c r="B117" i="71"/>
  <c r="J116" i="71"/>
  <c r="I116" i="71"/>
  <c r="B116" i="71"/>
  <c r="J115" i="71"/>
  <c r="I115" i="71"/>
  <c r="B115" i="71"/>
  <c r="J114" i="71"/>
  <c r="I114" i="71"/>
  <c r="B114" i="71"/>
  <c r="J113" i="71"/>
  <c r="I113" i="71"/>
  <c r="B113" i="71"/>
  <c r="J112" i="71"/>
  <c r="I112" i="71"/>
  <c r="B112" i="71"/>
  <c r="J111" i="71"/>
  <c r="AD111" i="71" s="1"/>
  <c r="I111" i="71"/>
  <c r="AC111" i="71" s="1"/>
  <c r="B111" i="71"/>
  <c r="J110" i="71"/>
  <c r="AD110" i="71" s="1"/>
  <c r="I110" i="71"/>
  <c r="AC110" i="71" s="1"/>
  <c r="B110" i="71"/>
  <c r="J109" i="71"/>
  <c r="AD109" i="71" s="1"/>
  <c r="I109" i="71"/>
  <c r="AC109" i="71" s="1"/>
  <c r="B109" i="71"/>
  <c r="J108" i="71"/>
  <c r="AD108" i="71" s="1"/>
  <c r="I108" i="71"/>
  <c r="AC108" i="71" s="1"/>
  <c r="B108" i="71"/>
  <c r="J107" i="71"/>
  <c r="AD107" i="71" s="1"/>
  <c r="I107" i="71"/>
  <c r="AC107" i="71" s="1"/>
  <c r="B107" i="71"/>
  <c r="J106" i="71"/>
  <c r="AD106" i="71" s="1"/>
  <c r="I106" i="71"/>
  <c r="AC106" i="71" s="1"/>
  <c r="B106" i="71"/>
  <c r="J105" i="71"/>
  <c r="AD105" i="71" s="1"/>
  <c r="I105" i="71"/>
  <c r="AC105" i="71" s="1"/>
  <c r="B105" i="71"/>
  <c r="J104" i="71"/>
  <c r="AD104" i="71" s="1"/>
  <c r="I104" i="71"/>
  <c r="AC104" i="71" s="1"/>
  <c r="B104" i="71"/>
  <c r="J103" i="71"/>
  <c r="AD103" i="71" s="1"/>
  <c r="I103" i="71"/>
  <c r="AC103" i="71" s="1"/>
  <c r="B103" i="71"/>
  <c r="J102" i="71"/>
  <c r="AD102" i="71" s="1"/>
  <c r="I102" i="71"/>
  <c r="AC102" i="71" s="1"/>
  <c r="B102" i="71"/>
  <c r="J101" i="71"/>
  <c r="AD101" i="71" s="1"/>
  <c r="I101" i="71"/>
  <c r="AC101" i="71" s="1"/>
  <c r="B101" i="71"/>
  <c r="J100" i="71"/>
  <c r="AD100" i="71" s="1"/>
  <c r="I100" i="71"/>
  <c r="AC100" i="71" s="1"/>
  <c r="B100" i="71"/>
  <c r="J99" i="71"/>
  <c r="AD99" i="71" s="1"/>
  <c r="I99" i="71"/>
  <c r="AC99" i="71" s="1"/>
  <c r="B99" i="71"/>
  <c r="J98" i="71"/>
  <c r="AD98" i="71" s="1"/>
  <c r="I98" i="71"/>
  <c r="AC98" i="71" s="1"/>
  <c r="B98" i="71"/>
  <c r="J97" i="71"/>
  <c r="AD97" i="71" s="1"/>
  <c r="I97" i="71"/>
  <c r="AC97" i="71" s="1"/>
  <c r="B97" i="71"/>
  <c r="J96" i="71"/>
  <c r="AD96" i="71" s="1"/>
  <c r="I96" i="71"/>
  <c r="AC96" i="71" s="1"/>
  <c r="B96" i="71"/>
  <c r="J95" i="71"/>
  <c r="AD95" i="71" s="1"/>
  <c r="I95" i="71"/>
  <c r="AC95" i="71" s="1"/>
  <c r="B95" i="71"/>
  <c r="J94" i="71"/>
  <c r="AD94" i="71" s="1"/>
  <c r="I94" i="71"/>
  <c r="AC94" i="71" s="1"/>
  <c r="B94" i="71"/>
  <c r="J93" i="71"/>
  <c r="AD93" i="71" s="1"/>
  <c r="I93" i="71"/>
  <c r="AC93" i="71" s="1"/>
  <c r="B93" i="71"/>
  <c r="J92" i="71"/>
  <c r="AD92" i="71" s="1"/>
  <c r="I92" i="71"/>
  <c r="AC92" i="71" s="1"/>
  <c r="B92" i="71"/>
  <c r="J91" i="71"/>
  <c r="AD91" i="71" s="1"/>
  <c r="I91" i="71"/>
  <c r="AC91" i="71" s="1"/>
  <c r="B91" i="71"/>
  <c r="J90" i="71"/>
  <c r="AD90" i="71" s="1"/>
  <c r="I90" i="71"/>
  <c r="AC90" i="71" s="1"/>
  <c r="B90" i="71"/>
  <c r="J89" i="71"/>
  <c r="AD89" i="71" s="1"/>
  <c r="I89" i="71"/>
  <c r="AC89" i="71" s="1"/>
  <c r="B89" i="71"/>
  <c r="J88" i="71"/>
  <c r="AD88" i="71" s="1"/>
  <c r="I88" i="71"/>
  <c r="AC88" i="71" s="1"/>
  <c r="B88" i="71"/>
  <c r="J87" i="71"/>
  <c r="AD87" i="71" s="1"/>
  <c r="I87" i="71"/>
  <c r="AC87" i="71" s="1"/>
  <c r="B87" i="71"/>
  <c r="J86" i="71"/>
  <c r="AD86" i="71" s="1"/>
  <c r="I86" i="71"/>
  <c r="AC86" i="71" s="1"/>
  <c r="B86" i="71"/>
  <c r="J85" i="71"/>
  <c r="AD85" i="71" s="1"/>
  <c r="I85" i="71"/>
  <c r="AC85" i="71" s="1"/>
  <c r="B85" i="71"/>
  <c r="J84" i="71"/>
  <c r="AD84" i="71" s="1"/>
  <c r="I84" i="71"/>
  <c r="AC84" i="71" s="1"/>
  <c r="B84" i="71"/>
  <c r="J83" i="71"/>
  <c r="AD83" i="71" s="1"/>
  <c r="I83" i="71"/>
  <c r="AC83" i="71" s="1"/>
  <c r="B83" i="71"/>
  <c r="J82" i="71"/>
  <c r="AD82" i="71" s="1"/>
  <c r="I82" i="71"/>
  <c r="AC82" i="71" s="1"/>
  <c r="B82" i="71"/>
  <c r="J81" i="71"/>
  <c r="AD81" i="71" s="1"/>
  <c r="I81" i="71"/>
  <c r="AC81" i="71" s="1"/>
  <c r="B81" i="71"/>
  <c r="J80" i="71"/>
  <c r="AD80" i="71" s="1"/>
  <c r="I80" i="71"/>
  <c r="AC80" i="71" s="1"/>
  <c r="B80" i="71"/>
  <c r="J79" i="71"/>
  <c r="AD79" i="71" s="1"/>
  <c r="I79" i="71"/>
  <c r="AC79" i="71" s="1"/>
  <c r="B79" i="71"/>
  <c r="J78" i="71"/>
  <c r="AD78" i="71" s="1"/>
  <c r="I78" i="71"/>
  <c r="AC78" i="71" s="1"/>
  <c r="B78" i="71"/>
  <c r="J77" i="71"/>
  <c r="AD77" i="71" s="1"/>
  <c r="I77" i="71"/>
  <c r="AC77" i="71" s="1"/>
  <c r="B77" i="71"/>
  <c r="J76" i="71"/>
  <c r="AD76" i="71" s="1"/>
  <c r="I76" i="71"/>
  <c r="AC76" i="71" s="1"/>
  <c r="B76" i="71"/>
  <c r="J75" i="71"/>
  <c r="AD75" i="71" s="1"/>
  <c r="I75" i="71"/>
  <c r="AC75" i="71" s="1"/>
  <c r="B75" i="71"/>
  <c r="J74" i="71"/>
  <c r="AD74" i="71" s="1"/>
  <c r="I74" i="71"/>
  <c r="AC74" i="71" s="1"/>
  <c r="B74" i="71"/>
  <c r="J73" i="71"/>
  <c r="AD73" i="71" s="1"/>
  <c r="I73" i="71"/>
  <c r="AC73" i="71" s="1"/>
  <c r="B73" i="71"/>
  <c r="J72" i="71"/>
  <c r="AD72" i="71" s="1"/>
  <c r="I72" i="71"/>
  <c r="AC72" i="71" s="1"/>
  <c r="B72" i="71"/>
  <c r="J71" i="71"/>
  <c r="AD71" i="71" s="1"/>
  <c r="I71" i="71"/>
  <c r="AC71" i="71" s="1"/>
  <c r="B71" i="71"/>
  <c r="J70" i="71"/>
  <c r="AD70" i="71" s="1"/>
  <c r="I70" i="71"/>
  <c r="AC70" i="71" s="1"/>
  <c r="B70" i="71"/>
  <c r="J69" i="71"/>
  <c r="AD69" i="71" s="1"/>
  <c r="I69" i="71"/>
  <c r="AC69" i="71" s="1"/>
  <c r="B69" i="71"/>
  <c r="J68" i="71"/>
  <c r="AD68" i="71" s="1"/>
  <c r="I68" i="71"/>
  <c r="AC68" i="71" s="1"/>
  <c r="B68" i="71"/>
  <c r="J67" i="71"/>
  <c r="AD67" i="71" s="1"/>
  <c r="I67" i="71"/>
  <c r="AC67" i="71" s="1"/>
  <c r="B67" i="71"/>
  <c r="J66" i="71"/>
  <c r="AD66" i="71" s="1"/>
  <c r="I66" i="71"/>
  <c r="AC66" i="71" s="1"/>
  <c r="B66" i="71"/>
  <c r="J65" i="71"/>
  <c r="AD65" i="71" s="1"/>
  <c r="I65" i="71"/>
  <c r="AC65" i="71" s="1"/>
  <c r="B65" i="71"/>
  <c r="J64" i="71"/>
  <c r="AD64" i="71" s="1"/>
  <c r="I64" i="71"/>
  <c r="AC64" i="71" s="1"/>
  <c r="B64" i="71"/>
  <c r="J63" i="71"/>
  <c r="AD63" i="71" s="1"/>
  <c r="I63" i="71"/>
  <c r="AC63" i="71" s="1"/>
  <c r="B63" i="71"/>
  <c r="J62" i="71"/>
  <c r="AD62" i="71" s="1"/>
  <c r="I62" i="71"/>
  <c r="AC62" i="71" s="1"/>
  <c r="B62" i="71"/>
  <c r="J61" i="71"/>
  <c r="AD61" i="71" s="1"/>
  <c r="I61" i="71"/>
  <c r="AC61" i="71" s="1"/>
  <c r="B61" i="71"/>
  <c r="J60" i="71"/>
  <c r="AD60" i="71" s="1"/>
  <c r="I60" i="71"/>
  <c r="AC60" i="71" s="1"/>
  <c r="B60" i="71"/>
  <c r="J59" i="71"/>
  <c r="AD59" i="71" s="1"/>
  <c r="I59" i="71"/>
  <c r="AC59" i="71" s="1"/>
  <c r="B59" i="71"/>
  <c r="J58" i="71"/>
  <c r="AD58" i="71" s="1"/>
  <c r="I58" i="71"/>
  <c r="AC58" i="71" s="1"/>
  <c r="B58" i="71"/>
  <c r="J57" i="71"/>
  <c r="AD57" i="71" s="1"/>
  <c r="I57" i="71"/>
  <c r="AC57" i="71" s="1"/>
  <c r="B57" i="71"/>
  <c r="J56" i="71"/>
  <c r="AD56" i="71" s="1"/>
  <c r="I56" i="71"/>
  <c r="AC56" i="71" s="1"/>
  <c r="B56" i="71"/>
  <c r="J55" i="71"/>
  <c r="AD55" i="71" s="1"/>
  <c r="I55" i="71"/>
  <c r="AC55" i="71" s="1"/>
  <c r="B55" i="71"/>
  <c r="J54" i="71"/>
  <c r="AD54" i="71" s="1"/>
  <c r="I54" i="71"/>
  <c r="AC54" i="71" s="1"/>
  <c r="B54" i="71"/>
  <c r="J53" i="71"/>
  <c r="AD53" i="71" s="1"/>
  <c r="I53" i="71"/>
  <c r="AC53" i="71" s="1"/>
  <c r="B53" i="71"/>
  <c r="J52" i="71"/>
  <c r="AD52" i="71" s="1"/>
  <c r="I52" i="71"/>
  <c r="AC52" i="71" s="1"/>
  <c r="B52" i="71"/>
  <c r="J51" i="71"/>
  <c r="AD51" i="71" s="1"/>
  <c r="I51" i="71"/>
  <c r="AC51" i="71" s="1"/>
  <c r="B51" i="71"/>
  <c r="J50" i="71"/>
  <c r="AD50" i="71" s="1"/>
  <c r="I50" i="71"/>
  <c r="AC50" i="71" s="1"/>
  <c r="B50" i="71"/>
  <c r="J49" i="71"/>
  <c r="AD49" i="71" s="1"/>
  <c r="I49" i="71"/>
  <c r="AC49" i="71" s="1"/>
  <c r="B49" i="71"/>
  <c r="J48" i="71"/>
  <c r="AD48" i="71" s="1"/>
  <c r="I48" i="71"/>
  <c r="AC48" i="71" s="1"/>
  <c r="B48" i="71"/>
  <c r="J47" i="71"/>
  <c r="AD47" i="71" s="1"/>
  <c r="I47" i="71"/>
  <c r="AC47" i="71" s="1"/>
  <c r="B47" i="71"/>
  <c r="J46" i="71"/>
  <c r="AD46" i="71" s="1"/>
  <c r="I46" i="71"/>
  <c r="AC46" i="71" s="1"/>
  <c r="B46" i="71"/>
  <c r="J45" i="71"/>
  <c r="AD45" i="71" s="1"/>
  <c r="I45" i="71"/>
  <c r="AC45" i="71" s="1"/>
  <c r="B45" i="71"/>
  <c r="J44" i="71"/>
  <c r="AD44" i="71" s="1"/>
  <c r="I44" i="71"/>
  <c r="AC44" i="71" s="1"/>
  <c r="B44" i="71"/>
  <c r="J43" i="71"/>
  <c r="AD43" i="71" s="1"/>
  <c r="I43" i="71"/>
  <c r="AC43" i="71" s="1"/>
  <c r="B43" i="71"/>
  <c r="J42" i="71"/>
  <c r="AD42" i="71" s="1"/>
  <c r="I42" i="71"/>
  <c r="AC42" i="71" s="1"/>
  <c r="B42" i="71"/>
  <c r="J41" i="71"/>
  <c r="AD41" i="71" s="1"/>
  <c r="I41" i="71"/>
  <c r="AC41" i="71" s="1"/>
  <c r="B41" i="71"/>
  <c r="J40" i="71"/>
  <c r="AD40" i="71" s="1"/>
  <c r="I40" i="71"/>
  <c r="AC40" i="71" s="1"/>
  <c r="B40" i="71"/>
  <c r="J39" i="71"/>
  <c r="AD39" i="71" s="1"/>
  <c r="I39" i="71"/>
  <c r="AC39" i="71" s="1"/>
  <c r="B39" i="71"/>
  <c r="J38" i="71"/>
  <c r="AD38" i="71" s="1"/>
  <c r="I38" i="71"/>
  <c r="AC38" i="71" s="1"/>
  <c r="B38" i="71"/>
  <c r="J37" i="71"/>
  <c r="AD37" i="71" s="1"/>
  <c r="I37" i="71"/>
  <c r="AC37" i="71" s="1"/>
  <c r="B37" i="71"/>
  <c r="J36" i="71"/>
  <c r="AD36" i="71" s="1"/>
  <c r="I36" i="71"/>
  <c r="AC36" i="71" s="1"/>
  <c r="B36" i="71"/>
  <c r="J35" i="71"/>
  <c r="AD35" i="71" s="1"/>
  <c r="I35" i="71"/>
  <c r="AC35" i="71" s="1"/>
  <c r="B35" i="71"/>
  <c r="J34" i="71"/>
  <c r="AD34" i="71" s="1"/>
  <c r="I34" i="71"/>
  <c r="AC34" i="71" s="1"/>
  <c r="B34" i="71"/>
  <c r="J33" i="71"/>
  <c r="AD33" i="71" s="1"/>
  <c r="I33" i="71"/>
  <c r="AC33" i="71" s="1"/>
  <c r="B33" i="71"/>
  <c r="J32" i="71"/>
  <c r="AD32" i="71" s="1"/>
  <c r="I32" i="71"/>
  <c r="AC32" i="71" s="1"/>
  <c r="B32" i="71"/>
  <c r="J31" i="71"/>
  <c r="AD31" i="71" s="1"/>
  <c r="I31" i="71"/>
  <c r="AC31" i="71" s="1"/>
  <c r="B31" i="71"/>
  <c r="J30" i="71"/>
  <c r="AD30" i="71" s="1"/>
  <c r="I30" i="71"/>
  <c r="AC30" i="71" s="1"/>
  <c r="B30" i="71"/>
  <c r="J29" i="71"/>
  <c r="AD29" i="71" s="1"/>
  <c r="I29" i="71"/>
  <c r="AC29" i="71" s="1"/>
  <c r="B29" i="71"/>
  <c r="J28" i="71"/>
  <c r="AD28" i="71" s="1"/>
  <c r="I28" i="71"/>
  <c r="AC28" i="71" s="1"/>
  <c r="B28" i="71"/>
  <c r="J27" i="71"/>
  <c r="AD27" i="71" s="1"/>
  <c r="I27" i="71"/>
  <c r="AC27" i="71" s="1"/>
  <c r="B27" i="71"/>
  <c r="J26" i="71"/>
  <c r="AD26" i="71" s="1"/>
  <c r="I26" i="71"/>
  <c r="AC26" i="71" s="1"/>
  <c r="B26" i="71"/>
  <c r="J25" i="71"/>
  <c r="AD25" i="71" s="1"/>
  <c r="I25" i="71"/>
  <c r="AC25" i="71" s="1"/>
  <c r="B25" i="71"/>
  <c r="J24" i="71"/>
  <c r="AD24" i="71" s="1"/>
  <c r="I24" i="71"/>
  <c r="AC24" i="71" s="1"/>
  <c r="B24" i="71"/>
  <c r="J23" i="71"/>
  <c r="AD23" i="71" s="1"/>
  <c r="I23" i="71"/>
  <c r="AC23" i="71" s="1"/>
  <c r="B23" i="71"/>
  <c r="J22" i="71"/>
  <c r="AD22" i="71" s="1"/>
  <c r="I22" i="71"/>
  <c r="AC22" i="71" s="1"/>
  <c r="B22" i="71"/>
  <c r="J21" i="71"/>
  <c r="AD21" i="71" s="1"/>
  <c r="I21" i="71"/>
  <c r="AC21" i="71" s="1"/>
  <c r="B21" i="71"/>
  <c r="J20" i="71"/>
  <c r="AD20" i="71" s="1"/>
  <c r="I20" i="71"/>
  <c r="AC20" i="71" s="1"/>
  <c r="B20" i="71"/>
  <c r="J19" i="71"/>
  <c r="AD19" i="71" s="1"/>
  <c r="I19" i="71"/>
  <c r="AC19" i="71" s="1"/>
  <c r="B19" i="71"/>
  <c r="J18" i="71"/>
  <c r="AD18" i="71" s="1"/>
  <c r="I18" i="71"/>
  <c r="AC18" i="71" s="1"/>
  <c r="B18" i="71"/>
  <c r="J17" i="71"/>
  <c r="AD17" i="71" s="1"/>
  <c r="I17" i="71"/>
  <c r="AC17" i="71" s="1"/>
  <c r="B17" i="71"/>
  <c r="J16" i="71"/>
  <c r="AD16" i="71" s="1"/>
  <c r="I16" i="71"/>
  <c r="AC16" i="71" s="1"/>
  <c r="B16" i="71"/>
  <c r="J15" i="71"/>
  <c r="AD15" i="71" s="1"/>
  <c r="I15" i="71"/>
  <c r="AC15" i="71" s="1"/>
  <c r="B15" i="71"/>
  <c r="J14" i="71"/>
  <c r="AD14" i="71" s="1"/>
  <c r="I14" i="71"/>
  <c r="AC14" i="71" s="1"/>
  <c r="B14" i="71"/>
  <c r="J13" i="71"/>
  <c r="AD13" i="71" s="1"/>
  <c r="I13" i="71"/>
  <c r="AC13" i="71" s="1"/>
  <c r="B13" i="71"/>
  <c r="J12" i="71"/>
  <c r="AD12" i="71" s="1"/>
  <c r="I12" i="71"/>
  <c r="AC12" i="71" s="1"/>
  <c r="B12" i="71"/>
  <c r="J11" i="71"/>
  <c r="AD11" i="71" s="1"/>
  <c r="I11" i="71"/>
  <c r="AC11" i="71" s="1"/>
  <c r="B11" i="71"/>
  <c r="J10" i="71"/>
  <c r="AD10" i="71" s="1"/>
  <c r="I10" i="71"/>
  <c r="AC10" i="71" s="1"/>
  <c r="B10" i="71"/>
  <c r="J9" i="71"/>
  <c r="AD9" i="71" s="1"/>
  <c r="I9" i="71"/>
  <c r="AC9" i="71" s="1"/>
  <c r="B9" i="71"/>
  <c r="J8" i="71"/>
  <c r="AD8" i="71" s="1"/>
  <c r="I8" i="71"/>
  <c r="AC8" i="71" s="1"/>
  <c r="B8" i="71"/>
  <c r="J7" i="71"/>
  <c r="AD7" i="71" s="1"/>
  <c r="I7" i="71"/>
  <c r="AC7" i="71" s="1"/>
  <c r="B7" i="71"/>
  <c r="J6" i="71"/>
  <c r="AD6" i="71" s="1"/>
  <c r="I6" i="71"/>
  <c r="AC6" i="71" s="1"/>
  <c r="B6" i="71"/>
  <c r="J5" i="71"/>
  <c r="AD5" i="71" s="1"/>
  <c r="I5" i="71"/>
  <c r="AC5" i="71" s="1"/>
  <c r="B5" i="71"/>
  <c r="J4" i="71"/>
  <c r="AD4" i="71" s="1"/>
  <c r="I4" i="71"/>
  <c r="AC4" i="71" s="1"/>
  <c r="B4" i="71"/>
  <c r="AI3" i="71"/>
  <c r="AI4" i="71" s="1"/>
  <c r="AI5" i="71" s="1"/>
  <c r="AI6" i="71" s="1"/>
  <c r="AI7" i="71" s="1"/>
  <c r="AI8" i="71" s="1"/>
  <c r="AI9" i="71" s="1"/>
  <c r="AI10" i="71" s="1"/>
  <c r="AI11" i="71" s="1"/>
  <c r="AI12" i="71" s="1"/>
  <c r="AI13" i="71" s="1"/>
  <c r="AI14" i="71" s="1"/>
  <c r="AI15" i="71" s="1"/>
  <c r="AI16" i="71" s="1"/>
  <c r="AI17" i="71" s="1"/>
  <c r="AI18" i="71" s="1"/>
  <c r="AI19" i="71" s="1"/>
  <c r="AI20" i="71" s="1"/>
  <c r="AI21" i="71" s="1"/>
  <c r="AI22" i="71" s="1"/>
  <c r="AI23" i="71" s="1"/>
  <c r="AI24" i="71" s="1"/>
  <c r="AI25" i="71" s="1"/>
  <c r="AI26" i="71" s="1"/>
  <c r="AI27" i="71" s="1"/>
  <c r="AI28" i="71" s="1"/>
  <c r="AI29" i="71" s="1"/>
  <c r="AI30" i="71" s="1"/>
  <c r="AI31" i="71" s="1"/>
  <c r="AI32" i="71" s="1"/>
  <c r="AI33" i="71" s="1"/>
  <c r="AI34" i="71" s="1"/>
  <c r="AI35" i="71" s="1"/>
  <c r="AI36" i="71" s="1"/>
  <c r="AI37" i="71" s="1"/>
  <c r="AI38" i="71" s="1"/>
  <c r="AI39" i="71" s="1"/>
  <c r="AI40" i="71" s="1"/>
  <c r="AI41" i="71" s="1"/>
  <c r="AI42" i="71" s="1"/>
  <c r="AI43" i="71" s="1"/>
  <c r="AI44" i="71" s="1"/>
  <c r="AI45" i="71" s="1"/>
  <c r="AI46" i="71" s="1"/>
  <c r="AI47" i="71" s="1"/>
  <c r="AI48" i="71" s="1"/>
  <c r="AI49" i="71" s="1"/>
  <c r="AI50" i="71" s="1"/>
  <c r="AI51" i="71" s="1"/>
  <c r="AI52" i="71" s="1"/>
  <c r="AI53" i="71" s="1"/>
  <c r="AI54" i="71" s="1"/>
  <c r="AI55" i="71" s="1"/>
  <c r="AI56" i="71" s="1"/>
  <c r="AI57" i="71" s="1"/>
  <c r="AI58" i="71" s="1"/>
  <c r="AI59" i="71" s="1"/>
  <c r="AI60" i="71" s="1"/>
  <c r="AI61" i="71" s="1"/>
  <c r="AI62" i="71" s="1"/>
  <c r="AI63" i="71" s="1"/>
  <c r="AI64" i="71" s="1"/>
  <c r="AI65" i="71" s="1"/>
  <c r="AI66" i="71" s="1"/>
  <c r="AI67" i="71" s="1"/>
  <c r="AI68" i="71" s="1"/>
  <c r="AI69" i="71" s="1"/>
  <c r="AI70" i="71" s="1"/>
  <c r="AI71" i="71" s="1"/>
  <c r="AI72" i="71" s="1"/>
  <c r="AI73" i="71" s="1"/>
  <c r="AI74" i="71" s="1"/>
  <c r="AI75" i="71" s="1"/>
  <c r="AI76" i="71" s="1"/>
  <c r="AI77" i="71" s="1"/>
  <c r="AI78" i="71" s="1"/>
  <c r="AI79" i="71" s="1"/>
  <c r="AI80" i="71" s="1"/>
  <c r="AI81" i="71" s="1"/>
  <c r="AI82" i="71" s="1"/>
  <c r="AI83" i="71" s="1"/>
  <c r="AI84" i="71" s="1"/>
  <c r="AI85" i="71" s="1"/>
  <c r="AI86" i="71" s="1"/>
  <c r="AI87" i="71" s="1"/>
  <c r="AI88" i="71" s="1"/>
  <c r="AI89" i="71" s="1"/>
  <c r="AI90" i="71" s="1"/>
  <c r="AI91" i="71" s="1"/>
  <c r="AI92" i="71" s="1"/>
  <c r="AI93" i="71" s="1"/>
  <c r="AI94" i="71" s="1"/>
  <c r="AI95" i="71" s="1"/>
  <c r="AI96" i="71" s="1"/>
  <c r="AI97" i="71" s="1"/>
  <c r="AI98" i="71" s="1"/>
  <c r="AI99" i="71" s="1"/>
  <c r="AI100" i="71" s="1"/>
  <c r="AI101" i="71" s="1"/>
  <c r="AI102" i="71" s="1"/>
  <c r="AI103" i="71" s="1"/>
  <c r="AI104" i="71" s="1"/>
  <c r="AI105" i="71" s="1"/>
  <c r="AI106" i="71" s="1"/>
  <c r="AI107" i="71" s="1"/>
  <c r="AI108" i="71" s="1"/>
  <c r="AI109" i="71" s="1"/>
  <c r="AI110" i="71" s="1"/>
  <c r="AI111" i="71" s="1"/>
  <c r="AI112" i="71" s="1"/>
  <c r="AI113" i="71" s="1"/>
  <c r="AI114" i="71" s="1"/>
  <c r="AI115" i="71" s="1"/>
  <c r="AI116" i="71" s="1"/>
  <c r="AI117" i="71" s="1"/>
  <c r="AI118" i="71" s="1"/>
  <c r="AI119" i="71" s="1"/>
  <c r="AI120" i="71" s="1"/>
  <c r="AI121" i="71" s="1"/>
  <c r="J3" i="71"/>
  <c r="AD3" i="71" s="1"/>
  <c r="I3" i="71"/>
  <c r="AC3" i="71" s="1"/>
  <c r="B3" i="71"/>
  <c r="J2" i="71"/>
  <c r="AD2" i="71" s="1"/>
  <c r="I2" i="71"/>
  <c r="AC2" i="71" s="1"/>
  <c r="B2" i="71"/>
  <c r="D12" i="63"/>
  <c r="E12" i="63" s="1"/>
  <c r="D13" i="63"/>
  <c r="D14" i="63"/>
  <c r="A21" i="17"/>
  <c r="A22" i="17"/>
  <c r="A23" i="17"/>
  <c r="A24" i="17"/>
  <c r="A25" i="17"/>
  <c r="A26" i="17"/>
  <c r="A27" i="17"/>
  <c r="A28" i="17"/>
  <c r="A29" i="17"/>
  <c r="A20" i="17"/>
  <c r="M7" i="93" l="1"/>
  <c r="M19" i="93"/>
  <c r="O19" i="86"/>
  <c r="O7" i="86"/>
  <c r="M11" i="93"/>
  <c r="M23" i="93"/>
  <c r="O23" i="86"/>
  <c r="O11" i="86"/>
  <c r="M31" i="76"/>
  <c r="M31" i="93"/>
  <c r="O31" i="86"/>
  <c r="L34" i="76"/>
  <c r="L34" i="93"/>
  <c r="N34" i="86"/>
  <c r="M39" i="76"/>
  <c r="M39" i="93"/>
  <c r="O39" i="86"/>
  <c r="L42" i="76"/>
  <c r="L42" i="93"/>
  <c r="N42" i="86"/>
  <c r="L50" i="76"/>
  <c r="L50" i="93"/>
  <c r="N50" i="86"/>
  <c r="M55" i="76"/>
  <c r="M55" i="93"/>
  <c r="O55" i="86"/>
  <c r="M59" i="76"/>
  <c r="M59" i="93"/>
  <c r="O59" i="86"/>
  <c r="L74" i="76"/>
  <c r="L74" i="93"/>
  <c r="N74" i="86"/>
  <c r="L78" i="76"/>
  <c r="L78" i="93"/>
  <c r="N78" i="86"/>
  <c r="M83" i="76"/>
  <c r="M83" i="93"/>
  <c r="O83" i="86"/>
  <c r="M87" i="76"/>
  <c r="M87" i="93"/>
  <c r="O87" i="86"/>
  <c r="L90" i="76"/>
  <c r="L90" i="93"/>
  <c r="N90" i="86"/>
  <c r="M95" i="76"/>
  <c r="M95" i="93"/>
  <c r="O95" i="86"/>
  <c r="L98" i="76"/>
  <c r="L98" i="93"/>
  <c r="N98" i="86"/>
  <c r="L102" i="76"/>
  <c r="L102" i="93"/>
  <c r="O102" i="93" s="1"/>
  <c r="N102" i="86"/>
  <c r="M107" i="76"/>
  <c r="M107" i="93"/>
  <c r="O107" i="86"/>
  <c r="M111" i="76"/>
  <c r="M111" i="93"/>
  <c r="O111" i="86"/>
  <c r="M115" i="76"/>
  <c r="M115" i="93"/>
  <c r="O115" i="86"/>
  <c r="L118" i="76"/>
  <c r="L118" i="93"/>
  <c r="O118" i="93" s="1"/>
  <c r="N118" i="86"/>
  <c r="M123" i="76"/>
  <c r="M123" i="93"/>
  <c r="O123" i="86"/>
  <c r="M133" i="76"/>
  <c r="O133" i="86"/>
  <c r="L130" i="76"/>
  <c r="N130" i="86"/>
  <c r="L126" i="76"/>
  <c r="N126" i="86"/>
  <c r="L5" i="93"/>
  <c r="L17" i="93"/>
  <c r="O17" i="93" s="1"/>
  <c r="N17" i="86"/>
  <c r="N5" i="86"/>
  <c r="L9" i="93"/>
  <c r="L21" i="93"/>
  <c r="O21" i="93" s="1"/>
  <c r="N21" i="86"/>
  <c r="N9" i="86"/>
  <c r="L25" i="93"/>
  <c r="L13" i="93"/>
  <c r="O13" i="93" s="1"/>
  <c r="P13" i="93" s="1"/>
  <c r="Q13" i="93" s="1"/>
  <c r="R13" i="93" s="1"/>
  <c r="N25" i="86"/>
  <c r="N13" i="86"/>
  <c r="M26" i="93"/>
  <c r="M14" i="93"/>
  <c r="O26" i="86"/>
  <c r="O14" i="86"/>
  <c r="L29" i="76"/>
  <c r="L29" i="93"/>
  <c r="O29" i="93" s="1"/>
  <c r="N29" i="86"/>
  <c r="M30" i="76"/>
  <c r="M30" i="93"/>
  <c r="O30" i="86"/>
  <c r="L33" i="76"/>
  <c r="L33" i="93"/>
  <c r="N33" i="86"/>
  <c r="M34" i="76"/>
  <c r="M34" i="93"/>
  <c r="O34" i="86"/>
  <c r="L37" i="76"/>
  <c r="L37" i="93"/>
  <c r="O37" i="93" s="1"/>
  <c r="N37" i="86"/>
  <c r="M38" i="76"/>
  <c r="M38" i="93"/>
  <c r="O38" i="86"/>
  <c r="L41" i="76"/>
  <c r="L41" i="93"/>
  <c r="N41" i="86"/>
  <c r="M42" i="76"/>
  <c r="M42" i="93"/>
  <c r="O42" i="86"/>
  <c r="L45" i="76"/>
  <c r="L45" i="93"/>
  <c r="O45" i="93" s="1"/>
  <c r="N45" i="86"/>
  <c r="M46" i="76"/>
  <c r="M46" i="93"/>
  <c r="O46" i="86"/>
  <c r="L49" i="76"/>
  <c r="L49" i="93"/>
  <c r="N49" i="86"/>
  <c r="M50" i="76"/>
  <c r="M50" i="93"/>
  <c r="O50" i="86"/>
  <c r="L53" i="76"/>
  <c r="L53" i="93"/>
  <c r="O53" i="93" s="1"/>
  <c r="N53" i="86"/>
  <c r="M54" i="76"/>
  <c r="M54" i="93"/>
  <c r="O54" i="86"/>
  <c r="L57" i="76"/>
  <c r="L57" i="93"/>
  <c r="N57" i="86"/>
  <c r="M58" i="76"/>
  <c r="M58" i="93"/>
  <c r="O58" i="86"/>
  <c r="L61" i="76"/>
  <c r="L61" i="93"/>
  <c r="O61" i="93" s="1"/>
  <c r="N61" i="86"/>
  <c r="M62" i="76"/>
  <c r="M62" i="93"/>
  <c r="O62" i="86"/>
  <c r="L65" i="76"/>
  <c r="L65" i="93"/>
  <c r="N65" i="86"/>
  <c r="M66" i="76"/>
  <c r="M66" i="93"/>
  <c r="O66" i="86"/>
  <c r="L69" i="76"/>
  <c r="L69" i="93"/>
  <c r="O69" i="93" s="1"/>
  <c r="N69" i="86"/>
  <c r="M70" i="76"/>
  <c r="M70" i="93"/>
  <c r="O70" i="86"/>
  <c r="L73" i="76"/>
  <c r="L73" i="93"/>
  <c r="N73" i="86"/>
  <c r="M74" i="76"/>
  <c r="M74" i="93"/>
  <c r="O74" i="86"/>
  <c r="L77" i="76"/>
  <c r="L77" i="93"/>
  <c r="O77" i="93" s="1"/>
  <c r="N77" i="86"/>
  <c r="M78" i="76"/>
  <c r="M78" i="93"/>
  <c r="O78" i="86"/>
  <c r="L81" i="76"/>
  <c r="L81" i="93"/>
  <c r="N81" i="86"/>
  <c r="M82" i="76"/>
  <c r="M82" i="93"/>
  <c r="O82" i="86"/>
  <c r="L85" i="76"/>
  <c r="L85" i="93"/>
  <c r="O85" i="93" s="1"/>
  <c r="N85" i="86"/>
  <c r="M86" i="76"/>
  <c r="M86" i="93"/>
  <c r="O86" i="86"/>
  <c r="L89" i="76"/>
  <c r="L89" i="93"/>
  <c r="N89" i="86"/>
  <c r="M90" i="76"/>
  <c r="M90" i="93"/>
  <c r="O90" i="86"/>
  <c r="L93" i="76"/>
  <c r="L93" i="93"/>
  <c r="O93" i="93" s="1"/>
  <c r="N93" i="86"/>
  <c r="M94" i="76"/>
  <c r="M94" i="93"/>
  <c r="O94" i="86"/>
  <c r="L97" i="76"/>
  <c r="L97" i="93"/>
  <c r="N97" i="86"/>
  <c r="M98" i="76"/>
  <c r="M98" i="93"/>
  <c r="O98" i="86"/>
  <c r="L101" i="76"/>
  <c r="L101" i="93"/>
  <c r="O101" i="93" s="1"/>
  <c r="N101" i="86"/>
  <c r="M102" i="76"/>
  <c r="M102" i="93"/>
  <c r="O102" i="86"/>
  <c r="L105" i="76"/>
  <c r="L105" i="93"/>
  <c r="N105" i="86"/>
  <c r="M106" i="76"/>
  <c r="M106" i="93"/>
  <c r="O106" i="86"/>
  <c r="L109" i="76"/>
  <c r="L109" i="93"/>
  <c r="O109" i="93" s="1"/>
  <c r="N109" i="86"/>
  <c r="M110" i="76"/>
  <c r="M110" i="93"/>
  <c r="O110" i="86"/>
  <c r="L113" i="76"/>
  <c r="L113" i="93"/>
  <c r="N113" i="86"/>
  <c r="M114" i="76"/>
  <c r="M114" i="93"/>
  <c r="O114" i="86"/>
  <c r="L117" i="76"/>
  <c r="L117" i="93"/>
  <c r="O117" i="93" s="1"/>
  <c r="N117" i="86"/>
  <c r="M118" i="76"/>
  <c r="M118" i="93"/>
  <c r="O118" i="86"/>
  <c r="L121" i="76"/>
  <c r="L121" i="93"/>
  <c r="N121" i="86"/>
  <c r="M122" i="76"/>
  <c r="M122" i="93"/>
  <c r="O122" i="86"/>
  <c r="L133" i="76"/>
  <c r="N133" i="86"/>
  <c r="M132" i="76"/>
  <c r="O132" i="86"/>
  <c r="L129" i="76"/>
  <c r="N129" i="86"/>
  <c r="M128" i="76"/>
  <c r="O128" i="86"/>
  <c r="L125" i="76"/>
  <c r="N125" i="86"/>
  <c r="L18" i="93"/>
  <c r="L6" i="93"/>
  <c r="N18" i="86"/>
  <c r="N6" i="86"/>
  <c r="L22" i="93"/>
  <c r="L10" i="93"/>
  <c r="N10" i="86"/>
  <c r="N22" i="86"/>
  <c r="L26" i="93"/>
  <c r="O26" i="93" s="1"/>
  <c r="L14" i="93"/>
  <c r="N14" i="86"/>
  <c r="N26" i="86"/>
  <c r="L30" i="76"/>
  <c r="L30" i="93"/>
  <c r="O30" i="93" s="1"/>
  <c r="N30" i="86"/>
  <c r="M35" i="76"/>
  <c r="M35" i="93"/>
  <c r="O35" i="86"/>
  <c r="L38" i="76"/>
  <c r="L38" i="93"/>
  <c r="O38" i="93" s="1"/>
  <c r="N38" i="86"/>
  <c r="M43" i="76"/>
  <c r="M43" i="93"/>
  <c r="O43" i="86"/>
  <c r="L46" i="76"/>
  <c r="L46" i="93"/>
  <c r="O46" i="93" s="1"/>
  <c r="N46" i="86"/>
  <c r="M51" i="76"/>
  <c r="M51" i="93"/>
  <c r="O51" i="86"/>
  <c r="L54" i="76"/>
  <c r="L54" i="93"/>
  <c r="O54" i="93" s="1"/>
  <c r="N54" i="86"/>
  <c r="L58" i="76"/>
  <c r="L58" i="93"/>
  <c r="O58" i="93" s="1"/>
  <c r="N58" i="86"/>
  <c r="L62" i="76"/>
  <c r="L62" i="93"/>
  <c r="O62" i="93" s="1"/>
  <c r="N62" i="86"/>
  <c r="M63" i="76"/>
  <c r="M63" i="93"/>
  <c r="O63" i="86"/>
  <c r="L66" i="76"/>
  <c r="L66" i="93"/>
  <c r="O66" i="93" s="1"/>
  <c r="N66" i="86"/>
  <c r="M67" i="76"/>
  <c r="M67" i="93"/>
  <c r="O67" i="86"/>
  <c r="L70" i="76"/>
  <c r="L70" i="93"/>
  <c r="O70" i="93" s="1"/>
  <c r="N70" i="86"/>
  <c r="M71" i="76"/>
  <c r="M71" i="93"/>
  <c r="O71" i="86"/>
  <c r="M75" i="76"/>
  <c r="M75" i="93"/>
  <c r="O75" i="86"/>
  <c r="M79" i="76"/>
  <c r="M79" i="93"/>
  <c r="O79" i="86"/>
  <c r="L82" i="76"/>
  <c r="L82" i="93"/>
  <c r="O82" i="93" s="1"/>
  <c r="N82" i="86"/>
  <c r="L86" i="76"/>
  <c r="L86" i="93"/>
  <c r="O86" i="93" s="1"/>
  <c r="N86" i="86"/>
  <c r="M91" i="76"/>
  <c r="M91" i="93"/>
  <c r="O91" i="86"/>
  <c r="L94" i="76"/>
  <c r="L94" i="93"/>
  <c r="O94" i="93" s="1"/>
  <c r="N94" i="86"/>
  <c r="M99" i="76"/>
  <c r="M99" i="93"/>
  <c r="O99" i="86"/>
  <c r="M103" i="76"/>
  <c r="M103" i="93"/>
  <c r="O103" i="86"/>
  <c r="L106" i="76"/>
  <c r="L106" i="93"/>
  <c r="O106" i="93" s="1"/>
  <c r="N106" i="86"/>
  <c r="L110" i="76"/>
  <c r="L110" i="93"/>
  <c r="O110" i="93" s="1"/>
  <c r="N110" i="86"/>
  <c r="L114" i="76"/>
  <c r="L114" i="93"/>
  <c r="O114" i="93" s="1"/>
  <c r="N114" i="86"/>
  <c r="M119" i="76"/>
  <c r="M119" i="93"/>
  <c r="O119" i="86"/>
  <c r="L122" i="76"/>
  <c r="L122" i="93"/>
  <c r="O122" i="93" s="1"/>
  <c r="N122" i="86"/>
  <c r="L16" i="93"/>
  <c r="L4" i="93"/>
  <c r="O4" i="93" s="1"/>
  <c r="P4" i="93" s="1"/>
  <c r="Q4" i="93" s="1"/>
  <c r="R4" i="93" s="1"/>
  <c r="N16" i="86"/>
  <c r="N4" i="86"/>
  <c r="M18" i="93"/>
  <c r="M6" i="93"/>
  <c r="O18" i="86"/>
  <c r="O6" i="86"/>
  <c r="M22" i="93"/>
  <c r="M10" i="93"/>
  <c r="O22" i="86"/>
  <c r="O10" i="86"/>
  <c r="L15" i="76"/>
  <c r="L15" i="93"/>
  <c r="N15" i="86"/>
  <c r="M4" i="93"/>
  <c r="M16" i="93"/>
  <c r="O16" i="86"/>
  <c r="O4" i="86"/>
  <c r="M17" i="93"/>
  <c r="M5" i="93"/>
  <c r="O5" i="86"/>
  <c r="O17" i="86"/>
  <c r="L20" i="93"/>
  <c r="L8" i="93"/>
  <c r="N8" i="86"/>
  <c r="N20" i="86"/>
  <c r="M21" i="93"/>
  <c r="M9" i="93"/>
  <c r="O9" i="86"/>
  <c r="O21" i="86"/>
  <c r="L12" i="93"/>
  <c r="L24" i="93"/>
  <c r="N12" i="86"/>
  <c r="N24" i="86"/>
  <c r="M25" i="93"/>
  <c r="M13" i="93"/>
  <c r="O13" i="86"/>
  <c r="O25" i="86"/>
  <c r="L28" i="76"/>
  <c r="L28" i="93"/>
  <c r="N28" i="86"/>
  <c r="M29" i="76"/>
  <c r="M29" i="93"/>
  <c r="O29" i="86"/>
  <c r="L32" i="76"/>
  <c r="L32" i="93"/>
  <c r="O32" i="93" s="1"/>
  <c r="N32" i="86"/>
  <c r="M33" i="76"/>
  <c r="M33" i="93"/>
  <c r="O33" i="86"/>
  <c r="L36" i="76"/>
  <c r="L36" i="93"/>
  <c r="N36" i="86"/>
  <c r="M37" i="76"/>
  <c r="M37" i="93"/>
  <c r="O37" i="86"/>
  <c r="L40" i="76"/>
  <c r="L40" i="93"/>
  <c r="O40" i="93" s="1"/>
  <c r="N40" i="86"/>
  <c r="M41" i="76"/>
  <c r="M41" i="93"/>
  <c r="O41" i="86"/>
  <c r="L44" i="76"/>
  <c r="L44" i="93"/>
  <c r="N44" i="86"/>
  <c r="M45" i="76"/>
  <c r="M45" i="93"/>
  <c r="O45" i="86"/>
  <c r="L48" i="76"/>
  <c r="L48" i="93"/>
  <c r="O48" i="93" s="1"/>
  <c r="N48" i="86"/>
  <c r="M49" i="76"/>
  <c r="M49" i="93"/>
  <c r="O49" i="86"/>
  <c r="L52" i="76"/>
  <c r="L52" i="93"/>
  <c r="N52" i="86"/>
  <c r="M53" i="76"/>
  <c r="M53" i="93"/>
  <c r="O53" i="86"/>
  <c r="L56" i="76"/>
  <c r="L56" i="93"/>
  <c r="O56" i="93" s="1"/>
  <c r="N56" i="86"/>
  <c r="M57" i="76"/>
  <c r="M57" i="93"/>
  <c r="O57" i="86"/>
  <c r="L60" i="76"/>
  <c r="L60" i="93"/>
  <c r="N60" i="86"/>
  <c r="M61" i="76"/>
  <c r="M61" i="93"/>
  <c r="O61" i="86"/>
  <c r="L64" i="76"/>
  <c r="L64" i="93"/>
  <c r="O64" i="93" s="1"/>
  <c r="N64" i="86"/>
  <c r="M65" i="76"/>
  <c r="M65" i="93"/>
  <c r="O65" i="86"/>
  <c r="L68" i="76"/>
  <c r="L68" i="93"/>
  <c r="N68" i="86"/>
  <c r="M69" i="76"/>
  <c r="M69" i="93"/>
  <c r="O69" i="86"/>
  <c r="L72" i="76"/>
  <c r="L72" i="93"/>
  <c r="O72" i="93" s="1"/>
  <c r="N72" i="86"/>
  <c r="M73" i="76"/>
  <c r="M73" i="93"/>
  <c r="O73" i="86"/>
  <c r="L76" i="76"/>
  <c r="L76" i="93"/>
  <c r="N76" i="86"/>
  <c r="M77" i="76"/>
  <c r="M77" i="93"/>
  <c r="O77" i="86"/>
  <c r="L80" i="76"/>
  <c r="L80" i="93"/>
  <c r="O80" i="93" s="1"/>
  <c r="N80" i="86"/>
  <c r="M81" i="76"/>
  <c r="M81" i="93"/>
  <c r="O81" i="86"/>
  <c r="L84" i="76"/>
  <c r="L84" i="93"/>
  <c r="N84" i="86"/>
  <c r="M85" i="76"/>
  <c r="M85" i="93"/>
  <c r="O85" i="86"/>
  <c r="L88" i="76"/>
  <c r="L88" i="93"/>
  <c r="O88" i="93" s="1"/>
  <c r="N88" i="86"/>
  <c r="M89" i="76"/>
  <c r="M89" i="93"/>
  <c r="O89" i="86"/>
  <c r="L92" i="76"/>
  <c r="L92" i="93"/>
  <c r="N92" i="86"/>
  <c r="M93" i="76"/>
  <c r="M93" i="93"/>
  <c r="O93" i="86"/>
  <c r="L96" i="76"/>
  <c r="L96" i="93"/>
  <c r="O96" i="93" s="1"/>
  <c r="N96" i="86"/>
  <c r="M97" i="76"/>
  <c r="M97" i="93"/>
  <c r="O97" i="86"/>
  <c r="L100" i="76"/>
  <c r="L100" i="93"/>
  <c r="N100" i="86"/>
  <c r="M101" i="76"/>
  <c r="M101" i="93"/>
  <c r="O101" i="86"/>
  <c r="L104" i="76"/>
  <c r="L104" i="93"/>
  <c r="O104" i="93" s="1"/>
  <c r="N104" i="86"/>
  <c r="M105" i="76"/>
  <c r="M105" i="93"/>
  <c r="O105" i="86"/>
  <c r="L108" i="76"/>
  <c r="L108" i="93"/>
  <c r="N108" i="86"/>
  <c r="M109" i="76"/>
  <c r="M109" i="93"/>
  <c r="O109" i="86"/>
  <c r="L112" i="76"/>
  <c r="L112" i="93"/>
  <c r="O112" i="93" s="1"/>
  <c r="N112" i="86"/>
  <c r="M113" i="76"/>
  <c r="M113" i="93"/>
  <c r="O113" i="86"/>
  <c r="L116" i="76"/>
  <c r="L116" i="93"/>
  <c r="N116" i="86"/>
  <c r="M117" i="76"/>
  <c r="M117" i="93"/>
  <c r="O117" i="86"/>
  <c r="L120" i="76"/>
  <c r="L120" i="93"/>
  <c r="O120" i="93" s="1"/>
  <c r="N120" i="86"/>
  <c r="M121" i="76"/>
  <c r="M121" i="93"/>
  <c r="O121" i="86"/>
  <c r="L124" i="76"/>
  <c r="L201" i="76" s="1"/>
  <c r="L124" i="93"/>
  <c r="N124" i="86"/>
  <c r="L132" i="76"/>
  <c r="U132" i="76" s="1"/>
  <c r="N132" i="86"/>
  <c r="M131" i="76"/>
  <c r="O131" i="86"/>
  <c r="L128" i="76"/>
  <c r="N128" i="86"/>
  <c r="M127" i="76"/>
  <c r="O127" i="86"/>
  <c r="M27" i="76"/>
  <c r="M27" i="93"/>
  <c r="O27" i="86"/>
  <c r="M47" i="76"/>
  <c r="M47" i="93"/>
  <c r="O47" i="86"/>
  <c r="L134" i="76"/>
  <c r="N134" i="86"/>
  <c r="M129" i="76"/>
  <c r="U129" i="76" s="1"/>
  <c r="O129" i="86"/>
  <c r="M125" i="76"/>
  <c r="O125" i="86"/>
  <c r="M15" i="76"/>
  <c r="M15" i="93"/>
  <c r="O15" i="86"/>
  <c r="L7" i="93"/>
  <c r="O7" i="93" s="1"/>
  <c r="P7" i="93" s="1"/>
  <c r="Q7" i="93" s="1"/>
  <c r="R7" i="93" s="1"/>
  <c r="L19" i="93"/>
  <c r="O19" i="93" s="1"/>
  <c r="N19" i="86"/>
  <c r="N7" i="86"/>
  <c r="M8" i="93"/>
  <c r="M20" i="93"/>
  <c r="O8" i="86"/>
  <c r="O20" i="86"/>
  <c r="L11" i="93"/>
  <c r="O11" i="93" s="1"/>
  <c r="P11" i="93" s="1"/>
  <c r="Q11" i="93" s="1"/>
  <c r="R11" i="93" s="1"/>
  <c r="L23" i="93"/>
  <c r="O23" i="93" s="1"/>
  <c r="N23" i="86"/>
  <c r="N11" i="86"/>
  <c r="M12" i="93"/>
  <c r="M24" i="93"/>
  <c r="O12" i="86"/>
  <c r="O24" i="86"/>
  <c r="L27" i="76"/>
  <c r="L27" i="93"/>
  <c r="O27" i="93" s="1"/>
  <c r="N27" i="86"/>
  <c r="M28" i="76"/>
  <c r="M28" i="93"/>
  <c r="O28" i="86"/>
  <c r="L31" i="76"/>
  <c r="L31" i="93"/>
  <c r="O31" i="93" s="1"/>
  <c r="N31" i="86"/>
  <c r="M32" i="76"/>
  <c r="M32" i="93"/>
  <c r="O32" i="86"/>
  <c r="L35" i="76"/>
  <c r="L35" i="93"/>
  <c r="O35" i="93" s="1"/>
  <c r="N35" i="86"/>
  <c r="M36" i="76"/>
  <c r="M36" i="93"/>
  <c r="O36" i="86"/>
  <c r="L39" i="76"/>
  <c r="L39" i="93"/>
  <c r="N39" i="86"/>
  <c r="M40" i="76"/>
  <c r="M40" i="93"/>
  <c r="O40" i="86"/>
  <c r="L43" i="76"/>
  <c r="L43" i="93"/>
  <c r="O43" i="93" s="1"/>
  <c r="N43" i="86"/>
  <c r="M44" i="76"/>
  <c r="M44" i="93"/>
  <c r="O44" i="86"/>
  <c r="L47" i="76"/>
  <c r="L47" i="93"/>
  <c r="N47" i="86"/>
  <c r="M48" i="76"/>
  <c r="M48" i="93"/>
  <c r="O48" i="86"/>
  <c r="L51" i="76"/>
  <c r="L51" i="93"/>
  <c r="O51" i="93" s="1"/>
  <c r="N51" i="86"/>
  <c r="M52" i="76"/>
  <c r="M52" i="93"/>
  <c r="O52" i="86"/>
  <c r="L55" i="76"/>
  <c r="L55" i="93"/>
  <c r="O55" i="93" s="1"/>
  <c r="N55" i="86"/>
  <c r="M56" i="76"/>
  <c r="M56" i="93"/>
  <c r="O56" i="86"/>
  <c r="L59" i="76"/>
  <c r="L59" i="93"/>
  <c r="O59" i="93" s="1"/>
  <c r="N59" i="86"/>
  <c r="M60" i="76"/>
  <c r="M60" i="93"/>
  <c r="O60" i="86"/>
  <c r="L63" i="76"/>
  <c r="L63" i="93"/>
  <c r="O63" i="93" s="1"/>
  <c r="N63" i="86"/>
  <c r="M64" i="76"/>
  <c r="M64" i="93"/>
  <c r="O64" i="86"/>
  <c r="L67" i="76"/>
  <c r="L67" i="93"/>
  <c r="O67" i="93" s="1"/>
  <c r="N67" i="86"/>
  <c r="M68" i="76"/>
  <c r="M68" i="93"/>
  <c r="O68" i="86"/>
  <c r="L71" i="76"/>
  <c r="L71" i="93"/>
  <c r="O71" i="93" s="1"/>
  <c r="N71" i="86"/>
  <c r="M72" i="76"/>
  <c r="M72" i="93"/>
  <c r="O72" i="86"/>
  <c r="L75" i="76"/>
  <c r="L75" i="93"/>
  <c r="O75" i="93" s="1"/>
  <c r="N75" i="86"/>
  <c r="M76" i="76"/>
  <c r="M76" i="93"/>
  <c r="O76" i="86"/>
  <c r="L79" i="76"/>
  <c r="L79" i="93"/>
  <c r="O79" i="93" s="1"/>
  <c r="N79" i="86"/>
  <c r="M80" i="76"/>
  <c r="M80" i="93"/>
  <c r="O80" i="86"/>
  <c r="L83" i="76"/>
  <c r="L83" i="93"/>
  <c r="O83" i="93" s="1"/>
  <c r="N83" i="86"/>
  <c r="M84" i="76"/>
  <c r="M84" i="93"/>
  <c r="O84" i="86"/>
  <c r="L87" i="76"/>
  <c r="L87" i="93"/>
  <c r="N87" i="86"/>
  <c r="M88" i="76"/>
  <c r="M88" i="93"/>
  <c r="O88" i="86"/>
  <c r="L91" i="76"/>
  <c r="L91" i="93"/>
  <c r="O91" i="93" s="1"/>
  <c r="N91" i="86"/>
  <c r="M92" i="76"/>
  <c r="M92" i="93"/>
  <c r="O92" i="86"/>
  <c r="L95" i="76"/>
  <c r="L95" i="93"/>
  <c r="O95" i="93" s="1"/>
  <c r="N95" i="86"/>
  <c r="M96" i="76"/>
  <c r="M96" i="93"/>
  <c r="O96" i="86"/>
  <c r="L99" i="76"/>
  <c r="L99" i="93"/>
  <c r="O99" i="93" s="1"/>
  <c r="N99" i="86"/>
  <c r="M100" i="76"/>
  <c r="M100" i="93"/>
  <c r="O100" i="86"/>
  <c r="L103" i="76"/>
  <c r="L103" i="93"/>
  <c r="O103" i="93" s="1"/>
  <c r="N103" i="86"/>
  <c r="M104" i="76"/>
  <c r="M104" i="93"/>
  <c r="O104" i="86"/>
  <c r="L107" i="76"/>
  <c r="L107" i="93"/>
  <c r="O107" i="93" s="1"/>
  <c r="N107" i="86"/>
  <c r="M108" i="76"/>
  <c r="M108" i="93"/>
  <c r="O108" i="86"/>
  <c r="L111" i="76"/>
  <c r="L111" i="93"/>
  <c r="O111" i="93" s="1"/>
  <c r="N111" i="86"/>
  <c r="M112" i="76"/>
  <c r="M112" i="93"/>
  <c r="O112" i="86"/>
  <c r="L115" i="76"/>
  <c r="L115" i="93"/>
  <c r="O115" i="93" s="1"/>
  <c r="N115" i="86"/>
  <c r="M116" i="76"/>
  <c r="M116" i="93"/>
  <c r="O116" i="86"/>
  <c r="L119" i="76"/>
  <c r="L119" i="93"/>
  <c r="O119" i="93" s="1"/>
  <c r="N119" i="86"/>
  <c r="M120" i="76"/>
  <c r="M120" i="93"/>
  <c r="O120" i="86"/>
  <c r="L123" i="76"/>
  <c r="L123" i="93"/>
  <c r="O123" i="93" s="1"/>
  <c r="N123" i="86"/>
  <c r="M124" i="76"/>
  <c r="M201" i="76" s="1"/>
  <c r="U201" i="76" s="1"/>
  <c r="M124" i="93"/>
  <c r="O124" i="86"/>
  <c r="M134" i="76"/>
  <c r="O134" i="86"/>
  <c r="L131" i="76"/>
  <c r="U131" i="76" s="1"/>
  <c r="N131" i="86"/>
  <c r="M130" i="76"/>
  <c r="O130" i="86"/>
  <c r="L127" i="76"/>
  <c r="U127" i="76" s="1"/>
  <c r="N127" i="86"/>
  <c r="M126" i="76"/>
  <c r="O126" i="86"/>
  <c r="U133" i="76"/>
  <c r="U125" i="76"/>
  <c r="U128" i="76"/>
  <c r="K9" i="11"/>
  <c r="J9" i="11"/>
  <c r="AY107" i="71"/>
  <c r="AX33" i="84"/>
  <c r="AY95" i="71"/>
  <c r="AX21" i="84"/>
  <c r="AY79" i="71"/>
  <c r="AX5" i="84"/>
  <c r="AZ119" i="71"/>
  <c r="AY45" i="84"/>
  <c r="AZ111" i="71"/>
  <c r="AY37" i="84"/>
  <c r="AZ103" i="71"/>
  <c r="AY29" i="84"/>
  <c r="AZ93" i="71"/>
  <c r="AY19" i="84"/>
  <c r="AZ87" i="71"/>
  <c r="AY13" i="84"/>
  <c r="AZ77" i="71"/>
  <c r="AY3" i="84"/>
  <c r="BB119" i="71"/>
  <c r="BA45" i="84"/>
  <c r="BB114" i="71"/>
  <c r="BA40" i="84"/>
  <c r="BB109" i="71"/>
  <c r="BA35" i="84"/>
  <c r="BB100" i="71"/>
  <c r="BA26" i="84"/>
  <c r="BB87" i="71"/>
  <c r="BA13" i="84"/>
  <c r="BB84" i="71"/>
  <c r="BA10" i="84"/>
  <c r="BB80" i="71"/>
  <c r="BA6" i="84"/>
  <c r="BB76" i="71"/>
  <c r="BA2" i="84"/>
  <c r="BF1" i="84"/>
  <c r="BJ121" i="71"/>
  <c r="BI47" i="84"/>
  <c r="BJ119" i="71"/>
  <c r="BI45" i="84"/>
  <c r="BH116" i="71"/>
  <c r="BG42" i="84"/>
  <c r="BH114" i="71"/>
  <c r="BG40" i="84"/>
  <c r="BH112" i="71"/>
  <c r="BG38" i="84"/>
  <c r="BH110" i="71"/>
  <c r="BG36" i="84"/>
  <c r="BF109" i="71"/>
  <c r="BE35" i="84"/>
  <c r="BJ105" i="71"/>
  <c r="BI31" i="84"/>
  <c r="BK98" i="71"/>
  <c r="BJ24" i="84"/>
  <c r="BK94" i="71"/>
  <c r="BJ20" i="84"/>
  <c r="BF93" i="71"/>
  <c r="BE19" i="84"/>
  <c r="BH91" i="71"/>
  <c r="BG17" i="84"/>
  <c r="BK78" i="71"/>
  <c r="BJ4" i="84"/>
  <c r="BH107" i="71"/>
  <c r="BK102" i="71"/>
  <c r="BH99" i="71"/>
  <c r="BG86" i="71"/>
  <c r="BI80" i="71"/>
  <c r="AY103" i="71"/>
  <c r="AX29" i="84"/>
  <c r="AY91" i="71"/>
  <c r="AX17" i="84"/>
  <c r="AY83" i="71"/>
  <c r="AX9" i="84"/>
  <c r="AZ117" i="71"/>
  <c r="AY43" i="84"/>
  <c r="AZ113" i="71"/>
  <c r="AY39" i="84"/>
  <c r="AZ107" i="71"/>
  <c r="AY33" i="84"/>
  <c r="AZ101" i="71"/>
  <c r="AY27" i="84"/>
  <c r="AZ97" i="71"/>
  <c r="AY23" i="84"/>
  <c r="AZ91" i="71"/>
  <c r="AY17" i="84"/>
  <c r="AZ85" i="71"/>
  <c r="AY11" i="84"/>
  <c r="AZ81" i="71"/>
  <c r="AY7" i="84"/>
  <c r="BB120" i="71"/>
  <c r="BA46" i="84"/>
  <c r="BB117" i="71"/>
  <c r="BA43" i="84"/>
  <c r="BB116" i="71"/>
  <c r="BA42" i="84"/>
  <c r="BB113" i="71"/>
  <c r="BA39" i="84"/>
  <c r="BB111" i="71"/>
  <c r="BA37" i="84"/>
  <c r="BB108" i="71"/>
  <c r="BA34" i="84"/>
  <c r="BB106" i="71"/>
  <c r="BA32" i="84"/>
  <c r="BB104" i="71"/>
  <c r="BA30" i="84"/>
  <c r="BB102" i="71"/>
  <c r="BA28" i="84"/>
  <c r="BB99" i="71"/>
  <c r="BA25" i="84"/>
  <c r="BB97" i="71"/>
  <c r="BA23" i="84"/>
  <c r="BB95" i="71"/>
  <c r="BA21" i="84"/>
  <c r="BB93" i="71"/>
  <c r="BA19" i="84"/>
  <c r="BB91" i="71"/>
  <c r="BA17" i="84"/>
  <c r="BB89" i="71"/>
  <c r="BA15" i="84"/>
  <c r="BB86" i="71"/>
  <c r="BA12" i="84"/>
  <c r="BB83" i="71"/>
  <c r="BA9" i="84"/>
  <c r="BB81" i="71"/>
  <c r="BA7" i="84"/>
  <c r="BB78" i="71"/>
  <c r="BA4" i="84"/>
  <c r="BH120" i="71"/>
  <c r="BG46" i="84"/>
  <c r="BH118" i="71"/>
  <c r="BG44" i="84"/>
  <c r="BL116" i="71"/>
  <c r="BK42" i="84"/>
  <c r="BJ115" i="71"/>
  <c r="BI41" i="84"/>
  <c r="BJ113" i="71"/>
  <c r="BI39" i="84"/>
  <c r="BJ111" i="71"/>
  <c r="BI37" i="84"/>
  <c r="BJ109" i="71"/>
  <c r="BI35" i="84"/>
  <c r="BF105" i="71"/>
  <c r="BE31" i="84"/>
  <c r="BL103" i="71"/>
  <c r="BK29" i="84"/>
  <c r="BJ101" i="71"/>
  <c r="BI27" i="84"/>
  <c r="BL99" i="71"/>
  <c r="BK25" i="84"/>
  <c r="BG98" i="71"/>
  <c r="BF24" i="84"/>
  <c r="BF97" i="71"/>
  <c r="BE23" i="84"/>
  <c r="BL95" i="71"/>
  <c r="BK21" i="84"/>
  <c r="BG94" i="71"/>
  <c r="BF20" i="84"/>
  <c r="BK90" i="71"/>
  <c r="BJ16" i="84"/>
  <c r="BJ89" i="71"/>
  <c r="BI15" i="84"/>
  <c r="BI88" i="71"/>
  <c r="BH14" i="84"/>
  <c r="BH87" i="71"/>
  <c r="BG13" i="84"/>
  <c r="BK86" i="71"/>
  <c r="BJ12" i="84"/>
  <c r="BJ85" i="71"/>
  <c r="BI11" i="84"/>
  <c r="BI84" i="71"/>
  <c r="BH10" i="84"/>
  <c r="BH83" i="71"/>
  <c r="BG9" i="84"/>
  <c r="BG82" i="71"/>
  <c r="BF8" i="84"/>
  <c r="BJ81" i="71"/>
  <c r="BI7" i="84"/>
  <c r="BL79" i="71"/>
  <c r="BK5" i="84"/>
  <c r="BG78" i="71"/>
  <c r="BF4" i="84"/>
  <c r="BF77" i="71"/>
  <c r="BE3" i="84"/>
  <c r="AY106" i="71"/>
  <c r="AX32" i="84"/>
  <c r="AY102" i="71"/>
  <c r="AX28" i="84"/>
  <c r="AY98" i="71"/>
  <c r="AX24" i="84"/>
  <c r="AY94" i="71"/>
  <c r="AX20" i="84"/>
  <c r="AY90" i="71"/>
  <c r="AX16" i="84"/>
  <c r="AY86" i="71"/>
  <c r="AX12" i="84"/>
  <c r="AY82" i="71"/>
  <c r="AX8" i="84"/>
  <c r="AY78" i="71"/>
  <c r="AX4" i="84"/>
  <c r="BA120" i="71"/>
  <c r="AZ46" i="84"/>
  <c r="BA118" i="71"/>
  <c r="AZ44" i="84"/>
  <c r="BA116" i="71"/>
  <c r="AZ42" i="84"/>
  <c r="BA114" i="71"/>
  <c r="AZ40" i="84"/>
  <c r="BA112" i="71"/>
  <c r="AZ38" i="84"/>
  <c r="BA110" i="71"/>
  <c r="AZ36" i="84"/>
  <c r="BA108" i="71"/>
  <c r="AZ34" i="84"/>
  <c r="BA106" i="71"/>
  <c r="AZ32" i="84"/>
  <c r="BA104" i="71"/>
  <c r="AZ30" i="84"/>
  <c r="BA102" i="71"/>
  <c r="AZ28" i="84"/>
  <c r="BA100" i="71"/>
  <c r="AZ26" i="84"/>
  <c r="BA98" i="71"/>
  <c r="AZ24" i="84"/>
  <c r="BA96" i="71"/>
  <c r="AZ22" i="84"/>
  <c r="BA94" i="71"/>
  <c r="AZ20" i="84"/>
  <c r="BA92" i="71"/>
  <c r="AZ18" i="84"/>
  <c r="BA90" i="71"/>
  <c r="AZ16" i="84"/>
  <c r="BA88" i="71"/>
  <c r="AZ14" i="84"/>
  <c r="BA86" i="71"/>
  <c r="AZ12" i="84"/>
  <c r="BA84" i="71"/>
  <c r="AZ10" i="84"/>
  <c r="BA82" i="71"/>
  <c r="AZ8" i="84"/>
  <c r="BA80" i="71"/>
  <c r="AZ6" i="84"/>
  <c r="BA78" i="71"/>
  <c r="AZ4" i="84"/>
  <c r="BA76" i="71"/>
  <c r="AZ2" i="84"/>
  <c r="BE121" i="71"/>
  <c r="BD47" i="84"/>
  <c r="BE120" i="71"/>
  <c r="BD46" i="84"/>
  <c r="BE119" i="71"/>
  <c r="BD45" i="84"/>
  <c r="BE118" i="71"/>
  <c r="BD44" i="84"/>
  <c r="BE117" i="71"/>
  <c r="BD43" i="84"/>
  <c r="BE116" i="71"/>
  <c r="BD42" i="84"/>
  <c r="BE115" i="71"/>
  <c r="BD41" i="84"/>
  <c r="BE113" i="71"/>
  <c r="BD39" i="84"/>
  <c r="BE112" i="71"/>
  <c r="BD38" i="84"/>
  <c r="BE111" i="71"/>
  <c r="BD37" i="84"/>
  <c r="BE110" i="71"/>
  <c r="BD36" i="84"/>
  <c r="BE109" i="71"/>
  <c r="BD35" i="84"/>
  <c r="BE108" i="71"/>
  <c r="BD34" i="84"/>
  <c r="BE107" i="71"/>
  <c r="BD33" i="84"/>
  <c r="BE106" i="71"/>
  <c r="BD32" i="84"/>
  <c r="BE105" i="71"/>
  <c r="BD31" i="84"/>
  <c r="BE104" i="71"/>
  <c r="BD30" i="84"/>
  <c r="BE103" i="71"/>
  <c r="BD29" i="84"/>
  <c r="BE102" i="71"/>
  <c r="BD28" i="84"/>
  <c r="BE101" i="71"/>
  <c r="BD27" i="84"/>
  <c r="BE100" i="71"/>
  <c r="BD26" i="84"/>
  <c r="BE99" i="71"/>
  <c r="BD25" i="84"/>
  <c r="BE97" i="71"/>
  <c r="BD23" i="84"/>
  <c r="BE96" i="71"/>
  <c r="BD22" i="84"/>
  <c r="BE95" i="71"/>
  <c r="BD21" i="84"/>
  <c r="BE94" i="71"/>
  <c r="BD20" i="84"/>
  <c r="BE93" i="71"/>
  <c r="BD19" i="84"/>
  <c r="BE92" i="71"/>
  <c r="BD18" i="84"/>
  <c r="BE91" i="71"/>
  <c r="BD17" i="84"/>
  <c r="BE90" i="71"/>
  <c r="BD16" i="84"/>
  <c r="BE89" i="71"/>
  <c r="BD15" i="84"/>
  <c r="BE88" i="71"/>
  <c r="BD14" i="84"/>
  <c r="BE87" i="71"/>
  <c r="BD13" i="84"/>
  <c r="BE86" i="71"/>
  <c r="BD12" i="84"/>
  <c r="BE85" i="71"/>
  <c r="BD11" i="84"/>
  <c r="BE84" i="71"/>
  <c r="BD10" i="84"/>
  <c r="BE83" i="71"/>
  <c r="BD9" i="84"/>
  <c r="BE82" i="71"/>
  <c r="BD8" i="84"/>
  <c r="BE81" i="71"/>
  <c r="BD7" i="84"/>
  <c r="BE80" i="71"/>
  <c r="BD6" i="84"/>
  <c r="BE79" i="71"/>
  <c r="BD5" i="84"/>
  <c r="BE78" i="71"/>
  <c r="BD4" i="84"/>
  <c r="BE77" i="71"/>
  <c r="BD3" i="84"/>
  <c r="BE76" i="71"/>
  <c r="BD2" i="84"/>
  <c r="BB1" i="84"/>
  <c r="BJ1" i="71"/>
  <c r="BI1" i="84"/>
  <c r="BI121" i="71"/>
  <c r="BH47" i="84"/>
  <c r="BG120" i="71"/>
  <c r="BF46" i="84"/>
  <c r="BI119" i="71"/>
  <c r="BH45" i="84"/>
  <c r="BK118" i="71"/>
  <c r="BJ44" i="84"/>
  <c r="BG118" i="71"/>
  <c r="BF44" i="84"/>
  <c r="BI117" i="71"/>
  <c r="BH43" i="84"/>
  <c r="BK116" i="71"/>
  <c r="BJ42" i="84"/>
  <c r="BG116" i="71"/>
  <c r="BF42" i="84"/>
  <c r="BK114" i="71"/>
  <c r="BJ40" i="84"/>
  <c r="BG114" i="71"/>
  <c r="BF40" i="84"/>
  <c r="BI113" i="71"/>
  <c r="BH39" i="84"/>
  <c r="BK112" i="71"/>
  <c r="BJ38" i="84"/>
  <c r="BG112" i="71"/>
  <c r="BF38" i="84"/>
  <c r="BI111" i="71"/>
  <c r="BH37" i="84"/>
  <c r="BK110" i="71"/>
  <c r="BJ36" i="84"/>
  <c r="BG110" i="71"/>
  <c r="BF36" i="84"/>
  <c r="BI109" i="71"/>
  <c r="BH35" i="84"/>
  <c r="BL108" i="71"/>
  <c r="BK34" i="84"/>
  <c r="BH108" i="71"/>
  <c r="BG34" i="84"/>
  <c r="BG107" i="71"/>
  <c r="BF33" i="84"/>
  <c r="BJ106" i="71"/>
  <c r="BI32" i="84"/>
  <c r="BI105" i="71"/>
  <c r="BH31" i="84"/>
  <c r="BL104" i="71"/>
  <c r="BK30" i="84"/>
  <c r="BH104" i="71"/>
  <c r="BG30" i="84"/>
  <c r="BG103" i="71"/>
  <c r="BF29" i="84"/>
  <c r="BJ102" i="71"/>
  <c r="BI28" i="84"/>
  <c r="BI101" i="71"/>
  <c r="BH27" i="84"/>
  <c r="BL100" i="71"/>
  <c r="BK26" i="84"/>
  <c r="BH100" i="71"/>
  <c r="BG26" i="84"/>
  <c r="BG99" i="71"/>
  <c r="BF25" i="84"/>
  <c r="BJ98" i="71"/>
  <c r="BI24" i="84"/>
  <c r="BF98" i="71"/>
  <c r="BE24" i="84"/>
  <c r="BI97" i="71"/>
  <c r="BH23" i="84"/>
  <c r="BL96" i="71"/>
  <c r="BK22" i="84"/>
  <c r="BH96" i="71"/>
  <c r="BG22" i="84"/>
  <c r="BK95" i="71"/>
  <c r="BJ21" i="84"/>
  <c r="BG95" i="71"/>
  <c r="BF21" i="84"/>
  <c r="BF94" i="71"/>
  <c r="BE20" i="84"/>
  <c r="BI93" i="71"/>
  <c r="BH19" i="84"/>
  <c r="BL92" i="71"/>
  <c r="BK18" i="84"/>
  <c r="BH92" i="71"/>
  <c r="BG18" i="84"/>
  <c r="BK91" i="71"/>
  <c r="BJ17" i="84"/>
  <c r="BJ90" i="71"/>
  <c r="BI16" i="84"/>
  <c r="BF90" i="71"/>
  <c r="BE16" i="84"/>
  <c r="BI89" i="71"/>
  <c r="BH15" i="84"/>
  <c r="BL88" i="71"/>
  <c r="BK14" i="84"/>
  <c r="BH88" i="71"/>
  <c r="BG14" i="84"/>
  <c r="BK87" i="71"/>
  <c r="BJ13" i="84"/>
  <c r="BG87" i="71"/>
  <c r="BF13" i="84"/>
  <c r="BJ86" i="71"/>
  <c r="BI12" i="84"/>
  <c r="BF86" i="71"/>
  <c r="BE12" i="84"/>
  <c r="BI85" i="71"/>
  <c r="BH11" i="84"/>
  <c r="BL84" i="71"/>
  <c r="BK10" i="84"/>
  <c r="BH84" i="71"/>
  <c r="BG10" i="84"/>
  <c r="BK83" i="71"/>
  <c r="BJ9" i="84"/>
  <c r="BG83" i="71"/>
  <c r="BF9" i="84"/>
  <c r="BF82" i="71"/>
  <c r="BE8" i="84"/>
  <c r="BI81" i="71"/>
  <c r="BH7" i="84"/>
  <c r="BL80" i="71"/>
  <c r="BK6" i="84"/>
  <c r="BH80" i="71"/>
  <c r="BG6" i="84"/>
  <c r="BJ78" i="71"/>
  <c r="BI4" i="84"/>
  <c r="BF78" i="71"/>
  <c r="BE4" i="84"/>
  <c r="BI77" i="71"/>
  <c r="BH3" i="84"/>
  <c r="BL76" i="71"/>
  <c r="BK2" i="84"/>
  <c r="BH76" i="71"/>
  <c r="BG2" i="84"/>
  <c r="BI108" i="71"/>
  <c r="BK103" i="71"/>
  <c r="BG102" i="71"/>
  <c r="BI100" i="71"/>
  <c r="BI96" i="71"/>
  <c r="BG91" i="71"/>
  <c r="BJ82" i="71"/>
  <c r="W125" i="62"/>
  <c r="AK39" i="84"/>
  <c r="AY99" i="71"/>
  <c r="AX25" i="84"/>
  <c r="AY87" i="71"/>
  <c r="AX13" i="84"/>
  <c r="AZ121" i="71"/>
  <c r="AY47" i="84"/>
  <c r="AZ115" i="71"/>
  <c r="AY41" i="84"/>
  <c r="AZ109" i="71"/>
  <c r="AY35" i="84"/>
  <c r="AZ105" i="71"/>
  <c r="AY31" i="84"/>
  <c r="AZ99" i="71"/>
  <c r="AY25" i="84"/>
  <c r="AZ95" i="71"/>
  <c r="AY21" i="84"/>
  <c r="AZ89" i="71"/>
  <c r="AY15" i="84"/>
  <c r="AZ83" i="71"/>
  <c r="AY9" i="84"/>
  <c r="AZ79" i="71"/>
  <c r="AY5" i="84"/>
  <c r="BB121" i="71"/>
  <c r="BA47" i="84"/>
  <c r="BB118" i="71"/>
  <c r="BA44" i="84"/>
  <c r="BB115" i="71"/>
  <c r="BA41" i="84"/>
  <c r="BB112" i="71"/>
  <c r="BA38" i="84"/>
  <c r="BB110" i="71"/>
  <c r="BA36" i="84"/>
  <c r="BB107" i="71"/>
  <c r="BA33" i="84"/>
  <c r="BB105" i="71"/>
  <c r="BA31" i="84"/>
  <c r="BB103" i="71"/>
  <c r="BA29" i="84"/>
  <c r="BB101" i="71"/>
  <c r="BA27" i="84"/>
  <c r="BB98" i="71"/>
  <c r="BA24" i="84"/>
  <c r="BB96" i="71"/>
  <c r="BA22" i="84"/>
  <c r="BB94" i="71"/>
  <c r="BA20" i="84"/>
  <c r="BB92" i="71"/>
  <c r="BA18" i="84"/>
  <c r="BB90" i="71"/>
  <c r="BA16" i="84"/>
  <c r="BB88" i="71"/>
  <c r="BA14" i="84"/>
  <c r="BB85" i="71"/>
  <c r="BA11" i="84"/>
  <c r="BB82" i="71"/>
  <c r="BA8" i="84"/>
  <c r="BB79" i="71"/>
  <c r="BA5" i="84"/>
  <c r="BB77" i="71"/>
  <c r="BA3" i="84"/>
  <c r="BF1" i="71"/>
  <c r="BE1" i="84"/>
  <c r="BL120" i="71"/>
  <c r="BK46" i="84"/>
  <c r="BL118" i="71"/>
  <c r="BK44" i="84"/>
  <c r="BJ117" i="71"/>
  <c r="BI43" i="84"/>
  <c r="BL114" i="71"/>
  <c r="BK40" i="84"/>
  <c r="BL112" i="71"/>
  <c r="BK38" i="84"/>
  <c r="BL110" i="71"/>
  <c r="BK36" i="84"/>
  <c r="BF101" i="71"/>
  <c r="BE27" i="84"/>
  <c r="BJ97" i="71"/>
  <c r="BI23" i="84"/>
  <c r="BH95" i="71"/>
  <c r="BG21" i="84"/>
  <c r="BJ93" i="71"/>
  <c r="BI19" i="84"/>
  <c r="BF89" i="71"/>
  <c r="BE15" i="84"/>
  <c r="BL87" i="71"/>
  <c r="BK13" i="84"/>
  <c r="BF85" i="71"/>
  <c r="BE11" i="84"/>
  <c r="BL83" i="71"/>
  <c r="BK9" i="84"/>
  <c r="BK82" i="71"/>
  <c r="BJ8" i="84"/>
  <c r="BF81" i="71"/>
  <c r="BE7" i="84"/>
  <c r="BH79" i="71"/>
  <c r="BG5" i="84"/>
  <c r="BJ77" i="71"/>
  <c r="BI3" i="84"/>
  <c r="AY109" i="71"/>
  <c r="AX35" i="84"/>
  <c r="AY105" i="71"/>
  <c r="AX31" i="84"/>
  <c r="AY101" i="71"/>
  <c r="AX27" i="84"/>
  <c r="AY97" i="71"/>
  <c r="AX23" i="84"/>
  <c r="AY93" i="71"/>
  <c r="AX19" i="84"/>
  <c r="AY89" i="71"/>
  <c r="AX15" i="84"/>
  <c r="AY85" i="71"/>
  <c r="AX11" i="84"/>
  <c r="AY81" i="71"/>
  <c r="AX7" i="84"/>
  <c r="AY77" i="71"/>
  <c r="AX3" i="84"/>
  <c r="AZ120" i="71"/>
  <c r="AY46" i="84"/>
  <c r="AZ118" i="71"/>
  <c r="AY44" i="84"/>
  <c r="AZ116" i="71"/>
  <c r="AY42" i="84"/>
  <c r="AZ114" i="71"/>
  <c r="AY40" i="84"/>
  <c r="AZ112" i="71"/>
  <c r="AY38" i="84"/>
  <c r="AZ110" i="71"/>
  <c r="AY36" i="84"/>
  <c r="AZ108" i="71"/>
  <c r="AY34" i="84"/>
  <c r="AZ106" i="71"/>
  <c r="AY32" i="84"/>
  <c r="AZ104" i="71"/>
  <c r="AY30" i="84"/>
  <c r="AZ102" i="71"/>
  <c r="AY28" i="84"/>
  <c r="AZ100" i="71"/>
  <c r="AY26" i="84"/>
  <c r="AZ98" i="71"/>
  <c r="AY24" i="84"/>
  <c r="AZ96" i="71"/>
  <c r="AY22" i="84"/>
  <c r="AZ94" i="71"/>
  <c r="AY20" i="84"/>
  <c r="AZ92" i="71"/>
  <c r="AY18" i="84"/>
  <c r="AZ90" i="71"/>
  <c r="AY16" i="84"/>
  <c r="AZ88" i="71"/>
  <c r="AY14" i="84"/>
  <c r="AZ86" i="71"/>
  <c r="AY12" i="84"/>
  <c r="AZ84" i="71"/>
  <c r="AY10" i="84"/>
  <c r="AZ82" i="71"/>
  <c r="AY8" i="84"/>
  <c r="AZ80" i="71"/>
  <c r="AY6" i="84"/>
  <c r="AZ78" i="71"/>
  <c r="AY4" i="84"/>
  <c r="AZ76" i="71"/>
  <c r="AY2" i="84"/>
  <c r="BD121" i="71"/>
  <c r="BC47" i="84"/>
  <c r="BD120" i="71"/>
  <c r="BC46" i="84"/>
  <c r="BD119" i="71"/>
  <c r="BC45" i="84"/>
  <c r="BD118" i="71"/>
  <c r="BC44" i="84"/>
  <c r="BD117" i="71"/>
  <c r="BC43" i="84"/>
  <c r="BD116" i="71"/>
  <c r="BC42" i="84"/>
  <c r="BD115" i="71"/>
  <c r="BC41" i="84"/>
  <c r="BD114" i="71"/>
  <c r="BC40" i="84"/>
  <c r="BD113" i="71"/>
  <c r="BC39" i="84"/>
  <c r="BD112" i="71"/>
  <c r="BC38" i="84"/>
  <c r="BD111" i="71"/>
  <c r="BC37" i="84"/>
  <c r="BD110" i="71"/>
  <c r="BC36" i="84"/>
  <c r="BD109" i="71"/>
  <c r="BC35" i="84"/>
  <c r="BD108" i="71"/>
  <c r="BC34" i="84"/>
  <c r="BD107" i="71"/>
  <c r="BC33" i="84"/>
  <c r="BD106" i="71"/>
  <c r="BC32" i="84"/>
  <c r="BD105" i="71"/>
  <c r="BC31" i="84"/>
  <c r="BD104" i="71"/>
  <c r="BC30" i="84"/>
  <c r="BD103" i="71"/>
  <c r="BC29" i="84"/>
  <c r="BD102" i="71"/>
  <c r="BC28" i="84"/>
  <c r="BD101" i="71"/>
  <c r="BC27" i="84"/>
  <c r="BD100" i="71"/>
  <c r="BC26" i="84"/>
  <c r="BD99" i="71"/>
  <c r="BC25" i="84"/>
  <c r="BD98" i="71"/>
  <c r="BC24" i="84"/>
  <c r="BD97" i="71"/>
  <c r="BC23" i="84"/>
  <c r="BD96" i="71"/>
  <c r="BC22" i="84"/>
  <c r="BD95" i="71"/>
  <c r="BC21" i="84"/>
  <c r="BD94" i="71"/>
  <c r="BC20" i="84"/>
  <c r="BD93" i="71"/>
  <c r="BC19" i="84"/>
  <c r="BD92" i="71"/>
  <c r="BC18" i="84"/>
  <c r="BD91" i="71"/>
  <c r="BC17" i="84"/>
  <c r="BD90" i="71"/>
  <c r="BC16" i="84"/>
  <c r="BD89" i="71"/>
  <c r="BC15" i="84"/>
  <c r="BD88" i="71"/>
  <c r="BC14" i="84"/>
  <c r="BD87" i="71"/>
  <c r="BC13" i="84"/>
  <c r="BD86" i="71"/>
  <c r="BC12" i="84"/>
  <c r="BD85" i="71"/>
  <c r="BC11" i="84"/>
  <c r="BD84" i="71"/>
  <c r="BC10" i="84"/>
  <c r="BD83" i="71"/>
  <c r="BC9" i="84"/>
  <c r="BD82" i="71"/>
  <c r="BC8" i="84"/>
  <c r="BD81" i="71"/>
  <c r="BC7" i="84"/>
  <c r="BD80" i="71"/>
  <c r="BC6" i="84"/>
  <c r="BD79" i="71"/>
  <c r="BC5" i="84"/>
  <c r="BD78" i="71"/>
  <c r="BC4" i="84"/>
  <c r="BD77" i="71"/>
  <c r="BC3" i="84"/>
  <c r="BD76" i="71"/>
  <c r="BC2" i="84"/>
  <c r="BD1" i="71"/>
  <c r="BC1" i="84"/>
  <c r="BI1" i="71"/>
  <c r="BH1" i="84"/>
  <c r="BJ1" i="84"/>
  <c r="BL121" i="71"/>
  <c r="BK47" i="84"/>
  <c r="BH121" i="71"/>
  <c r="BG47" i="84"/>
  <c r="BJ120" i="71"/>
  <c r="BI46" i="84"/>
  <c r="BL119" i="71"/>
  <c r="BK45" i="84"/>
  <c r="BH119" i="71"/>
  <c r="BG45" i="84"/>
  <c r="BJ118" i="71"/>
  <c r="BI44" i="84"/>
  <c r="BL117" i="71"/>
  <c r="BK43" i="84"/>
  <c r="BH117" i="71"/>
  <c r="BG43" i="84"/>
  <c r="BJ116" i="71"/>
  <c r="BI42" i="84"/>
  <c r="BL115" i="71"/>
  <c r="BK41" i="84"/>
  <c r="BH115" i="71"/>
  <c r="BG41" i="84"/>
  <c r="BJ114" i="71"/>
  <c r="BI40" i="84"/>
  <c r="BL113" i="71"/>
  <c r="BK39" i="84"/>
  <c r="BH113" i="71"/>
  <c r="BG39" i="84"/>
  <c r="BJ112" i="71"/>
  <c r="BI38" i="84"/>
  <c r="BL111" i="71"/>
  <c r="BK37" i="84"/>
  <c r="BH111" i="71"/>
  <c r="BG37" i="84"/>
  <c r="BJ110" i="71"/>
  <c r="BI36" i="84"/>
  <c r="BL109" i="71"/>
  <c r="BK35" i="84"/>
  <c r="BH109" i="71"/>
  <c r="BG35" i="84"/>
  <c r="BK108" i="71"/>
  <c r="BJ34" i="84"/>
  <c r="BG108" i="71"/>
  <c r="BF34" i="84"/>
  <c r="BJ107" i="71"/>
  <c r="BI33" i="84"/>
  <c r="BF107" i="71"/>
  <c r="BE33" i="84"/>
  <c r="BI106" i="71"/>
  <c r="BH32" i="84"/>
  <c r="BL105" i="71"/>
  <c r="BK31" i="84"/>
  <c r="BH105" i="71"/>
  <c r="BG31" i="84"/>
  <c r="BK104" i="71"/>
  <c r="BJ30" i="84"/>
  <c r="BG104" i="71"/>
  <c r="BF30" i="84"/>
  <c r="BJ103" i="71"/>
  <c r="BI29" i="84"/>
  <c r="BF103" i="71"/>
  <c r="BE29" i="84"/>
  <c r="BI102" i="71"/>
  <c r="BH28" i="84"/>
  <c r="BL101" i="71"/>
  <c r="BK27" i="84"/>
  <c r="BH101" i="71"/>
  <c r="BG27" i="84"/>
  <c r="BK100" i="71"/>
  <c r="BJ26" i="84"/>
  <c r="BG100" i="71"/>
  <c r="BF26" i="84"/>
  <c r="BJ99" i="71"/>
  <c r="BI25" i="84"/>
  <c r="BF99" i="71"/>
  <c r="BE25" i="84"/>
  <c r="BI98" i="71"/>
  <c r="BH24" i="84"/>
  <c r="BL97" i="71"/>
  <c r="BK23" i="84"/>
  <c r="BH97" i="71"/>
  <c r="BG23" i="84"/>
  <c r="BK96" i="71"/>
  <c r="BJ22" i="84"/>
  <c r="BG96" i="71"/>
  <c r="BF22" i="84"/>
  <c r="BJ95" i="71"/>
  <c r="BI21" i="84"/>
  <c r="BF95" i="71"/>
  <c r="BE21" i="84"/>
  <c r="BI94" i="71"/>
  <c r="BH20" i="84"/>
  <c r="BL93" i="71"/>
  <c r="BK19" i="84"/>
  <c r="BH93" i="71"/>
  <c r="BG19" i="84"/>
  <c r="BK92" i="71"/>
  <c r="BJ18" i="84"/>
  <c r="BG92" i="71"/>
  <c r="BF18" i="84"/>
  <c r="BJ91" i="71"/>
  <c r="BI17" i="84"/>
  <c r="BF91" i="71"/>
  <c r="BE17" i="84"/>
  <c r="BI90" i="71"/>
  <c r="BH16" i="84"/>
  <c r="BL89" i="71"/>
  <c r="BK15" i="84"/>
  <c r="BH89" i="71"/>
  <c r="BG15" i="84"/>
  <c r="BK88" i="71"/>
  <c r="BJ14" i="84"/>
  <c r="BG88" i="71"/>
  <c r="BF14" i="84"/>
  <c r="BJ87" i="71"/>
  <c r="BI13" i="84"/>
  <c r="BF87" i="71"/>
  <c r="BE13" i="84"/>
  <c r="BI86" i="71"/>
  <c r="BH12" i="84"/>
  <c r="BL85" i="71"/>
  <c r="BK11" i="84"/>
  <c r="BH85" i="71"/>
  <c r="BG11" i="84"/>
  <c r="BK84" i="71"/>
  <c r="BJ10" i="84"/>
  <c r="BG84" i="71"/>
  <c r="BF10" i="84"/>
  <c r="BJ83" i="71"/>
  <c r="BI9" i="84"/>
  <c r="BF83" i="71"/>
  <c r="BE9" i="84"/>
  <c r="BI82" i="71"/>
  <c r="BH8" i="84"/>
  <c r="BL81" i="71"/>
  <c r="BK7" i="84"/>
  <c r="BH81" i="71"/>
  <c r="BG7" i="84"/>
  <c r="BK80" i="71"/>
  <c r="BJ6" i="84"/>
  <c r="BG80" i="71"/>
  <c r="BF6" i="84"/>
  <c r="BJ79" i="71"/>
  <c r="BI5" i="84"/>
  <c r="BF79" i="71"/>
  <c r="BE5" i="84"/>
  <c r="BI78" i="71"/>
  <c r="BH4" i="84"/>
  <c r="BL77" i="71"/>
  <c r="BK3" i="84"/>
  <c r="BH77" i="71"/>
  <c r="BG3" i="84"/>
  <c r="BK76" i="71"/>
  <c r="BJ2" i="84"/>
  <c r="BG76" i="71"/>
  <c r="BF2" i="84"/>
  <c r="BG119" i="71"/>
  <c r="BK117" i="71"/>
  <c r="BI115" i="71"/>
  <c r="BK113" i="71"/>
  <c r="BK106" i="71"/>
  <c r="BH103" i="71"/>
  <c r="BF102" i="71"/>
  <c r="BE98" i="71"/>
  <c r="BK79" i="71"/>
  <c r="BL107" i="71"/>
  <c r="AY108" i="71"/>
  <c r="AX34" i="84"/>
  <c r="AY104" i="71"/>
  <c r="AX30" i="84"/>
  <c r="AY100" i="71"/>
  <c r="AX26" i="84"/>
  <c r="AY96" i="71"/>
  <c r="AX22" i="84"/>
  <c r="AY92" i="71"/>
  <c r="AX18" i="84"/>
  <c r="AY88" i="71"/>
  <c r="AX14" i="84"/>
  <c r="AY84" i="71"/>
  <c r="AX10" i="84"/>
  <c r="AY80" i="71"/>
  <c r="AX6" i="84"/>
  <c r="AY76" i="71"/>
  <c r="AX2" i="84"/>
  <c r="BA121" i="71"/>
  <c r="AZ47" i="84"/>
  <c r="BA119" i="71"/>
  <c r="AZ45" i="84"/>
  <c r="BA117" i="71"/>
  <c r="AZ43" i="84"/>
  <c r="BA115" i="71"/>
  <c r="AZ41" i="84"/>
  <c r="BA113" i="71"/>
  <c r="AZ39" i="84"/>
  <c r="BA111" i="71"/>
  <c r="AZ37" i="84"/>
  <c r="BA109" i="71"/>
  <c r="AZ35" i="84"/>
  <c r="BA107" i="71"/>
  <c r="AZ33" i="84"/>
  <c r="BA105" i="71"/>
  <c r="AZ31" i="84"/>
  <c r="BA103" i="71"/>
  <c r="AZ29" i="84"/>
  <c r="BA101" i="71"/>
  <c r="AZ27" i="84"/>
  <c r="BA99" i="71"/>
  <c r="AZ25" i="84"/>
  <c r="BA97" i="71"/>
  <c r="AZ23" i="84"/>
  <c r="BA95" i="71"/>
  <c r="AZ21" i="84"/>
  <c r="BA93" i="71"/>
  <c r="AZ19" i="84"/>
  <c r="BA91" i="71"/>
  <c r="AZ17" i="84"/>
  <c r="BA89" i="71"/>
  <c r="AZ15" i="84"/>
  <c r="BA87" i="71"/>
  <c r="AZ13" i="84"/>
  <c r="BA85" i="71"/>
  <c r="AZ11" i="84"/>
  <c r="BA83" i="71"/>
  <c r="AZ9" i="84"/>
  <c r="BA81" i="71"/>
  <c r="AZ7" i="84"/>
  <c r="BA79" i="71"/>
  <c r="AZ5" i="84"/>
  <c r="BA77" i="71"/>
  <c r="AZ3" i="84"/>
  <c r="BC121" i="71"/>
  <c r="BB47" i="84"/>
  <c r="BC120" i="71"/>
  <c r="BB46" i="84"/>
  <c r="BC119" i="71"/>
  <c r="BB45" i="84"/>
  <c r="BC118" i="71"/>
  <c r="BB44" i="84"/>
  <c r="BC116" i="71"/>
  <c r="BB42" i="84"/>
  <c r="BC115" i="71"/>
  <c r="BB41" i="84"/>
  <c r="BC114" i="71"/>
  <c r="BB40" i="84"/>
  <c r="BC112" i="71"/>
  <c r="BB38" i="84"/>
  <c r="BC111" i="71"/>
  <c r="BB37" i="84"/>
  <c r="BC110" i="71"/>
  <c r="BB36" i="84"/>
  <c r="BC109" i="71"/>
  <c r="BB35" i="84"/>
  <c r="BC108" i="71"/>
  <c r="BB34" i="84"/>
  <c r="BC107" i="71"/>
  <c r="BB33" i="84"/>
  <c r="BC106" i="71"/>
  <c r="BB32" i="84"/>
  <c r="BC105" i="71"/>
  <c r="BB31" i="84"/>
  <c r="BC104" i="71"/>
  <c r="BB30" i="84"/>
  <c r="BC103" i="71"/>
  <c r="BB29" i="84"/>
  <c r="BC102" i="71"/>
  <c r="BB28" i="84"/>
  <c r="BC101" i="71"/>
  <c r="BB27" i="84"/>
  <c r="BC100" i="71"/>
  <c r="BB26" i="84"/>
  <c r="BC99" i="71"/>
  <c r="BB25" i="84"/>
  <c r="BC98" i="71"/>
  <c r="BB24" i="84"/>
  <c r="BC97" i="71"/>
  <c r="BB23" i="84"/>
  <c r="BC96" i="71"/>
  <c r="BB22" i="84"/>
  <c r="BC95" i="71"/>
  <c r="BB21" i="84"/>
  <c r="BC94" i="71"/>
  <c r="BB20" i="84"/>
  <c r="BC93" i="71"/>
  <c r="BB19" i="84"/>
  <c r="BC92" i="71"/>
  <c r="BB18" i="84"/>
  <c r="BC91" i="71"/>
  <c r="BB17" i="84"/>
  <c r="BC90" i="71"/>
  <c r="BB16" i="84"/>
  <c r="BC89" i="71"/>
  <c r="BB15" i="84"/>
  <c r="BC88" i="71"/>
  <c r="BB14" i="84"/>
  <c r="BC87" i="71"/>
  <c r="BB13" i="84"/>
  <c r="BC86" i="71"/>
  <c r="BB12" i="84"/>
  <c r="BC85" i="71"/>
  <c r="BB11" i="84"/>
  <c r="BC84" i="71"/>
  <c r="BB10" i="84"/>
  <c r="BC83" i="71"/>
  <c r="BB9" i="84"/>
  <c r="BC82" i="71"/>
  <c r="BB8" i="84"/>
  <c r="BC81" i="71"/>
  <c r="BB7" i="84"/>
  <c r="BC80" i="71"/>
  <c r="BB6" i="84"/>
  <c r="BC79" i="71"/>
  <c r="BB5" i="84"/>
  <c r="BC78" i="71"/>
  <c r="BB4" i="84"/>
  <c r="BC77" i="71"/>
  <c r="BB3" i="84"/>
  <c r="BC76" i="71"/>
  <c r="BB2" i="84"/>
  <c r="BK121" i="71"/>
  <c r="BJ47" i="84"/>
  <c r="BG121" i="71"/>
  <c r="BF47" i="84"/>
  <c r="BI120" i="71"/>
  <c r="BH46" i="84"/>
  <c r="BK119" i="71"/>
  <c r="BJ45" i="84"/>
  <c r="BG117" i="71"/>
  <c r="BF43" i="84"/>
  <c r="BI116" i="71"/>
  <c r="BH42" i="84"/>
  <c r="BK115" i="71"/>
  <c r="BJ41" i="84"/>
  <c r="BG115" i="71"/>
  <c r="BF41" i="84"/>
  <c r="BI114" i="71"/>
  <c r="BH40" i="84"/>
  <c r="BG113" i="71"/>
  <c r="BF39" i="84"/>
  <c r="BI112" i="71"/>
  <c r="BH38" i="84"/>
  <c r="BK111" i="71"/>
  <c r="BJ37" i="84"/>
  <c r="BG111" i="71"/>
  <c r="BF37" i="84"/>
  <c r="BI110" i="71"/>
  <c r="BH36" i="84"/>
  <c r="BK109" i="71"/>
  <c r="BJ35" i="84"/>
  <c r="BG109" i="71"/>
  <c r="BF35" i="84"/>
  <c r="BJ108" i="71"/>
  <c r="BI34" i="84"/>
  <c r="BF108" i="71"/>
  <c r="BE34" i="84"/>
  <c r="BI107" i="71"/>
  <c r="BH33" i="84"/>
  <c r="BL106" i="71"/>
  <c r="BK32" i="84"/>
  <c r="BH106" i="71"/>
  <c r="BG32" i="84"/>
  <c r="BK105" i="71"/>
  <c r="BJ31" i="84"/>
  <c r="BG105" i="71"/>
  <c r="BF31" i="84"/>
  <c r="BJ104" i="71"/>
  <c r="BI30" i="84"/>
  <c r="BF104" i="71"/>
  <c r="BE30" i="84"/>
  <c r="BI103" i="71"/>
  <c r="BH29" i="84"/>
  <c r="BL102" i="71"/>
  <c r="BK28" i="84"/>
  <c r="BH102" i="71"/>
  <c r="BG28" i="84"/>
  <c r="BK101" i="71"/>
  <c r="BJ27" i="84"/>
  <c r="BG101" i="71"/>
  <c r="BF27" i="84"/>
  <c r="BJ100" i="71"/>
  <c r="BI26" i="84"/>
  <c r="BF100" i="71"/>
  <c r="BE26" i="84"/>
  <c r="BI99" i="71"/>
  <c r="BH25" i="84"/>
  <c r="BL98" i="71"/>
  <c r="BK24" i="84"/>
  <c r="BH98" i="71"/>
  <c r="BG24" i="84"/>
  <c r="BK97" i="71"/>
  <c r="BJ23" i="84"/>
  <c r="BG97" i="71"/>
  <c r="BF23" i="84"/>
  <c r="BJ96" i="71"/>
  <c r="BI22" i="84"/>
  <c r="BF96" i="71"/>
  <c r="BE22" i="84"/>
  <c r="BI95" i="71"/>
  <c r="BH21" i="84"/>
  <c r="BL94" i="71"/>
  <c r="BK20" i="84"/>
  <c r="BH94" i="71"/>
  <c r="BG20" i="84"/>
  <c r="BK93" i="71"/>
  <c r="BJ19" i="84"/>
  <c r="BG93" i="71"/>
  <c r="BF19" i="84"/>
  <c r="BJ92" i="71"/>
  <c r="BI18" i="84"/>
  <c r="BF92" i="71"/>
  <c r="BE18" i="84"/>
  <c r="BI91" i="71"/>
  <c r="BH17" i="84"/>
  <c r="BL90" i="71"/>
  <c r="BK16" i="84"/>
  <c r="BH90" i="71"/>
  <c r="BG16" i="84"/>
  <c r="BK89" i="71"/>
  <c r="BJ15" i="84"/>
  <c r="BG89" i="71"/>
  <c r="BF15" i="84"/>
  <c r="BJ88" i="71"/>
  <c r="BI14" i="84"/>
  <c r="BF88" i="71"/>
  <c r="BE14" i="84"/>
  <c r="BI87" i="71"/>
  <c r="BH13" i="84"/>
  <c r="BL86" i="71"/>
  <c r="BK12" i="84"/>
  <c r="BH86" i="71"/>
  <c r="BG12" i="84"/>
  <c r="BK85" i="71"/>
  <c r="BJ11" i="84"/>
  <c r="BG85" i="71"/>
  <c r="BF11" i="84"/>
  <c r="BJ84" i="71"/>
  <c r="BI10" i="84"/>
  <c r="BF84" i="71"/>
  <c r="BE10" i="84"/>
  <c r="BI83" i="71"/>
  <c r="BH9" i="84"/>
  <c r="BL82" i="71"/>
  <c r="BK8" i="84"/>
  <c r="BH82" i="71"/>
  <c r="BG8" i="84"/>
  <c r="BK81" i="71"/>
  <c r="BJ7" i="84"/>
  <c r="BG81" i="71"/>
  <c r="BF7" i="84"/>
  <c r="BJ80" i="71"/>
  <c r="BI6" i="84"/>
  <c r="BF80" i="71"/>
  <c r="BE6" i="84"/>
  <c r="BI79" i="71"/>
  <c r="BH5" i="84"/>
  <c r="BL78" i="71"/>
  <c r="BK4" i="84"/>
  <c r="BH78" i="71"/>
  <c r="BG4" i="84"/>
  <c r="BK77" i="71"/>
  <c r="BJ3" i="84"/>
  <c r="BG77" i="71"/>
  <c r="BF3" i="84"/>
  <c r="BJ76" i="71"/>
  <c r="BI2" i="84"/>
  <c r="BF76" i="71"/>
  <c r="BE2" i="84"/>
  <c r="BC117" i="71"/>
  <c r="BC113" i="71"/>
  <c r="BK107" i="71"/>
  <c r="BG106" i="71"/>
  <c r="BI104" i="71"/>
  <c r="BK99" i="71"/>
  <c r="BI92" i="71"/>
  <c r="BG90" i="71"/>
  <c r="BG79" i="71"/>
  <c r="BI76" i="71"/>
  <c r="BL91" i="71"/>
  <c r="AB37" i="83"/>
  <c r="AA38" i="83"/>
  <c r="AH39" i="84"/>
  <c r="X39" i="83"/>
  <c r="Z39" i="83" s="1"/>
  <c r="Z99" i="71"/>
  <c r="Z13" i="84"/>
  <c r="Z89" i="71"/>
  <c r="Z3" i="84"/>
  <c r="Z91" i="71"/>
  <c r="Z5" i="84"/>
  <c r="Z93" i="71"/>
  <c r="Z7" i="84"/>
  <c r="Z95" i="71"/>
  <c r="Z9" i="84"/>
  <c r="Z97" i="71"/>
  <c r="Z11" i="84"/>
  <c r="Y98" i="71"/>
  <c r="Y12" i="84"/>
  <c r="Y88" i="71"/>
  <c r="Y2" i="84"/>
  <c r="Y90" i="71"/>
  <c r="Y4" i="84"/>
  <c r="Y92" i="71"/>
  <c r="Y6" i="84"/>
  <c r="Y94" i="71"/>
  <c r="Y8" i="84"/>
  <c r="Y96" i="71"/>
  <c r="Y10" i="84"/>
  <c r="Z98" i="71"/>
  <c r="Z12" i="84"/>
  <c r="Z88" i="71"/>
  <c r="Z2" i="84"/>
  <c r="Z90" i="71"/>
  <c r="Z4" i="84"/>
  <c r="Z92" i="71"/>
  <c r="Z6" i="84"/>
  <c r="Z94" i="71"/>
  <c r="Z8" i="84"/>
  <c r="Z96" i="71"/>
  <c r="Z10" i="84"/>
  <c r="Y99" i="71"/>
  <c r="Y13" i="84"/>
  <c r="Y89" i="71"/>
  <c r="Y3" i="84"/>
  <c r="Y91" i="71"/>
  <c r="Y5" i="84"/>
  <c r="Y93" i="71"/>
  <c r="Y7" i="84"/>
  <c r="Y95" i="71"/>
  <c r="Y9" i="84"/>
  <c r="Y97" i="71"/>
  <c r="Y11" i="84"/>
  <c r="AZ1" i="71"/>
  <c r="AY1" i="71"/>
  <c r="M17" i="76"/>
  <c r="M5" i="76"/>
  <c r="BG1" i="71"/>
  <c r="M16" i="76"/>
  <c r="M4" i="76"/>
  <c r="L8" i="76"/>
  <c r="L20" i="76"/>
  <c r="M25" i="76"/>
  <c r="M13" i="76"/>
  <c r="AL117" i="71"/>
  <c r="C141" i="62"/>
  <c r="W141" i="62"/>
  <c r="BB1" i="71"/>
  <c r="L7" i="76"/>
  <c r="L19" i="76"/>
  <c r="M24" i="76"/>
  <c r="M12" i="76"/>
  <c r="M21" i="76"/>
  <c r="M9" i="76"/>
  <c r="AL113" i="71"/>
  <c r="C137" i="62"/>
  <c r="W137" i="62"/>
  <c r="M20" i="76"/>
  <c r="M8" i="76"/>
  <c r="L11" i="76"/>
  <c r="L23" i="76"/>
  <c r="L6" i="76"/>
  <c r="L18" i="76"/>
  <c r="M19" i="76"/>
  <c r="M7" i="76"/>
  <c r="L10" i="76"/>
  <c r="L22" i="76"/>
  <c r="M23" i="76"/>
  <c r="M11" i="76"/>
  <c r="L14" i="76"/>
  <c r="L26" i="76"/>
  <c r="P131" i="62"/>
  <c r="C143" i="62"/>
  <c r="W143" i="62"/>
  <c r="P127" i="62"/>
  <c r="W139" i="62"/>
  <c r="C139" i="62"/>
  <c r="P123" i="62"/>
  <c r="W135" i="62"/>
  <c r="C135" i="62"/>
  <c r="L12" i="76"/>
  <c r="L24" i="76"/>
  <c r="AL121" i="71"/>
  <c r="C145" i="62"/>
  <c r="W145" i="62"/>
  <c r="L4" i="76"/>
  <c r="L16" i="76"/>
  <c r="L5" i="76"/>
  <c r="L17" i="76"/>
  <c r="M18" i="76"/>
  <c r="M6" i="76"/>
  <c r="L21" i="76"/>
  <c r="L9" i="76"/>
  <c r="M22" i="76"/>
  <c r="M10" i="76"/>
  <c r="L25" i="76"/>
  <c r="L13" i="76"/>
  <c r="M26" i="76"/>
  <c r="M14" i="76"/>
  <c r="AL110" i="71"/>
  <c r="C134" i="62"/>
  <c r="W134" i="62"/>
  <c r="AL118" i="71"/>
  <c r="C142" i="62"/>
  <c r="W142" i="62"/>
  <c r="AL114" i="71"/>
  <c r="C138" i="62"/>
  <c r="W138" i="62"/>
  <c r="BA1" i="71"/>
  <c r="BE1" i="71"/>
  <c r="BH1" i="71"/>
  <c r="AL120" i="71"/>
  <c r="C144" i="62"/>
  <c r="W144" i="62"/>
  <c r="AL116" i="71"/>
  <c r="C140" i="62"/>
  <c r="W140" i="62"/>
  <c r="AL112" i="71"/>
  <c r="C136" i="62"/>
  <c r="W136" i="62"/>
  <c r="BL1" i="71"/>
  <c r="BK1" i="71"/>
  <c r="BC1" i="71"/>
  <c r="E14" i="63"/>
  <c r="E13" i="63"/>
  <c r="W133" i="62"/>
  <c r="W129" i="62"/>
  <c r="W128" i="62"/>
  <c r="W124" i="62"/>
  <c r="W130" i="62"/>
  <c r="W126" i="62"/>
  <c r="W122" i="62"/>
  <c r="W132" i="62"/>
  <c r="W131" i="62"/>
  <c r="W127" i="62"/>
  <c r="W123" i="62"/>
  <c r="P122" i="62"/>
  <c r="AL119" i="71"/>
  <c r="P133" i="62"/>
  <c r="P129" i="62"/>
  <c r="P125" i="62"/>
  <c r="P126" i="62"/>
  <c r="AL115" i="71"/>
  <c r="P132" i="62"/>
  <c r="P128" i="62"/>
  <c r="P124" i="62"/>
  <c r="P130" i="62"/>
  <c r="AL111" i="71"/>
  <c r="O15" i="93" l="1"/>
  <c r="O25" i="93"/>
  <c r="O9" i="93"/>
  <c r="P9" i="93" s="1"/>
  <c r="Q9" i="93" s="1"/>
  <c r="R9" i="93" s="1"/>
  <c r="O5" i="93"/>
  <c r="P5" i="93" s="1"/>
  <c r="Q5" i="93" s="1"/>
  <c r="R5" i="93" s="1"/>
  <c r="U130" i="76"/>
  <c r="O90" i="93"/>
  <c r="O74" i="93"/>
  <c r="O42" i="93"/>
  <c r="O87" i="93"/>
  <c r="O47" i="93"/>
  <c r="O39" i="93"/>
  <c r="U134" i="76"/>
  <c r="O124" i="93"/>
  <c r="O174" i="93" s="1"/>
  <c r="O116" i="93"/>
  <c r="O108" i="93"/>
  <c r="O100" i="93"/>
  <c r="O92" i="93"/>
  <c r="O84" i="93"/>
  <c r="O76" i="93"/>
  <c r="O68" i="93"/>
  <c r="O60" i="93"/>
  <c r="O52" i="93"/>
  <c r="O168" i="93" s="1"/>
  <c r="O44" i="93"/>
  <c r="O36" i="93"/>
  <c r="O28" i="93"/>
  <c r="O166" i="93" s="1"/>
  <c r="O24" i="93"/>
  <c r="O8" i="93"/>
  <c r="P8" i="93" s="1"/>
  <c r="Q8" i="93" s="1"/>
  <c r="R8" i="93" s="1"/>
  <c r="O16" i="93"/>
  <c r="O14" i="93"/>
  <c r="P14" i="93" s="1"/>
  <c r="Q14" i="93" s="1"/>
  <c r="R14" i="93" s="1"/>
  <c r="O10" i="93"/>
  <c r="P10" i="93" s="1"/>
  <c r="Q10" i="93" s="1"/>
  <c r="R10" i="93" s="1"/>
  <c r="O6" i="93"/>
  <c r="P6" i="93" s="1"/>
  <c r="Q6" i="93" s="1"/>
  <c r="R6" i="93" s="1"/>
  <c r="O121" i="93"/>
  <c r="O113" i="93"/>
  <c r="O173" i="93" s="1"/>
  <c r="O105" i="93"/>
  <c r="O97" i="93"/>
  <c r="O89" i="93"/>
  <c r="O81" i="93"/>
  <c r="O73" i="93"/>
  <c r="O65" i="93"/>
  <c r="O169" i="93" s="1"/>
  <c r="O57" i="93"/>
  <c r="O49" i="93"/>
  <c r="O41" i="93"/>
  <c r="O167" i="93" s="1"/>
  <c r="O33" i="93"/>
  <c r="O78" i="93"/>
  <c r="O170" i="93" s="1"/>
  <c r="O50" i="93"/>
  <c r="O172" i="93"/>
  <c r="O12" i="93"/>
  <c r="P12" i="93" s="1"/>
  <c r="Q12" i="93" s="1"/>
  <c r="R12" i="93" s="1"/>
  <c r="O20" i="93"/>
  <c r="O165" i="93" s="1"/>
  <c r="O22" i="93"/>
  <c r="O18" i="93"/>
  <c r="U126" i="76"/>
  <c r="O98" i="93"/>
  <c r="O34" i="93"/>
  <c r="O5" i="76"/>
  <c r="P5" i="76" s="1"/>
  <c r="Q5" i="76" s="1"/>
  <c r="R5" i="76" s="1"/>
  <c r="AY110" i="71"/>
  <c r="AX36" i="84"/>
  <c r="BF112" i="71"/>
  <c r="BE38" i="84"/>
  <c r="AY115" i="71"/>
  <c r="AX41" i="84"/>
  <c r="BF119" i="71"/>
  <c r="BE45" i="84"/>
  <c r="AY113" i="71"/>
  <c r="AX39" i="84"/>
  <c r="AY120" i="71"/>
  <c r="AX46" i="84"/>
  <c r="AY117" i="71"/>
  <c r="AX43" i="84"/>
  <c r="BF111" i="71"/>
  <c r="BE37" i="84"/>
  <c r="BF110" i="71"/>
  <c r="BE36" i="84"/>
  <c r="BF116" i="71"/>
  <c r="BE42" i="84"/>
  <c r="AY111" i="71"/>
  <c r="AX37" i="84"/>
  <c r="BF113" i="71"/>
  <c r="BE39" i="84"/>
  <c r="AY112" i="71"/>
  <c r="AX38" i="84"/>
  <c r="BF118" i="71"/>
  <c r="BE44" i="84"/>
  <c r="AY116" i="71"/>
  <c r="AX42" i="84"/>
  <c r="BF120" i="71"/>
  <c r="BE46" i="84"/>
  <c r="AY118" i="71"/>
  <c r="AX44" i="84"/>
  <c r="AY121" i="71"/>
  <c r="AX47" i="84"/>
  <c r="BF115" i="71"/>
  <c r="BE41" i="84"/>
  <c r="BF114" i="71"/>
  <c r="BE40" i="84"/>
  <c r="BF117" i="71"/>
  <c r="BE43" i="84"/>
  <c r="AY114" i="71"/>
  <c r="AX40" i="84"/>
  <c r="BF121" i="71"/>
  <c r="BE47" i="84"/>
  <c r="AY119" i="71"/>
  <c r="AX45" i="84"/>
  <c r="AA39" i="83"/>
  <c r="AH40" i="84"/>
  <c r="X40" i="83"/>
  <c r="Z40" i="83" s="1"/>
  <c r="AB38" i="83"/>
  <c r="Y109" i="71"/>
  <c r="Y23" i="84"/>
  <c r="Y101" i="71"/>
  <c r="Y15" i="84"/>
  <c r="Z100" i="71"/>
  <c r="Z14" i="84"/>
  <c r="Y108" i="71"/>
  <c r="Y22" i="84"/>
  <c r="Y100" i="71"/>
  <c r="Y14" i="84"/>
  <c r="Z105" i="71"/>
  <c r="Z19" i="84"/>
  <c r="Y105" i="71"/>
  <c r="Y19" i="84"/>
  <c r="Z108" i="71"/>
  <c r="Z22" i="84"/>
  <c r="Z104" i="71"/>
  <c r="Z18" i="84"/>
  <c r="Y104" i="71"/>
  <c r="Y18" i="84"/>
  <c r="Z109" i="71"/>
  <c r="Z23" i="84"/>
  <c r="Z101" i="71"/>
  <c r="Z15" i="84"/>
  <c r="Y107" i="71"/>
  <c r="Y21" i="84"/>
  <c r="Y103" i="71"/>
  <c r="Y17" i="84"/>
  <c r="Y111" i="71"/>
  <c r="Y37" i="84" s="1"/>
  <c r="Y25" i="84"/>
  <c r="Z106" i="71"/>
  <c r="Z20" i="84"/>
  <c r="Z102" i="71"/>
  <c r="Z16" i="84"/>
  <c r="Z110" i="71"/>
  <c r="Z36" i="84" s="1"/>
  <c r="Z24" i="84"/>
  <c r="Y106" i="71"/>
  <c r="Y20" i="84"/>
  <c r="Y102" i="71"/>
  <c r="Y16" i="84"/>
  <c r="Y110" i="71"/>
  <c r="Y36" i="84" s="1"/>
  <c r="Y24" i="84"/>
  <c r="Z107" i="71"/>
  <c r="Z21" i="84"/>
  <c r="Z103" i="71"/>
  <c r="Z17" i="84"/>
  <c r="Z111" i="71"/>
  <c r="Z37" i="84" s="1"/>
  <c r="Z25" i="84"/>
  <c r="O8" i="76"/>
  <c r="P8" i="76" s="1"/>
  <c r="Q8" i="76" s="1"/>
  <c r="R8" i="76" s="1"/>
  <c r="O14" i="76"/>
  <c r="P14" i="76" s="1"/>
  <c r="Q14" i="76" s="1"/>
  <c r="R14" i="76" s="1"/>
  <c r="O10" i="76"/>
  <c r="P10" i="76" s="1"/>
  <c r="Q10" i="76" s="1"/>
  <c r="R10" i="76" s="1"/>
  <c r="O6" i="76"/>
  <c r="P6" i="76" s="1"/>
  <c r="Q6" i="76" s="1"/>
  <c r="R6" i="76" s="1"/>
  <c r="O13" i="76"/>
  <c r="P13" i="76" s="1"/>
  <c r="Q13" i="76" s="1"/>
  <c r="R13" i="76" s="1"/>
  <c r="O9" i="76"/>
  <c r="P9" i="76" s="1"/>
  <c r="Q9" i="76" s="1"/>
  <c r="R9" i="76" s="1"/>
  <c r="O12" i="76"/>
  <c r="P12" i="76" s="1"/>
  <c r="Q12" i="76" s="1"/>
  <c r="R12" i="76" s="1"/>
  <c r="C156" i="62"/>
  <c r="W156" i="62"/>
  <c r="C152" i="62"/>
  <c r="W152" i="62"/>
  <c r="C157" i="62"/>
  <c r="W157" i="62"/>
  <c r="C151" i="62"/>
  <c r="W151" i="62"/>
  <c r="C155" i="62"/>
  <c r="W155" i="62"/>
  <c r="C146" i="62"/>
  <c r="W146" i="62"/>
  <c r="C148" i="62"/>
  <c r="W148" i="62"/>
  <c r="C150" i="62"/>
  <c r="W150" i="62"/>
  <c r="C147" i="62"/>
  <c r="W147" i="62"/>
  <c r="O11" i="76"/>
  <c r="P11" i="76" s="1"/>
  <c r="Q11" i="76" s="1"/>
  <c r="R11" i="76" s="1"/>
  <c r="C149" i="62"/>
  <c r="W149" i="62"/>
  <c r="C154" i="62"/>
  <c r="W154" i="62"/>
  <c r="O4" i="76"/>
  <c r="P4" i="76" s="1"/>
  <c r="Q4" i="76" s="1"/>
  <c r="R4" i="76" s="1"/>
  <c r="O7" i="76"/>
  <c r="P7" i="76" s="1"/>
  <c r="Q7" i="76" s="1"/>
  <c r="R7" i="76" s="1"/>
  <c r="C153" i="62"/>
  <c r="W153" i="62"/>
  <c r="A4" i="63"/>
  <c r="V134" i="76" l="1"/>
  <c r="I41" i="89" s="1"/>
  <c r="O171" i="93"/>
  <c r="O178" i="93" s="1"/>
  <c r="AB39" i="83"/>
  <c r="AA40" i="83"/>
  <c r="AH41" i="84"/>
  <c r="X41" i="83"/>
  <c r="Z41" i="83" s="1"/>
  <c r="Y115" i="71"/>
  <c r="Y41" i="84" s="1"/>
  <c r="Y29" i="84"/>
  <c r="Z113" i="71"/>
  <c r="Z39" i="84" s="1"/>
  <c r="Z27" i="84"/>
  <c r="Y116" i="71"/>
  <c r="Y42" i="84" s="1"/>
  <c r="Y30" i="84"/>
  <c r="Z117" i="71"/>
  <c r="Z43" i="84" s="1"/>
  <c r="Z31" i="84"/>
  <c r="Y120" i="71"/>
  <c r="Y46" i="84" s="1"/>
  <c r="Y34" i="84"/>
  <c r="Y113" i="71"/>
  <c r="Y39" i="84" s="1"/>
  <c r="Y27" i="84"/>
  <c r="Z119" i="71"/>
  <c r="Z45" i="84" s="1"/>
  <c r="Z33" i="84"/>
  <c r="Y114" i="71"/>
  <c r="Y40" i="84" s="1"/>
  <c r="Y28" i="84"/>
  <c r="Z118" i="71"/>
  <c r="Z44" i="84" s="1"/>
  <c r="Z32" i="84"/>
  <c r="Z120" i="71"/>
  <c r="Z46" i="84" s="1"/>
  <c r="Z34" i="84"/>
  <c r="Z115" i="71"/>
  <c r="Z41" i="84" s="1"/>
  <c r="Z29" i="84"/>
  <c r="Y118" i="71"/>
  <c r="Y44" i="84" s="1"/>
  <c r="Y32" i="84"/>
  <c r="Z114" i="71"/>
  <c r="Z40" i="84" s="1"/>
  <c r="Z28" i="84"/>
  <c r="Y119" i="71"/>
  <c r="Y45" i="84" s="1"/>
  <c r="Y33" i="84"/>
  <c r="Z121" i="71"/>
  <c r="Z47" i="84" s="1"/>
  <c r="Z35" i="84"/>
  <c r="Z116" i="71"/>
  <c r="Z42" i="84" s="1"/>
  <c r="Z30" i="84"/>
  <c r="Y117" i="71"/>
  <c r="Y43" i="84" s="1"/>
  <c r="Y31" i="84"/>
  <c r="Y112" i="71"/>
  <c r="Y38" i="84" s="1"/>
  <c r="Y26" i="84"/>
  <c r="Z112" i="71"/>
  <c r="Z38" i="84" s="1"/>
  <c r="Z26" i="84"/>
  <c r="Y121" i="71"/>
  <c r="Y47" i="84" s="1"/>
  <c r="Y35" i="84"/>
  <c r="A5" i="63"/>
  <c r="A6" i="63" s="1"/>
  <c r="A7" i="63" s="1"/>
  <c r="A8" i="63" s="1"/>
  <c r="A9" i="63" s="1"/>
  <c r="A10" i="63" s="1"/>
  <c r="A11" i="63" s="1"/>
  <c r="A12" i="63" s="1"/>
  <c r="A13" i="63" s="1"/>
  <c r="A14" i="63" s="1"/>
  <c r="B166" i="63"/>
  <c r="C166" i="63"/>
  <c r="B158" i="63"/>
  <c r="C158" i="63"/>
  <c r="B150" i="63"/>
  <c r="C150" i="63"/>
  <c r="B134" i="63"/>
  <c r="C134" i="63"/>
  <c r="B118" i="63"/>
  <c r="C118" i="63"/>
  <c r="B106" i="63"/>
  <c r="C106" i="63"/>
  <c r="B94" i="63"/>
  <c r="C94" i="63"/>
  <c r="B82" i="63"/>
  <c r="C82" i="63"/>
  <c r="B74" i="63"/>
  <c r="C74" i="63"/>
  <c r="B62" i="63"/>
  <c r="C62" i="63"/>
  <c r="B50" i="63"/>
  <c r="C50" i="63"/>
  <c r="B42" i="63"/>
  <c r="C42" i="63"/>
  <c r="B26" i="63"/>
  <c r="C26" i="63"/>
  <c r="B165" i="63"/>
  <c r="C165" i="63"/>
  <c r="B161" i="63"/>
  <c r="C161" i="63"/>
  <c r="B157" i="63"/>
  <c r="C157" i="63"/>
  <c r="B153" i="63"/>
  <c r="C153" i="63"/>
  <c r="B149" i="63"/>
  <c r="C149" i="63"/>
  <c r="B145" i="63"/>
  <c r="C145" i="63"/>
  <c r="B141" i="63"/>
  <c r="C141" i="63"/>
  <c r="B137" i="63"/>
  <c r="C137" i="63"/>
  <c r="B133" i="63"/>
  <c r="C133" i="63"/>
  <c r="B129" i="63"/>
  <c r="C129" i="63"/>
  <c r="B125" i="63"/>
  <c r="C125" i="63"/>
  <c r="B121" i="63"/>
  <c r="C121" i="63"/>
  <c r="B117" i="63"/>
  <c r="C117" i="63"/>
  <c r="B113" i="63"/>
  <c r="C113" i="63"/>
  <c r="B109" i="63"/>
  <c r="C109" i="63"/>
  <c r="B105" i="63"/>
  <c r="C105" i="63"/>
  <c r="B101" i="63"/>
  <c r="C101" i="63"/>
  <c r="B97" i="63"/>
  <c r="C97" i="63"/>
  <c r="B93" i="63"/>
  <c r="C93" i="63"/>
  <c r="B89" i="63"/>
  <c r="C89" i="63"/>
  <c r="B85" i="63"/>
  <c r="C85" i="63"/>
  <c r="B81" i="63"/>
  <c r="C81" i="63"/>
  <c r="B77" i="63"/>
  <c r="C77" i="63"/>
  <c r="B73" i="63"/>
  <c r="C73" i="63"/>
  <c r="B69" i="63"/>
  <c r="C69" i="63"/>
  <c r="B65" i="63"/>
  <c r="C65" i="63"/>
  <c r="B61" i="63"/>
  <c r="C61" i="63"/>
  <c r="B57" i="63"/>
  <c r="C57" i="63"/>
  <c r="B53" i="63"/>
  <c r="C53" i="63"/>
  <c r="B49" i="63"/>
  <c r="C49" i="63"/>
  <c r="B45" i="63"/>
  <c r="C45" i="63"/>
  <c r="B41" i="63"/>
  <c r="C41" i="63"/>
  <c r="B37" i="63"/>
  <c r="C37" i="63"/>
  <c r="B33" i="63"/>
  <c r="C33" i="63"/>
  <c r="B29" i="63"/>
  <c r="C29" i="63"/>
  <c r="B25" i="63"/>
  <c r="C25" i="63"/>
  <c r="B162" i="63"/>
  <c r="C162" i="63"/>
  <c r="B142" i="63"/>
  <c r="C142" i="63"/>
  <c r="B130" i="63"/>
  <c r="C130" i="63"/>
  <c r="B122" i="63"/>
  <c r="C122" i="63"/>
  <c r="B114" i="63"/>
  <c r="C114" i="63"/>
  <c r="B102" i="63"/>
  <c r="C102" i="63"/>
  <c r="B86" i="63"/>
  <c r="C86" i="63"/>
  <c r="B70" i="63"/>
  <c r="C70" i="63"/>
  <c r="B54" i="63"/>
  <c r="C54" i="63"/>
  <c r="B38" i="63"/>
  <c r="C38" i="63"/>
  <c r="B30" i="63"/>
  <c r="C30" i="63"/>
  <c r="B164" i="63"/>
  <c r="C164" i="63"/>
  <c r="B160" i="63"/>
  <c r="C160" i="63"/>
  <c r="B156" i="63"/>
  <c r="C156" i="63"/>
  <c r="B152" i="63"/>
  <c r="C152" i="63"/>
  <c r="B148" i="63"/>
  <c r="C148" i="63"/>
  <c r="B144" i="63"/>
  <c r="C144" i="63"/>
  <c r="B140" i="63"/>
  <c r="C140" i="63"/>
  <c r="B136" i="63"/>
  <c r="C136" i="63"/>
  <c r="B132" i="63"/>
  <c r="C132" i="63"/>
  <c r="B128" i="63"/>
  <c r="C128" i="63"/>
  <c r="B124" i="63"/>
  <c r="C124" i="63"/>
  <c r="B120" i="63"/>
  <c r="C120" i="63"/>
  <c r="B116" i="63"/>
  <c r="C116" i="63"/>
  <c r="B112" i="63"/>
  <c r="C112" i="63"/>
  <c r="B108" i="63"/>
  <c r="C108" i="63"/>
  <c r="B104" i="63"/>
  <c r="C104" i="63"/>
  <c r="B100" i="63"/>
  <c r="C100" i="63"/>
  <c r="B96" i="63"/>
  <c r="C96" i="63"/>
  <c r="B92" i="63"/>
  <c r="C92" i="63"/>
  <c r="B88" i="63"/>
  <c r="C88" i="63"/>
  <c r="B84" i="63"/>
  <c r="C84" i="63"/>
  <c r="B80" i="63"/>
  <c r="C80" i="63"/>
  <c r="B76" i="63"/>
  <c r="C76" i="63"/>
  <c r="B72" i="63"/>
  <c r="C72" i="63"/>
  <c r="B68" i="63"/>
  <c r="C68" i="63"/>
  <c r="B64" i="63"/>
  <c r="C64" i="63"/>
  <c r="B60" i="63"/>
  <c r="C60" i="63"/>
  <c r="B56" i="63"/>
  <c r="C56" i="63"/>
  <c r="B52" i="63"/>
  <c r="C52" i="63"/>
  <c r="B48" i="63"/>
  <c r="C48" i="63"/>
  <c r="B44" i="63"/>
  <c r="C44" i="63"/>
  <c r="B40" i="63"/>
  <c r="C40" i="63"/>
  <c r="B36" i="63"/>
  <c r="C36" i="63"/>
  <c r="B32" i="63"/>
  <c r="C32" i="63"/>
  <c r="B28" i="63"/>
  <c r="C28" i="63"/>
  <c r="B24" i="63"/>
  <c r="C24" i="63"/>
  <c r="B154" i="63"/>
  <c r="C154" i="63"/>
  <c r="B146" i="63"/>
  <c r="C146" i="63"/>
  <c r="B138" i="63"/>
  <c r="C138" i="63"/>
  <c r="B126" i="63"/>
  <c r="C126" i="63"/>
  <c r="B110" i="63"/>
  <c r="C110" i="63"/>
  <c r="B98" i="63"/>
  <c r="C98" i="63"/>
  <c r="B90" i="63"/>
  <c r="C90" i="63"/>
  <c r="B78" i="63"/>
  <c r="C78" i="63"/>
  <c r="B66" i="63"/>
  <c r="C66" i="63"/>
  <c r="B58" i="63"/>
  <c r="C58" i="63"/>
  <c r="B46" i="63"/>
  <c r="C46" i="63"/>
  <c r="B34" i="63"/>
  <c r="C34" i="63"/>
  <c r="B23" i="63"/>
  <c r="C23" i="63"/>
  <c r="B163" i="63"/>
  <c r="C163" i="63"/>
  <c r="B159" i="63"/>
  <c r="C159" i="63"/>
  <c r="B155" i="63"/>
  <c r="C155" i="63"/>
  <c r="B151" i="63"/>
  <c r="C151" i="63"/>
  <c r="B147" i="63"/>
  <c r="C147" i="63"/>
  <c r="B143" i="63"/>
  <c r="C143" i="63"/>
  <c r="B139" i="63"/>
  <c r="C139" i="63"/>
  <c r="B135" i="63"/>
  <c r="C135" i="63"/>
  <c r="B131" i="63"/>
  <c r="C131" i="63"/>
  <c r="B127" i="63"/>
  <c r="C127" i="63"/>
  <c r="B123" i="63"/>
  <c r="C123" i="63"/>
  <c r="B119" i="63"/>
  <c r="C119" i="63"/>
  <c r="B115" i="63"/>
  <c r="C115" i="63"/>
  <c r="B111" i="63"/>
  <c r="C111" i="63"/>
  <c r="B107" i="63"/>
  <c r="C107" i="63"/>
  <c r="B103" i="63"/>
  <c r="C103" i="63"/>
  <c r="B99" i="63"/>
  <c r="C99" i="63"/>
  <c r="B95" i="63"/>
  <c r="C95" i="63"/>
  <c r="B91" i="63"/>
  <c r="C91" i="63"/>
  <c r="B87" i="63"/>
  <c r="C87" i="63"/>
  <c r="B83" i="63"/>
  <c r="C83" i="63"/>
  <c r="B79" i="63"/>
  <c r="C79" i="63"/>
  <c r="B75" i="63"/>
  <c r="C75" i="63"/>
  <c r="B71" i="63"/>
  <c r="C71" i="63"/>
  <c r="B67" i="63"/>
  <c r="C67" i="63"/>
  <c r="B63" i="63"/>
  <c r="C63" i="63"/>
  <c r="B59" i="63"/>
  <c r="C59" i="63"/>
  <c r="B55" i="63"/>
  <c r="C55" i="63"/>
  <c r="B51" i="63"/>
  <c r="C51" i="63"/>
  <c r="B47" i="63"/>
  <c r="C47" i="63"/>
  <c r="B43" i="63"/>
  <c r="C43" i="63"/>
  <c r="B39" i="63"/>
  <c r="C39" i="63"/>
  <c r="B35" i="63"/>
  <c r="C35" i="63"/>
  <c r="B31" i="63"/>
  <c r="C31" i="63"/>
  <c r="B27" i="63"/>
  <c r="C27" i="63"/>
  <c r="AA41" i="83" l="1"/>
  <c r="AB40" i="83"/>
  <c r="AH42" i="84"/>
  <c r="X42" i="83"/>
  <c r="Z42" i="83" s="1"/>
  <c r="U17" i="63"/>
  <c r="C13" i="63" s="1"/>
  <c r="G13" i="63" s="1"/>
  <c r="V17" i="63"/>
  <c r="T17" i="63"/>
  <c r="C12" i="63" s="1"/>
  <c r="G12" i="63" s="1"/>
  <c r="S17" i="63"/>
  <c r="C11" i="63" s="1"/>
  <c r="R17" i="63"/>
  <c r="C10" i="63" s="1"/>
  <c r="Q17" i="63"/>
  <c r="C9" i="63" s="1"/>
  <c r="P17" i="63"/>
  <c r="C8" i="63" s="1"/>
  <c r="O17" i="63"/>
  <c r="C7" i="63" s="1"/>
  <c r="N17" i="63"/>
  <c r="C6" i="63" s="1"/>
  <c r="L17" i="63"/>
  <c r="C4" i="63" s="1"/>
  <c r="M17" i="63"/>
  <c r="C5" i="63" s="1"/>
  <c r="S18" i="63"/>
  <c r="D11" i="63" s="1"/>
  <c r="R18" i="63"/>
  <c r="D10" i="63" s="1"/>
  <c r="Q18" i="63"/>
  <c r="D9" i="63" s="1"/>
  <c r="P18" i="63"/>
  <c r="D8" i="63" s="1"/>
  <c r="O18" i="63"/>
  <c r="D7" i="63" s="1"/>
  <c r="N18" i="63"/>
  <c r="D6" i="63" s="1"/>
  <c r="M18" i="63"/>
  <c r="D5" i="63" s="1"/>
  <c r="L18" i="63"/>
  <c r="D4" i="63" s="1"/>
  <c r="K18" i="63"/>
  <c r="N2" i="63"/>
  <c r="O2" i="63" s="1"/>
  <c r="P2" i="63" s="1"/>
  <c r="Q2" i="63" s="1"/>
  <c r="R2" i="63" s="1"/>
  <c r="S2" i="63" s="1"/>
  <c r="T2" i="63" s="1"/>
  <c r="U2" i="63" s="1"/>
  <c r="V2" i="63" s="1"/>
  <c r="AA42" i="83" l="1"/>
  <c r="AH43" i="84"/>
  <c r="X43" i="83"/>
  <c r="Z43" i="83" s="1"/>
  <c r="AB41" i="83"/>
  <c r="G45" i="84"/>
  <c r="H45" i="84" s="1"/>
  <c r="G37" i="84"/>
  <c r="H37" i="84" s="1"/>
  <c r="G47" i="84"/>
  <c r="H47" i="84" s="1"/>
  <c r="G39" i="84"/>
  <c r="H39" i="84" s="1"/>
  <c r="G41" i="84"/>
  <c r="H41" i="84" s="1"/>
  <c r="G43" i="84"/>
  <c r="H43" i="84" s="1"/>
  <c r="G40" i="84"/>
  <c r="H40" i="84" s="1"/>
  <c r="G46" i="84"/>
  <c r="H46" i="84" s="1"/>
  <c r="G42" i="84"/>
  <c r="H42" i="84" s="1"/>
  <c r="G38" i="84"/>
  <c r="H38" i="84" s="1"/>
  <c r="G36" i="84"/>
  <c r="H36" i="84" s="1"/>
  <c r="G44" i="84"/>
  <c r="H44" i="84" s="1"/>
  <c r="C14" i="63"/>
  <c r="G14" i="63" s="1"/>
  <c r="V19" i="63"/>
  <c r="G6" i="63"/>
  <c r="G11" i="63"/>
  <c r="G9" i="63"/>
  <c r="G7" i="63"/>
  <c r="G10" i="63"/>
  <c r="G4" i="63"/>
  <c r="G114" i="71"/>
  <c r="H114" i="71" s="1"/>
  <c r="G111" i="71"/>
  <c r="H111" i="71" s="1"/>
  <c r="G120" i="71"/>
  <c r="H120" i="71" s="1"/>
  <c r="G110" i="71"/>
  <c r="H110" i="71" s="1"/>
  <c r="G112" i="71"/>
  <c r="H112" i="71" s="1"/>
  <c r="G118" i="71"/>
  <c r="H118" i="71" s="1"/>
  <c r="G117" i="71"/>
  <c r="H117" i="71" s="1"/>
  <c r="G115" i="71"/>
  <c r="H115" i="71" s="1"/>
  <c r="G116" i="71"/>
  <c r="H116" i="71" s="1"/>
  <c r="G119" i="71"/>
  <c r="H119" i="71" s="1"/>
  <c r="G121" i="71"/>
  <c r="H121" i="71" s="1"/>
  <c r="G113" i="71"/>
  <c r="H113" i="71" s="1"/>
  <c r="G5" i="63"/>
  <c r="G8" i="63"/>
  <c r="E8" i="63"/>
  <c r="D92" i="63" s="1"/>
  <c r="F84" i="93" s="1"/>
  <c r="G84" i="93" s="1"/>
  <c r="P84" i="93" s="1"/>
  <c r="Q84" i="93" s="1"/>
  <c r="R84" i="93" s="1"/>
  <c r="E5" i="63"/>
  <c r="D48" i="63" s="1"/>
  <c r="F40" i="93" s="1"/>
  <c r="G40" i="93" s="1"/>
  <c r="P40" i="93" s="1"/>
  <c r="Q40" i="93" s="1"/>
  <c r="R40" i="93" s="1"/>
  <c r="E6" i="63"/>
  <c r="D68" i="63" s="1"/>
  <c r="F60" i="93" s="1"/>
  <c r="G60" i="93" s="1"/>
  <c r="P60" i="93" s="1"/>
  <c r="Q60" i="93" s="1"/>
  <c r="R60" i="93" s="1"/>
  <c r="E10" i="63"/>
  <c r="D108" i="63" s="1"/>
  <c r="F100" i="93" s="1"/>
  <c r="G100" i="93" s="1"/>
  <c r="P100" i="93" s="1"/>
  <c r="Q100" i="93" s="1"/>
  <c r="R100" i="93" s="1"/>
  <c r="E4" i="63"/>
  <c r="D44" i="63" s="1"/>
  <c r="F36" i="93" s="1"/>
  <c r="G36" i="93" s="1"/>
  <c r="P36" i="93" s="1"/>
  <c r="Q36" i="93" s="1"/>
  <c r="R36" i="93" s="1"/>
  <c r="E9" i="63"/>
  <c r="D96" i="63" s="1"/>
  <c r="F88" i="93" s="1"/>
  <c r="G88" i="93" s="1"/>
  <c r="P88" i="93" s="1"/>
  <c r="Q88" i="93" s="1"/>
  <c r="R88" i="93" s="1"/>
  <c r="E7" i="63"/>
  <c r="D80" i="63" s="1"/>
  <c r="F72" i="93" s="1"/>
  <c r="G72" i="93" s="1"/>
  <c r="P72" i="93" s="1"/>
  <c r="Q72" i="93" s="1"/>
  <c r="R72" i="93" s="1"/>
  <c r="E11" i="63"/>
  <c r="D120" i="63" s="1"/>
  <c r="F112" i="93" s="1"/>
  <c r="G112" i="93" s="1"/>
  <c r="P112" i="93" s="1"/>
  <c r="Q112" i="93" s="1"/>
  <c r="R112" i="93" s="1"/>
  <c r="T19" i="63"/>
  <c r="U19" i="63"/>
  <c r="K19" i="63"/>
  <c r="D3" i="63"/>
  <c r="M19" i="63"/>
  <c r="P19" i="63"/>
  <c r="L19" i="63"/>
  <c r="Q19" i="63"/>
  <c r="N19" i="63"/>
  <c r="R19" i="63"/>
  <c r="O19" i="63"/>
  <c r="S19" i="63"/>
  <c r="F84" i="86" l="1"/>
  <c r="G84" i="86" s="1"/>
  <c r="F72" i="86"/>
  <c r="G72" i="86" s="1"/>
  <c r="F60" i="86"/>
  <c r="G60" i="86" s="1"/>
  <c r="F36" i="86"/>
  <c r="G36" i="86" s="1"/>
  <c r="F88" i="86"/>
  <c r="G88" i="86" s="1"/>
  <c r="F40" i="86"/>
  <c r="G40" i="86" s="1"/>
  <c r="E25" i="84"/>
  <c r="F25" i="84" s="1"/>
  <c r="F112" i="86"/>
  <c r="G112" i="86" s="1"/>
  <c r="E13" i="84"/>
  <c r="F13" i="84" s="1"/>
  <c r="F100" i="86"/>
  <c r="G100" i="86" s="1"/>
  <c r="AB42" i="83"/>
  <c r="AA43" i="83"/>
  <c r="AH44" i="84"/>
  <c r="X44" i="83"/>
  <c r="Z44" i="83" s="1"/>
  <c r="G21" i="84"/>
  <c r="H21" i="84" s="1"/>
  <c r="G17" i="84"/>
  <c r="H17" i="84" s="1"/>
  <c r="G13" i="84"/>
  <c r="H13" i="84" s="1"/>
  <c r="G19" i="84"/>
  <c r="H19" i="84" s="1"/>
  <c r="G23" i="84"/>
  <c r="H23" i="84" s="1"/>
  <c r="G15" i="84"/>
  <c r="H15" i="84" s="1"/>
  <c r="G12" i="84"/>
  <c r="H12" i="84" s="1"/>
  <c r="G16" i="84"/>
  <c r="H16" i="84" s="1"/>
  <c r="G18" i="84"/>
  <c r="H18" i="84" s="1"/>
  <c r="G14" i="84"/>
  <c r="H14" i="84" s="1"/>
  <c r="G22" i="84"/>
  <c r="H22" i="84" s="1"/>
  <c r="G20" i="84"/>
  <c r="H20" i="84" s="1"/>
  <c r="G11" i="84"/>
  <c r="H11" i="84" s="1"/>
  <c r="G9" i="84"/>
  <c r="H9" i="84" s="1"/>
  <c r="G7" i="84"/>
  <c r="H7" i="84" s="1"/>
  <c r="G5" i="84"/>
  <c r="H5" i="84" s="1"/>
  <c r="G3" i="84"/>
  <c r="H3" i="84" s="1"/>
  <c r="G4" i="84"/>
  <c r="H4" i="84" s="1"/>
  <c r="G8" i="84"/>
  <c r="H8" i="84" s="1"/>
  <c r="G6" i="84"/>
  <c r="H6" i="84" s="1"/>
  <c r="G10" i="84"/>
  <c r="H10" i="84" s="1"/>
  <c r="G2" i="84"/>
  <c r="H2" i="84" s="1"/>
  <c r="G33" i="84"/>
  <c r="H33" i="84" s="1"/>
  <c r="G29" i="84"/>
  <c r="H29" i="84" s="1"/>
  <c r="G25" i="84"/>
  <c r="H25" i="84" s="1"/>
  <c r="G35" i="84"/>
  <c r="H35" i="84" s="1"/>
  <c r="G31" i="84"/>
  <c r="H31" i="84" s="1"/>
  <c r="G27" i="84"/>
  <c r="H27" i="84" s="1"/>
  <c r="G24" i="84"/>
  <c r="H24" i="84" s="1"/>
  <c r="G30" i="84"/>
  <c r="H30" i="84" s="1"/>
  <c r="G34" i="84"/>
  <c r="H34" i="84" s="1"/>
  <c r="G26" i="84"/>
  <c r="H26" i="84" s="1"/>
  <c r="G28" i="84"/>
  <c r="H28" i="84" s="1"/>
  <c r="G32" i="84"/>
  <c r="H32" i="84" s="1"/>
  <c r="G3" i="63"/>
  <c r="E3" i="63"/>
  <c r="D34" i="63" s="1"/>
  <c r="F26" i="93" s="1"/>
  <c r="G26" i="93" s="1"/>
  <c r="D36" i="63"/>
  <c r="F28" i="93" s="1"/>
  <c r="G28" i="93" s="1"/>
  <c r="P28" i="93" s="1"/>
  <c r="Q28" i="93" s="1"/>
  <c r="R28" i="93" s="1"/>
  <c r="F112" i="76"/>
  <c r="G112" i="76" s="1"/>
  <c r="Q219" i="61" s="1"/>
  <c r="F100" i="76"/>
  <c r="G100" i="76" s="1"/>
  <c r="Q207" i="61" s="1"/>
  <c r="F72" i="76"/>
  <c r="G72" i="76" s="1"/>
  <c r="Q179" i="61" s="1"/>
  <c r="F60" i="76"/>
  <c r="G60" i="76" s="1"/>
  <c r="Q167" i="61" s="1"/>
  <c r="F88" i="76"/>
  <c r="G88" i="76" s="1"/>
  <c r="Q195" i="61" s="1"/>
  <c r="F40" i="76"/>
  <c r="G40" i="76" s="1"/>
  <c r="Q147" i="61" s="1"/>
  <c r="F36" i="76"/>
  <c r="G36" i="76" s="1"/>
  <c r="Q143" i="61" s="1"/>
  <c r="F84" i="76"/>
  <c r="G84" i="76" s="1"/>
  <c r="Q191" i="61" s="1"/>
  <c r="D83" i="63"/>
  <c r="F75" i="93" s="1"/>
  <c r="D86" i="63"/>
  <c r="F78" i="93" s="1"/>
  <c r="G78" i="93" s="1"/>
  <c r="P78" i="93" s="1"/>
  <c r="Q78" i="93" s="1"/>
  <c r="R78" i="93" s="1"/>
  <c r="D89" i="63"/>
  <c r="F81" i="93" s="1"/>
  <c r="G81" i="93" s="1"/>
  <c r="P81" i="93" s="1"/>
  <c r="Q81" i="93" s="1"/>
  <c r="R81" i="93" s="1"/>
  <c r="D88" i="63"/>
  <c r="F80" i="93" s="1"/>
  <c r="G80" i="93" s="1"/>
  <c r="P80" i="93" s="1"/>
  <c r="Q80" i="93" s="1"/>
  <c r="R80" i="93" s="1"/>
  <c r="D62" i="63"/>
  <c r="F54" i="93" s="1"/>
  <c r="G54" i="93" s="1"/>
  <c r="P54" i="93" s="1"/>
  <c r="Q54" i="93" s="1"/>
  <c r="R54" i="93" s="1"/>
  <c r="D67" i="63"/>
  <c r="F59" i="93" s="1"/>
  <c r="G59" i="93" s="1"/>
  <c r="P59" i="93" s="1"/>
  <c r="Q59" i="93" s="1"/>
  <c r="R59" i="93" s="1"/>
  <c r="D61" i="63"/>
  <c r="F53" i="93" s="1"/>
  <c r="G53" i="93" s="1"/>
  <c r="P53" i="93" s="1"/>
  <c r="Q53" i="93" s="1"/>
  <c r="R53" i="93" s="1"/>
  <c r="D66" i="63"/>
  <c r="F58" i="93" s="1"/>
  <c r="G58" i="93" s="1"/>
  <c r="P58" i="93" s="1"/>
  <c r="Q58" i="93" s="1"/>
  <c r="R58" i="93" s="1"/>
  <c r="D79" i="63"/>
  <c r="F71" i="93" s="1"/>
  <c r="G71" i="93" s="1"/>
  <c r="P71" i="93" s="1"/>
  <c r="Q71" i="93" s="1"/>
  <c r="R71" i="93" s="1"/>
  <c r="D81" i="63"/>
  <c r="F73" i="93" s="1"/>
  <c r="G73" i="93" s="1"/>
  <c r="P73" i="93" s="1"/>
  <c r="Q73" i="93" s="1"/>
  <c r="R73" i="93" s="1"/>
  <c r="D74" i="63"/>
  <c r="F66" i="93" s="1"/>
  <c r="G66" i="93" s="1"/>
  <c r="P66" i="93" s="1"/>
  <c r="Q66" i="93" s="1"/>
  <c r="R66" i="93" s="1"/>
  <c r="D60" i="63"/>
  <c r="F52" i="93" s="1"/>
  <c r="G52" i="93" s="1"/>
  <c r="P52" i="93" s="1"/>
  <c r="Q52" i="93" s="1"/>
  <c r="R52" i="93" s="1"/>
  <c r="D75" i="63"/>
  <c r="F67" i="93" s="1"/>
  <c r="G67" i="93" s="1"/>
  <c r="P67" i="93" s="1"/>
  <c r="Q67" i="93" s="1"/>
  <c r="R67" i="93" s="1"/>
  <c r="D77" i="63"/>
  <c r="F69" i="93" s="1"/>
  <c r="G69" i="93" s="1"/>
  <c r="P69" i="93" s="1"/>
  <c r="Q69" i="93" s="1"/>
  <c r="R69" i="93" s="1"/>
  <c r="D72" i="63"/>
  <c r="F64" i="93" s="1"/>
  <c r="G64" i="93" s="1"/>
  <c r="P64" i="93" s="1"/>
  <c r="Q64" i="93" s="1"/>
  <c r="R64" i="93" s="1"/>
  <c r="D69" i="63"/>
  <c r="F61" i="93" s="1"/>
  <c r="G61" i="93" s="1"/>
  <c r="P61" i="93" s="1"/>
  <c r="Q61" i="93" s="1"/>
  <c r="R61" i="93" s="1"/>
  <c r="D64" i="63"/>
  <c r="F56" i="93" s="1"/>
  <c r="G56" i="93" s="1"/>
  <c r="P56" i="93" s="1"/>
  <c r="Q56" i="93" s="1"/>
  <c r="R56" i="93" s="1"/>
  <c r="D93" i="63"/>
  <c r="F85" i="93" s="1"/>
  <c r="G85" i="93" s="1"/>
  <c r="P85" i="93" s="1"/>
  <c r="Q85" i="93" s="1"/>
  <c r="R85" i="93" s="1"/>
  <c r="D90" i="63"/>
  <c r="F82" i="93" s="1"/>
  <c r="G82" i="93" s="1"/>
  <c r="P82" i="93" s="1"/>
  <c r="Q82" i="93" s="1"/>
  <c r="R82" i="93" s="1"/>
  <c r="D78" i="63"/>
  <c r="F70" i="93" s="1"/>
  <c r="G70" i="93" s="1"/>
  <c r="P70" i="93" s="1"/>
  <c r="Q70" i="93" s="1"/>
  <c r="R70" i="93" s="1"/>
  <c r="D82" i="63"/>
  <c r="F74" i="93" s="1"/>
  <c r="G74" i="93" s="1"/>
  <c r="P74" i="93" s="1"/>
  <c r="Q74" i="93" s="1"/>
  <c r="R74" i="93" s="1"/>
  <c r="D70" i="63"/>
  <c r="F62" i="93" s="1"/>
  <c r="G62" i="93" s="1"/>
  <c r="P62" i="93" s="1"/>
  <c r="Q62" i="93" s="1"/>
  <c r="R62" i="93" s="1"/>
  <c r="D63" i="63"/>
  <c r="F55" i="93" s="1"/>
  <c r="G55" i="93" s="1"/>
  <c r="P55" i="93" s="1"/>
  <c r="Q55" i="93" s="1"/>
  <c r="R55" i="93" s="1"/>
  <c r="D87" i="63"/>
  <c r="F79" i="93" s="1"/>
  <c r="G79" i="93" s="1"/>
  <c r="P79" i="93" s="1"/>
  <c r="Q79" i="93" s="1"/>
  <c r="R79" i="93" s="1"/>
  <c r="D91" i="63"/>
  <c r="F83" i="93" s="1"/>
  <c r="G83" i="93" s="1"/>
  <c r="P83" i="93" s="1"/>
  <c r="Q83" i="93" s="1"/>
  <c r="R83" i="93" s="1"/>
  <c r="D84" i="63"/>
  <c r="F76" i="93" s="1"/>
  <c r="G76" i="93" s="1"/>
  <c r="P76" i="93" s="1"/>
  <c r="Q76" i="93" s="1"/>
  <c r="R76" i="93" s="1"/>
  <c r="D37" i="63"/>
  <c r="F29" i="93" s="1"/>
  <c r="G29" i="93" s="1"/>
  <c r="P29" i="93" s="1"/>
  <c r="Q29" i="93" s="1"/>
  <c r="R29" i="93" s="1"/>
  <c r="D41" i="63"/>
  <c r="F33" i="93" s="1"/>
  <c r="G33" i="93" s="1"/>
  <c r="P33" i="93" s="1"/>
  <c r="Q33" i="93" s="1"/>
  <c r="R33" i="93" s="1"/>
  <c r="D35" i="63"/>
  <c r="F27" i="93" s="1"/>
  <c r="D76" i="63"/>
  <c r="F68" i="93" s="1"/>
  <c r="G68" i="93" s="1"/>
  <c r="P68" i="93" s="1"/>
  <c r="Q68" i="93" s="1"/>
  <c r="R68" i="93" s="1"/>
  <c r="D43" i="63"/>
  <c r="F35" i="93" s="1"/>
  <c r="G35" i="93" s="1"/>
  <c r="P35" i="93" s="1"/>
  <c r="Q35" i="93" s="1"/>
  <c r="R35" i="93" s="1"/>
  <c r="D38" i="63"/>
  <c r="F30" i="93" s="1"/>
  <c r="G30" i="93" s="1"/>
  <c r="P30" i="93" s="1"/>
  <c r="Q30" i="93" s="1"/>
  <c r="R30" i="93" s="1"/>
  <c r="D40" i="63"/>
  <c r="F32" i="93" s="1"/>
  <c r="G32" i="93" s="1"/>
  <c r="P32" i="93" s="1"/>
  <c r="Q32" i="93" s="1"/>
  <c r="R32" i="93" s="1"/>
  <c r="D71" i="63"/>
  <c r="F63" i="93" s="1"/>
  <c r="D73" i="63"/>
  <c r="F65" i="93" s="1"/>
  <c r="G65" i="93" s="1"/>
  <c r="P65" i="93" s="1"/>
  <c r="Q65" i="93" s="1"/>
  <c r="R65" i="93" s="1"/>
  <c r="D59" i="63"/>
  <c r="F51" i="93" s="1"/>
  <c r="D65" i="63"/>
  <c r="F57" i="93" s="1"/>
  <c r="G57" i="93" s="1"/>
  <c r="P57" i="93" s="1"/>
  <c r="Q57" i="93" s="1"/>
  <c r="R57" i="93" s="1"/>
  <c r="D94" i="63"/>
  <c r="F86" i="93" s="1"/>
  <c r="G86" i="93" s="1"/>
  <c r="P86" i="93" s="1"/>
  <c r="Q86" i="93" s="1"/>
  <c r="R86" i="93" s="1"/>
  <c r="D85" i="63"/>
  <c r="F77" i="93" s="1"/>
  <c r="G77" i="93" s="1"/>
  <c r="P77" i="93" s="1"/>
  <c r="Q77" i="93" s="1"/>
  <c r="R77" i="93" s="1"/>
  <c r="D45" i="63"/>
  <c r="F37" i="93" s="1"/>
  <c r="G37" i="93" s="1"/>
  <c r="P37" i="93" s="1"/>
  <c r="Q37" i="93" s="1"/>
  <c r="R37" i="93" s="1"/>
  <c r="D42" i="63"/>
  <c r="F34" i="93" s="1"/>
  <c r="G34" i="93" s="1"/>
  <c r="P34" i="93" s="1"/>
  <c r="Q34" i="93" s="1"/>
  <c r="R34" i="93" s="1"/>
  <c r="D46" i="63"/>
  <c r="F38" i="93" s="1"/>
  <c r="G38" i="93" s="1"/>
  <c r="P38" i="93" s="1"/>
  <c r="Q38" i="93" s="1"/>
  <c r="R38" i="93" s="1"/>
  <c r="D39" i="63"/>
  <c r="F31" i="93" s="1"/>
  <c r="G31" i="93" s="1"/>
  <c r="P31" i="93" s="1"/>
  <c r="Q31" i="93" s="1"/>
  <c r="R31" i="93" s="1"/>
  <c r="D126" i="63"/>
  <c r="F118" i="93" s="1"/>
  <c r="G118" i="93" s="1"/>
  <c r="P118" i="93" s="1"/>
  <c r="Q118" i="93" s="1"/>
  <c r="R118" i="93" s="1"/>
  <c r="D128" i="63"/>
  <c r="F120" i="93" s="1"/>
  <c r="G120" i="93" s="1"/>
  <c r="P120" i="93" s="1"/>
  <c r="Q120" i="93" s="1"/>
  <c r="R120" i="93" s="1"/>
  <c r="E47" i="71"/>
  <c r="F47" i="71" s="1"/>
  <c r="E71" i="71"/>
  <c r="F71" i="71" s="1"/>
  <c r="E23" i="71"/>
  <c r="F23" i="71" s="1"/>
  <c r="E99" i="71"/>
  <c r="F99" i="71" s="1"/>
  <c r="E75" i="71"/>
  <c r="F75" i="71" s="1"/>
  <c r="E87" i="71"/>
  <c r="F87" i="71" s="1"/>
  <c r="E27" i="71"/>
  <c r="F27" i="71" s="1"/>
  <c r="E59" i="71"/>
  <c r="F59" i="71" s="1"/>
  <c r="D112" i="63"/>
  <c r="F104" i="93" s="1"/>
  <c r="G104" i="93" s="1"/>
  <c r="P104" i="93" s="1"/>
  <c r="Q104" i="93" s="1"/>
  <c r="R104" i="93" s="1"/>
  <c r="D110" i="63"/>
  <c r="F102" i="93" s="1"/>
  <c r="G102" i="93" s="1"/>
  <c r="P102" i="93" s="1"/>
  <c r="Q102" i="93" s="1"/>
  <c r="R102" i="93" s="1"/>
  <c r="D127" i="63"/>
  <c r="F119" i="93" s="1"/>
  <c r="G119" i="93" s="1"/>
  <c r="P119" i="93" s="1"/>
  <c r="Q119" i="93" s="1"/>
  <c r="R119" i="93" s="1"/>
  <c r="D49" i="63"/>
  <c r="F41" i="93" s="1"/>
  <c r="G41" i="93" s="1"/>
  <c r="P41" i="93" s="1"/>
  <c r="Q41" i="93" s="1"/>
  <c r="R41" i="93" s="1"/>
  <c r="D118" i="63"/>
  <c r="F110" i="93" s="1"/>
  <c r="G110" i="93" s="1"/>
  <c r="P110" i="93" s="1"/>
  <c r="Q110" i="93" s="1"/>
  <c r="R110" i="93" s="1"/>
  <c r="D119" i="63"/>
  <c r="F111" i="93" s="1"/>
  <c r="D55" i="63"/>
  <c r="F47" i="93" s="1"/>
  <c r="G47" i="93" s="1"/>
  <c r="P47" i="93" s="1"/>
  <c r="Q47" i="93" s="1"/>
  <c r="R47" i="93" s="1"/>
  <c r="D107" i="63"/>
  <c r="F99" i="93" s="1"/>
  <c r="G99" i="71"/>
  <c r="H99" i="71" s="1"/>
  <c r="G103" i="71"/>
  <c r="H103" i="71" s="1"/>
  <c r="G107" i="71"/>
  <c r="H107" i="71" s="1"/>
  <c r="G100" i="71"/>
  <c r="H100" i="71" s="1"/>
  <c r="G104" i="71"/>
  <c r="H104" i="71" s="1"/>
  <c r="G108" i="71"/>
  <c r="H108" i="71" s="1"/>
  <c r="G101" i="71"/>
  <c r="H101" i="71" s="1"/>
  <c r="G102" i="71"/>
  <c r="H102" i="71" s="1"/>
  <c r="G105" i="71"/>
  <c r="H105" i="71" s="1"/>
  <c r="G109" i="71"/>
  <c r="H109" i="71" s="1"/>
  <c r="G106" i="71"/>
  <c r="H106" i="71" s="1"/>
  <c r="G98" i="71"/>
  <c r="H98" i="71" s="1"/>
  <c r="G87" i="71"/>
  <c r="H87" i="71" s="1"/>
  <c r="G91" i="71"/>
  <c r="H91" i="71" s="1"/>
  <c r="G95" i="71"/>
  <c r="H95" i="71" s="1"/>
  <c r="G88" i="71"/>
  <c r="H88" i="71" s="1"/>
  <c r="G92" i="71"/>
  <c r="H92" i="71" s="1"/>
  <c r="G96" i="71"/>
  <c r="H96" i="71" s="1"/>
  <c r="G89" i="71"/>
  <c r="H89" i="71" s="1"/>
  <c r="G93" i="71"/>
  <c r="H93" i="71" s="1"/>
  <c r="G97" i="71"/>
  <c r="H97" i="71" s="1"/>
  <c r="G86" i="71"/>
  <c r="H86" i="71" s="1"/>
  <c r="G90" i="71"/>
  <c r="H90" i="71" s="1"/>
  <c r="G94" i="71"/>
  <c r="H94" i="71" s="1"/>
  <c r="G75" i="71"/>
  <c r="H75" i="71" s="1"/>
  <c r="G79" i="71"/>
  <c r="H79" i="71" s="1"/>
  <c r="G83" i="71"/>
  <c r="H83" i="71" s="1"/>
  <c r="G76" i="71"/>
  <c r="H76" i="71" s="1"/>
  <c r="G80" i="71"/>
  <c r="H80" i="71" s="1"/>
  <c r="G84" i="71"/>
  <c r="H84" i="71" s="1"/>
  <c r="G77" i="71"/>
  <c r="H77" i="71" s="1"/>
  <c r="G81" i="71"/>
  <c r="H81" i="71" s="1"/>
  <c r="G85" i="71"/>
  <c r="H85" i="71" s="1"/>
  <c r="G74" i="71"/>
  <c r="H74" i="71" s="1"/>
  <c r="G78" i="71"/>
  <c r="H78" i="71" s="1"/>
  <c r="G82" i="71"/>
  <c r="H82" i="71" s="1"/>
  <c r="G51" i="71"/>
  <c r="H51" i="71" s="1"/>
  <c r="G55" i="71"/>
  <c r="H55" i="71" s="1"/>
  <c r="G59" i="71"/>
  <c r="H59" i="71" s="1"/>
  <c r="G52" i="71"/>
  <c r="H52" i="71" s="1"/>
  <c r="G56" i="71"/>
  <c r="H56" i="71" s="1"/>
  <c r="G60" i="71"/>
  <c r="H60" i="71" s="1"/>
  <c r="G53" i="71"/>
  <c r="H53" i="71" s="1"/>
  <c r="G57" i="71"/>
  <c r="H57" i="71" s="1"/>
  <c r="G61" i="71"/>
  <c r="H61" i="71" s="1"/>
  <c r="G54" i="71"/>
  <c r="H54" i="71" s="1"/>
  <c r="G58" i="71"/>
  <c r="H58" i="71" s="1"/>
  <c r="G50" i="71"/>
  <c r="H50" i="71" s="1"/>
  <c r="G15" i="71"/>
  <c r="H15" i="71" s="1"/>
  <c r="G19" i="71"/>
  <c r="H19" i="71" s="1"/>
  <c r="G23" i="71"/>
  <c r="H23" i="71" s="1"/>
  <c r="G16" i="71"/>
  <c r="H16" i="71" s="1"/>
  <c r="G20" i="71"/>
  <c r="H20" i="71" s="1"/>
  <c r="G24" i="71"/>
  <c r="H24" i="71" s="1"/>
  <c r="G17" i="71"/>
  <c r="H17" i="71" s="1"/>
  <c r="G21" i="71"/>
  <c r="H21" i="71" s="1"/>
  <c r="G25" i="71"/>
  <c r="H25" i="71" s="1"/>
  <c r="G22" i="71"/>
  <c r="H22" i="71" s="1"/>
  <c r="G14" i="71"/>
  <c r="H14" i="71" s="1"/>
  <c r="G18" i="71"/>
  <c r="H18" i="71" s="1"/>
  <c r="G39" i="71"/>
  <c r="H39" i="71" s="1"/>
  <c r="G43" i="71"/>
  <c r="H43" i="71" s="1"/>
  <c r="G47" i="71"/>
  <c r="H47" i="71" s="1"/>
  <c r="G40" i="71"/>
  <c r="H40" i="71" s="1"/>
  <c r="G44" i="71"/>
  <c r="H44" i="71" s="1"/>
  <c r="G48" i="71"/>
  <c r="H48" i="71" s="1"/>
  <c r="G41" i="71"/>
  <c r="H41" i="71" s="1"/>
  <c r="G45" i="71"/>
  <c r="H45" i="71" s="1"/>
  <c r="G49" i="71"/>
  <c r="H49" i="71" s="1"/>
  <c r="G38" i="71"/>
  <c r="H38" i="71" s="1"/>
  <c r="G42" i="71"/>
  <c r="H42" i="71" s="1"/>
  <c r="G46" i="71"/>
  <c r="H46" i="71" s="1"/>
  <c r="G63" i="71"/>
  <c r="H63" i="71" s="1"/>
  <c r="G67" i="71"/>
  <c r="H67" i="71" s="1"/>
  <c r="G71" i="71"/>
  <c r="H71" i="71" s="1"/>
  <c r="G64" i="71"/>
  <c r="H64" i="71" s="1"/>
  <c r="G68" i="71"/>
  <c r="H68" i="71" s="1"/>
  <c r="G72" i="71"/>
  <c r="H72" i="71" s="1"/>
  <c r="G65" i="71"/>
  <c r="H65" i="71" s="1"/>
  <c r="G69" i="71"/>
  <c r="H69" i="71" s="1"/>
  <c r="G73" i="71"/>
  <c r="H73" i="71" s="1"/>
  <c r="G70" i="71"/>
  <c r="H70" i="71" s="1"/>
  <c r="G62" i="71"/>
  <c r="H62" i="71" s="1"/>
  <c r="G66" i="71"/>
  <c r="H66" i="71" s="1"/>
  <c r="G27" i="71"/>
  <c r="H27" i="71" s="1"/>
  <c r="G31" i="71"/>
  <c r="H31" i="71" s="1"/>
  <c r="G35" i="71"/>
  <c r="H35" i="71" s="1"/>
  <c r="G28" i="71"/>
  <c r="H28" i="71" s="1"/>
  <c r="G32" i="71"/>
  <c r="H32" i="71" s="1"/>
  <c r="G36" i="71"/>
  <c r="H36" i="71" s="1"/>
  <c r="G29" i="71"/>
  <c r="H29" i="71" s="1"/>
  <c r="G33" i="71"/>
  <c r="H33" i="71" s="1"/>
  <c r="G37" i="71"/>
  <c r="H37" i="71" s="1"/>
  <c r="G26" i="71"/>
  <c r="H26" i="71" s="1"/>
  <c r="G34" i="71"/>
  <c r="H34" i="71" s="1"/>
  <c r="G30" i="71"/>
  <c r="H30" i="71" s="1"/>
  <c r="D129" i="63"/>
  <c r="F121" i="93" s="1"/>
  <c r="G121" i="93" s="1"/>
  <c r="P121" i="93" s="1"/>
  <c r="Q121" i="93" s="1"/>
  <c r="R121" i="93" s="1"/>
  <c r="D51" i="63"/>
  <c r="F43" i="93" s="1"/>
  <c r="G43" i="93" s="1"/>
  <c r="P43" i="93" s="1"/>
  <c r="Q43" i="93" s="1"/>
  <c r="R43" i="93" s="1"/>
  <c r="D50" i="63"/>
  <c r="F42" i="93" s="1"/>
  <c r="G42" i="93" s="1"/>
  <c r="P42" i="93" s="1"/>
  <c r="Q42" i="93" s="1"/>
  <c r="R42" i="93" s="1"/>
  <c r="D113" i="63"/>
  <c r="F105" i="93" s="1"/>
  <c r="G105" i="93" s="1"/>
  <c r="P105" i="93" s="1"/>
  <c r="Q105" i="93" s="1"/>
  <c r="R105" i="93" s="1"/>
  <c r="D101" i="63"/>
  <c r="F93" i="93" s="1"/>
  <c r="G93" i="93" s="1"/>
  <c r="P93" i="93" s="1"/>
  <c r="Q93" i="93" s="1"/>
  <c r="R93" i="93" s="1"/>
  <c r="D125" i="63"/>
  <c r="F117" i="93" s="1"/>
  <c r="G117" i="93" s="1"/>
  <c r="P117" i="93" s="1"/>
  <c r="Q117" i="93" s="1"/>
  <c r="R117" i="93" s="1"/>
  <c r="D54" i="63"/>
  <c r="F46" i="93" s="1"/>
  <c r="G46" i="93" s="1"/>
  <c r="P46" i="93" s="1"/>
  <c r="Q46" i="93" s="1"/>
  <c r="R46" i="93" s="1"/>
  <c r="D56" i="63"/>
  <c r="F48" i="93" s="1"/>
  <c r="G48" i="93" s="1"/>
  <c r="P48" i="93" s="1"/>
  <c r="Q48" i="93" s="1"/>
  <c r="R48" i="93" s="1"/>
  <c r="D111" i="63"/>
  <c r="F103" i="93" s="1"/>
  <c r="G103" i="93" s="1"/>
  <c r="P103" i="93" s="1"/>
  <c r="Q103" i="93" s="1"/>
  <c r="R103" i="93" s="1"/>
  <c r="D97" i="63"/>
  <c r="F89" i="93" s="1"/>
  <c r="G89" i="93" s="1"/>
  <c r="P89" i="93" s="1"/>
  <c r="Q89" i="93" s="1"/>
  <c r="R89" i="93" s="1"/>
  <c r="D103" i="63"/>
  <c r="F95" i="93" s="1"/>
  <c r="G95" i="93" s="1"/>
  <c r="P95" i="93" s="1"/>
  <c r="Q95" i="93" s="1"/>
  <c r="R95" i="93" s="1"/>
  <c r="D98" i="63"/>
  <c r="F90" i="93" s="1"/>
  <c r="G90" i="93" s="1"/>
  <c r="P90" i="93" s="1"/>
  <c r="Q90" i="93" s="1"/>
  <c r="R90" i="93" s="1"/>
  <c r="D95" i="63"/>
  <c r="F87" i="93" s="1"/>
  <c r="D104" i="63"/>
  <c r="F96" i="93" s="1"/>
  <c r="G96" i="93" s="1"/>
  <c r="P96" i="93" s="1"/>
  <c r="Q96" i="93" s="1"/>
  <c r="R96" i="93" s="1"/>
  <c r="D130" i="63"/>
  <c r="F122" i="93" s="1"/>
  <c r="G122" i="93" s="1"/>
  <c r="P122" i="93" s="1"/>
  <c r="Q122" i="93" s="1"/>
  <c r="R122" i="93" s="1"/>
  <c r="D121" i="63"/>
  <c r="F113" i="93" s="1"/>
  <c r="G113" i="93" s="1"/>
  <c r="P113" i="93" s="1"/>
  <c r="Q113" i="93" s="1"/>
  <c r="R113" i="93" s="1"/>
  <c r="D124" i="63"/>
  <c r="F116" i="93" s="1"/>
  <c r="G116" i="93" s="1"/>
  <c r="P116" i="93" s="1"/>
  <c r="Q116" i="93" s="1"/>
  <c r="R116" i="93" s="1"/>
  <c r="D57" i="63"/>
  <c r="F49" i="93" s="1"/>
  <c r="G49" i="93" s="1"/>
  <c r="P49" i="93" s="1"/>
  <c r="Q49" i="93" s="1"/>
  <c r="R49" i="93" s="1"/>
  <c r="D47" i="63"/>
  <c r="F39" i="93" s="1"/>
  <c r="D52" i="63"/>
  <c r="F44" i="93" s="1"/>
  <c r="G44" i="93" s="1"/>
  <c r="P44" i="93" s="1"/>
  <c r="Q44" i="93" s="1"/>
  <c r="R44" i="93" s="1"/>
  <c r="D109" i="63"/>
  <c r="F101" i="93" s="1"/>
  <c r="G101" i="93" s="1"/>
  <c r="P101" i="93" s="1"/>
  <c r="Q101" i="93" s="1"/>
  <c r="R101" i="93" s="1"/>
  <c r="D115" i="63"/>
  <c r="F107" i="93" s="1"/>
  <c r="G107" i="93" s="1"/>
  <c r="P107" i="93" s="1"/>
  <c r="Q107" i="93" s="1"/>
  <c r="R107" i="93" s="1"/>
  <c r="D117" i="63"/>
  <c r="F109" i="93" s="1"/>
  <c r="G109" i="93" s="1"/>
  <c r="P109" i="93" s="1"/>
  <c r="Q109" i="93" s="1"/>
  <c r="R109" i="93" s="1"/>
  <c r="D102" i="63"/>
  <c r="F94" i="93" s="1"/>
  <c r="G94" i="93" s="1"/>
  <c r="P94" i="93" s="1"/>
  <c r="Q94" i="93" s="1"/>
  <c r="R94" i="93" s="1"/>
  <c r="D99" i="63"/>
  <c r="F91" i="93" s="1"/>
  <c r="G91" i="93" s="1"/>
  <c r="P91" i="93" s="1"/>
  <c r="Q91" i="93" s="1"/>
  <c r="R91" i="93" s="1"/>
  <c r="D100" i="63"/>
  <c r="F92" i="93" s="1"/>
  <c r="G92" i="93" s="1"/>
  <c r="P92" i="93" s="1"/>
  <c r="Q92" i="93" s="1"/>
  <c r="R92" i="93" s="1"/>
  <c r="D122" i="63"/>
  <c r="F114" i="93" s="1"/>
  <c r="G114" i="93" s="1"/>
  <c r="P114" i="93" s="1"/>
  <c r="Q114" i="93" s="1"/>
  <c r="R114" i="93" s="1"/>
  <c r="D123" i="63"/>
  <c r="F115" i="93" s="1"/>
  <c r="G115" i="93" s="1"/>
  <c r="P115" i="93" s="1"/>
  <c r="Q115" i="93" s="1"/>
  <c r="R115" i="93" s="1"/>
  <c r="D53" i="63"/>
  <c r="F45" i="93" s="1"/>
  <c r="G45" i="93" s="1"/>
  <c r="P45" i="93" s="1"/>
  <c r="Q45" i="93" s="1"/>
  <c r="R45" i="93" s="1"/>
  <c r="D58" i="63"/>
  <c r="F50" i="93" s="1"/>
  <c r="G50" i="93" s="1"/>
  <c r="P50" i="93" s="1"/>
  <c r="Q50" i="93" s="1"/>
  <c r="R50" i="93" s="1"/>
  <c r="D114" i="63"/>
  <c r="F106" i="93" s="1"/>
  <c r="G106" i="93" s="1"/>
  <c r="P106" i="93" s="1"/>
  <c r="Q106" i="93" s="1"/>
  <c r="R106" i="93" s="1"/>
  <c r="D116" i="63"/>
  <c r="F108" i="93" s="1"/>
  <c r="G108" i="93" s="1"/>
  <c r="P108" i="93" s="1"/>
  <c r="Q108" i="93" s="1"/>
  <c r="R108" i="93" s="1"/>
  <c r="D105" i="63"/>
  <c r="F97" i="93" s="1"/>
  <c r="G97" i="93" s="1"/>
  <c r="P97" i="93" s="1"/>
  <c r="Q97" i="93" s="1"/>
  <c r="R97" i="93" s="1"/>
  <c r="D106" i="63"/>
  <c r="F98" i="93" s="1"/>
  <c r="G98" i="93" s="1"/>
  <c r="P98" i="93" s="1"/>
  <c r="Q98" i="93" s="1"/>
  <c r="R98" i="93" s="1"/>
  <c r="D156" i="63"/>
  <c r="F148" i="93" s="1"/>
  <c r="P186" i="93" s="1"/>
  <c r="D160" i="63"/>
  <c r="F152" i="93" s="1"/>
  <c r="P190" i="93" s="1"/>
  <c r="D164" i="63"/>
  <c r="F156" i="93" s="1"/>
  <c r="P194" i="93" s="1"/>
  <c r="D158" i="63"/>
  <c r="F150" i="93" s="1"/>
  <c r="P188" i="93" s="1"/>
  <c r="D166" i="63"/>
  <c r="F158" i="93" s="1"/>
  <c r="P196" i="93" s="1"/>
  <c r="D159" i="63"/>
  <c r="F151" i="93" s="1"/>
  <c r="P189" i="93" s="1"/>
  <c r="D157" i="63"/>
  <c r="F149" i="93" s="1"/>
  <c r="P187" i="93" s="1"/>
  <c r="D161" i="63"/>
  <c r="F153" i="93" s="1"/>
  <c r="P191" i="93" s="1"/>
  <c r="D165" i="63"/>
  <c r="F157" i="93" s="1"/>
  <c r="P195" i="93" s="1"/>
  <c r="D162" i="63"/>
  <c r="F154" i="93" s="1"/>
  <c r="P192" i="93" s="1"/>
  <c r="D155" i="63"/>
  <c r="F147" i="93" s="1"/>
  <c r="D163" i="63"/>
  <c r="F155" i="93" s="1"/>
  <c r="P193" i="93" s="1"/>
  <c r="D132" i="63"/>
  <c r="F124" i="93" s="1"/>
  <c r="D136" i="63"/>
  <c r="F128" i="93" s="1"/>
  <c r="D140" i="63"/>
  <c r="F132" i="93" s="1"/>
  <c r="D134" i="63"/>
  <c r="F126" i="93" s="1"/>
  <c r="D142" i="63"/>
  <c r="F134" i="93" s="1"/>
  <c r="D131" i="63"/>
  <c r="F123" i="93" s="1"/>
  <c r="D139" i="63"/>
  <c r="F131" i="93" s="1"/>
  <c r="D133" i="63"/>
  <c r="F125" i="93" s="1"/>
  <c r="D137" i="63"/>
  <c r="F129" i="93" s="1"/>
  <c r="D141" i="63"/>
  <c r="F133" i="93" s="1"/>
  <c r="D138" i="63"/>
  <c r="F130" i="93" s="1"/>
  <c r="D135" i="63"/>
  <c r="F127" i="93" s="1"/>
  <c r="D144" i="63"/>
  <c r="F136" i="93" s="1"/>
  <c r="D148" i="63"/>
  <c r="F140" i="93" s="1"/>
  <c r="D152" i="63"/>
  <c r="F144" i="93" s="1"/>
  <c r="D150" i="63"/>
  <c r="F142" i="93" s="1"/>
  <c r="D147" i="63"/>
  <c r="F139" i="93" s="1"/>
  <c r="D145" i="63"/>
  <c r="F137" i="93" s="1"/>
  <c r="D149" i="63"/>
  <c r="F141" i="93" s="1"/>
  <c r="D153" i="63"/>
  <c r="F145" i="93" s="1"/>
  <c r="D146" i="63"/>
  <c r="F138" i="93" s="1"/>
  <c r="D154" i="63"/>
  <c r="F146" i="93" s="1"/>
  <c r="D143" i="63"/>
  <c r="F135" i="93" s="1"/>
  <c r="D151" i="63"/>
  <c r="F143" i="93" s="1"/>
  <c r="F175" i="93" l="1"/>
  <c r="P175" i="93" s="1"/>
  <c r="P205" i="93"/>
  <c r="F205" i="93"/>
  <c r="G127" i="93"/>
  <c r="P209" i="93"/>
  <c r="F209" i="93"/>
  <c r="G131" i="93"/>
  <c r="F207" i="93"/>
  <c r="P207" i="93"/>
  <c r="G129" i="93"/>
  <c r="F212" i="93"/>
  <c r="P212" i="93"/>
  <c r="G134" i="93"/>
  <c r="P202" i="93"/>
  <c r="F202" i="93"/>
  <c r="G124" i="93"/>
  <c r="G39" i="93"/>
  <c r="F167" i="93"/>
  <c r="P167" i="93" s="1"/>
  <c r="G51" i="93"/>
  <c r="F168" i="93"/>
  <c r="P168" i="93" s="1"/>
  <c r="F204" i="93"/>
  <c r="P204" i="93"/>
  <c r="G126" i="93"/>
  <c r="G111" i="93"/>
  <c r="F173" i="93"/>
  <c r="P173" i="93" s="1"/>
  <c r="F203" i="93"/>
  <c r="P203" i="93"/>
  <c r="G125" i="93"/>
  <c r="P210" i="93"/>
  <c r="F210" i="93"/>
  <c r="G132" i="93"/>
  <c r="G87" i="93"/>
  <c r="F171" i="93"/>
  <c r="P171" i="93" s="1"/>
  <c r="F169" i="93"/>
  <c r="P169" i="93" s="1"/>
  <c r="Q169" i="93" s="1"/>
  <c r="D7" i="89" s="1"/>
  <c r="G63" i="93"/>
  <c r="P26" i="93"/>
  <c r="F208" i="93"/>
  <c r="P208" i="93"/>
  <c r="G130" i="93"/>
  <c r="P185" i="93"/>
  <c r="F176" i="93"/>
  <c r="P176" i="93" s="1"/>
  <c r="F211" i="93"/>
  <c r="P211" i="93"/>
  <c r="G133" i="93"/>
  <c r="P201" i="93"/>
  <c r="F201" i="93"/>
  <c r="G123" i="93"/>
  <c r="F174" i="93"/>
  <c r="P174" i="93" s="1"/>
  <c r="P206" i="93"/>
  <c r="F206" i="93"/>
  <c r="G128" i="93"/>
  <c r="G99" i="93"/>
  <c r="F172" i="93"/>
  <c r="P172" i="93" s="1"/>
  <c r="G27" i="93"/>
  <c r="F166" i="93"/>
  <c r="P166" i="93" s="1"/>
  <c r="G75" i="93"/>
  <c r="F170" i="93"/>
  <c r="P170" i="93" s="1"/>
  <c r="F135" i="86"/>
  <c r="F144" i="86"/>
  <c r="F147" i="86"/>
  <c r="T185" i="86" s="1"/>
  <c r="F156" i="86"/>
  <c r="T194" i="86" s="1"/>
  <c r="F87" i="86"/>
  <c r="G87" i="86" s="1"/>
  <c r="F38" i="86"/>
  <c r="G38" i="86" s="1"/>
  <c r="F86" i="86"/>
  <c r="G86" i="86" s="1"/>
  <c r="F63" i="86"/>
  <c r="G63" i="86" s="1"/>
  <c r="F68" i="86"/>
  <c r="G68" i="86" s="1"/>
  <c r="F76" i="86"/>
  <c r="G76" i="86" s="1"/>
  <c r="F62" i="86"/>
  <c r="G62" i="86" s="1"/>
  <c r="F85" i="86"/>
  <c r="G85" i="86" s="1"/>
  <c r="F69" i="86"/>
  <c r="G69" i="86" s="1"/>
  <c r="F73" i="86"/>
  <c r="G73" i="86" s="1"/>
  <c r="F59" i="86"/>
  <c r="G59" i="86" s="1"/>
  <c r="F78" i="86"/>
  <c r="G78" i="86" s="1"/>
  <c r="F26" i="86"/>
  <c r="G26" i="86" s="1"/>
  <c r="F149" i="86"/>
  <c r="T187" i="86" s="1"/>
  <c r="F45" i="86"/>
  <c r="G45" i="86" s="1"/>
  <c r="F146" i="86"/>
  <c r="F137" i="86"/>
  <c r="F140" i="86"/>
  <c r="F154" i="86"/>
  <c r="T192" i="86" s="1"/>
  <c r="F151" i="86"/>
  <c r="T189" i="86" s="1"/>
  <c r="F152" i="86"/>
  <c r="T190" i="86" s="1"/>
  <c r="F44" i="86"/>
  <c r="G44" i="86" s="1"/>
  <c r="F48" i="86"/>
  <c r="G48" i="86" s="1"/>
  <c r="F41" i="86"/>
  <c r="G41" i="86" s="1"/>
  <c r="F34" i="86"/>
  <c r="G34" i="86" s="1"/>
  <c r="F57" i="86"/>
  <c r="G57" i="86" s="1"/>
  <c r="F32" i="86"/>
  <c r="G32" i="86" s="1"/>
  <c r="F27" i="86"/>
  <c r="G27" i="86" s="1"/>
  <c r="F83" i="86"/>
  <c r="G83" i="86" s="1"/>
  <c r="F74" i="86"/>
  <c r="G74" i="86" s="1"/>
  <c r="F56" i="86"/>
  <c r="G56" i="86" s="1"/>
  <c r="F67" i="86"/>
  <c r="G67" i="86" s="1"/>
  <c r="F71" i="86"/>
  <c r="G71" i="86" s="1"/>
  <c r="F54" i="86"/>
  <c r="G54" i="86" s="1"/>
  <c r="F75" i="86"/>
  <c r="G75" i="86" s="1"/>
  <c r="F138" i="86"/>
  <c r="F136" i="86"/>
  <c r="F158" i="86"/>
  <c r="T196" i="86" s="1"/>
  <c r="F148" i="86"/>
  <c r="T186" i="86" s="1"/>
  <c r="F39" i="86"/>
  <c r="G39" i="86" s="1"/>
  <c r="F46" i="86"/>
  <c r="G46" i="86" s="1"/>
  <c r="F42" i="86"/>
  <c r="G42" i="86" s="1"/>
  <c r="F47" i="86"/>
  <c r="G47" i="86" s="1"/>
  <c r="F37" i="86"/>
  <c r="G37" i="86" s="1"/>
  <c r="F51" i="86"/>
  <c r="G51" i="86" s="1"/>
  <c r="F30" i="86"/>
  <c r="G30" i="86" s="1"/>
  <c r="F33" i="86"/>
  <c r="G33" i="86" s="1"/>
  <c r="F79" i="86"/>
  <c r="G79" i="86" s="1"/>
  <c r="F70" i="86"/>
  <c r="G70" i="86" s="1"/>
  <c r="F61" i="86"/>
  <c r="G61" i="86" s="1"/>
  <c r="F52" i="86"/>
  <c r="G52" i="86" s="1"/>
  <c r="F58" i="86"/>
  <c r="G58" i="86" s="1"/>
  <c r="F80" i="86"/>
  <c r="G80" i="86" s="1"/>
  <c r="F28" i="86"/>
  <c r="G28" i="86" s="1"/>
  <c r="F141" i="86"/>
  <c r="F139" i="86"/>
  <c r="F157" i="86"/>
  <c r="T195" i="86" s="1"/>
  <c r="F143" i="86"/>
  <c r="F145" i="86"/>
  <c r="F142" i="86"/>
  <c r="F155" i="86"/>
  <c r="T193" i="86" s="1"/>
  <c r="F153" i="86"/>
  <c r="T191" i="86" s="1"/>
  <c r="F150" i="86"/>
  <c r="T188" i="86" s="1"/>
  <c r="F50" i="86"/>
  <c r="G50" i="86" s="1"/>
  <c r="F49" i="86"/>
  <c r="G49" i="86" s="1"/>
  <c r="F43" i="86"/>
  <c r="G43" i="86" s="1"/>
  <c r="F31" i="86"/>
  <c r="G31" i="86" s="1"/>
  <c r="F77" i="86"/>
  <c r="G77" i="86" s="1"/>
  <c r="F65" i="86"/>
  <c r="G65" i="86" s="1"/>
  <c r="F35" i="86"/>
  <c r="G35" i="86" s="1"/>
  <c r="F29" i="86"/>
  <c r="G29" i="86" s="1"/>
  <c r="F55" i="86"/>
  <c r="G55" i="86" s="1"/>
  <c r="F82" i="86"/>
  <c r="G82" i="86" s="1"/>
  <c r="F64" i="86"/>
  <c r="G64" i="86" s="1"/>
  <c r="F66" i="86"/>
  <c r="G66" i="86" s="1"/>
  <c r="F53" i="86"/>
  <c r="G53" i="86" s="1"/>
  <c r="F81" i="86"/>
  <c r="G81" i="86" s="1"/>
  <c r="E42" i="84"/>
  <c r="F42" i="84" s="1"/>
  <c r="F129" i="86"/>
  <c r="G129" i="86" s="1"/>
  <c r="E44" i="84"/>
  <c r="F44" i="84" s="1"/>
  <c r="F131" i="86"/>
  <c r="G131" i="86" s="1"/>
  <c r="E10" i="84"/>
  <c r="F10" i="84" s="1"/>
  <c r="F97" i="86"/>
  <c r="G97" i="86" s="1"/>
  <c r="E4" i="84"/>
  <c r="F4" i="84" s="1"/>
  <c r="F91" i="86"/>
  <c r="G91" i="86" s="1"/>
  <c r="E14" i="84"/>
  <c r="F14" i="84" s="1"/>
  <c r="F101" i="86"/>
  <c r="G101" i="86" s="1"/>
  <c r="E29" i="84"/>
  <c r="F29" i="84" s="1"/>
  <c r="F116" i="86"/>
  <c r="G116" i="86" s="1"/>
  <c r="E16" i="84"/>
  <c r="F16" i="84" s="1"/>
  <c r="F103" i="86"/>
  <c r="G103" i="86" s="1"/>
  <c r="E6" i="84"/>
  <c r="F6" i="84" s="1"/>
  <c r="F93" i="86"/>
  <c r="G93" i="86" s="1"/>
  <c r="E34" i="84"/>
  <c r="F34" i="84" s="1"/>
  <c r="F121" i="86"/>
  <c r="G121" i="86" s="1"/>
  <c r="E23" i="84"/>
  <c r="F23" i="84" s="1"/>
  <c r="F110" i="86"/>
  <c r="G110" i="86" s="1"/>
  <c r="E17" i="84"/>
  <c r="F17" i="84" s="1"/>
  <c r="F104" i="86"/>
  <c r="G104" i="86" s="1"/>
  <c r="E43" i="84"/>
  <c r="F43" i="84" s="1"/>
  <c r="F130" i="86"/>
  <c r="G130" i="86" s="1"/>
  <c r="E45" i="84"/>
  <c r="F45" i="84" s="1"/>
  <c r="F132" i="86"/>
  <c r="G132" i="86" s="1"/>
  <c r="E46" i="84"/>
  <c r="F46" i="84" s="1"/>
  <c r="F133" i="86"/>
  <c r="G133" i="86" s="1"/>
  <c r="E36" i="84"/>
  <c r="F36" i="84" s="1"/>
  <c r="F123" i="86"/>
  <c r="E41" i="84"/>
  <c r="F41" i="84" s="1"/>
  <c r="F128" i="86"/>
  <c r="G128" i="86" s="1"/>
  <c r="E21" i="84"/>
  <c r="F21" i="84" s="1"/>
  <c r="F108" i="86"/>
  <c r="G108" i="86" s="1"/>
  <c r="E28" i="84"/>
  <c r="F28" i="84" s="1"/>
  <c r="F115" i="86"/>
  <c r="G115" i="86" s="1"/>
  <c r="E7" i="84"/>
  <c r="F7" i="84" s="1"/>
  <c r="F94" i="86"/>
  <c r="G94" i="86" s="1"/>
  <c r="E26" i="84"/>
  <c r="F26" i="84" s="1"/>
  <c r="F113" i="86"/>
  <c r="G113" i="86" s="1"/>
  <c r="E3" i="84"/>
  <c r="F3" i="84" s="1"/>
  <c r="F90" i="86"/>
  <c r="G90" i="86" s="1"/>
  <c r="E18" i="84"/>
  <c r="F18" i="84" s="1"/>
  <c r="F105" i="86"/>
  <c r="G105" i="86" s="1"/>
  <c r="E12" i="84"/>
  <c r="F12" i="84" s="1"/>
  <c r="F99" i="86"/>
  <c r="E33" i="84"/>
  <c r="F33" i="84" s="1"/>
  <c r="F120" i="86"/>
  <c r="G120" i="86" s="1"/>
  <c r="E37" i="84"/>
  <c r="F37" i="84" s="1"/>
  <c r="F124" i="86"/>
  <c r="G124" i="86" s="1"/>
  <c r="E27" i="84"/>
  <c r="F27" i="84" s="1"/>
  <c r="F114" i="86"/>
  <c r="G114" i="86" s="1"/>
  <c r="E35" i="84"/>
  <c r="F35" i="84" s="1"/>
  <c r="F122" i="86"/>
  <c r="G122" i="86" s="1"/>
  <c r="E8" i="84"/>
  <c r="F8" i="84" s="1"/>
  <c r="F95" i="86"/>
  <c r="G95" i="86" s="1"/>
  <c r="E32" i="84"/>
  <c r="F32" i="84" s="1"/>
  <c r="F119" i="86"/>
  <c r="G119" i="86" s="1"/>
  <c r="E31" i="84"/>
  <c r="F31" i="84" s="1"/>
  <c r="F118" i="86"/>
  <c r="G118" i="86" s="1"/>
  <c r="E47" i="84"/>
  <c r="F47" i="84" s="1"/>
  <c r="F134" i="86"/>
  <c r="G134" i="86" s="1"/>
  <c r="E19" i="84"/>
  <c r="F19" i="84" s="1"/>
  <c r="F106" i="86"/>
  <c r="G106" i="86" s="1"/>
  <c r="E22" i="84"/>
  <c r="F22" i="84" s="1"/>
  <c r="F109" i="86"/>
  <c r="G109" i="86" s="1"/>
  <c r="E40" i="84"/>
  <c r="F40" i="84" s="1"/>
  <c r="F127" i="86"/>
  <c r="G127" i="86" s="1"/>
  <c r="E38" i="84"/>
  <c r="F38" i="84" s="1"/>
  <c r="F125" i="86"/>
  <c r="G125" i="86" s="1"/>
  <c r="E39" i="84"/>
  <c r="F39" i="84" s="1"/>
  <c r="F126" i="86"/>
  <c r="G126" i="86" s="1"/>
  <c r="E11" i="84"/>
  <c r="F11" i="84" s="1"/>
  <c r="F98" i="86"/>
  <c r="G98" i="86" s="1"/>
  <c r="E5" i="84"/>
  <c r="F5" i="84" s="1"/>
  <c r="F92" i="86"/>
  <c r="G92" i="86" s="1"/>
  <c r="E20" i="84"/>
  <c r="F20" i="84" s="1"/>
  <c r="F107" i="86"/>
  <c r="G107" i="86" s="1"/>
  <c r="E9" i="84"/>
  <c r="F9" i="84" s="1"/>
  <c r="F96" i="86"/>
  <c r="G96" i="86" s="1"/>
  <c r="E2" i="84"/>
  <c r="F2" i="84" s="1"/>
  <c r="F89" i="86"/>
  <c r="G89" i="86" s="1"/>
  <c r="E30" i="84"/>
  <c r="F30" i="84" s="1"/>
  <c r="F117" i="86"/>
  <c r="G117" i="86" s="1"/>
  <c r="E24" i="84"/>
  <c r="F24" i="84" s="1"/>
  <c r="F111" i="86"/>
  <c r="E15" i="84"/>
  <c r="F15" i="84" s="1"/>
  <c r="F102" i="86"/>
  <c r="G102" i="86" s="1"/>
  <c r="AB43" i="83"/>
  <c r="AA44" i="83"/>
  <c r="AH45" i="84"/>
  <c r="X45" i="83"/>
  <c r="Z45" i="83" s="1"/>
  <c r="F28" i="76"/>
  <c r="G28" i="76" s="1"/>
  <c r="Q135" i="61" s="1"/>
  <c r="E15" i="71"/>
  <c r="F15" i="71" s="1"/>
  <c r="F86" i="76"/>
  <c r="G86" i="76" s="1"/>
  <c r="Q193" i="61" s="1"/>
  <c r="F68" i="76"/>
  <c r="G68" i="76" s="1"/>
  <c r="Q175" i="61" s="1"/>
  <c r="F73" i="76"/>
  <c r="G73" i="76" s="1"/>
  <c r="Q180" i="61" s="1"/>
  <c r="F153" i="76"/>
  <c r="P191" i="76" s="1"/>
  <c r="F120" i="76"/>
  <c r="G120" i="76" s="1"/>
  <c r="Q227" i="61" s="1"/>
  <c r="F34" i="76"/>
  <c r="G34" i="76" s="1"/>
  <c r="Q141" i="61" s="1"/>
  <c r="F32" i="76"/>
  <c r="G32" i="76" s="1"/>
  <c r="Q139" i="61" s="1"/>
  <c r="F83" i="76"/>
  <c r="G83" i="76" s="1"/>
  <c r="Q190" i="61" s="1"/>
  <c r="F71" i="76"/>
  <c r="G71" i="76" s="1"/>
  <c r="Q178" i="61" s="1"/>
  <c r="F158" i="76"/>
  <c r="P196" i="76" s="1"/>
  <c r="F148" i="76"/>
  <c r="P186" i="76" s="1"/>
  <c r="F38" i="76"/>
  <c r="G38" i="76" s="1"/>
  <c r="Q145" i="61" s="1"/>
  <c r="F76" i="76"/>
  <c r="G76" i="76" s="1"/>
  <c r="Q183" i="61" s="1"/>
  <c r="F85" i="76"/>
  <c r="G85" i="76" s="1"/>
  <c r="Q192" i="61" s="1"/>
  <c r="F59" i="76"/>
  <c r="G59" i="76" s="1"/>
  <c r="Q166" i="61" s="1"/>
  <c r="F150" i="76"/>
  <c r="P188" i="76" s="1"/>
  <c r="F57" i="76"/>
  <c r="G57" i="76" s="1"/>
  <c r="Q164" i="61" s="1"/>
  <c r="F27" i="76"/>
  <c r="G27" i="76" s="1"/>
  <c r="Q134" i="61" s="1"/>
  <c r="F74" i="76"/>
  <c r="G74" i="76" s="1"/>
  <c r="Q181" i="61" s="1"/>
  <c r="F56" i="76"/>
  <c r="G56" i="76" s="1"/>
  <c r="Q163" i="61" s="1"/>
  <c r="F67" i="76"/>
  <c r="G67" i="76" s="1"/>
  <c r="Q174" i="61" s="1"/>
  <c r="F54" i="76"/>
  <c r="G54" i="76" s="1"/>
  <c r="Q161" i="61" s="1"/>
  <c r="F75" i="76"/>
  <c r="G75" i="76" s="1"/>
  <c r="Q182" i="61" s="1"/>
  <c r="F149" i="76"/>
  <c r="P187" i="76" s="1"/>
  <c r="F37" i="76"/>
  <c r="G37" i="76" s="1"/>
  <c r="Q144" i="61" s="1"/>
  <c r="F51" i="76"/>
  <c r="G51" i="76" s="1"/>
  <c r="Q158" i="61" s="1"/>
  <c r="F30" i="76"/>
  <c r="G30" i="76" s="1"/>
  <c r="Q137" i="61" s="1"/>
  <c r="F33" i="76"/>
  <c r="G33" i="76" s="1"/>
  <c r="Q140" i="61" s="1"/>
  <c r="F79" i="76"/>
  <c r="G79" i="76" s="1"/>
  <c r="Q186" i="61" s="1"/>
  <c r="F70" i="76"/>
  <c r="G70" i="76" s="1"/>
  <c r="Q177" i="61" s="1"/>
  <c r="F61" i="76"/>
  <c r="G61" i="76" s="1"/>
  <c r="Q168" i="61" s="1"/>
  <c r="F52" i="76"/>
  <c r="G52" i="76" s="1"/>
  <c r="Q159" i="61" s="1"/>
  <c r="F58" i="76"/>
  <c r="G58" i="76" s="1"/>
  <c r="Q165" i="61" s="1"/>
  <c r="F80" i="76"/>
  <c r="G80" i="76" s="1"/>
  <c r="Q187" i="61" s="1"/>
  <c r="F157" i="76"/>
  <c r="P195" i="76" s="1"/>
  <c r="F63" i="76"/>
  <c r="G63" i="76" s="1"/>
  <c r="Q170" i="61" s="1"/>
  <c r="F62" i="76"/>
  <c r="G62" i="76" s="1"/>
  <c r="Q169" i="61" s="1"/>
  <c r="F69" i="76"/>
  <c r="G69" i="76" s="1"/>
  <c r="Q176" i="61" s="1"/>
  <c r="F78" i="76"/>
  <c r="G78" i="76" s="1"/>
  <c r="Q185" i="61" s="1"/>
  <c r="F155" i="76"/>
  <c r="P193" i="76" s="1"/>
  <c r="F156" i="76"/>
  <c r="P194" i="76" s="1"/>
  <c r="F118" i="76"/>
  <c r="G118" i="76" s="1"/>
  <c r="Q225" i="61" s="1"/>
  <c r="F154" i="76"/>
  <c r="P192" i="76" s="1"/>
  <c r="F151" i="76"/>
  <c r="P189" i="76" s="1"/>
  <c r="F152" i="76"/>
  <c r="P190" i="76" s="1"/>
  <c r="F31" i="76"/>
  <c r="G31" i="76" s="1"/>
  <c r="Q138" i="61" s="1"/>
  <c r="F77" i="76"/>
  <c r="G77" i="76" s="1"/>
  <c r="Q184" i="61" s="1"/>
  <c r="F65" i="76"/>
  <c r="G65" i="76" s="1"/>
  <c r="Q172" i="61" s="1"/>
  <c r="F35" i="76"/>
  <c r="G35" i="76" s="1"/>
  <c r="Q142" i="61" s="1"/>
  <c r="F29" i="76"/>
  <c r="G29" i="76" s="1"/>
  <c r="Q136" i="61" s="1"/>
  <c r="F55" i="76"/>
  <c r="G55" i="76" s="1"/>
  <c r="Q162" i="61" s="1"/>
  <c r="F82" i="76"/>
  <c r="G82" i="76" s="1"/>
  <c r="Q189" i="61" s="1"/>
  <c r="F64" i="76"/>
  <c r="G64" i="76" s="1"/>
  <c r="Q171" i="61" s="1"/>
  <c r="F66" i="76"/>
  <c r="G66" i="76" s="1"/>
  <c r="Q173" i="61" s="1"/>
  <c r="F53" i="76"/>
  <c r="G53" i="76" s="1"/>
  <c r="Q160" i="61" s="1"/>
  <c r="F81" i="76"/>
  <c r="G81" i="76" s="1"/>
  <c r="Q188" i="61" s="1"/>
  <c r="F138" i="76"/>
  <c r="F139" i="76"/>
  <c r="F136" i="76"/>
  <c r="F129" i="76"/>
  <c r="P206" i="76" s="1"/>
  <c r="F134" i="76"/>
  <c r="P211" i="76" s="1"/>
  <c r="F124" i="76"/>
  <c r="P201" i="76" s="1"/>
  <c r="F108" i="76"/>
  <c r="G108" i="76" s="1"/>
  <c r="Q215" i="61" s="1"/>
  <c r="F115" i="76"/>
  <c r="G115" i="76" s="1"/>
  <c r="Q222" i="61" s="1"/>
  <c r="F94" i="76"/>
  <c r="G94" i="76" s="1"/>
  <c r="Q201" i="61" s="1"/>
  <c r="F44" i="76"/>
  <c r="G44" i="76" s="1"/>
  <c r="Q151" i="61" s="1"/>
  <c r="F113" i="76"/>
  <c r="G113" i="76" s="1"/>
  <c r="Q220" i="61" s="1"/>
  <c r="F90" i="76"/>
  <c r="G90" i="76" s="1"/>
  <c r="Q197" i="61" s="1"/>
  <c r="F48" i="76"/>
  <c r="G48" i="76" s="1"/>
  <c r="Q155" i="61" s="1"/>
  <c r="F105" i="76"/>
  <c r="G105" i="76" s="1"/>
  <c r="Q212" i="61" s="1"/>
  <c r="F99" i="76"/>
  <c r="F41" i="76"/>
  <c r="G41" i="76" s="1"/>
  <c r="Q148" i="61" s="1"/>
  <c r="F143" i="76"/>
  <c r="F145" i="76"/>
  <c r="F142" i="76"/>
  <c r="F127" i="76"/>
  <c r="P204" i="76" s="1"/>
  <c r="F125" i="76"/>
  <c r="P202" i="76" s="1"/>
  <c r="F126" i="76"/>
  <c r="P203" i="76" s="1"/>
  <c r="F26" i="76"/>
  <c r="G26" i="76" s="1"/>
  <c r="Q133" i="61" s="1"/>
  <c r="F106" i="76"/>
  <c r="G106" i="76" s="1"/>
  <c r="Q213" i="61" s="1"/>
  <c r="F114" i="76"/>
  <c r="G114" i="76" s="1"/>
  <c r="Q221" i="61" s="1"/>
  <c r="F109" i="76"/>
  <c r="G109" i="76" s="1"/>
  <c r="Q216" i="61" s="1"/>
  <c r="F39" i="76"/>
  <c r="F122" i="76"/>
  <c r="G122" i="76" s="1"/>
  <c r="Q229" i="61" s="1"/>
  <c r="F95" i="76"/>
  <c r="G95" i="76" s="1"/>
  <c r="Q202" i="61" s="1"/>
  <c r="F46" i="76"/>
  <c r="G46" i="76" s="1"/>
  <c r="Q153" i="61" s="1"/>
  <c r="F42" i="76"/>
  <c r="G42" i="76" s="1"/>
  <c r="Q149" i="61" s="1"/>
  <c r="F47" i="76"/>
  <c r="G47" i="76" s="1"/>
  <c r="Q154" i="61" s="1"/>
  <c r="F119" i="76"/>
  <c r="G119" i="76" s="1"/>
  <c r="Q226" i="61" s="1"/>
  <c r="F135" i="76"/>
  <c r="F141" i="76"/>
  <c r="F144" i="76"/>
  <c r="F130" i="76"/>
  <c r="P207" i="76" s="1"/>
  <c r="F131" i="76"/>
  <c r="P208" i="76" s="1"/>
  <c r="F132" i="76"/>
  <c r="P209" i="76" s="1"/>
  <c r="F147" i="76"/>
  <c r="F98" i="76"/>
  <c r="G98" i="76" s="1"/>
  <c r="Q205" i="61" s="1"/>
  <c r="F50" i="76"/>
  <c r="G50" i="76" s="1"/>
  <c r="Q157" i="61" s="1"/>
  <c r="F92" i="76"/>
  <c r="G92" i="76" s="1"/>
  <c r="Q199" i="61" s="1"/>
  <c r="F107" i="76"/>
  <c r="G107" i="76" s="1"/>
  <c r="Q214" i="61" s="1"/>
  <c r="F49" i="76"/>
  <c r="G49" i="76" s="1"/>
  <c r="Q156" i="61" s="1"/>
  <c r="F96" i="76"/>
  <c r="G96" i="76" s="1"/>
  <c r="Q203" i="61" s="1"/>
  <c r="F89" i="76"/>
  <c r="G89" i="76" s="1"/>
  <c r="Q196" i="61" s="1"/>
  <c r="F117" i="76"/>
  <c r="G117" i="76" s="1"/>
  <c r="Q224" i="61" s="1"/>
  <c r="F43" i="76"/>
  <c r="G43" i="76" s="1"/>
  <c r="Q150" i="61" s="1"/>
  <c r="F111" i="76"/>
  <c r="F102" i="76"/>
  <c r="G102" i="76" s="1"/>
  <c r="Q209" i="61" s="1"/>
  <c r="F146" i="76"/>
  <c r="F137" i="76"/>
  <c r="F140" i="76"/>
  <c r="F133" i="76"/>
  <c r="P210" i="76" s="1"/>
  <c r="F123" i="76"/>
  <c r="F128" i="76"/>
  <c r="P205" i="76" s="1"/>
  <c r="F97" i="76"/>
  <c r="G97" i="76" s="1"/>
  <c r="Q204" i="61" s="1"/>
  <c r="F45" i="76"/>
  <c r="G45" i="76" s="1"/>
  <c r="Q152" i="61" s="1"/>
  <c r="F91" i="76"/>
  <c r="G91" i="76" s="1"/>
  <c r="Q198" i="61" s="1"/>
  <c r="F101" i="76"/>
  <c r="G101" i="76" s="1"/>
  <c r="Q208" i="61" s="1"/>
  <c r="F116" i="76"/>
  <c r="G116" i="76" s="1"/>
  <c r="Q223" i="61" s="1"/>
  <c r="F87" i="76"/>
  <c r="F103" i="76"/>
  <c r="G103" i="76" s="1"/>
  <c r="Q210" i="61" s="1"/>
  <c r="F93" i="76"/>
  <c r="G93" i="76" s="1"/>
  <c r="Q200" i="61" s="1"/>
  <c r="F121" i="76"/>
  <c r="G121" i="76" s="1"/>
  <c r="Q228" i="61" s="1"/>
  <c r="F110" i="76"/>
  <c r="G110" i="76" s="1"/>
  <c r="Q217" i="61" s="1"/>
  <c r="F104" i="76"/>
  <c r="G104" i="76" s="1"/>
  <c r="Q211" i="61" s="1"/>
  <c r="E105" i="71"/>
  <c r="F105" i="71" s="1"/>
  <c r="E24" i="71"/>
  <c r="F24" i="71" s="1"/>
  <c r="E38" i="71"/>
  <c r="F38" i="71" s="1"/>
  <c r="E17" i="71"/>
  <c r="F17" i="71" s="1"/>
  <c r="E20" i="71"/>
  <c r="F20" i="71" s="1"/>
  <c r="E66" i="71"/>
  <c r="F66" i="71" s="1"/>
  <c r="E57" i="71"/>
  <c r="F57" i="71" s="1"/>
  <c r="E48" i="71"/>
  <c r="F48" i="71" s="1"/>
  <c r="E39" i="71"/>
  <c r="F39" i="71" s="1"/>
  <c r="E45" i="71"/>
  <c r="F45" i="71" s="1"/>
  <c r="E67" i="71"/>
  <c r="F67" i="71" s="1"/>
  <c r="E18" i="71"/>
  <c r="F18" i="71" s="1"/>
  <c r="E64" i="71"/>
  <c r="F64" i="71" s="1"/>
  <c r="E52" i="71"/>
  <c r="F52" i="71" s="1"/>
  <c r="E22" i="71"/>
  <c r="F22" i="71" s="1"/>
  <c r="E16" i="71"/>
  <c r="F16" i="71" s="1"/>
  <c r="E42" i="71"/>
  <c r="F42" i="71" s="1"/>
  <c r="E69" i="71"/>
  <c r="F69" i="71" s="1"/>
  <c r="E51" i="71"/>
  <c r="F51" i="71" s="1"/>
  <c r="E53" i="71"/>
  <c r="F53" i="71" s="1"/>
  <c r="E40" i="71"/>
  <c r="F40" i="71" s="1"/>
  <c r="E68" i="71"/>
  <c r="F68" i="71" s="1"/>
  <c r="E25" i="71"/>
  <c r="F25" i="71" s="1"/>
  <c r="E73" i="71"/>
  <c r="F73" i="71" s="1"/>
  <c r="E50" i="71"/>
  <c r="F50" i="71" s="1"/>
  <c r="E55" i="71"/>
  <c r="F55" i="71" s="1"/>
  <c r="E63" i="71"/>
  <c r="F63" i="71" s="1"/>
  <c r="E49" i="71"/>
  <c r="F49" i="71" s="1"/>
  <c r="E72" i="71"/>
  <c r="F72" i="71" s="1"/>
  <c r="E56" i="71"/>
  <c r="F56" i="71" s="1"/>
  <c r="E60" i="71"/>
  <c r="F60" i="71" s="1"/>
  <c r="E46" i="71"/>
  <c r="F46" i="71" s="1"/>
  <c r="E65" i="71"/>
  <c r="F65" i="71" s="1"/>
  <c r="E107" i="71"/>
  <c r="F107" i="71" s="1"/>
  <c r="E21" i="71"/>
  <c r="F21" i="71" s="1"/>
  <c r="E44" i="71"/>
  <c r="F44" i="71" s="1"/>
  <c r="E19" i="71"/>
  <c r="F19" i="71" s="1"/>
  <c r="E14" i="71"/>
  <c r="F14" i="71" s="1"/>
  <c r="E70" i="71"/>
  <c r="F70" i="71" s="1"/>
  <c r="E61" i="71"/>
  <c r="F61" i="71" s="1"/>
  <c r="E43" i="71"/>
  <c r="F43" i="71" s="1"/>
  <c r="E54" i="71"/>
  <c r="F54" i="71" s="1"/>
  <c r="E58" i="71"/>
  <c r="F58" i="71" s="1"/>
  <c r="E41" i="71"/>
  <c r="F41" i="71" s="1"/>
  <c r="E62" i="71"/>
  <c r="F62" i="71" s="1"/>
  <c r="F4" i="63"/>
  <c r="D29" i="63"/>
  <c r="F21" i="93" s="1"/>
  <c r="G21" i="93" s="1"/>
  <c r="D28" i="63"/>
  <c r="F20" i="93" s="1"/>
  <c r="G20" i="93" s="1"/>
  <c r="E118" i="71"/>
  <c r="F118" i="71" s="1"/>
  <c r="E120" i="71"/>
  <c r="F120" i="71" s="1"/>
  <c r="E116" i="71"/>
  <c r="F116" i="71" s="1"/>
  <c r="E95" i="71"/>
  <c r="F95" i="71" s="1"/>
  <c r="E102" i="71"/>
  <c r="F102" i="71" s="1"/>
  <c r="E81" i="71"/>
  <c r="F81" i="71" s="1"/>
  <c r="E31" i="71"/>
  <c r="F31" i="71" s="1"/>
  <c r="E100" i="71"/>
  <c r="F100" i="71" s="1"/>
  <c r="E77" i="71"/>
  <c r="F77" i="71" s="1"/>
  <c r="E35" i="71"/>
  <c r="F35" i="71" s="1"/>
  <c r="E92" i="71"/>
  <c r="F92" i="71" s="1"/>
  <c r="E86" i="71"/>
  <c r="F86" i="71" s="1"/>
  <c r="E28" i="71"/>
  <c r="F28" i="71" s="1"/>
  <c r="E115" i="71"/>
  <c r="F115" i="71" s="1"/>
  <c r="E121" i="71"/>
  <c r="F121" i="71" s="1"/>
  <c r="E111" i="71"/>
  <c r="F111" i="71" s="1"/>
  <c r="E114" i="71"/>
  <c r="F114" i="71" s="1"/>
  <c r="E112" i="71"/>
  <c r="F112" i="71" s="1"/>
  <c r="E113" i="71"/>
  <c r="F113" i="71" s="1"/>
  <c r="E13" i="71"/>
  <c r="F13" i="71" s="1"/>
  <c r="E93" i="71"/>
  <c r="F93" i="71" s="1"/>
  <c r="E101" i="71"/>
  <c r="F101" i="71" s="1"/>
  <c r="E96" i="71"/>
  <c r="F96" i="71" s="1"/>
  <c r="E26" i="71"/>
  <c r="F26" i="71" s="1"/>
  <c r="E109" i="71"/>
  <c r="F109" i="71" s="1"/>
  <c r="E82" i="71"/>
  <c r="F82" i="71" s="1"/>
  <c r="E33" i="71"/>
  <c r="F33" i="71" s="1"/>
  <c r="E29" i="71"/>
  <c r="F29" i="71" s="1"/>
  <c r="E34" i="71"/>
  <c r="F34" i="71" s="1"/>
  <c r="E106" i="71"/>
  <c r="F106" i="71" s="1"/>
  <c r="E119" i="71"/>
  <c r="F119" i="71" s="1"/>
  <c r="E85" i="71"/>
  <c r="F85" i="71" s="1"/>
  <c r="E37" i="71"/>
  <c r="F37" i="71" s="1"/>
  <c r="E79" i="71"/>
  <c r="F79" i="71" s="1"/>
  <c r="E94" i="71"/>
  <c r="F94" i="71" s="1"/>
  <c r="E36" i="71"/>
  <c r="F36" i="71" s="1"/>
  <c r="E83" i="71"/>
  <c r="F83" i="71" s="1"/>
  <c r="E76" i="71"/>
  <c r="F76" i="71" s="1"/>
  <c r="E104" i="71"/>
  <c r="F104" i="71" s="1"/>
  <c r="E30" i="71"/>
  <c r="F30" i="71" s="1"/>
  <c r="E98" i="71"/>
  <c r="F98" i="71" s="1"/>
  <c r="E89" i="71"/>
  <c r="F89" i="71" s="1"/>
  <c r="E117" i="71"/>
  <c r="F117" i="71" s="1"/>
  <c r="E110" i="71"/>
  <c r="F110" i="71" s="1"/>
  <c r="E84" i="71"/>
  <c r="F84" i="71" s="1"/>
  <c r="E32" i="71"/>
  <c r="F32" i="71" s="1"/>
  <c r="E78" i="71"/>
  <c r="F78" i="71" s="1"/>
  <c r="E88" i="71"/>
  <c r="F88" i="71" s="1"/>
  <c r="E103" i="71"/>
  <c r="F103" i="71" s="1"/>
  <c r="E74" i="71"/>
  <c r="F74" i="71" s="1"/>
  <c r="E90" i="71"/>
  <c r="F90" i="71" s="1"/>
  <c r="E80" i="71"/>
  <c r="F80" i="71" s="1"/>
  <c r="E108" i="71"/>
  <c r="F108" i="71" s="1"/>
  <c r="E97" i="71"/>
  <c r="F97" i="71" s="1"/>
  <c r="E91" i="71"/>
  <c r="F91" i="71" s="1"/>
  <c r="D31" i="63"/>
  <c r="F23" i="93" s="1"/>
  <c r="G23" i="93" s="1"/>
  <c r="G2" i="71"/>
  <c r="H2" i="71" s="1"/>
  <c r="G3" i="71"/>
  <c r="H3" i="71" s="1"/>
  <c r="G7" i="71"/>
  <c r="H7" i="71" s="1"/>
  <c r="G11" i="71"/>
  <c r="H11" i="71" s="1"/>
  <c r="G4" i="71"/>
  <c r="H4" i="71" s="1"/>
  <c r="G8" i="71"/>
  <c r="H8" i="71" s="1"/>
  <c r="G12" i="71"/>
  <c r="H12" i="71" s="1"/>
  <c r="G5" i="71"/>
  <c r="H5" i="71" s="1"/>
  <c r="G9" i="71"/>
  <c r="H9" i="71" s="1"/>
  <c r="G13" i="71"/>
  <c r="H13" i="71" s="1"/>
  <c r="G6" i="71"/>
  <c r="H6" i="71" s="1"/>
  <c r="G10" i="71"/>
  <c r="H10" i="71" s="1"/>
  <c r="D25" i="63"/>
  <c r="F17" i="93" s="1"/>
  <c r="G17" i="93" s="1"/>
  <c r="D32" i="63"/>
  <c r="F24" i="93" s="1"/>
  <c r="G24" i="93" s="1"/>
  <c r="D26" i="63"/>
  <c r="F18" i="93" s="1"/>
  <c r="G18" i="93" s="1"/>
  <c r="D27" i="63"/>
  <c r="F19" i="93" s="1"/>
  <c r="G19" i="93" s="1"/>
  <c r="D24" i="63"/>
  <c r="F16" i="93" s="1"/>
  <c r="G16" i="93" s="1"/>
  <c r="D33" i="63"/>
  <c r="F25" i="93" s="1"/>
  <c r="G25" i="93" s="1"/>
  <c r="D30" i="63"/>
  <c r="F22" i="93" s="1"/>
  <c r="G22" i="93" s="1"/>
  <c r="D23" i="63"/>
  <c r="F15" i="93" s="1"/>
  <c r="G15" i="93" l="1"/>
  <c r="F165" i="93"/>
  <c r="P165" i="93" s="1"/>
  <c r="S165" i="93" s="1"/>
  <c r="P20" i="93"/>
  <c r="G170" i="93"/>
  <c r="P75" i="93"/>
  <c r="Q75" i="93" s="1"/>
  <c r="R75" i="93" s="1"/>
  <c r="G172" i="93"/>
  <c r="P99" i="93"/>
  <c r="Q99" i="93" s="1"/>
  <c r="R99" i="93" s="1"/>
  <c r="Q174" i="93"/>
  <c r="D12" i="89" s="1"/>
  <c r="S174" i="93"/>
  <c r="G211" i="93"/>
  <c r="P133" i="93"/>
  <c r="Q133" i="93" s="1"/>
  <c r="R133" i="93" s="1"/>
  <c r="Q171" i="93"/>
  <c r="D9" i="89" s="1"/>
  <c r="S171" i="93"/>
  <c r="Q173" i="93"/>
  <c r="D11" i="89" s="1"/>
  <c r="S173" i="93"/>
  <c r="G167" i="93"/>
  <c r="P39" i="93"/>
  <c r="Q39" i="93" s="1"/>
  <c r="R39" i="93" s="1"/>
  <c r="G212" i="93"/>
  <c r="P134" i="93"/>
  <c r="Q134" i="93" s="1"/>
  <c r="R134" i="93" s="1"/>
  <c r="P23" i="93"/>
  <c r="P22" i="93"/>
  <c r="P24" i="93"/>
  <c r="S166" i="93"/>
  <c r="Q166" i="93"/>
  <c r="D4" i="89" s="1"/>
  <c r="G206" i="93"/>
  <c r="P128" i="93"/>
  <c r="Q128" i="93" s="1"/>
  <c r="R128" i="93" s="1"/>
  <c r="G201" i="93"/>
  <c r="G174" i="93"/>
  <c r="P123" i="93"/>
  <c r="Q123" i="93" s="1"/>
  <c r="R123" i="93" s="1"/>
  <c r="G208" i="93"/>
  <c r="P130" i="93"/>
  <c r="Q130" i="93" s="1"/>
  <c r="R130" i="93" s="1"/>
  <c r="Q26" i="93"/>
  <c r="R26" i="93" s="1"/>
  <c r="G171" i="93"/>
  <c r="P87" i="93"/>
  <c r="Q87" i="93" s="1"/>
  <c r="R87" i="93" s="1"/>
  <c r="G203" i="93"/>
  <c r="P125" i="93"/>
  <c r="Q125" i="93" s="1"/>
  <c r="R125" i="93" s="1"/>
  <c r="G173" i="93"/>
  <c r="P111" i="93"/>
  <c r="Q111" i="93" s="1"/>
  <c r="R111" i="93" s="1"/>
  <c r="Q168" i="93"/>
  <c r="D6" i="89" s="1"/>
  <c r="S168" i="93"/>
  <c r="G202" i="93"/>
  <c r="P124" i="93"/>
  <c r="Q124" i="93" s="1"/>
  <c r="R124" i="93" s="1"/>
  <c r="G205" i="93"/>
  <c r="P127" i="93"/>
  <c r="Q127" i="93" s="1"/>
  <c r="R127" i="93" s="1"/>
  <c r="P19" i="93"/>
  <c r="P18" i="93"/>
  <c r="P21" i="93"/>
  <c r="P25" i="93"/>
  <c r="P16" i="93"/>
  <c r="P17" i="93"/>
  <c r="G166" i="93"/>
  <c r="P27" i="93"/>
  <c r="Q27" i="93" s="1"/>
  <c r="R27" i="93" s="1"/>
  <c r="G169" i="93"/>
  <c r="P63" i="93"/>
  <c r="Q63" i="93" s="1"/>
  <c r="R63" i="93" s="1"/>
  <c r="G210" i="93"/>
  <c r="P132" i="93"/>
  <c r="Q132" i="93" s="1"/>
  <c r="R132" i="93" s="1"/>
  <c r="G204" i="93"/>
  <c r="P126" i="93"/>
  <c r="Q126" i="93" s="1"/>
  <c r="R126" i="93" s="1"/>
  <c r="G168" i="93"/>
  <c r="P51" i="93"/>
  <c r="Q51" i="93" s="1"/>
  <c r="R51" i="93" s="1"/>
  <c r="G209" i="93"/>
  <c r="P131" i="93"/>
  <c r="Q131" i="93" s="1"/>
  <c r="R131" i="93" s="1"/>
  <c r="S170" i="93"/>
  <c r="Q170" i="93"/>
  <c r="D8" i="89" s="1"/>
  <c r="Q172" i="93"/>
  <c r="D10" i="89" s="1"/>
  <c r="S172" i="93"/>
  <c r="S169" i="93"/>
  <c r="Q167" i="93"/>
  <c r="D5" i="89" s="1"/>
  <c r="S167" i="93"/>
  <c r="G207" i="93"/>
  <c r="P129" i="93"/>
  <c r="Q129" i="93" s="1"/>
  <c r="R129" i="93" s="1"/>
  <c r="F200" i="76"/>
  <c r="P200" i="76"/>
  <c r="G127" i="76"/>
  <c r="F204" i="76"/>
  <c r="G129" i="76"/>
  <c r="F206" i="76"/>
  <c r="G133" i="76"/>
  <c r="F210" i="76"/>
  <c r="G132" i="76"/>
  <c r="F209" i="76"/>
  <c r="G131" i="76"/>
  <c r="F208" i="76"/>
  <c r="G126" i="76"/>
  <c r="F203" i="76"/>
  <c r="G124" i="76"/>
  <c r="F201" i="76"/>
  <c r="G128" i="76"/>
  <c r="F205" i="76"/>
  <c r="G130" i="76"/>
  <c r="F207" i="76"/>
  <c r="G125" i="76"/>
  <c r="F202" i="76"/>
  <c r="G134" i="76"/>
  <c r="F211" i="76"/>
  <c r="F167" i="86"/>
  <c r="T167" i="86" s="1"/>
  <c r="F175" i="86"/>
  <c r="T175" i="86" s="1"/>
  <c r="F168" i="86"/>
  <c r="T168" i="86" s="1"/>
  <c r="F170" i="86"/>
  <c r="T170" i="86" s="1"/>
  <c r="F17" i="86"/>
  <c r="G17" i="86" s="1"/>
  <c r="F19" i="86"/>
  <c r="G19" i="86" s="1"/>
  <c r="F23" i="86"/>
  <c r="G23" i="86" s="1"/>
  <c r="F20" i="86"/>
  <c r="G20" i="86" s="1"/>
  <c r="F25" i="86"/>
  <c r="G25" i="86" s="1"/>
  <c r="F16" i="86"/>
  <c r="G16" i="86" s="1"/>
  <c r="F15" i="86"/>
  <c r="G15" i="86" s="1"/>
  <c r="F22" i="86"/>
  <c r="G22" i="86" s="1"/>
  <c r="F18" i="86"/>
  <c r="G18" i="86" s="1"/>
  <c r="F21" i="86"/>
  <c r="G21" i="86" s="1"/>
  <c r="F166" i="86"/>
  <c r="T166" i="86" s="1"/>
  <c r="F176" i="86"/>
  <c r="T176" i="86" s="1"/>
  <c r="F24" i="86"/>
  <c r="G24" i="86" s="1"/>
  <c r="F169" i="86"/>
  <c r="T169" i="86" s="1"/>
  <c r="G168" i="86"/>
  <c r="G170" i="86"/>
  <c r="G99" i="86"/>
  <c r="F172" i="86"/>
  <c r="T172" i="86" s="1"/>
  <c r="G123" i="86"/>
  <c r="F174" i="86"/>
  <c r="T174" i="86" s="1"/>
  <c r="F171" i="86"/>
  <c r="T171" i="86" s="1"/>
  <c r="G111" i="86"/>
  <c r="F173" i="86"/>
  <c r="T173" i="86" s="1"/>
  <c r="G167" i="86"/>
  <c r="G166" i="86"/>
  <c r="G169" i="86"/>
  <c r="G171" i="86"/>
  <c r="AB44" i="83"/>
  <c r="AA45" i="83"/>
  <c r="AH46" i="84"/>
  <c r="X46" i="83"/>
  <c r="Z46" i="83" s="1"/>
  <c r="F21" i="76"/>
  <c r="G21" i="76" s="1"/>
  <c r="Q128" i="61" s="1"/>
  <c r="F170" i="76"/>
  <c r="P170" i="76" s="1"/>
  <c r="F20" i="76"/>
  <c r="G20" i="76" s="1"/>
  <c r="F168" i="76"/>
  <c r="P168" i="76" s="1"/>
  <c r="F166" i="76"/>
  <c r="P166" i="76" s="1"/>
  <c r="F169" i="76"/>
  <c r="P169" i="76" s="1"/>
  <c r="F18" i="76"/>
  <c r="G18" i="76" s="1"/>
  <c r="Q125" i="61" s="1"/>
  <c r="F16" i="76"/>
  <c r="G16" i="76" s="1"/>
  <c r="Q123" i="61" s="1"/>
  <c r="F17" i="76"/>
  <c r="G17" i="76" s="1"/>
  <c r="Q124" i="61" s="1"/>
  <c r="G123" i="76"/>
  <c r="F174" i="76"/>
  <c r="P174" i="76" s="1"/>
  <c r="G39" i="76"/>
  <c r="Q146" i="61" s="1"/>
  <c r="F167" i="76"/>
  <c r="P167" i="76" s="1"/>
  <c r="F22" i="76"/>
  <c r="G22" i="76" s="1"/>
  <c r="Q129" i="61" s="1"/>
  <c r="F15" i="76"/>
  <c r="F19" i="76"/>
  <c r="G19" i="76" s="1"/>
  <c r="Q126" i="61" s="1"/>
  <c r="F23" i="76"/>
  <c r="G23" i="76" s="1"/>
  <c r="Q130" i="61" s="1"/>
  <c r="G170" i="76"/>
  <c r="G87" i="76"/>
  <c r="Q194" i="61" s="1"/>
  <c r="F171" i="76"/>
  <c r="P171" i="76" s="1"/>
  <c r="G111" i="76"/>
  <c r="Q218" i="61" s="1"/>
  <c r="F173" i="76"/>
  <c r="P173" i="76" s="1"/>
  <c r="P185" i="76"/>
  <c r="P197" i="76" s="1"/>
  <c r="F176" i="76"/>
  <c r="P176" i="76" s="1"/>
  <c r="F175" i="76"/>
  <c r="P175" i="76" s="1"/>
  <c r="G99" i="76"/>
  <c r="Q206" i="61" s="1"/>
  <c r="F172" i="76"/>
  <c r="P172" i="76" s="1"/>
  <c r="F25" i="76"/>
  <c r="G25" i="76" s="1"/>
  <c r="Q132" i="61" s="1"/>
  <c r="F24" i="76"/>
  <c r="G24" i="76" s="1"/>
  <c r="Q131" i="61" s="1"/>
  <c r="G168" i="76"/>
  <c r="G166" i="76"/>
  <c r="G169" i="76"/>
  <c r="E8" i="71"/>
  <c r="F8" i="71" s="1"/>
  <c r="E7" i="71"/>
  <c r="F7" i="71" s="1"/>
  <c r="F3" i="63"/>
  <c r="E9" i="71"/>
  <c r="F9" i="71" s="1"/>
  <c r="E12" i="71"/>
  <c r="F12" i="71" s="1"/>
  <c r="E11" i="71"/>
  <c r="F11" i="71" s="1"/>
  <c r="E5" i="71"/>
  <c r="F5" i="71" s="1"/>
  <c r="E3" i="71"/>
  <c r="F3" i="71" s="1"/>
  <c r="E4" i="71"/>
  <c r="F4" i="71" s="1"/>
  <c r="E2" i="71"/>
  <c r="F2" i="71" s="1"/>
  <c r="E6" i="71"/>
  <c r="F6" i="71" s="1"/>
  <c r="E10" i="71"/>
  <c r="F10" i="71" s="1"/>
  <c r="B3" i="62"/>
  <c r="B4" i="62"/>
  <c r="B5" i="62"/>
  <c r="B6" i="62"/>
  <c r="B7" i="62"/>
  <c r="B8" i="62"/>
  <c r="B9" i="62"/>
  <c r="B10" i="62"/>
  <c r="B11" i="62"/>
  <c r="B12" i="62"/>
  <c r="B13" i="62"/>
  <c r="B14" i="62"/>
  <c r="B15" i="62"/>
  <c r="B16" i="62"/>
  <c r="B17" i="62"/>
  <c r="B18" i="62"/>
  <c r="B19" i="62"/>
  <c r="B20" i="62"/>
  <c r="B21" i="62"/>
  <c r="B22" i="62"/>
  <c r="B23" i="62"/>
  <c r="B24" i="62"/>
  <c r="B25" i="62"/>
  <c r="B26" i="62"/>
  <c r="B27" i="62"/>
  <c r="B28" i="62"/>
  <c r="B29" i="62"/>
  <c r="B30" i="62"/>
  <c r="B31" i="62"/>
  <c r="B32" i="62"/>
  <c r="B33" i="62"/>
  <c r="B34" i="62"/>
  <c r="B35" i="62"/>
  <c r="B36" i="62"/>
  <c r="B37" i="62"/>
  <c r="B38" i="62"/>
  <c r="B39" i="62"/>
  <c r="B40" i="62"/>
  <c r="B41" i="62"/>
  <c r="B42" i="62"/>
  <c r="B43" i="62"/>
  <c r="B44" i="62"/>
  <c r="B45" i="62"/>
  <c r="B46" i="62"/>
  <c r="B47" i="62"/>
  <c r="B48" i="62"/>
  <c r="B49" i="62"/>
  <c r="B50" i="62"/>
  <c r="B51" i="62"/>
  <c r="B52" i="62"/>
  <c r="B53" i="62"/>
  <c r="B54" i="62"/>
  <c r="B55" i="62"/>
  <c r="B56" i="62"/>
  <c r="B57" i="62"/>
  <c r="B58" i="62"/>
  <c r="B59" i="62"/>
  <c r="B60" i="62"/>
  <c r="B61" i="62"/>
  <c r="B62" i="62"/>
  <c r="B63" i="62"/>
  <c r="B64" i="62"/>
  <c r="B65" i="62"/>
  <c r="B66" i="62"/>
  <c r="B67" i="62"/>
  <c r="B68" i="62"/>
  <c r="B69" i="62"/>
  <c r="B70" i="62"/>
  <c r="B71" i="62"/>
  <c r="B72" i="62"/>
  <c r="B73" i="62"/>
  <c r="B74" i="62"/>
  <c r="B75" i="62"/>
  <c r="B76" i="62"/>
  <c r="B77" i="62"/>
  <c r="B78" i="62"/>
  <c r="B79" i="62"/>
  <c r="B80" i="62"/>
  <c r="B81" i="62"/>
  <c r="B82" i="62"/>
  <c r="B83" i="62"/>
  <c r="B84" i="62"/>
  <c r="B85" i="62"/>
  <c r="B86" i="62"/>
  <c r="B87" i="62"/>
  <c r="B88" i="62"/>
  <c r="B89" i="62"/>
  <c r="B90" i="62"/>
  <c r="B91" i="62"/>
  <c r="B92" i="62"/>
  <c r="B93" i="62"/>
  <c r="B94" i="62"/>
  <c r="B95" i="62"/>
  <c r="B96" i="62"/>
  <c r="B97" i="62"/>
  <c r="B98" i="62"/>
  <c r="B99" i="62"/>
  <c r="B100" i="62"/>
  <c r="B101" i="62"/>
  <c r="B102" i="62"/>
  <c r="B103" i="62"/>
  <c r="B104" i="62"/>
  <c r="B105" i="62"/>
  <c r="B106" i="62"/>
  <c r="B107" i="62"/>
  <c r="B108" i="62"/>
  <c r="B109" i="62"/>
  <c r="B110" i="62"/>
  <c r="B111" i="62"/>
  <c r="B112" i="62"/>
  <c r="B113" i="62"/>
  <c r="B114" i="62"/>
  <c r="B115" i="62"/>
  <c r="B116" i="62"/>
  <c r="B117" i="62"/>
  <c r="B118" i="62"/>
  <c r="B119" i="62"/>
  <c r="B120" i="62"/>
  <c r="B2" i="62"/>
  <c r="CM33" i="61"/>
  <c r="CN33" i="61"/>
  <c r="CO33" i="61"/>
  <c r="CP33" i="61"/>
  <c r="CQ33" i="61"/>
  <c r="CR33" i="61"/>
  <c r="CS33" i="61"/>
  <c r="CT33" i="61"/>
  <c r="CU33" i="61"/>
  <c r="CV33" i="61"/>
  <c r="CW33" i="61"/>
  <c r="CX33" i="61"/>
  <c r="CM34" i="61"/>
  <c r="CN34" i="61"/>
  <c r="CO34" i="61"/>
  <c r="CP34" i="61"/>
  <c r="CQ34" i="61"/>
  <c r="CR34" i="61"/>
  <c r="CS34" i="61"/>
  <c r="CT34" i="61"/>
  <c r="CU34" i="61"/>
  <c r="CV34" i="61"/>
  <c r="CW34" i="61"/>
  <c r="CX34" i="61"/>
  <c r="CM35" i="61"/>
  <c r="CN35" i="61"/>
  <c r="CO35" i="61"/>
  <c r="CP35" i="61"/>
  <c r="CQ35" i="61"/>
  <c r="CR35" i="61"/>
  <c r="CS35" i="61"/>
  <c r="CT35" i="61"/>
  <c r="CU35" i="61"/>
  <c r="CV35" i="61"/>
  <c r="CW35" i="61"/>
  <c r="CX35" i="61"/>
  <c r="CM36" i="61"/>
  <c r="CN36" i="61"/>
  <c r="CO36" i="61"/>
  <c r="CP36" i="61"/>
  <c r="CQ36" i="61"/>
  <c r="CR36" i="61"/>
  <c r="CS36" i="61"/>
  <c r="CT36" i="61"/>
  <c r="CU36" i="61"/>
  <c r="CV36" i="61"/>
  <c r="CW36" i="61"/>
  <c r="CX36" i="61"/>
  <c r="CM37" i="61"/>
  <c r="CN37" i="61"/>
  <c r="CO37" i="61"/>
  <c r="CP37" i="61"/>
  <c r="CQ37" i="61"/>
  <c r="CR37" i="61"/>
  <c r="CS37" i="61"/>
  <c r="CT37" i="61"/>
  <c r="CU37" i="61"/>
  <c r="CV37" i="61"/>
  <c r="CW37" i="61"/>
  <c r="CX37" i="61"/>
  <c r="CM38" i="61"/>
  <c r="CN38" i="61"/>
  <c r="CO38" i="61"/>
  <c r="CP38" i="61"/>
  <c r="CQ38" i="61"/>
  <c r="CR38" i="61"/>
  <c r="CS38" i="61"/>
  <c r="CT38" i="61"/>
  <c r="CU38" i="61"/>
  <c r="CV38" i="61"/>
  <c r="CW38" i="61"/>
  <c r="CX38" i="61"/>
  <c r="CM39" i="61"/>
  <c r="CN39" i="61"/>
  <c r="CO39" i="61"/>
  <c r="CP39" i="61"/>
  <c r="CQ39" i="61"/>
  <c r="CR39" i="61"/>
  <c r="CS39" i="61"/>
  <c r="CT39" i="61"/>
  <c r="CU39" i="61"/>
  <c r="CV39" i="61"/>
  <c r="CW39" i="61"/>
  <c r="CX39" i="61"/>
  <c r="CM40" i="61"/>
  <c r="CN40" i="61"/>
  <c r="CO40" i="61"/>
  <c r="CP40" i="61"/>
  <c r="CQ40" i="61"/>
  <c r="CR40" i="61"/>
  <c r="CS40" i="61"/>
  <c r="CT40" i="61"/>
  <c r="CU40" i="61"/>
  <c r="CV40" i="61"/>
  <c r="CW40" i="61"/>
  <c r="CX40" i="61"/>
  <c r="CM41" i="61"/>
  <c r="CN41" i="61"/>
  <c r="CO41" i="61"/>
  <c r="CP41" i="61"/>
  <c r="CQ41" i="61"/>
  <c r="CR41" i="61"/>
  <c r="CS41" i="61"/>
  <c r="CT41" i="61"/>
  <c r="CU41" i="61"/>
  <c r="CV41" i="61"/>
  <c r="CW41" i="61"/>
  <c r="CX41" i="61"/>
  <c r="CM42" i="61"/>
  <c r="CN42" i="61"/>
  <c r="CO42" i="61"/>
  <c r="CP42" i="61"/>
  <c r="CQ42" i="61"/>
  <c r="CR42" i="61"/>
  <c r="CS42" i="61"/>
  <c r="CT42" i="61"/>
  <c r="CU42" i="61"/>
  <c r="CV42" i="61"/>
  <c r="CW42" i="61"/>
  <c r="CX42" i="61"/>
  <c r="CM43" i="61"/>
  <c r="CN43" i="61"/>
  <c r="CO43" i="61"/>
  <c r="CP43" i="61"/>
  <c r="CQ43" i="61"/>
  <c r="CR43" i="61"/>
  <c r="CS43" i="61"/>
  <c r="CT43" i="61"/>
  <c r="CU43" i="61"/>
  <c r="CV43" i="61"/>
  <c r="CW43" i="61"/>
  <c r="CX43" i="61"/>
  <c r="CM44" i="61"/>
  <c r="CN44" i="61"/>
  <c r="CO44" i="61"/>
  <c r="CP44" i="61"/>
  <c r="CQ44" i="61"/>
  <c r="CR44" i="61"/>
  <c r="CS44" i="61"/>
  <c r="CT44" i="61"/>
  <c r="CU44" i="61"/>
  <c r="CV44" i="61"/>
  <c r="CW44" i="61"/>
  <c r="CX44" i="61"/>
  <c r="CM45" i="61"/>
  <c r="CN45" i="61"/>
  <c r="CO45" i="61"/>
  <c r="CP45" i="61"/>
  <c r="CQ45" i="61"/>
  <c r="CR45" i="61"/>
  <c r="CS45" i="61"/>
  <c r="CT45" i="61"/>
  <c r="CU45" i="61"/>
  <c r="CV45" i="61"/>
  <c r="CW45" i="61"/>
  <c r="CX45" i="61"/>
  <c r="CM46" i="61"/>
  <c r="CN46" i="61"/>
  <c r="CO46" i="61"/>
  <c r="CP46" i="61"/>
  <c r="CQ46" i="61"/>
  <c r="CR46" i="61"/>
  <c r="CS46" i="61"/>
  <c r="CT46" i="61"/>
  <c r="CU46" i="61"/>
  <c r="CV46" i="61"/>
  <c r="CW46" i="61"/>
  <c r="CX46" i="61"/>
  <c r="CM47" i="61"/>
  <c r="CN47" i="61"/>
  <c r="CO47" i="61"/>
  <c r="CP47" i="61"/>
  <c r="CQ47" i="61"/>
  <c r="CR47" i="61"/>
  <c r="CS47" i="61"/>
  <c r="CT47" i="61"/>
  <c r="CU47" i="61"/>
  <c r="CV47" i="61"/>
  <c r="CW47" i="61"/>
  <c r="CX47" i="61"/>
  <c r="CM48" i="61"/>
  <c r="CN48" i="61"/>
  <c r="CO48" i="61"/>
  <c r="CP48" i="61"/>
  <c r="CQ48" i="61"/>
  <c r="CR48" i="61"/>
  <c r="CS48" i="61"/>
  <c r="CT48" i="61"/>
  <c r="CU48" i="61"/>
  <c r="CV48" i="61"/>
  <c r="CW48" i="61"/>
  <c r="CX48" i="61"/>
  <c r="CM49" i="61"/>
  <c r="CN49" i="61"/>
  <c r="CO49" i="61"/>
  <c r="CP49" i="61"/>
  <c r="CQ49" i="61"/>
  <c r="CR49" i="61"/>
  <c r="CS49" i="61"/>
  <c r="CT49" i="61"/>
  <c r="CU49" i="61"/>
  <c r="CV49" i="61"/>
  <c r="CW49" i="61"/>
  <c r="CX49" i="61"/>
  <c r="CM50" i="61"/>
  <c r="CN50" i="61"/>
  <c r="CO50" i="61"/>
  <c r="CP50" i="61"/>
  <c r="CQ50" i="61"/>
  <c r="CR50" i="61"/>
  <c r="CS50" i="61"/>
  <c r="CT50" i="61"/>
  <c r="CU50" i="61"/>
  <c r="CV50" i="61"/>
  <c r="CW50" i="61"/>
  <c r="CX50" i="61"/>
  <c r="CM51" i="61"/>
  <c r="CN51" i="61"/>
  <c r="CO51" i="61"/>
  <c r="CP51" i="61"/>
  <c r="CQ51" i="61"/>
  <c r="CR51" i="61"/>
  <c r="CS51" i="61"/>
  <c r="CT51" i="61"/>
  <c r="CU51" i="61"/>
  <c r="CV51" i="61"/>
  <c r="CW51" i="61"/>
  <c r="CX51" i="61"/>
  <c r="CN32" i="61"/>
  <c r="CO32" i="61"/>
  <c r="CP32" i="61"/>
  <c r="CQ32" i="61"/>
  <c r="CR32" i="61"/>
  <c r="CS32" i="61"/>
  <c r="CT32" i="61"/>
  <c r="CU32" i="61"/>
  <c r="CV32" i="61"/>
  <c r="CW32" i="61"/>
  <c r="CX32" i="61"/>
  <c r="CM32" i="61"/>
  <c r="BY33" i="61"/>
  <c r="BZ33" i="61"/>
  <c r="CA33" i="61"/>
  <c r="CB33" i="61"/>
  <c r="CC33" i="61"/>
  <c r="CD33" i="61"/>
  <c r="CE33" i="61"/>
  <c r="CF33" i="61"/>
  <c r="CG33" i="61"/>
  <c r="CH33" i="61"/>
  <c r="CI33" i="61"/>
  <c r="CJ33" i="61"/>
  <c r="BY34" i="61"/>
  <c r="BZ34" i="61"/>
  <c r="CA34" i="61"/>
  <c r="CB34" i="61"/>
  <c r="CC34" i="61"/>
  <c r="CD34" i="61"/>
  <c r="CE34" i="61"/>
  <c r="CF34" i="61"/>
  <c r="CG34" i="61"/>
  <c r="CH34" i="61"/>
  <c r="CI34" i="61"/>
  <c r="CJ34" i="61"/>
  <c r="BY35" i="61"/>
  <c r="BZ35" i="61"/>
  <c r="CA35" i="61"/>
  <c r="CB35" i="61"/>
  <c r="CC35" i="61"/>
  <c r="CD35" i="61"/>
  <c r="CE35" i="61"/>
  <c r="CF35" i="61"/>
  <c r="CG35" i="61"/>
  <c r="CH35" i="61"/>
  <c r="CI35" i="61"/>
  <c r="CJ35" i="61"/>
  <c r="BY36" i="61"/>
  <c r="BZ36" i="61"/>
  <c r="CA36" i="61"/>
  <c r="CB36" i="61"/>
  <c r="CC36" i="61"/>
  <c r="CD36" i="61"/>
  <c r="CE36" i="61"/>
  <c r="CF36" i="61"/>
  <c r="CG36" i="61"/>
  <c r="CH36" i="61"/>
  <c r="CI36" i="61"/>
  <c r="CJ36" i="61"/>
  <c r="BY37" i="61"/>
  <c r="BZ37" i="61"/>
  <c r="CA37" i="61"/>
  <c r="CB37" i="61"/>
  <c r="CC37" i="61"/>
  <c r="CD37" i="61"/>
  <c r="CE37" i="61"/>
  <c r="CF37" i="61"/>
  <c r="CG37" i="61"/>
  <c r="CH37" i="61"/>
  <c r="CI37" i="61"/>
  <c r="CJ37" i="61"/>
  <c r="BY38" i="61"/>
  <c r="BZ38" i="61"/>
  <c r="CA38" i="61"/>
  <c r="CB38" i="61"/>
  <c r="CC38" i="61"/>
  <c r="CD38" i="61"/>
  <c r="CE38" i="61"/>
  <c r="CF38" i="61"/>
  <c r="CG38" i="61"/>
  <c r="CH38" i="61"/>
  <c r="CI38" i="61"/>
  <c r="CJ38" i="61"/>
  <c r="BY39" i="61"/>
  <c r="BZ39" i="61"/>
  <c r="CA39" i="61"/>
  <c r="CB39" i="61"/>
  <c r="CC39" i="61"/>
  <c r="CD39" i="61"/>
  <c r="CE39" i="61"/>
  <c r="CF39" i="61"/>
  <c r="CG39" i="61"/>
  <c r="CH39" i="61"/>
  <c r="CI39" i="61"/>
  <c r="CJ39" i="61"/>
  <c r="BY40" i="61"/>
  <c r="BZ40" i="61"/>
  <c r="CA40" i="61"/>
  <c r="CB40" i="61"/>
  <c r="CC40" i="61"/>
  <c r="CD40" i="61"/>
  <c r="CE40" i="61"/>
  <c r="CF40" i="61"/>
  <c r="CG40" i="61"/>
  <c r="CH40" i="61"/>
  <c r="CI40" i="61"/>
  <c r="CJ40" i="61"/>
  <c r="BY41" i="61"/>
  <c r="BZ41" i="61"/>
  <c r="CA41" i="61"/>
  <c r="CB41" i="61"/>
  <c r="CC41" i="61"/>
  <c r="CD41" i="61"/>
  <c r="CE41" i="61"/>
  <c r="CF41" i="61"/>
  <c r="CG41" i="61"/>
  <c r="CH41" i="61"/>
  <c r="CI41" i="61"/>
  <c r="CJ41" i="61"/>
  <c r="BY42" i="61"/>
  <c r="BZ42" i="61"/>
  <c r="CA42" i="61"/>
  <c r="CB42" i="61"/>
  <c r="CC42" i="61"/>
  <c r="CD42" i="61"/>
  <c r="CE42" i="61"/>
  <c r="CF42" i="61"/>
  <c r="CG42" i="61"/>
  <c r="CH42" i="61"/>
  <c r="CI42" i="61"/>
  <c r="CJ42" i="61"/>
  <c r="BY43" i="61"/>
  <c r="BZ43" i="61"/>
  <c r="CA43" i="61"/>
  <c r="CB43" i="61"/>
  <c r="CC43" i="61"/>
  <c r="CD43" i="61"/>
  <c r="CE43" i="61"/>
  <c r="CF43" i="61"/>
  <c r="CG43" i="61"/>
  <c r="CH43" i="61"/>
  <c r="CI43" i="61"/>
  <c r="CJ43" i="61"/>
  <c r="BY44" i="61"/>
  <c r="BZ44" i="61"/>
  <c r="CA44" i="61"/>
  <c r="CB44" i="61"/>
  <c r="CC44" i="61"/>
  <c r="CD44" i="61"/>
  <c r="CE44" i="61"/>
  <c r="CF44" i="61"/>
  <c r="CG44" i="61"/>
  <c r="CH44" i="61"/>
  <c r="CI44" i="61"/>
  <c r="CJ44" i="61"/>
  <c r="BY45" i="61"/>
  <c r="BZ45" i="61"/>
  <c r="CA45" i="61"/>
  <c r="CB45" i="61"/>
  <c r="CC45" i="61"/>
  <c r="CD45" i="61"/>
  <c r="CE45" i="61"/>
  <c r="CF45" i="61"/>
  <c r="CG45" i="61"/>
  <c r="CH45" i="61"/>
  <c r="CI45" i="61"/>
  <c r="CJ45" i="61"/>
  <c r="BY46" i="61"/>
  <c r="BZ46" i="61"/>
  <c r="CA46" i="61"/>
  <c r="CB46" i="61"/>
  <c r="CC46" i="61"/>
  <c r="CD46" i="61"/>
  <c r="CE46" i="61"/>
  <c r="CF46" i="61"/>
  <c r="CG46" i="61"/>
  <c r="CH46" i="61"/>
  <c r="CI46" i="61"/>
  <c r="CJ46" i="61"/>
  <c r="BY47" i="61"/>
  <c r="BZ47" i="61"/>
  <c r="CA47" i="61"/>
  <c r="CB47" i="61"/>
  <c r="CC47" i="61"/>
  <c r="CD47" i="61"/>
  <c r="CE47" i="61"/>
  <c r="CF47" i="61"/>
  <c r="CG47" i="61"/>
  <c r="CH47" i="61"/>
  <c r="CI47" i="61"/>
  <c r="CJ47" i="61"/>
  <c r="BY48" i="61"/>
  <c r="BZ48" i="61"/>
  <c r="CA48" i="61"/>
  <c r="CB48" i="61"/>
  <c r="CC48" i="61"/>
  <c r="CD48" i="61"/>
  <c r="CE48" i="61"/>
  <c r="CF48" i="61"/>
  <c r="CG48" i="61"/>
  <c r="CH48" i="61"/>
  <c r="CI48" i="61"/>
  <c r="CJ48" i="61"/>
  <c r="BY49" i="61"/>
  <c r="BZ49" i="61"/>
  <c r="CA49" i="61"/>
  <c r="CB49" i="61"/>
  <c r="CC49" i="61"/>
  <c r="CD49" i="61"/>
  <c r="CE49" i="61"/>
  <c r="CF49" i="61"/>
  <c r="CG49" i="61"/>
  <c r="CH49" i="61"/>
  <c r="CI49" i="61"/>
  <c r="CJ49" i="61"/>
  <c r="BY50" i="61"/>
  <c r="BZ50" i="61"/>
  <c r="CA50" i="61"/>
  <c r="CB50" i="61"/>
  <c r="CC50" i="61"/>
  <c r="CD50" i="61"/>
  <c r="CE50" i="61"/>
  <c r="CF50" i="61"/>
  <c r="CG50" i="61"/>
  <c r="CH50" i="61"/>
  <c r="CI50" i="61"/>
  <c r="CJ50" i="61"/>
  <c r="BY51" i="61"/>
  <c r="BZ51" i="61"/>
  <c r="CA51" i="61"/>
  <c r="CB51" i="61"/>
  <c r="CC51" i="61"/>
  <c r="CD51" i="61"/>
  <c r="CE51" i="61"/>
  <c r="CF51" i="61"/>
  <c r="CG51" i="61"/>
  <c r="CH51" i="61"/>
  <c r="CI51" i="61"/>
  <c r="CJ51" i="61"/>
  <c r="BZ32" i="61"/>
  <c r="CA32" i="61"/>
  <c r="CB32" i="61"/>
  <c r="CC32" i="61"/>
  <c r="CD32" i="61"/>
  <c r="CE32" i="61"/>
  <c r="CF32" i="61"/>
  <c r="CG32" i="61"/>
  <c r="CH32" i="61"/>
  <c r="CI32" i="61"/>
  <c r="CJ32" i="61"/>
  <c r="BY32" i="61"/>
  <c r="BK33" i="61"/>
  <c r="BL33" i="61"/>
  <c r="BM33" i="61"/>
  <c r="BN33" i="61"/>
  <c r="BO33" i="61"/>
  <c r="BP33" i="61"/>
  <c r="BQ33" i="61"/>
  <c r="BR33" i="61"/>
  <c r="BS33" i="61"/>
  <c r="BT33" i="61"/>
  <c r="BU33" i="61"/>
  <c r="BV33" i="61"/>
  <c r="BK34" i="61"/>
  <c r="BL34" i="61"/>
  <c r="BM34" i="61"/>
  <c r="BN34" i="61"/>
  <c r="BO34" i="61"/>
  <c r="BP34" i="61"/>
  <c r="BQ34" i="61"/>
  <c r="BR34" i="61"/>
  <c r="BS34" i="61"/>
  <c r="BT34" i="61"/>
  <c r="BU34" i="61"/>
  <c r="BV34" i="61"/>
  <c r="BK35" i="61"/>
  <c r="BL35" i="61"/>
  <c r="BM35" i="61"/>
  <c r="BN35" i="61"/>
  <c r="BO35" i="61"/>
  <c r="BP35" i="61"/>
  <c r="BQ35" i="61"/>
  <c r="BR35" i="61"/>
  <c r="BS35" i="61"/>
  <c r="BT35" i="61"/>
  <c r="BU35" i="61"/>
  <c r="BV35" i="61"/>
  <c r="BK36" i="61"/>
  <c r="BL36" i="61"/>
  <c r="BM36" i="61"/>
  <c r="BN36" i="61"/>
  <c r="BO36" i="61"/>
  <c r="BP36" i="61"/>
  <c r="BQ36" i="61"/>
  <c r="BR36" i="61"/>
  <c r="BS36" i="61"/>
  <c r="BT36" i="61"/>
  <c r="BU36" i="61"/>
  <c r="BV36" i="61"/>
  <c r="BK37" i="61"/>
  <c r="BL37" i="61"/>
  <c r="BM37" i="61"/>
  <c r="BN37" i="61"/>
  <c r="BO37" i="61"/>
  <c r="BP37" i="61"/>
  <c r="BQ37" i="61"/>
  <c r="BR37" i="61"/>
  <c r="BS37" i="61"/>
  <c r="BT37" i="61"/>
  <c r="BU37" i="61"/>
  <c r="BV37" i="61"/>
  <c r="BK38" i="61"/>
  <c r="BL38" i="61"/>
  <c r="BM38" i="61"/>
  <c r="BN38" i="61"/>
  <c r="BO38" i="61"/>
  <c r="BP38" i="61"/>
  <c r="BQ38" i="61"/>
  <c r="BR38" i="61"/>
  <c r="BS38" i="61"/>
  <c r="BT38" i="61"/>
  <c r="BU38" i="61"/>
  <c r="BV38" i="61"/>
  <c r="BK39" i="61"/>
  <c r="BL39" i="61"/>
  <c r="BM39" i="61"/>
  <c r="BN39" i="61"/>
  <c r="BO39" i="61"/>
  <c r="BP39" i="61"/>
  <c r="BQ39" i="61"/>
  <c r="BR39" i="61"/>
  <c r="BS39" i="61"/>
  <c r="BT39" i="61"/>
  <c r="BU39" i="61"/>
  <c r="BV39" i="61"/>
  <c r="BK40" i="61"/>
  <c r="BL40" i="61"/>
  <c r="BM40" i="61"/>
  <c r="BN40" i="61"/>
  <c r="BO40" i="61"/>
  <c r="BP40" i="61"/>
  <c r="BQ40" i="61"/>
  <c r="BR40" i="61"/>
  <c r="BS40" i="61"/>
  <c r="BT40" i="61"/>
  <c r="BU40" i="61"/>
  <c r="BV40" i="61"/>
  <c r="BK41" i="61"/>
  <c r="BL41" i="61"/>
  <c r="BM41" i="61"/>
  <c r="BN41" i="61"/>
  <c r="BO41" i="61"/>
  <c r="BP41" i="61"/>
  <c r="BQ41" i="61"/>
  <c r="BR41" i="61"/>
  <c r="BS41" i="61"/>
  <c r="BT41" i="61"/>
  <c r="BU41" i="61"/>
  <c r="BV41" i="61"/>
  <c r="BK42" i="61"/>
  <c r="BL42" i="61"/>
  <c r="BM42" i="61"/>
  <c r="BN42" i="61"/>
  <c r="BO42" i="61"/>
  <c r="BP42" i="61"/>
  <c r="BQ42" i="61"/>
  <c r="BR42" i="61"/>
  <c r="BS42" i="61"/>
  <c r="BT42" i="61"/>
  <c r="BU42" i="61"/>
  <c r="BV42" i="61"/>
  <c r="BK43" i="61"/>
  <c r="BL43" i="61"/>
  <c r="BM43" i="61"/>
  <c r="BN43" i="61"/>
  <c r="BO43" i="61"/>
  <c r="BP43" i="61"/>
  <c r="BQ43" i="61"/>
  <c r="BR43" i="61"/>
  <c r="BS43" i="61"/>
  <c r="BT43" i="61"/>
  <c r="BU43" i="61"/>
  <c r="BV43" i="61"/>
  <c r="BK44" i="61"/>
  <c r="BL44" i="61"/>
  <c r="BM44" i="61"/>
  <c r="BN44" i="61"/>
  <c r="BO44" i="61"/>
  <c r="BP44" i="61"/>
  <c r="BQ44" i="61"/>
  <c r="BR44" i="61"/>
  <c r="BS44" i="61"/>
  <c r="BT44" i="61"/>
  <c r="BU44" i="61"/>
  <c r="BV44" i="61"/>
  <c r="BK45" i="61"/>
  <c r="BL45" i="61"/>
  <c r="BM45" i="61"/>
  <c r="BN45" i="61"/>
  <c r="BO45" i="61"/>
  <c r="BP45" i="61"/>
  <c r="BQ45" i="61"/>
  <c r="BR45" i="61"/>
  <c r="BS45" i="61"/>
  <c r="BT45" i="61"/>
  <c r="BU45" i="61"/>
  <c r="BV45" i="61"/>
  <c r="BK46" i="61"/>
  <c r="BL46" i="61"/>
  <c r="BM46" i="61"/>
  <c r="BN46" i="61"/>
  <c r="BO46" i="61"/>
  <c r="BP46" i="61"/>
  <c r="BQ46" i="61"/>
  <c r="BR46" i="61"/>
  <c r="BS46" i="61"/>
  <c r="BT46" i="61"/>
  <c r="BU46" i="61"/>
  <c r="BV46" i="61"/>
  <c r="BK47" i="61"/>
  <c r="BL47" i="61"/>
  <c r="BM47" i="61"/>
  <c r="BN47" i="61"/>
  <c r="BO47" i="61"/>
  <c r="BP47" i="61"/>
  <c r="BQ47" i="61"/>
  <c r="BR47" i="61"/>
  <c r="BS47" i="61"/>
  <c r="BT47" i="61"/>
  <c r="BU47" i="61"/>
  <c r="BV47" i="61"/>
  <c r="BK48" i="61"/>
  <c r="BL48" i="61"/>
  <c r="BM48" i="61"/>
  <c r="BN48" i="61"/>
  <c r="BO48" i="61"/>
  <c r="BP48" i="61"/>
  <c r="BQ48" i="61"/>
  <c r="BR48" i="61"/>
  <c r="BS48" i="61"/>
  <c r="BT48" i="61"/>
  <c r="BU48" i="61"/>
  <c r="BV48" i="61"/>
  <c r="BK49" i="61"/>
  <c r="BL49" i="61"/>
  <c r="BM49" i="61"/>
  <c r="BN49" i="61"/>
  <c r="BO49" i="61"/>
  <c r="BP49" i="61"/>
  <c r="BQ49" i="61"/>
  <c r="BR49" i="61"/>
  <c r="BS49" i="61"/>
  <c r="BT49" i="61"/>
  <c r="BU49" i="61"/>
  <c r="BV49" i="61"/>
  <c r="BK50" i="61"/>
  <c r="BL50" i="61"/>
  <c r="BM50" i="61"/>
  <c r="BN50" i="61"/>
  <c r="BO50" i="61"/>
  <c r="BP50" i="61"/>
  <c r="BQ50" i="61"/>
  <c r="BR50" i="61"/>
  <c r="BS50" i="61"/>
  <c r="BT50" i="61"/>
  <c r="BU50" i="61"/>
  <c r="BV50" i="61"/>
  <c r="BK51" i="61"/>
  <c r="BL51" i="61"/>
  <c r="BM51" i="61"/>
  <c r="BN51" i="61"/>
  <c r="BO51" i="61"/>
  <c r="BP51" i="61"/>
  <c r="BQ51" i="61"/>
  <c r="BR51" i="61"/>
  <c r="BS51" i="61"/>
  <c r="BT51" i="61"/>
  <c r="BU51" i="61"/>
  <c r="BV51" i="61"/>
  <c r="BL32" i="61"/>
  <c r="BM32" i="61"/>
  <c r="BN32" i="61"/>
  <c r="BO32" i="61"/>
  <c r="BP32" i="61"/>
  <c r="BQ32" i="61"/>
  <c r="BR32" i="61"/>
  <c r="BS32" i="61"/>
  <c r="BT32" i="61"/>
  <c r="BU32" i="61"/>
  <c r="BV32" i="61"/>
  <c r="BK32" i="61"/>
  <c r="AW33" i="61"/>
  <c r="AX33" i="61"/>
  <c r="AY33" i="61"/>
  <c r="AZ33" i="61"/>
  <c r="BA33" i="61"/>
  <c r="BB33" i="61"/>
  <c r="BC33" i="61"/>
  <c r="BD33" i="61"/>
  <c r="BE33" i="61"/>
  <c r="BF33" i="61"/>
  <c r="BG33" i="61"/>
  <c r="BH33" i="61"/>
  <c r="AW34" i="61"/>
  <c r="AX34" i="61"/>
  <c r="AY34" i="61"/>
  <c r="AZ34" i="61"/>
  <c r="BA34" i="61"/>
  <c r="BB34" i="61"/>
  <c r="BC34" i="61"/>
  <c r="BD34" i="61"/>
  <c r="BE34" i="61"/>
  <c r="BF34" i="61"/>
  <c r="BG34" i="61"/>
  <c r="BH34" i="61"/>
  <c r="AW35" i="61"/>
  <c r="AX35" i="61"/>
  <c r="AY35" i="61"/>
  <c r="AZ35" i="61"/>
  <c r="BA35" i="61"/>
  <c r="BB35" i="61"/>
  <c r="BC35" i="61"/>
  <c r="BD35" i="61"/>
  <c r="BE35" i="61"/>
  <c r="BF35" i="61"/>
  <c r="BG35" i="61"/>
  <c r="BH35" i="61"/>
  <c r="AW36" i="61"/>
  <c r="AX36" i="61"/>
  <c r="AY36" i="61"/>
  <c r="AZ36" i="61"/>
  <c r="BA36" i="61"/>
  <c r="BB36" i="61"/>
  <c r="BC36" i="61"/>
  <c r="BD36" i="61"/>
  <c r="BE36" i="61"/>
  <c r="BF36" i="61"/>
  <c r="BG36" i="61"/>
  <c r="BH36" i="61"/>
  <c r="AW37" i="61"/>
  <c r="AX37" i="61"/>
  <c r="AY37" i="61"/>
  <c r="AZ37" i="61"/>
  <c r="BA37" i="61"/>
  <c r="BB37" i="61"/>
  <c r="BC37" i="61"/>
  <c r="BD37" i="61"/>
  <c r="BE37" i="61"/>
  <c r="BF37" i="61"/>
  <c r="BG37" i="61"/>
  <c r="BH37" i="61"/>
  <c r="AW38" i="61"/>
  <c r="AX38" i="61"/>
  <c r="AY38" i="61"/>
  <c r="AZ38" i="61"/>
  <c r="BA38" i="61"/>
  <c r="BB38" i="61"/>
  <c r="BC38" i="61"/>
  <c r="BD38" i="61"/>
  <c r="BE38" i="61"/>
  <c r="BF38" i="61"/>
  <c r="BG38" i="61"/>
  <c r="BH38" i="61"/>
  <c r="AW39" i="61"/>
  <c r="AX39" i="61"/>
  <c r="AY39" i="61"/>
  <c r="AZ39" i="61"/>
  <c r="BA39" i="61"/>
  <c r="BB39" i="61"/>
  <c r="BC39" i="61"/>
  <c r="BD39" i="61"/>
  <c r="BE39" i="61"/>
  <c r="BF39" i="61"/>
  <c r="BG39" i="61"/>
  <c r="BH39" i="61"/>
  <c r="AW40" i="61"/>
  <c r="AX40" i="61"/>
  <c r="AY40" i="61"/>
  <c r="AZ40" i="61"/>
  <c r="BA40" i="61"/>
  <c r="BB40" i="61"/>
  <c r="BC40" i="61"/>
  <c r="BD40" i="61"/>
  <c r="BE40" i="61"/>
  <c r="BF40" i="61"/>
  <c r="BG40" i="61"/>
  <c r="BH40" i="61"/>
  <c r="AW41" i="61"/>
  <c r="AX41" i="61"/>
  <c r="AY41" i="61"/>
  <c r="AZ41" i="61"/>
  <c r="BA41" i="61"/>
  <c r="BB41" i="61"/>
  <c r="BC41" i="61"/>
  <c r="BD41" i="61"/>
  <c r="BE41" i="61"/>
  <c r="BF41" i="61"/>
  <c r="BG41" i="61"/>
  <c r="BH41" i="61"/>
  <c r="AW42" i="61"/>
  <c r="AX42" i="61"/>
  <c r="AY42" i="61"/>
  <c r="AZ42" i="61"/>
  <c r="BA42" i="61"/>
  <c r="BB42" i="61"/>
  <c r="BC42" i="61"/>
  <c r="BD42" i="61"/>
  <c r="BE42" i="61"/>
  <c r="BF42" i="61"/>
  <c r="BG42" i="61"/>
  <c r="BH42" i="61"/>
  <c r="AW43" i="61"/>
  <c r="AX43" i="61"/>
  <c r="AY43" i="61"/>
  <c r="AZ43" i="61"/>
  <c r="BA43" i="61"/>
  <c r="BB43" i="61"/>
  <c r="BC43" i="61"/>
  <c r="BD43" i="61"/>
  <c r="BE43" i="61"/>
  <c r="BF43" i="61"/>
  <c r="BG43" i="61"/>
  <c r="BH43" i="61"/>
  <c r="AW44" i="61"/>
  <c r="AX44" i="61"/>
  <c r="AY44" i="61"/>
  <c r="AZ44" i="61"/>
  <c r="BA44" i="61"/>
  <c r="BB44" i="61"/>
  <c r="BC44" i="61"/>
  <c r="BD44" i="61"/>
  <c r="BE44" i="61"/>
  <c r="BF44" i="61"/>
  <c r="BG44" i="61"/>
  <c r="BH44" i="61"/>
  <c r="AW45" i="61"/>
  <c r="AX45" i="61"/>
  <c r="AY45" i="61"/>
  <c r="AZ45" i="61"/>
  <c r="BA45" i="61"/>
  <c r="BB45" i="61"/>
  <c r="BC45" i="61"/>
  <c r="BD45" i="61"/>
  <c r="BE45" i="61"/>
  <c r="BF45" i="61"/>
  <c r="BG45" i="61"/>
  <c r="BH45" i="61"/>
  <c r="AW46" i="61"/>
  <c r="AX46" i="61"/>
  <c r="AY46" i="61"/>
  <c r="AZ46" i="61"/>
  <c r="BA46" i="61"/>
  <c r="BB46" i="61"/>
  <c r="BC46" i="61"/>
  <c r="BD46" i="61"/>
  <c r="BE46" i="61"/>
  <c r="BF46" i="61"/>
  <c r="BG46" i="61"/>
  <c r="BH46" i="61"/>
  <c r="AW47" i="61"/>
  <c r="AX47" i="61"/>
  <c r="AY47" i="61"/>
  <c r="AZ47" i="61"/>
  <c r="BA47" i="61"/>
  <c r="BB47" i="61"/>
  <c r="BC47" i="61"/>
  <c r="BD47" i="61"/>
  <c r="BE47" i="61"/>
  <c r="BF47" i="61"/>
  <c r="BG47" i="61"/>
  <c r="BH47" i="61"/>
  <c r="AW48" i="61"/>
  <c r="AX48" i="61"/>
  <c r="AY48" i="61"/>
  <c r="AZ48" i="61"/>
  <c r="BA48" i="61"/>
  <c r="BB48" i="61"/>
  <c r="BC48" i="61"/>
  <c r="BD48" i="61"/>
  <c r="BE48" i="61"/>
  <c r="BF48" i="61"/>
  <c r="BG48" i="61"/>
  <c r="BH48" i="61"/>
  <c r="AW49" i="61"/>
  <c r="AX49" i="61"/>
  <c r="AY49" i="61"/>
  <c r="AZ49" i="61"/>
  <c r="BA49" i="61"/>
  <c r="BB49" i="61"/>
  <c r="BC49" i="61"/>
  <c r="BD49" i="61"/>
  <c r="BE49" i="61"/>
  <c r="BF49" i="61"/>
  <c r="BG49" i="61"/>
  <c r="BH49" i="61"/>
  <c r="AW50" i="61"/>
  <c r="AX50" i="61"/>
  <c r="AY50" i="61"/>
  <c r="AZ50" i="61"/>
  <c r="BA50" i="61"/>
  <c r="BB50" i="61"/>
  <c r="BC50" i="61"/>
  <c r="BD50" i="61"/>
  <c r="BE50" i="61"/>
  <c r="BF50" i="61"/>
  <c r="BG50" i="61"/>
  <c r="BH50" i="61"/>
  <c r="AW51" i="61"/>
  <c r="AX51" i="61"/>
  <c r="AY51" i="61"/>
  <c r="AZ51" i="61"/>
  <c r="BA51" i="61"/>
  <c r="BB51" i="61"/>
  <c r="BC51" i="61"/>
  <c r="BD51" i="61"/>
  <c r="BE51" i="61"/>
  <c r="BF51" i="61"/>
  <c r="BG51" i="61"/>
  <c r="BH51" i="61"/>
  <c r="AX32" i="61"/>
  <c r="AY32" i="61"/>
  <c r="AZ32" i="61"/>
  <c r="BA32" i="61"/>
  <c r="BB32" i="61"/>
  <c r="BC32" i="61"/>
  <c r="BD32" i="61"/>
  <c r="BE32" i="61"/>
  <c r="BF32" i="61"/>
  <c r="BG32" i="61"/>
  <c r="BH32" i="61"/>
  <c r="AW32" i="61"/>
  <c r="AI33" i="61"/>
  <c r="AJ33" i="61"/>
  <c r="AK33" i="61"/>
  <c r="AL33" i="61"/>
  <c r="AM33" i="61"/>
  <c r="AN33" i="61"/>
  <c r="AO33" i="61"/>
  <c r="AP33" i="61"/>
  <c r="AQ33" i="61"/>
  <c r="AR33" i="61"/>
  <c r="AS33" i="61"/>
  <c r="AT33" i="61"/>
  <c r="AI34" i="61"/>
  <c r="AJ34" i="61"/>
  <c r="AK34" i="61"/>
  <c r="AL34" i="61"/>
  <c r="AM34" i="61"/>
  <c r="AN34" i="61"/>
  <c r="AO34" i="61"/>
  <c r="AP34" i="61"/>
  <c r="AQ34" i="61"/>
  <c r="AR34" i="61"/>
  <c r="AS34" i="61"/>
  <c r="AT34" i="61"/>
  <c r="AI35" i="61"/>
  <c r="AJ35" i="61"/>
  <c r="AK35" i="61"/>
  <c r="AL35" i="61"/>
  <c r="AM35" i="61"/>
  <c r="AN35" i="61"/>
  <c r="AO35" i="61"/>
  <c r="AP35" i="61"/>
  <c r="AQ35" i="61"/>
  <c r="AR35" i="61"/>
  <c r="AS35" i="61"/>
  <c r="AT35" i="61"/>
  <c r="AI36" i="61"/>
  <c r="AJ36" i="61"/>
  <c r="AK36" i="61"/>
  <c r="AL36" i="61"/>
  <c r="AM36" i="61"/>
  <c r="AN36" i="61"/>
  <c r="AO36" i="61"/>
  <c r="AP36" i="61"/>
  <c r="AQ36" i="61"/>
  <c r="AR36" i="61"/>
  <c r="AS36" i="61"/>
  <c r="AT36" i="61"/>
  <c r="AI37" i="61"/>
  <c r="AJ37" i="61"/>
  <c r="AK37" i="61"/>
  <c r="AL37" i="61"/>
  <c r="AM37" i="61"/>
  <c r="AN37" i="61"/>
  <c r="AO37" i="61"/>
  <c r="AP37" i="61"/>
  <c r="AQ37" i="61"/>
  <c r="AR37" i="61"/>
  <c r="AS37" i="61"/>
  <c r="AT37" i="61"/>
  <c r="AI38" i="61"/>
  <c r="AJ38" i="61"/>
  <c r="AK38" i="61"/>
  <c r="AL38" i="61"/>
  <c r="AM38" i="61"/>
  <c r="AN38" i="61"/>
  <c r="AO38" i="61"/>
  <c r="AP38" i="61"/>
  <c r="AQ38" i="61"/>
  <c r="AR38" i="61"/>
  <c r="AS38" i="61"/>
  <c r="AT38" i="61"/>
  <c r="AI39" i="61"/>
  <c r="AJ39" i="61"/>
  <c r="AK39" i="61"/>
  <c r="AL39" i="61"/>
  <c r="AM39" i="61"/>
  <c r="AN39" i="61"/>
  <c r="AO39" i="61"/>
  <c r="AP39" i="61"/>
  <c r="AQ39" i="61"/>
  <c r="AR39" i="61"/>
  <c r="AS39" i="61"/>
  <c r="AT39" i="61"/>
  <c r="AI40" i="61"/>
  <c r="AJ40" i="61"/>
  <c r="AK40" i="61"/>
  <c r="AL40" i="61"/>
  <c r="AM40" i="61"/>
  <c r="AN40" i="61"/>
  <c r="AO40" i="61"/>
  <c r="AP40" i="61"/>
  <c r="AQ40" i="61"/>
  <c r="AR40" i="61"/>
  <c r="AS40" i="61"/>
  <c r="AT40" i="61"/>
  <c r="AI41" i="61"/>
  <c r="AJ41" i="61"/>
  <c r="AK41" i="61"/>
  <c r="AL41" i="61"/>
  <c r="AM41" i="61"/>
  <c r="AN41" i="61"/>
  <c r="AO41" i="61"/>
  <c r="AP41" i="61"/>
  <c r="AQ41" i="61"/>
  <c r="AR41" i="61"/>
  <c r="AS41" i="61"/>
  <c r="AT41" i="61"/>
  <c r="AI42" i="61"/>
  <c r="AJ42" i="61"/>
  <c r="AK42" i="61"/>
  <c r="AL42" i="61"/>
  <c r="AM42" i="61"/>
  <c r="AN42" i="61"/>
  <c r="AO42" i="61"/>
  <c r="AP42" i="61"/>
  <c r="AQ42" i="61"/>
  <c r="AR42" i="61"/>
  <c r="AS42" i="61"/>
  <c r="AT42" i="61"/>
  <c r="AI43" i="61"/>
  <c r="AJ43" i="61"/>
  <c r="AK43" i="61"/>
  <c r="AL43" i="61"/>
  <c r="AM43" i="61"/>
  <c r="AN43" i="61"/>
  <c r="AO43" i="61"/>
  <c r="AP43" i="61"/>
  <c r="AQ43" i="61"/>
  <c r="AR43" i="61"/>
  <c r="AS43" i="61"/>
  <c r="AT43" i="61"/>
  <c r="AI44" i="61"/>
  <c r="AJ44" i="61"/>
  <c r="AK44" i="61"/>
  <c r="AL44" i="61"/>
  <c r="AM44" i="61"/>
  <c r="AN44" i="61"/>
  <c r="AO44" i="61"/>
  <c r="AP44" i="61"/>
  <c r="AQ44" i="61"/>
  <c r="AR44" i="61"/>
  <c r="AS44" i="61"/>
  <c r="AT44" i="61"/>
  <c r="AI45" i="61"/>
  <c r="AJ45" i="61"/>
  <c r="AK45" i="61"/>
  <c r="AL45" i="61"/>
  <c r="AM45" i="61"/>
  <c r="AN45" i="61"/>
  <c r="AO45" i="61"/>
  <c r="AP45" i="61"/>
  <c r="AQ45" i="61"/>
  <c r="AR45" i="61"/>
  <c r="AS45" i="61"/>
  <c r="AT45" i="61"/>
  <c r="AI46" i="61"/>
  <c r="AJ46" i="61"/>
  <c r="AK46" i="61"/>
  <c r="AL46" i="61"/>
  <c r="AM46" i="61"/>
  <c r="AN46" i="61"/>
  <c r="AO46" i="61"/>
  <c r="AP46" i="61"/>
  <c r="AQ46" i="61"/>
  <c r="AR46" i="61"/>
  <c r="AS46" i="61"/>
  <c r="AT46" i="61"/>
  <c r="AI47" i="61"/>
  <c r="AJ47" i="61"/>
  <c r="AK47" i="61"/>
  <c r="AL47" i="61"/>
  <c r="AM47" i="61"/>
  <c r="AN47" i="61"/>
  <c r="AO47" i="61"/>
  <c r="AP47" i="61"/>
  <c r="AQ47" i="61"/>
  <c r="AR47" i="61"/>
  <c r="AS47" i="61"/>
  <c r="AT47" i="61"/>
  <c r="AI48" i="61"/>
  <c r="AJ48" i="61"/>
  <c r="AK48" i="61"/>
  <c r="AL48" i="61"/>
  <c r="AM48" i="61"/>
  <c r="AN48" i="61"/>
  <c r="AO48" i="61"/>
  <c r="AP48" i="61"/>
  <c r="AQ48" i="61"/>
  <c r="AR48" i="61"/>
  <c r="AS48" i="61"/>
  <c r="AT48" i="61"/>
  <c r="AI49" i="61"/>
  <c r="AJ49" i="61"/>
  <c r="AK49" i="61"/>
  <c r="AL49" i="61"/>
  <c r="AM49" i="61"/>
  <c r="AN49" i="61"/>
  <c r="AO49" i="61"/>
  <c r="AP49" i="61"/>
  <c r="AQ49" i="61"/>
  <c r="AR49" i="61"/>
  <c r="AS49" i="61"/>
  <c r="AT49" i="61"/>
  <c r="AI50" i="61"/>
  <c r="AJ50" i="61"/>
  <c r="AK50" i="61"/>
  <c r="AL50" i="61"/>
  <c r="AM50" i="61"/>
  <c r="AN50" i="61"/>
  <c r="AO50" i="61"/>
  <c r="AP50" i="61"/>
  <c r="AQ50" i="61"/>
  <c r="AR50" i="61"/>
  <c r="AS50" i="61"/>
  <c r="AT50" i="61"/>
  <c r="AI51" i="61"/>
  <c r="AJ51" i="61"/>
  <c r="AK51" i="61"/>
  <c r="AL51" i="61"/>
  <c r="AM51" i="61"/>
  <c r="AN51" i="61"/>
  <c r="AO51" i="61"/>
  <c r="AP51" i="61"/>
  <c r="AQ51" i="61"/>
  <c r="AR51" i="61"/>
  <c r="AS51" i="61"/>
  <c r="AT51" i="61"/>
  <c r="AJ32" i="61"/>
  <c r="AK32" i="61"/>
  <c r="AL32" i="61"/>
  <c r="AM32" i="61"/>
  <c r="AN32" i="61"/>
  <c r="AO32" i="61"/>
  <c r="AP32" i="61"/>
  <c r="AQ32" i="61"/>
  <c r="AR32" i="61"/>
  <c r="AS32" i="61"/>
  <c r="AT32" i="61"/>
  <c r="AI32" i="61"/>
  <c r="CM6" i="61"/>
  <c r="CN6" i="61"/>
  <c r="CO6" i="61"/>
  <c r="CP6" i="61"/>
  <c r="CQ6" i="61"/>
  <c r="CR6" i="61"/>
  <c r="CS6" i="61"/>
  <c r="CT6" i="61"/>
  <c r="CU6" i="61"/>
  <c r="CV6" i="61"/>
  <c r="CW6" i="61"/>
  <c r="CX6" i="61"/>
  <c r="CM7" i="61"/>
  <c r="CN7" i="61"/>
  <c r="CO7" i="61"/>
  <c r="CP7" i="61"/>
  <c r="CQ7" i="61"/>
  <c r="CR7" i="61"/>
  <c r="CS7" i="61"/>
  <c r="CT7" i="61"/>
  <c r="CU7" i="61"/>
  <c r="CV7" i="61"/>
  <c r="CW7" i="61"/>
  <c r="CX7" i="61"/>
  <c r="CM8" i="61"/>
  <c r="CN8" i="61"/>
  <c r="CO8" i="61"/>
  <c r="CP8" i="61"/>
  <c r="CQ8" i="61"/>
  <c r="CR8" i="61"/>
  <c r="CS8" i="61"/>
  <c r="CT8" i="61"/>
  <c r="CU8" i="61"/>
  <c r="CV8" i="61"/>
  <c r="CW8" i="61"/>
  <c r="CX8" i="61"/>
  <c r="CM9" i="61"/>
  <c r="CN9" i="61"/>
  <c r="CO9" i="61"/>
  <c r="CP9" i="61"/>
  <c r="CQ9" i="61"/>
  <c r="CR9" i="61"/>
  <c r="CS9" i="61"/>
  <c r="CT9" i="61"/>
  <c r="CU9" i="61"/>
  <c r="CV9" i="61"/>
  <c r="CW9" i="61"/>
  <c r="CX9" i="61"/>
  <c r="CM10" i="61"/>
  <c r="CN10" i="61"/>
  <c r="CO10" i="61"/>
  <c r="CP10" i="61"/>
  <c r="CQ10" i="61"/>
  <c r="CR10" i="61"/>
  <c r="CS10" i="61"/>
  <c r="CT10" i="61"/>
  <c r="CU10" i="61"/>
  <c r="CV10" i="61"/>
  <c r="CW10" i="61"/>
  <c r="CX10" i="61"/>
  <c r="CM11" i="61"/>
  <c r="CN11" i="61"/>
  <c r="CO11" i="61"/>
  <c r="CP11" i="61"/>
  <c r="CQ11" i="61"/>
  <c r="CR11" i="61"/>
  <c r="CS11" i="61"/>
  <c r="CT11" i="61"/>
  <c r="CU11" i="61"/>
  <c r="CV11" i="61"/>
  <c r="CW11" i="61"/>
  <c r="CX11" i="61"/>
  <c r="CM12" i="61"/>
  <c r="CN12" i="61"/>
  <c r="CO12" i="61"/>
  <c r="CP12" i="61"/>
  <c r="CQ12" i="61"/>
  <c r="CR12" i="61"/>
  <c r="CS12" i="61"/>
  <c r="CT12" i="61"/>
  <c r="CU12" i="61"/>
  <c r="CV12" i="61"/>
  <c r="CW12" i="61"/>
  <c r="CX12" i="61"/>
  <c r="CM13" i="61"/>
  <c r="CN13" i="61"/>
  <c r="CO13" i="61"/>
  <c r="CP13" i="61"/>
  <c r="CQ13" i="61"/>
  <c r="CR13" i="61"/>
  <c r="CS13" i="61"/>
  <c r="CT13" i="61"/>
  <c r="CU13" i="61"/>
  <c r="CV13" i="61"/>
  <c r="CW13" i="61"/>
  <c r="CX13" i="61"/>
  <c r="CM14" i="61"/>
  <c r="CN14" i="61"/>
  <c r="CO14" i="61"/>
  <c r="CP14" i="61"/>
  <c r="CQ14" i="61"/>
  <c r="CR14" i="61"/>
  <c r="CS14" i="61"/>
  <c r="CT14" i="61"/>
  <c r="CU14" i="61"/>
  <c r="CV14" i="61"/>
  <c r="CW14" i="61"/>
  <c r="CX14" i="61"/>
  <c r="CM15" i="61"/>
  <c r="CN15" i="61"/>
  <c r="CO15" i="61"/>
  <c r="CP15" i="61"/>
  <c r="CQ15" i="61"/>
  <c r="CR15" i="61"/>
  <c r="CS15" i="61"/>
  <c r="CT15" i="61"/>
  <c r="CU15" i="61"/>
  <c r="CV15" i="61"/>
  <c r="CW15" i="61"/>
  <c r="CX15" i="61"/>
  <c r="CM16" i="61"/>
  <c r="CN16" i="61"/>
  <c r="CO16" i="61"/>
  <c r="CP16" i="61"/>
  <c r="CQ16" i="61"/>
  <c r="CR16" i="61"/>
  <c r="CS16" i="61"/>
  <c r="CT16" i="61"/>
  <c r="CU16" i="61"/>
  <c r="CV16" i="61"/>
  <c r="CW16" i="61"/>
  <c r="CX16" i="61"/>
  <c r="CM17" i="61"/>
  <c r="CN17" i="61"/>
  <c r="CO17" i="61"/>
  <c r="CP17" i="61"/>
  <c r="CQ17" i="61"/>
  <c r="CR17" i="61"/>
  <c r="CS17" i="61"/>
  <c r="CT17" i="61"/>
  <c r="CU17" i="61"/>
  <c r="CV17" i="61"/>
  <c r="CW17" i="61"/>
  <c r="CX17" i="61"/>
  <c r="CM18" i="61"/>
  <c r="CN18" i="61"/>
  <c r="CO18" i="61"/>
  <c r="CP18" i="61"/>
  <c r="CQ18" i="61"/>
  <c r="CR18" i="61"/>
  <c r="CS18" i="61"/>
  <c r="CT18" i="61"/>
  <c r="CU18" i="61"/>
  <c r="CV18" i="61"/>
  <c r="CW18" i="61"/>
  <c r="CX18" i="61"/>
  <c r="CM19" i="61"/>
  <c r="CN19" i="61"/>
  <c r="CO19" i="61"/>
  <c r="CP19" i="61"/>
  <c r="CQ19" i="61"/>
  <c r="CR19" i="61"/>
  <c r="CS19" i="61"/>
  <c r="CT19" i="61"/>
  <c r="CU19" i="61"/>
  <c r="CV19" i="61"/>
  <c r="CW19" i="61"/>
  <c r="CX19" i="61"/>
  <c r="CM20" i="61"/>
  <c r="CN20" i="61"/>
  <c r="CO20" i="61"/>
  <c r="CP20" i="61"/>
  <c r="CQ20" i="61"/>
  <c r="CR20" i="61"/>
  <c r="CS20" i="61"/>
  <c r="CT20" i="61"/>
  <c r="CU20" i="61"/>
  <c r="CV20" i="61"/>
  <c r="CW20" i="61"/>
  <c r="CX20" i="61"/>
  <c r="CM21" i="61"/>
  <c r="CN21" i="61"/>
  <c r="CO21" i="61"/>
  <c r="CP21" i="61"/>
  <c r="CQ21" i="61"/>
  <c r="CR21" i="61"/>
  <c r="CS21" i="61"/>
  <c r="CT21" i="61"/>
  <c r="CU21" i="61"/>
  <c r="CV21" i="61"/>
  <c r="CW21" i="61"/>
  <c r="CX21" i="61"/>
  <c r="CM22" i="61"/>
  <c r="CN22" i="61"/>
  <c r="CO22" i="61"/>
  <c r="CP22" i="61"/>
  <c r="CQ22" i="61"/>
  <c r="CR22" i="61"/>
  <c r="CS22" i="61"/>
  <c r="CT22" i="61"/>
  <c r="CU22" i="61"/>
  <c r="CV22" i="61"/>
  <c r="CW22" i="61"/>
  <c r="CX22" i="61"/>
  <c r="CM23" i="61"/>
  <c r="CN23" i="61"/>
  <c r="CO23" i="61"/>
  <c r="CP23" i="61"/>
  <c r="CQ23" i="61"/>
  <c r="CR23" i="61"/>
  <c r="CS23" i="61"/>
  <c r="CT23" i="61"/>
  <c r="CU23" i="61"/>
  <c r="CV23" i="61"/>
  <c r="CW23" i="61"/>
  <c r="CX23" i="61"/>
  <c r="CM24" i="61"/>
  <c r="CN24" i="61"/>
  <c r="CO24" i="61"/>
  <c r="CP24" i="61"/>
  <c r="CQ24" i="61"/>
  <c r="CR24" i="61"/>
  <c r="CS24" i="61"/>
  <c r="CT24" i="61"/>
  <c r="CU24" i="61"/>
  <c r="CV24" i="61"/>
  <c r="CW24" i="61"/>
  <c r="CX24" i="61"/>
  <c r="CN5" i="61"/>
  <c r="CO5" i="61"/>
  <c r="CP5" i="61"/>
  <c r="CQ5" i="61"/>
  <c r="CR5" i="61"/>
  <c r="CS5" i="61"/>
  <c r="CT5" i="61"/>
  <c r="CU5" i="61"/>
  <c r="CV5" i="61"/>
  <c r="CW5" i="61"/>
  <c r="CX5" i="61"/>
  <c r="CM5" i="61"/>
  <c r="BY6" i="61"/>
  <c r="BZ6" i="61"/>
  <c r="CA6" i="61"/>
  <c r="CB6" i="61"/>
  <c r="CC6" i="61"/>
  <c r="CD6" i="61"/>
  <c r="CE6" i="61"/>
  <c r="CF6" i="61"/>
  <c r="CG6" i="61"/>
  <c r="CH6" i="61"/>
  <c r="CI6" i="61"/>
  <c r="CJ6" i="61"/>
  <c r="BY7" i="61"/>
  <c r="BZ7" i="61"/>
  <c r="CA7" i="61"/>
  <c r="CB7" i="61"/>
  <c r="CC7" i="61"/>
  <c r="CD7" i="61"/>
  <c r="CE7" i="61"/>
  <c r="CF7" i="61"/>
  <c r="CG7" i="61"/>
  <c r="CH7" i="61"/>
  <c r="CI7" i="61"/>
  <c r="CJ7" i="61"/>
  <c r="BY8" i="61"/>
  <c r="BZ8" i="61"/>
  <c r="CA8" i="61"/>
  <c r="CB8" i="61"/>
  <c r="CC8" i="61"/>
  <c r="CD8" i="61"/>
  <c r="CE8" i="61"/>
  <c r="CF8" i="61"/>
  <c r="CG8" i="61"/>
  <c r="CH8" i="61"/>
  <c r="CI8" i="61"/>
  <c r="CJ8" i="61"/>
  <c r="BY9" i="61"/>
  <c r="BZ9" i="61"/>
  <c r="CA9" i="61"/>
  <c r="CB9" i="61"/>
  <c r="CC9" i="61"/>
  <c r="CD9" i="61"/>
  <c r="CE9" i="61"/>
  <c r="CF9" i="61"/>
  <c r="CG9" i="61"/>
  <c r="CH9" i="61"/>
  <c r="CI9" i="61"/>
  <c r="CJ9" i="61"/>
  <c r="BY10" i="61"/>
  <c r="BZ10" i="61"/>
  <c r="CA10" i="61"/>
  <c r="CB10" i="61"/>
  <c r="CC10" i="61"/>
  <c r="CD10" i="61"/>
  <c r="CE10" i="61"/>
  <c r="CF10" i="61"/>
  <c r="CG10" i="61"/>
  <c r="CH10" i="61"/>
  <c r="CI10" i="61"/>
  <c r="CJ10" i="61"/>
  <c r="BY11" i="61"/>
  <c r="BZ11" i="61"/>
  <c r="CA11" i="61"/>
  <c r="CB11" i="61"/>
  <c r="CC11" i="61"/>
  <c r="CD11" i="61"/>
  <c r="CE11" i="61"/>
  <c r="CF11" i="61"/>
  <c r="CG11" i="61"/>
  <c r="CH11" i="61"/>
  <c r="CI11" i="61"/>
  <c r="CJ11" i="61"/>
  <c r="BY12" i="61"/>
  <c r="BZ12" i="61"/>
  <c r="CA12" i="61"/>
  <c r="CB12" i="61"/>
  <c r="CC12" i="61"/>
  <c r="CD12" i="61"/>
  <c r="CE12" i="61"/>
  <c r="CF12" i="61"/>
  <c r="CG12" i="61"/>
  <c r="CH12" i="61"/>
  <c r="CI12" i="61"/>
  <c r="CJ12" i="61"/>
  <c r="BY13" i="61"/>
  <c r="BZ13" i="61"/>
  <c r="CA13" i="61"/>
  <c r="CB13" i="61"/>
  <c r="CC13" i="61"/>
  <c r="CD13" i="61"/>
  <c r="CE13" i="61"/>
  <c r="CF13" i="61"/>
  <c r="CG13" i="61"/>
  <c r="CH13" i="61"/>
  <c r="CI13" i="61"/>
  <c r="CJ13" i="61"/>
  <c r="BY14" i="61"/>
  <c r="BZ14" i="61"/>
  <c r="CA14" i="61"/>
  <c r="CB14" i="61"/>
  <c r="CC14" i="61"/>
  <c r="CD14" i="61"/>
  <c r="CE14" i="61"/>
  <c r="CF14" i="61"/>
  <c r="CG14" i="61"/>
  <c r="CH14" i="61"/>
  <c r="CI14" i="61"/>
  <c r="CJ14" i="61"/>
  <c r="BY15" i="61"/>
  <c r="BZ15" i="61"/>
  <c r="CA15" i="61"/>
  <c r="CB15" i="61"/>
  <c r="CC15" i="61"/>
  <c r="CD15" i="61"/>
  <c r="CE15" i="61"/>
  <c r="CF15" i="61"/>
  <c r="CG15" i="61"/>
  <c r="CH15" i="61"/>
  <c r="CI15" i="61"/>
  <c r="CJ15" i="61"/>
  <c r="BY16" i="61"/>
  <c r="BZ16" i="61"/>
  <c r="CA16" i="61"/>
  <c r="CB16" i="61"/>
  <c r="CC16" i="61"/>
  <c r="CD16" i="61"/>
  <c r="CE16" i="61"/>
  <c r="CF16" i="61"/>
  <c r="CG16" i="61"/>
  <c r="CH16" i="61"/>
  <c r="CI16" i="61"/>
  <c r="CJ16" i="61"/>
  <c r="BY17" i="61"/>
  <c r="BZ17" i="61"/>
  <c r="CA17" i="61"/>
  <c r="CB17" i="61"/>
  <c r="CC17" i="61"/>
  <c r="CD17" i="61"/>
  <c r="CE17" i="61"/>
  <c r="CF17" i="61"/>
  <c r="CG17" i="61"/>
  <c r="CH17" i="61"/>
  <c r="CI17" i="61"/>
  <c r="CJ17" i="61"/>
  <c r="BY18" i="61"/>
  <c r="BZ18" i="61"/>
  <c r="CA18" i="61"/>
  <c r="CB18" i="61"/>
  <c r="CC18" i="61"/>
  <c r="CD18" i="61"/>
  <c r="CE18" i="61"/>
  <c r="CF18" i="61"/>
  <c r="CG18" i="61"/>
  <c r="CH18" i="61"/>
  <c r="CI18" i="61"/>
  <c r="CJ18" i="61"/>
  <c r="BY19" i="61"/>
  <c r="BZ19" i="61"/>
  <c r="CA19" i="61"/>
  <c r="CB19" i="61"/>
  <c r="CC19" i="61"/>
  <c r="CD19" i="61"/>
  <c r="CE19" i="61"/>
  <c r="CF19" i="61"/>
  <c r="CG19" i="61"/>
  <c r="CH19" i="61"/>
  <c r="CI19" i="61"/>
  <c r="CJ19" i="61"/>
  <c r="BY20" i="61"/>
  <c r="BZ20" i="61"/>
  <c r="CA20" i="61"/>
  <c r="CB20" i="61"/>
  <c r="CC20" i="61"/>
  <c r="CD20" i="61"/>
  <c r="CE20" i="61"/>
  <c r="CF20" i="61"/>
  <c r="CG20" i="61"/>
  <c r="CH20" i="61"/>
  <c r="CI20" i="61"/>
  <c r="CJ20" i="61"/>
  <c r="BY21" i="61"/>
  <c r="BZ21" i="61"/>
  <c r="CA21" i="61"/>
  <c r="CB21" i="61"/>
  <c r="CC21" i="61"/>
  <c r="CD21" i="61"/>
  <c r="CE21" i="61"/>
  <c r="CF21" i="61"/>
  <c r="CG21" i="61"/>
  <c r="CH21" i="61"/>
  <c r="CI21" i="61"/>
  <c r="CJ21" i="61"/>
  <c r="BY22" i="61"/>
  <c r="BZ22" i="61"/>
  <c r="CA22" i="61"/>
  <c r="CB22" i="61"/>
  <c r="CC22" i="61"/>
  <c r="CD22" i="61"/>
  <c r="CE22" i="61"/>
  <c r="CF22" i="61"/>
  <c r="CG22" i="61"/>
  <c r="CH22" i="61"/>
  <c r="CI22" i="61"/>
  <c r="CJ22" i="61"/>
  <c r="BY23" i="61"/>
  <c r="BZ23" i="61"/>
  <c r="CA23" i="61"/>
  <c r="CB23" i="61"/>
  <c r="CC23" i="61"/>
  <c r="CD23" i="61"/>
  <c r="CE23" i="61"/>
  <c r="CF23" i="61"/>
  <c r="CG23" i="61"/>
  <c r="CH23" i="61"/>
  <c r="CI23" i="61"/>
  <c r="CJ23" i="61"/>
  <c r="BY24" i="61"/>
  <c r="BZ24" i="61"/>
  <c r="CA24" i="61"/>
  <c r="CB24" i="61"/>
  <c r="CC24" i="61"/>
  <c r="CD24" i="61"/>
  <c r="CE24" i="61"/>
  <c r="CF24" i="61"/>
  <c r="CG24" i="61"/>
  <c r="CH24" i="61"/>
  <c r="CI24" i="61"/>
  <c r="CJ24" i="61"/>
  <c r="BZ5" i="61"/>
  <c r="CA5" i="61"/>
  <c r="CB5" i="61"/>
  <c r="CC5" i="61"/>
  <c r="CD5" i="61"/>
  <c r="CE5" i="61"/>
  <c r="CF5" i="61"/>
  <c r="CG5" i="61"/>
  <c r="CH5" i="61"/>
  <c r="CI5" i="61"/>
  <c r="CJ5" i="61"/>
  <c r="BY5" i="61"/>
  <c r="BK6" i="61"/>
  <c r="BL6" i="61"/>
  <c r="BM6" i="61"/>
  <c r="BN6" i="61"/>
  <c r="BO6" i="61"/>
  <c r="BP6" i="61"/>
  <c r="BQ6" i="61"/>
  <c r="BR6" i="61"/>
  <c r="BS6" i="61"/>
  <c r="BT6" i="61"/>
  <c r="BU6" i="61"/>
  <c r="BV6" i="61"/>
  <c r="BK7" i="61"/>
  <c r="BL7" i="61"/>
  <c r="BM7" i="61"/>
  <c r="BN7" i="61"/>
  <c r="BO7" i="61"/>
  <c r="BP7" i="61"/>
  <c r="BQ7" i="61"/>
  <c r="BR7" i="61"/>
  <c r="BS7" i="61"/>
  <c r="BT7" i="61"/>
  <c r="BU7" i="61"/>
  <c r="BV7" i="61"/>
  <c r="BK8" i="61"/>
  <c r="BL8" i="61"/>
  <c r="BM8" i="61"/>
  <c r="BN8" i="61"/>
  <c r="BO8" i="61"/>
  <c r="BP8" i="61"/>
  <c r="BQ8" i="61"/>
  <c r="BR8" i="61"/>
  <c r="BS8" i="61"/>
  <c r="BT8" i="61"/>
  <c r="BU8" i="61"/>
  <c r="BV8" i="61"/>
  <c r="BK9" i="61"/>
  <c r="BL9" i="61"/>
  <c r="BM9" i="61"/>
  <c r="BN9" i="61"/>
  <c r="BO9" i="61"/>
  <c r="BP9" i="61"/>
  <c r="BQ9" i="61"/>
  <c r="BR9" i="61"/>
  <c r="BS9" i="61"/>
  <c r="BT9" i="61"/>
  <c r="BU9" i="61"/>
  <c r="BV9" i="61"/>
  <c r="BK10" i="61"/>
  <c r="BL10" i="61"/>
  <c r="BM10" i="61"/>
  <c r="BN10" i="61"/>
  <c r="BO10" i="61"/>
  <c r="BP10" i="61"/>
  <c r="BQ10" i="61"/>
  <c r="BR10" i="61"/>
  <c r="BS10" i="61"/>
  <c r="BT10" i="61"/>
  <c r="BU10" i="61"/>
  <c r="BV10" i="61"/>
  <c r="BK11" i="61"/>
  <c r="BL11" i="61"/>
  <c r="BM11" i="61"/>
  <c r="BN11" i="61"/>
  <c r="BO11" i="61"/>
  <c r="BP11" i="61"/>
  <c r="BQ11" i="61"/>
  <c r="BR11" i="61"/>
  <c r="BS11" i="61"/>
  <c r="BT11" i="61"/>
  <c r="BU11" i="61"/>
  <c r="BV11" i="61"/>
  <c r="BK12" i="61"/>
  <c r="BL12" i="61"/>
  <c r="BM12" i="61"/>
  <c r="BN12" i="61"/>
  <c r="BO12" i="61"/>
  <c r="BP12" i="61"/>
  <c r="BQ12" i="61"/>
  <c r="BR12" i="61"/>
  <c r="BS12" i="61"/>
  <c r="BT12" i="61"/>
  <c r="BU12" i="61"/>
  <c r="BV12" i="61"/>
  <c r="BK13" i="61"/>
  <c r="BL13" i="61"/>
  <c r="BM13" i="61"/>
  <c r="BN13" i="61"/>
  <c r="BO13" i="61"/>
  <c r="BP13" i="61"/>
  <c r="BQ13" i="61"/>
  <c r="BR13" i="61"/>
  <c r="BS13" i="61"/>
  <c r="BT13" i="61"/>
  <c r="BU13" i="61"/>
  <c r="BV13" i="61"/>
  <c r="BK14" i="61"/>
  <c r="BL14" i="61"/>
  <c r="BM14" i="61"/>
  <c r="BN14" i="61"/>
  <c r="BO14" i="61"/>
  <c r="BP14" i="61"/>
  <c r="BQ14" i="61"/>
  <c r="BR14" i="61"/>
  <c r="BS14" i="61"/>
  <c r="BT14" i="61"/>
  <c r="BU14" i="61"/>
  <c r="BV14" i="61"/>
  <c r="BK15" i="61"/>
  <c r="BL15" i="61"/>
  <c r="BM15" i="61"/>
  <c r="BN15" i="61"/>
  <c r="BO15" i="61"/>
  <c r="BP15" i="61"/>
  <c r="BQ15" i="61"/>
  <c r="BR15" i="61"/>
  <c r="BS15" i="61"/>
  <c r="BT15" i="61"/>
  <c r="BU15" i="61"/>
  <c r="BV15" i="61"/>
  <c r="BK16" i="61"/>
  <c r="BL16" i="61"/>
  <c r="BM16" i="61"/>
  <c r="BN16" i="61"/>
  <c r="BO16" i="61"/>
  <c r="BP16" i="61"/>
  <c r="BQ16" i="61"/>
  <c r="BR16" i="61"/>
  <c r="BS16" i="61"/>
  <c r="BT16" i="61"/>
  <c r="BU16" i="61"/>
  <c r="BV16" i="61"/>
  <c r="BK17" i="61"/>
  <c r="BL17" i="61"/>
  <c r="BM17" i="61"/>
  <c r="BN17" i="61"/>
  <c r="BO17" i="61"/>
  <c r="BP17" i="61"/>
  <c r="BQ17" i="61"/>
  <c r="BR17" i="61"/>
  <c r="BS17" i="61"/>
  <c r="BT17" i="61"/>
  <c r="BU17" i="61"/>
  <c r="BV17" i="61"/>
  <c r="BK18" i="61"/>
  <c r="BL18" i="61"/>
  <c r="BM18" i="61"/>
  <c r="BN18" i="61"/>
  <c r="BO18" i="61"/>
  <c r="BP18" i="61"/>
  <c r="BQ18" i="61"/>
  <c r="BR18" i="61"/>
  <c r="BS18" i="61"/>
  <c r="BT18" i="61"/>
  <c r="BU18" i="61"/>
  <c r="BV18" i="61"/>
  <c r="BK19" i="61"/>
  <c r="BL19" i="61"/>
  <c r="BM19" i="61"/>
  <c r="BN19" i="61"/>
  <c r="BO19" i="61"/>
  <c r="BP19" i="61"/>
  <c r="BQ19" i="61"/>
  <c r="BR19" i="61"/>
  <c r="BS19" i="61"/>
  <c r="BT19" i="61"/>
  <c r="BU19" i="61"/>
  <c r="BV19" i="61"/>
  <c r="BK20" i="61"/>
  <c r="BL20" i="61"/>
  <c r="BM20" i="61"/>
  <c r="BN20" i="61"/>
  <c r="BO20" i="61"/>
  <c r="BP20" i="61"/>
  <c r="BQ20" i="61"/>
  <c r="BR20" i="61"/>
  <c r="BS20" i="61"/>
  <c r="BT20" i="61"/>
  <c r="BU20" i="61"/>
  <c r="BV20" i="61"/>
  <c r="BK21" i="61"/>
  <c r="BL21" i="61"/>
  <c r="BM21" i="61"/>
  <c r="BN21" i="61"/>
  <c r="BO21" i="61"/>
  <c r="BP21" i="61"/>
  <c r="BQ21" i="61"/>
  <c r="BR21" i="61"/>
  <c r="BS21" i="61"/>
  <c r="BT21" i="61"/>
  <c r="BU21" i="61"/>
  <c r="BV21" i="61"/>
  <c r="BK22" i="61"/>
  <c r="BL22" i="61"/>
  <c r="BM22" i="61"/>
  <c r="BN22" i="61"/>
  <c r="BO22" i="61"/>
  <c r="BP22" i="61"/>
  <c r="BQ22" i="61"/>
  <c r="BR22" i="61"/>
  <c r="BS22" i="61"/>
  <c r="BT22" i="61"/>
  <c r="BU22" i="61"/>
  <c r="BV22" i="61"/>
  <c r="BK23" i="61"/>
  <c r="BL23" i="61"/>
  <c r="BM23" i="61"/>
  <c r="BN23" i="61"/>
  <c r="BO23" i="61"/>
  <c r="BP23" i="61"/>
  <c r="BQ23" i="61"/>
  <c r="BR23" i="61"/>
  <c r="BS23" i="61"/>
  <c r="BT23" i="61"/>
  <c r="BU23" i="61"/>
  <c r="BV23" i="61"/>
  <c r="BK24" i="61"/>
  <c r="BL24" i="61"/>
  <c r="BM24" i="61"/>
  <c r="BN24" i="61"/>
  <c r="BO24" i="61"/>
  <c r="BP24" i="61"/>
  <c r="BQ24" i="61"/>
  <c r="BR24" i="61"/>
  <c r="BS24" i="61"/>
  <c r="BT24" i="61"/>
  <c r="BU24" i="61"/>
  <c r="BV24" i="61"/>
  <c r="BL5" i="61"/>
  <c r="BM5" i="61"/>
  <c r="BN5" i="61"/>
  <c r="BO5" i="61"/>
  <c r="BP5" i="61"/>
  <c r="BQ5" i="61"/>
  <c r="BR5" i="61"/>
  <c r="BS5" i="61"/>
  <c r="BT5" i="61"/>
  <c r="BU5" i="61"/>
  <c r="BV5" i="61"/>
  <c r="BK5" i="61"/>
  <c r="AW6" i="61"/>
  <c r="AX6" i="61"/>
  <c r="AY6" i="61"/>
  <c r="AZ6" i="61"/>
  <c r="BA6" i="61"/>
  <c r="BB6" i="61"/>
  <c r="BC6" i="61"/>
  <c r="BD6" i="61"/>
  <c r="BE6" i="61"/>
  <c r="BF6" i="61"/>
  <c r="BG6" i="61"/>
  <c r="BH6" i="61"/>
  <c r="AW7" i="61"/>
  <c r="AX7" i="61"/>
  <c r="AY7" i="61"/>
  <c r="AZ7" i="61"/>
  <c r="BA7" i="61"/>
  <c r="BB7" i="61"/>
  <c r="BC7" i="61"/>
  <c r="BD7" i="61"/>
  <c r="BE7" i="61"/>
  <c r="BF7" i="61"/>
  <c r="BG7" i="61"/>
  <c r="BH7" i="61"/>
  <c r="AW8" i="61"/>
  <c r="AX8" i="61"/>
  <c r="AY8" i="61"/>
  <c r="AZ8" i="61"/>
  <c r="BA8" i="61"/>
  <c r="BB8" i="61"/>
  <c r="BC8" i="61"/>
  <c r="BD8" i="61"/>
  <c r="BE8" i="61"/>
  <c r="BF8" i="61"/>
  <c r="BG8" i="61"/>
  <c r="BH8" i="61"/>
  <c r="AW9" i="61"/>
  <c r="AX9" i="61"/>
  <c r="AY9" i="61"/>
  <c r="AZ9" i="61"/>
  <c r="BA9" i="61"/>
  <c r="BB9" i="61"/>
  <c r="BC9" i="61"/>
  <c r="BD9" i="61"/>
  <c r="BE9" i="61"/>
  <c r="BF9" i="61"/>
  <c r="BG9" i="61"/>
  <c r="BH9" i="61"/>
  <c r="AW10" i="61"/>
  <c r="AX10" i="61"/>
  <c r="AY10" i="61"/>
  <c r="AZ10" i="61"/>
  <c r="BA10" i="61"/>
  <c r="BB10" i="61"/>
  <c r="BC10" i="61"/>
  <c r="BD10" i="61"/>
  <c r="BE10" i="61"/>
  <c r="BF10" i="61"/>
  <c r="BG10" i="61"/>
  <c r="BH10" i="61"/>
  <c r="AW11" i="61"/>
  <c r="AX11" i="61"/>
  <c r="AY11" i="61"/>
  <c r="AZ11" i="61"/>
  <c r="BA11" i="61"/>
  <c r="BB11" i="61"/>
  <c r="BC11" i="61"/>
  <c r="BD11" i="61"/>
  <c r="BE11" i="61"/>
  <c r="BF11" i="61"/>
  <c r="BG11" i="61"/>
  <c r="BH11" i="61"/>
  <c r="AW12" i="61"/>
  <c r="AX12" i="61"/>
  <c r="AY12" i="61"/>
  <c r="AZ12" i="61"/>
  <c r="BA12" i="61"/>
  <c r="BB12" i="61"/>
  <c r="BC12" i="61"/>
  <c r="BD12" i="61"/>
  <c r="BE12" i="61"/>
  <c r="BF12" i="61"/>
  <c r="BG12" i="61"/>
  <c r="BH12" i="61"/>
  <c r="AW13" i="61"/>
  <c r="AX13" i="61"/>
  <c r="AY13" i="61"/>
  <c r="AZ13" i="61"/>
  <c r="BA13" i="61"/>
  <c r="BB13" i="61"/>
  <c r="BC13" i="61"/>
  <c r="BD13" i="61"/>
  <c r="BE13" i="61"/>
  <c r="BF13" i="61"/>
  <c r="BG13" i="61"/>
  <c r="BH13" i="61"/>
  <c r="AW14" i="61"/>
  <c r="AX14" i="61"/>
  <c r="AY14" i="61"/>
  <c r="AZ14" i="61"/>
  <c r="BA14" i="61"/>
  <c r="BB14" i="61"/>
  <c r="BC14" i="61"/>
  <c r="BD14" i="61"/>
  <c r="BE14" i="61"/>
  <c r="BF14" i="61"/>
  <c r="BG14" i="61"/>
  <c r="BH14" i="61"/>
  <c r="AW15" i="61"/>
  <c r="AX15" i="61"/>
  <c r="AY15" i="61"/>
  <c r="AZ15" i="61"/>
  <c r="BA15" i="61"/>
  <c r="BB15" i="61"/>
  <c r="BC15" i="61"/>
  <c r="BD15" i="61"/>
  <c r="BE15" i="61"/>
  <c r="BF15" i="61"/>
  <c r="BG15" i="61"/>
  <c r="BH15" i="61"/>
  <c r="AW16" i="61"/>
  <c r="AX16" i="61"/>
  <c r="AY16" i="61"/>
  <c r="AZ16" i="61"/>
  <c r="BA16" i="61"/>
  <c r="BB16" i="61"/>
  <c r="BC16" i="61"/>
  <c r="BD16" i="61"/>
  <c r="BE16" i="61"/>
  <c r="BF16" i="61"/>
  <c r="BG16" i="61"/>
  <c r="BH16" i="61"/>
  <c r="AW17" i="61"/>
  <c r="AX17" i="61"/>
  <c r="AY17" i="61"/>
  <c r="AZ17" i="61"/>
  <c r="BA17" i="61"/>
  <c r="BB17" i="61"/>
  <c r="BC17" i="61"/>
  <c r="BD17" i="61"/>
  <c r="BE17" i="61"/>
  <c r="BF17" i="61"/>
  <c r="BG17" i="61"/>
  <c r="BH17" i="61"/>
  <c r="AW18" i="61"/>
  <c r="AX18" i="61"/>
  <c r="AY18" i="61"/>
  <c r="AZ18" i="61"/>
  <c r="BA18" i="61"/>
  <c r="BB18" i="61"/>
  <c r="BC18" i="61"/>
  <c r="BD18" i="61"/>
  <c r="BE18" i="61"/>
  <c r="BF18" i="61"/>
  <c r="BG18" i="61"/>
  <c r="BH18" i="61"/>
  <c r="AW19" i="61"/>
  <c r="AX19" i="61"/>
  <c r="AY19" i="61"/>
  <c r="AZ19" i="61"/>
  <c r="BA19" i="61"/>
  <c r="BB19" i="61"/>
  <c r="BC19" i="61"/>
  <c r="BD19" i="61"/>
  <c r="BE19" i="61"/>
  <c r="BF19" i="61"/>
  <c r="BG19" i="61"/>
  <c r="BH19" i="61"/>
  <c r="AW20" i="61"/>
  <c r="AX20" i="61"/>
  <c r="AY20" i="61"/>
  <c r="AZ20" i="61"/>
  <c r="BA20" i="61"/>
  <c r="BB20" i="61"/>
  <c r="BC20" i="61"/>
  <c r="BD20" i="61"/>
  <c r="BE20" i="61"/>
  <c r="BF20" i="61"/>
  <c r="BG20" i="61"/>
  <c r="BH20" i="61"/>
  <c r="AW21" i="61"/>
  <c r="AX21" i="61"/>
  <c r="AY21" i="61"/>
  <c r="AZ21" i="61"/>
  <c r="BA21" i="61"/>
  <c r="BB21" i="61"/>
  <c r="BC21" i="61"/>
  <c r="BD21" i="61"/>
  <c r="BE21" i="61"/>
  <c r="BF21" i="61"/>
  <c r="BG21" i="61"/>
  <c r="BH21" i="61"/>
  <c r="AW22" i="61"/>
  <c r="AX22" i="61"/>
  <c r="AY22" i="61"/>
  <c r="AZ22" i="61"/>
  <c r="BA22" i="61"/>
  <c r="BB22" i="61"/>
  <c r="BC22" i="61"/>
  <c r="BD22" i="61"/>
  <c r="BE22" i="61"/>
  <c r="BF22" i="61"/>
  <c r="BG22" i="61"/>
  <c r="BH22" i="61"/>
  <c r="AW23" i="61"/>
  <c r="AX23" i="61"/>
  <c r="AY23" i="61"/>
  <c r="AZ23" i="61"/>
  <c r="BA23" i="61"/>
  <c r="BB23" i="61"/>
  <c r="BC23" i="61"/>
  <c r="BD23" i="61"/>
  <c r="BE23" i="61"/>
  <c r="BF23" i="61"/>
  <c r="BG23" i="61"/>
  <c r="BH23" i="61"/>
  <c r="AW24" i="61"/>
  <c r="AX24" i="61"/>
  <c r="AY24" i="61"/>
  <c r="AZ24" i="61"/>
  <c r="BA24" i="61"/>
  <c r="BB24" i="61"/>
  <c r="BC24" i="61"/>
  <c r="BD24" i="61"/>
  <c r="BE24" i="61"/>
  <c r="BF24" i="61"/>
  <c r="BG24" i="61"/>
  <c r="BH24" i="61"/>
  <c r="AX5" i="61"/>
  <c r="AY5" i="61"/>
  <c r="AZ5" i="61"/>
  <c r="BA5" i="61"/>
  <c r="BB5" i="61"/>
  <c r="BC5" i="61"/>
  <c r="BD5" i="61"/>
  <c r="BE5" i="61"/>
  <c r="BF5" i="61"/>
  <c r="BG5" i="61"/>
  <c r="BH5" i="61"/>
  <c r="AI6" i="61"/>
  <c r="AJ6" i="61"/>
  <c r="AK6" i="61"/>
  <c r="AL6" i="61"/>
  <c r="AM6" i="61"/>
  <c r="AN6" i="61"/>
  <c r="AO6" i="61"/>
  <c r="AP6" i="61"/>
  <c r="AQ6" i="61"/>
  <c r="AR6" i="61"/>
  <c r="AS6" i="61"/>
  <c r="AT6" i="61"/>
  <c r="AI7" i="61"/>
  <c r="AJ7" i="61"/>
  <c r="AK7" i="61"/>
  <c r="AL7" i="61"/>
  <c r="AM7" i="61"/>
  <c r="AN7" i="61"/>
  <c r="AO7" i="61"/>
  <c r="AP7" i="61"/>
  <c r="AQ7" i="61"/>
  <c r="AR7" i="61"/>
  <c r="AS7" i="61"/>
  <c r="AT7" i="61"/>
  <c r="AI8" i="61"/>
  <c r="AJ8" i="61"/>
  <c r="AK8" i="61"/>
  <c r="AL8" i="61"/>
  <c r="AM8" i="61"/>
  <c r="AN8" i="61"/>
  <c r="AO8" i="61"/>
  <c r="AP8" i="61"/>
  <c r="AQ8" i="61"/>
  <c r="AR8" i="61"/>
  <c r="AS8" i="61"/>
  <c r="AT8" i="61"/>
  <c r="AI9" i="61"/>
  <c r="AJ9" i="61"/>
  <c r="AK9" i="61"/>
  <c r="AL9" i="61"/>
  <c r="AM9" i="61"/>
  <c r="AN9" i="61"/>
  <c r="AO9" i="61"/>
  <c r="AP9" i="61"/>
  <c r="AQ9" i="61"/>
  <c r="AR9" i="61"/>
  <c r="AS9" i="61"/>
  <c r="AT9" i="61"/>
  <c r="AI10" i="61"/>
  <c r="AJ10" i="61"/>
  <c r="AK10" i="61"/>
  <c r="AL10" i="61"/>
  <c r="AM10" i="61"/>
  <c r="AN10" i="61"/>
  <c r="AO10" i="61"/>
  <c r="AP10" i="61"/>
  <c r="AQ10" i="61"/>
  <c r="AR10" i="61"/>
  <c r="AS10" i="61"/>
  <c r="AT10" i="61"/>
  <c r="AI11" i="61"/>
  <c r="AJ11" i="61"/>
  <c r="AK11" i="61"/>
  <c r="AL11" i="61"/>
  <c r="AM11" i="61"/>
  <c r="AN11" i="61"/>
  <c r="AO11" i="61"/>
  <c r="AP11" i="61"/>
  <c r="AQ11" i="61"/>
  <c r="AR11" i="61"/>
  <c r="AS11" i="61"/>
  <c r="AT11" i="61"/>
  <c r="AI12" i="61"/>
  <c r="AJ12" i="61"/>
  <c r="AK12" i="61"/>
  <c r="AL12" i="61"/>
  <c r="AM12" i="61"/>
  <c r="AN12" i="61"/>
  <c r="AO12" i="61"/>
  <c r="AP12" i="61"/>
  <c r="AQ12" i="61"/>
  <c r="AR12" i="61"/>
  <c r="AS12" i="61"/>
  <c r="AT12" i="61"/>
  <c r="AI13" i="61"/>
  <c r="AJ13" i="61"/>
  <c r="AK13" i="61"/>
  <c r="AL13" i="61"/>
  <c r="AM13" i="61"/>
  <c r="AN13" i="61"/>
  <c r="AO13" i="61"/>
  <c r="AP13" i="61"/>
  <c r="AQ13" i="61"/>
  <c r="AR13" i="61"/>
  <c r="AS13" i="61"/>
  <c r="AT13" i="61"/>
  <c r="AI14" i="61"/>
  <c r="AJ14" i="61"/>
  <c r="AK14" i="61"/>
  <c r="AL14" i="61"/>
  <c r="AM14" i="61"/>
  <c r="AN14" i="61"/>
  <c r="AO14" i="61"/>
  <c r="AP14" i="61"/>
  <c r="AQ14" i="61"/>
  <c r="AR14" i="61"/>
  <c r="AS14" i="61"/>
  <c r="AT14" i="61"/>
  <c r="AI15" i="61"/>
  <c r="AJ15" i="61"/>
  <c r="AK15" i="61"/>
  <c r="AL15" i="61"/>
  <c r="AM15" i="61"/>
  <c r="AN15" i="61"/>
  <c r="AO15" i="61"/>
  <c r="AP15" i="61"/>
  <c r="AQ15" i="61"/>
  <c r="AR15" i="61"/>
  <c r="AS15" i="61"/>
  <c r="AT15" i="61"/>
  <c r="AI16" i="61"/>
  <c r="AJ16" i="61"/>
  <c r="AK16" i="61"/>
  <c r="AL16" i="61"/>
  <c r="AM16" i="61"/>
  <c r="AN16" i="61"/>
  <c r="AO16" i="61"/>
  <c r="AP16" i="61"/>
  <c r="AQ16" i="61"/>
  <c r="AR16" i="61"/>
  <c r="AS16" i="61"/>
  <c r="AT16" i="61"/>
  <c r="AI17" i="61"/>
  <c r="AJ17" i="61"/>
  <c r="AK17" i="61"/>
  <c r="AL17" i="61"/>
  <c r="AM17" i="61"/>
  <c r="AN17" i="61"/>
  <c r="AO17" i="61"/>
  <c r="AP17" i="61"/>
  <c r="AQ17" i="61"/>
  <c r="AR17" i="61"/>
  <c r="AS17" i="61"/>
  <c r="AT17" i="61"/>
  <c r="AI18" i="61"/>
  <c r="AJ18" i="61"/>
  <c r="AK18" i="61"/>
  <c r="AL18" i="61"/>
  <c r="AM18" i="61"/>
  <c r="AN18" i="61"/>
  <c r="AO18" i="61"/>
  <c r="AP18" i="61"/>
  <c r="AQ18" i="61"/>
  <c r="AR18" i="61"/>
  <c r="AS18" i="61"/>
  <c r="AT18" i="61"/>
  <c r="AI19" i="61"/>
  <c r="AJ19" i="61"/>
  <c r="AK19" i="61"/>
  <c r="AL19" i="61"/>
  <c r="AM19" i="61"/>
  <c r="AN19" i="61"/>
  <c r="AO19" i="61"/>
  <c r="AP19" i="61"/>
  <c r="AQ19" i="61"/>
  <c r="AR19" i="61"/>
  <c r="AS19" i="61"/>
  <c r="AT19" i="61"/>
  <c r="AI20" i="61"/>
  <c r="AJ20" i="61"/>
  <c r="AK20" i="61"/>
  <c r="AL20" i="61"/>
  <c r="AM20" i="61"/>
  <c r="AN20" i="61"/>
  <c r="AO20" i="61"/>
  <c r="AP20" i="61"/>
  <c r="AQ20" i="61"/>
  <c r="AR20" i="61"/>
  <c r="AS20" i="61"/>
  <c r="AT20" i="61"/>
  <c r="AI21" i="61"/>
  <c r="AJ21" i="61"/>
  <c r="AK21" i="61"/>
  <c r="AL21" i="61"/>
  <c r="AM21" i="61"/>
  <c r="AN21" i="61"/>
  <c r="AO21" i="61"/>
  <c r="AP21" i="61"/>
  <c r="AQ21" i="61"/>
  <c r="AR21" i="61"/>
  <c r="AS21" i="61"/>
  <c r="AT21" i="61"/>
  <c r="AI22" i="61"/>
  <c r="AJ22" i="61"/>
  <c r="AK22" i="61"/>
  <c r="AL22" i="61"/>
  <c r="AM22" i="61"/>
  <c r="AN22" i="61"/>
  <c r="AO22" i="61"/>
  <c r="AP22" i="61"/>
  <c r="AQ22" i="61"/>
  <c r="AR22" i="61"/>
  <c r="AS22" i="61"/>
  <c r="AT22" i="61"/>
  <c r="AI23" i="61"/>
  <c r="AJ23" i="61"/>
  <c r="AK23" i="61"/>
  <c r="AL23" i="61"/>
  <c r="AM23" i="61"/>
  <c r="AN23" i="61"/>
  <c r="AO23" i="61"/>
  <c r="AP23" i="61"/>
  <c r="AQ23" i="61"/>
  <c r="AR23" i="61"/>
  <c r="AS23" i="61"/>
  <c r="AT23" i="61"/>
  <c r="AI24" i="61"/>
  <c r="AJ24" i="61"/>
  <c r="AK24" i="61"/>
  <c r="AL24" i="61"/>
  <c r="AM24" i="61"/>
  <c r="AN24" i="61"/>
  <c r="AO24" i="61"/>
  <c r="AP24" i="61"/>
  <c r="AQ24" i="61"/>
  <c r="AR24" i="61"/>
  <c r="AS24" i="61"/>
  <c r="AT24" i="61"/>
  <c r="AJ5" i="61"/>
  <c r="AK5" i="61"/>
  <c r="AL5" i="61"/>
  <c r="AM5" i="61"/>
  <c r="AN5" i="61"/>
  <c r="AO5" i="61"/>
  <c r="AP5" i="61"/>
  <c r="AQ5" i="61"/>
  <c r="AR5" i="61"/>
  <c r="AS5" i="61"/>
  <c r="AT5" i="61"/>
  <c r="AW5" i="61"/>
  <c r="AI5" i="61"/>
  <c r="U5" i="61"/>
  <c r="W60" i="61"/>
  <c r="AB60" i="61" s="1"/>
  <c r="CL31" i="61"/>
  <c r="CO60" i="61" s="1"/>
  <c r="CT60" i="61" s="1"/>
  <c r="CL4" i="61"/>
  <c r="CN60" i="61" s="1"/>
  <c r="CS60" i="61" s="1"/>
  <c r="BX31" i="61"/>
  <c r="CA60" i="61" s="1"/>
  <c r="CF60" i="61" s="1"/>
  <c r="BX4" i="61"/>
  <c r="BZ60" i="61" s="1"/>
  <c r="CE60" i="61" s="1"/>
  <c r="BJ31" i="61"/>
  <c r="BM60" i="61" s="1"/>
  <c r="BR60" i="61" s="1"/>
  <c r="BJ4" i="61"/>
  <c r="BL60" i="61" s="1"/>
  <c r="BQ60" i="61" s="1"/>
  <c r="AV31" i="61"/>
  <c r="AY60" i="61" s="1"/>
  <c r="BD60" i="61" s="1"/>
  <c r="AV4" i="61"/>
  <c r="AX60" i="61" s="1"/>
  <c r="BC60" i="61" s="1"/>
  <c r="AH31" i="61"/>
  <c r="AK60" i="61" s="1"/>
  <c r="AP60" i="61" s="1"/>
  <c r="AH4" i="61"/>
  <c r="AJ60" i="61" s="1"/>
  <c r="AO60" i="61" s="1"/>
  <c r="U33" i="61"/>
  <c r="V33" i="61"/>
  <c r="W33" i="61"/>
  <c r="X33" i="61"/>
  <c r="Y33" i="61"/>
  <c r="Z33" i="61"/>
  <c r="AA33" i="61"/>
  <c r="AB33" i="61"/>
  <c r="AC33" i="61"/>
  <c r="AD33" i="61"/>
  <c r="AE33" i="61"/>
  <c r="AF33" i="61"/>
  <c r="U34" i="61"/>
  <c r="V34" i="61"/>
  <c r="W34" i="61"/>
  <c r="X34" i="61"/>
  <c r="Y34" i="61"/>
  <c r="Z34" i="61"/>
  <c r="AA34" i="61"/>
  <c r="AB34" i="61"/>
  <c r="AC34" i="61"/>
  <c r="AD34" i="61"/>
  <c r="AE34" i="61"/>
  <c r="AF34" i="61"/>
  <c r="U35" i="61"/>
  <c r="V35" i="61"/>
  <c r="W35" i="61"/>
  <c r="X35" i="61"/>
  <c r="Y35" i="61"/>
  <c r="Z35" i="61"/>
  <c r="AA35" i="61"/>
  <c r="AB35" i="61"/>
  <c r="AC35" i="61"/>
  <c r="AD35" i="61"/>
  <c r="AE35" i="61"/>
  <c r="AF35" i="61"/>
  <c r="U36" i="61"/>
  <c r="V36" i="61"/>
  <c r="W36" i="61"/>
  <c r="X36" i="61"/>
  <c r="Y36" i="61"/>
  <c r="Z36" i="61"/>
  <c r="AA36" i="61"/>
  <c r="AB36" i="61"/>
  <c r="AC36" i="61"/>
  <c r="AD36" i="61"/>
  <c r="AE36" i="61"/>
  <c r="AF36" i="61"/>
  <c r="U37" i="61"/>
  <c r="V37" i="61"/>
  <c r="W37" i="61"/>
  <c r="X37" i="61"/>
  <c r="Y37" i="61"/>
  <c r="Z37" i="61"/>
  <c r="AA37" i="61"/>
  <c r="AB37" i="61"/>
  <c r="AC37" i="61"/>
  <c r="AD37" i="61"/>
  <c r="AE37" i="61"/>
  <c r="AF37" i="61"/>
  <c r="U38" i="61"/>
  <c r="V38" i="61"/>
  <c r="W38" i="61"/>
  <c r="X38" i="61"/>
  <c r="Y38" i="61"/>
  <c r="Z38" i="61"/>
  <c r="AA38" i="61"/>
  <c r="AB38" i="61"/>
  <c r="AC38" i="61"/>
  <c r="AD38" i="61"/>
  <c r="AE38" i="61"/>
  <c r="AF38" i="61"/>
  <c r="U39" i="61"/>
  <c r="V39" i="61"/>
  <c r="W39" i="61"/>
  <c r="X39" i="61"/>
  <c r="Y39" i="61"/>
  <c r="Z39" i="61"/>
  <c r="AA39" i="61"/>
  <c r="AB39" i="61"/>
  <c r="AC39" i="61"/>
  <c r="AD39" i="61"/>
  <c r="AE39" i="61"/>
  <c r="AF39" i="61"/>
  <c r="U40" i="61"/>
  <c r="V40" i="61"/>
  <c r="W40" i="61"/>
  <c r="X40" i="61"/>
  <c r="Y40" i="61"/>
  <c r="Z40" i="61"/>
  <c r="AA40" i="61"/>
  <c r="AB40" i="61"/>
  <c r="AC40" i="61"/>
  <c r="AD40" i="61"/>
  <c r="AE40" i="61"/>
  <c r="AF40" i="61"/>
  <c r="U41" i="61"/>
  <c r="V41" i="61"/>
  <c r="W41" i="61"/>
  <c r="X41" i="61"/>
  <c r="Y41" i="61"/>
  <c r="Z41" i="61"/>
  <c r="AA41" i="61"/>
  <c r="AB41" i="61"/>
  <c r="AC41" i="61"/>
  <c r="AD41" i="61"/>
  <c r="AE41" i="61"/>
  <c r="AF41" i="61"/>
  <c r="U42" i="61"/>
  <c r="V42" i="61"/>
  <c r="W42" i="61"/>
  <c r="X42" i="61"/>
  <c r="Y42" i="61"/>
  <c r="Z42" i="61"/>
  <c r="AA42" i="61"/>
  <c r="AB42" i="61"/>
  <c r="AC42" i="61"/>
  <c r="AD42" i="61"/>
  <c r="AE42" i="61"/>
  <c r="AF42" i="61"/>
  <c r="U43" i="61"/>
  <c r="V43" i="61"/>
  <c r="W43" i="61"/>
  <c r="X43" i="61"/>
  <c r="Y43" i="61"/>
  <c r="Z43" i="61"/>
  <c r="AA43" i="61"/>
  <c r="AB43" i="61"/>
  <c r="AC43" i="61"/>
  <c r="AD43" i="61"/>
  <c r="AE43" i="61"/>
  <c r="AF43" i="61"/>
  <c r="U44" i="61"/>
  <c r="V44" i="61"/>
  <c r="W44" i="61"/>
  <c r="X44" i="61"/>
  <c r="Y44" i="61"/>
  <c r="Z44" i="61"/>
  <c r="AA44" i="61"/>
  <c r="AB44" i="61"/>
  <c r="AC44" i="61"/>
  <c r="AD44" i="61"/>
  <c r="AE44" i="61"/>
  <c r="AF44" i="61"/>
  <c r="U45" i="61"/>
  <c r="V45" i="61"/>
  <c r="W45" i="61"/>
  <c r="X45" i="61"/>
  <c r="Y45" i="61"/>
  <c r="Z45" i="61"/>
  <c r="AA45" i="61"/>
  <c r="AB45" i="61"/>
  <c r="AC45" i="61"/>
  <c r="AD45" i="61"/>
  <c r="AE45" i="61"/>
  <c r="AF45" i="61"/>
  <c r="U46" i="61"/>
  <c r="V46" i="61"/>
  <c r="W46" i="61"/>
  <c r="X46" i="61"/>
  <c r="Y46" i="61"/>
  <c r="Z46" i="61"/>
  <c r="AA46" i="61"/>
  <c r="AB46" i="61"/>
  <c r="AC46" i="61"/>
  <c r="AD46" i="61"/>
  <c r="AE46" i="61"/>
  <c r="AF46" i="61"/>
  <c r="U47" i="61"/>
  <c r="V47" i="61"/>
  <c r="W47" i="61"/>
  <c r="X47" i="61"/>
  <c r="Y47" i="61"/>
  <c r="Z47" i="61"/>
  <c r="AA47" i="61"/>
  <c r="AB47" i="61"/>
  <c r="AC47" i="61"/>
  <c r="AD47" i="61"/>
  <c r="AE47" i="61"/>
  <c r="AF47" i="61"/>
  <c r="U48" i="61"/>
  <c r="V48" i="61"/>
  <c r="W48" i="61"/>
  <c r="X48" i="61"/>
  <c r="Y48" i="61"/>
  <c r="Z48" i="61"/>
  <c r="AA48" i="61"/>
  <c r="AB48" i="61"/>
  <c r="AC48" i="61"/>
  <c r="AD48" i="61"/>
  <c r="AE48" i="61"/>
  <c r="AF48" i="61"/>
  <c r="U49" i="61"/>
  <c r="V49" i="61"/>
  <c r="W49" i="61"/>
  <c r="X49" i="61"/>
  <c r="Y49" i="61"/>
  <c r="Z49" i="61"/>
  <c r="AA49" i="61"/>
  <c r="AB49" i="61"/>
  <c r="AC49" i="61"/>
  <c r="AD49" i="61"/>
  <c r="AE49" i="61"/>
  <c r="AF49" i="61"/>
  <c r="U50" i="61"/>
  <c r="V50" i="61"/>
  <c r="W50" i="61"/>
  <c r="X50" i="61"/>
  <c r="Y50" i="61"/>
  <c r="Z50" i="61"/>
  <c r="AA50" i="61"/>
  <c r="AB50" i="61"/>
  <c r="AC50" i="61"/>
  <c r="AD50" i="61"/>
  <c r="AE50" i="61"/>
  <c r="AF50" i="61"/>
  <c r="U51" i="61"/>
  <c r="V51" i="61"/>
  <c r="W51" i="61"/>
  <c r="X51" i="61"/>
  <c r="Y51" i="61"/>
  <c r="Z51" i="61"/>
  <c r="AA51" i="61"/>
  <c r="AB51" i="61"/>
  <c r="AC51" i="61"/>
  <c r="AD51" i="61"/>
  <c r="AE51" i="61"/>
  <c r="AF51" i="61"/>
  <c r="V32" i="61"/>
  <c r="W32" i="61"/>
  <c r="X32" i="61"/>
  <c r="Y32" i="61"/>
  <c r="Z32" i="61"/>
  <c r="AA32" i="61"/>
  <c r="AB32" i="61"/>
  <c r="AC32" i="61"/>
  <c r="AD32" i="61"/>
  <c r="AE32" i="61"/>
  <c r="AF32" i="61"/>
  <c r="U6" i="61"/>
  <c r="V6" i="61"/>
  <c r="W6" i="61"/>
  <c r="X6" i="61"/>
  <c r="Y6" i="61"/>
  <c r="Z6" i="61"/>
  <c r="AA6" i="61"/>
  <c r="AB6" i="61"/>
  <c r="AC6" i="61"/>
  <c r="AD6" i="61"/>
  <c r="AE6" i="61"/>
  <c r="AF6" i="61"/>
  <c r="U7" i="61"/>
  <c r="V7" i="61"/>
  <c r="W7" i="61"/>
  <c r="X7" i="61"/>
  <c r="Y7" i="61"/>
  <c r="Z7" i="61"/>
  <c r="AA7" i="61"/>
  <c r="AB7" i="61"/>
  <c r="AC7" i="61"/>
  <c r="AD7" i="61"/>
  <c r="AE7" i="61"/>
  <c r="AF7" i="61"/>
  <c r="U8" i="61"/>
  <c r="V8" i="61"/>
  <c r="W8" i="61"/>
  <c r="X8" i="61"/>
  <c r="Y8" i="61"/>
  <c r="Z8" i="61"/>
  <c r="AA8" i="61"/>
  <c r="AB8" i="61"/>
  <c r="AC8" i="61"/>
  <c r="AD8" i="61"/>
  <c r="AE8" i="61"/>
  <c r="AF8" i="61"/>
  <c r="U9" i="61"/>
  <c r="V9" i="61"/>
  <c r="W9" i="61"/>
  <c r="X9" i="61"/>
  <c r="Y9" i="61"/>
  <c r="Z9" i="61"/>
  <c r="AA9" i="61"/>
  <c r="AB9" i="61"/>
  <c r="AC9" i="61"/>
  <c r="AD9" i="61"/>
  <c r="AE9" i="61"/>
  <c r="AF9" i="61"/>
  <c r="U10" i="61"/>
  <c r="V10" i="61"/>
  <c r="W10" i="61"/>
  <c r="X10" i="61"/>
  <c r="Y10" i="61"/>
  <c r="Z10" i="61"/>
  <c r="AA10" i="61"/>
  <c r="AB10" i="61"/>
  <c r="AC10" i="61"/>
  <c r="AD10" i="61"/>
  <c r="AE10" i="61"/>
  <c r="AF10" i="61"/>
  <c r="U11" i="61"/>
  <c r="V11" i="61"/>
  <c r="W11" i="61"/>
  <c r="X11" i="61"/>
  <c r="Y11" i="61"/>
  <c r="Z11" i="61"/>
  <c r="AA11" i="61"/>
  <c r="AB11" i="61"/>
  <c r="AC11" i="61"/>
  <c r="AD11" i="61"/>
  <c r="AE11" i="61"/>
  <c r="AF11" i="61"/>
  <c r="U12" i="61"/>
  <c r="V12" i="61"/>
  <c r="W12" i="61"/>
  <c r="X12" i="61"/>
  <c r="Y12" i="61"/>
  <c r="Z12" i="61"/>
  <c r="AA12" i="61"/>
  <c r="AB12" i="61"/>
  <c r="AC12" i="61"/>
  <c r="AD12" i="61"/>
  <c r="AE12" i="61"/>
  <c r="AF12" i="61"/>
  <c r="U13" i="61"/>
  <c r="V13" i="61"/>
  <c r="W13" i="61"/>
  <c r="X13" i="61"/>
  <c r="Y13" i="61"/>
  <c r="Z13" i="61"/>
  <c r="AA13" i="61"/>
  <c r="AB13" i="61"/>
  <c r="AC13" i="61"/>
  <c r="AD13" i="61"/>
  <c r="AE13" i="61"/>
  <c r="AF13" i="61"/>
  <c r="U14" i="61"/>
  <c r="V14" i="61"/>
  <c r="W14" i="61"/>
  <c r="X14" i="61"/>
  <c r="Y14" i="61"/>
  <c r="Z14" i="61"/>
  <c r="AA14" i="61"/>
  <c r="AB14" i="61"/>
  <c r="AC14" i="61"/>
  <c r="AD14" i="61"/>
  <c r="AE14" i="61"/>
  <c r="AF14" i="61"/>
  <c r="U15" i="61"/>
  <c r="V15" i="61"/>
  <c r="W15" i="61"/>
  <c r="X15" i="61"/>
  <c r="Y15" i="61"/>
  <c r="Z15" i="61"/>
  <c r="AA15" i="61"/>
  <c r="AB15" i="61"/>
  <c r="AC15" i="61"/>
  <c r="AD15" i="61"/>
  <c r="AE15" i="61"/>
  <c r="AF15" i="61"/>
  <c r="U16" i="61"/>
  <c r="V16" i="61"/>
  <c r="W16" i="61"/>
  <c r="X16" i="61"/>
  <c r="Y16" i="61"/>
  <c r="Z16" i="61"/>
  <c r="AA16" i="61"/>
  <c r="AB16" i="61"/>
  <c r="AC16" i="61"/>
  <c r="AD16" i="61"/>
  <c r="AE16" i="61"/>
  <c r="AF16" i="61"/>
  <c r="U17" i="61"/>
  <c r="V17" i="61"/>
  <c r="W17" i="61"/>
  <c r="X17" i="61"/>
  <c r="Y17" i="61"/>
  <c r="Z17" i="61"/>
  <c r="AA17" i="61"/>
  <c r="AB17" i="61"/>
  <c r="AC17" i="61"/>
  <c r="AD17" i="61"/>
  <c r="AE17" i="61"/>
  <c r="AF17" i="61"/>
  <c r="U18" i="61"/>
  <c r="V18" i="61"/>
  <c r="W18" i="61"/>
  <c r="X18" i="61"/>
  <c r="Y18" i="61"/>
  <c r="Z18" i="61"/>
  <c r="AA18" i="61"/>
  <c r="AB18" i="61"/>
  <c r="AC18" i="61"/>
  <c r="AD18" i="61"/>
  <c r="AE18" i="61"/>
  <c r="AF18" i="61"/>
  <c r="U19" i="61"/>
  <c r="V19" i="61"/>
  <c r="W19" i="61"/>
  <c r="X19" i="61"/>
  <c r="Y19" i="61"/>
  <c r="Z19" i="61"/>
  <c r="AA19" i="61"/>
  <c r="AB19" i="61"/>
  <c r="AC19" i="61"/>
  <c r="AD19" i="61"/>
  <c r="AE19" i="61"/>
  <c r="AF19" i="61"/>
  <c r="U20" i="61"/>
  <c r="V20" i="61"/>
  <c r="W20" i="61"/>
  <c r="X20" i="61"/>
  <c r="Y20" i="61"/>
  <c r="Z20" i="61"/>
  <c r="AA20" i="61"/>
  <c r="AB20" i="61"/>
  <c r="AC20" i="61"/>
  <c r="AD20" i="61"/>
  <c r="AE20" i="61"/>
  <c r="AF20" i="61"/>
  <c r="U21" i="61"/>
  <c r="V21" i="61"/>
  <c r="W21" i="61"/>
  <c r="X21" i="61"/>
  <c r="Y21" i="61"/>
  <c r="Z21" i="61"/>
  <c r="AA21" i="61"/>
  <c r="AB21" i="61"/>
  <c r="AC21" i="61"/>
  <c r="AD21" i="61"/>
  <c r="AE21" i="61"/>
  <c r="AF21" i="61"/>
  <c r="U22" i="61"/>
  <c r="V22" i="61"/>
  <c r="W22" i="61"/>
  <c r="X22" i="61"/>
  <c r="Y22" i="61"/>
  <c r="Z22" i="61"/>
  <c r="AA22" i="61"/>
  <c r="AB22" i="61"/>
  <c r="AC22" i="61"/>
  <c r="AD22" i="61"/>
  <c r="AE22" i="61"/>
  <c r="AF22" i="61"/>
  <c r="U23" i="61"/>
  <c r="V23" i="61"/>
  <c r="W23" i="61"/>
  <c r="X23" i="61"/>
  <c r="Y23" i="61"/>
  <c r="Z23" i="61"/>
  <c r="AA23" i="61"/>
  <c r="AB23" i="61"/>
  <c r="AC23" i="61"/>
  <c r="AD23" i="61"/>
  <c r="AE23" i="61"/>
  <c r="AF23" i="61"/>
  <c r="U24" i="61"/>
  <c r="V24" i="61"/>
  <c r="W24" i="61"/>
  <c r="X24" i="61"/>
  <c r="Y24" i="61"/>
  <c r="Z24" i="61"/>
  <c r="AA24" i="61"/>
  <c r="AB24" i="61"/>
  <c r="AC24" i="61"/>
  <c r="AD24" i="61"/>
  <c r="AE24" i="61"/>
  <c r="AF24" i="61"/>
  <c r="V5" i="61"/>
  <c r="W5" i="61"/>
  <c r="X5" i="61"/>
  <c r="Y5" i="61"/>
  <c r="Z5" i="61"/>
  <c r="AA5" i="61"/>
  <c r="AB5" i="61"/>
  <c r="AC5" i="61"/>
  <c r="AD5" i="61"/>
  <c r="AE5" i="61"/>
  <c r="AF5" i="61"/>
  <c r="U32" i="61"/>
  <c r="T31" i="61"/>
  <c r="T4" i="61"/>
  <c r="V60" i="61" s="1"/>
  <c r="AA60" i="61" s="1"/>
  <c r="CL33" i="61"/>
  <c r="CL34" i="61" s="1"/>
  <c r="CL35" i="61" s="1"/>
  <c r="CL36" i="61" s="1"/>
  <c r="CL37" i="61" s="1"/>
  <c r="CL38" i="61" s="1"/>
  <c r="CL39" i="61" s="1"/>
  <c r="CL40" i="61" s="1"/>
  <c r="CL41" i="61" s="1"/>
  <c r="CL42" i="61" s="1"/>
  <c r="CL43" i="61" s="1"/>
  <c r="CL44" i="61" s="1"/>
  <c r="CL45" i="61" s="1"/>
  <c r="CL46" i="61" s="1"/>
  <c r="CL47" i="61" s="1"/>
  <c r="CL48" i="61" s="1"/>
  <c r="CL49" i="61" s="1"/>
  <c r="CL50" i="61" s="1"/>
  <c r="CL51" i="61" s="1"/>
  <c r="CL52" i="61" s="1"/>
  <c r="CL53" i="61" s="1"/>
  <c r="BX33" i="61"/>
  <c r="BX34" i="61" s="1"/>
  <c r="BX35" i="61" s="1"/>
  <c r="BX36" i="61" s="1"/>
  <c r="BX37" i="61" s="1"/>
  <c r="BX38" i="61" s="1"/>
  <c r="BX39" i="61" s="1"/>
  <c r="BX40" i="61" s="1"/>
  <c r="BX41" i="61" s="1"/>
  <c r="BX42" i="61" s="1"/>
  <c r="BX43" i="61" s="1"/>
  <c r="BX44" i="61" s="1"/>
  <c r="BX45" i="61" s="1"/>
  <c r="BX46" i="61" s="1"/>
  <c r="BX47" i="61" s="1"/>
  <c r="BX48" i="61" s="1"/>
  <c r="BX49" i="61" s="1"/>
  <c r="BX50" i="61" s="1"/>
  <c r="BX51" i="61" s="1"/>
  <c r="BX52" i="61" s="1"/>
  <c r="BX53" i="61" s="1"/>
  <c r="BJ33" i="61"/>
  <c r="BJ34" i="61" s="1"/>
  <c r="BJ35" i="61" s="1"/>
  <c r="BJ36" i="61" s="1"/>
  <c r="BJ37" i="61" s="1"/>
  <c r="BJ38" i="61" s="1"/>
  <c r="BJ39" i="61" s="1"/>
  <c r="BJ40" i="61" s="1"/>
  <c r="BJ41" i="61" s="1"/>
  <c r="BJ42" i="61" s="1"/>
  <c r="BJ43" i="61" s="1"/>
  <c r="BJ44" i="61" s="1"/>
  <c r="BJ45" i="61" s="1"/>
  <c r="BJ46" i="61" s="1"/>
  <c r="BJ47" i="61" s="1"/>
  <c r="BJ48" i="61" s="1"/>
  <c r="BJ49" i="61" s="1"/>
  <c r="BJ50" i="61" s="1"/>
  <c r="BJ51" i="61" s="1"/>
  <c r="BJ52" i="61" s="1"/>
  <c r="BJ53" i="61" s="1"/>
  <c r="AV33" i="61"/>
  <c r="AV34" i="61" s="1"/>
  <c r="AV35" i="61" s="1"/>
  <c r="AV36" i="61" s="1"/>
  <c r="AV37" i="61" s="1"/>
  <c r="AV38" i="61" s="1"/>
  <c r="AV39" i="61" s="1"/>
  <c r="AV40" i="61" s="1"/>
  <c r="AV41" i="61" s="1"/>
  <c r="AV42" i="61" s="1"/>
  <c r="AV43" i="61" s="1"/>
  <c r="AV44" i="61" s="1"/>
  <c r="AV45" i="61" s="1"/>
  <c r="AV46" i="61" s="1"/>
  <c r="AV47" i="61" s="1"/>
  <c r="AV48" i="61" s="1"/>
  <c r="AV49" i="61" s="1"/>
  <c r="AV50" i="61" s="1"/>
  <c r="AV51" i="61" s="1"/>
  <c r="AV52" i="61" s="1"/>
  <c r="AV53" i="61" s="1"/>
  <c r="AH33" i="61"/>
  <c r="AH34" i="61" s="1"/>
  <c r="AH35" i="61" s="1"/>
  <c r="AH36" i="61" s="1"/>
  <c r="AH37" i="61" s="1"/>
  <c r="AH38" i="61" s="1"/>
  <c r="AH39" i="61" s="1"/>
  <c r="AH40" i="61" s="1"/>
  <c r="AH41" i="61" s="1"/>
  <c r="AH42" i="61" s="1"/>
  <c r="AH43" i="61" s="1"/>
  <c r="AH44" i="61" s="1"/>
  <c r="AH45" i="61" s="1"/>
  <c r="AH46" i="61" s="1"/>
  <c r="AH47" i="61" s="1"/>
  <c r="AH48" i="61" s="1"/>
  <c r="AH49" i="61" s="1"/>
  <c r="AH50" i="61" s="1"/>
  <c r="AH51" i="61" s="1"/>
  <c r="AH52" i="61" s="1"/>
  <c r="AH53" i="61" s="1"/>
  <c r="T33" i="61"/>
  <c r="T34" i="61" s="1"/>
  <c r="T35" i="61" s="1"/>
  <c r="T36" i="61" s="1"/>
  <c r="T37" i="61" s="1"/>
  <c r="T38" i="61" s="1"/>
  <c r="T39" i="61" s="1"/>
  <c r="T40" i="61" s="1"/>
  <c r="T41" i="61" s="1"/>
  <c r="T42" i="61" s="1"/>
  <c r="T43" i="61" s="1"/>
  <c r="T44" i="61" s="1"/>
  <c r="T45" i="61" s="1"/>
  <c r="T46" i="61" s="1"/>
  <c r="T47" i="61" s="1"/>
  <c r="T48" i="61" s="1"/>
  <c r="T49" i="61" s="1"/>
  <c r="T50" i="61" s="1"/>
  <c r="T51" i="61" s="1"/>
  <c r="T52" i="61" s="1"/>
  <c r="T53" i="61" s="1"/>
  <c r="CL6" i="61"/>
  <c r="CL7" i="61" s="1"/>
  <c r="CL8" i="61" s="1"/>
  <c r="CL9" i="61" s="1"/>
  <c r="CL10" i="61" s="1"/>
  <c r="CL11" i="61" s="1"/>
  <c r="CL12" i="61" s="1"/>
  <c r="CL13" i="61" s="1"/>
  <c r="CL14" i="61" s="1"/>
  <c r="CL15" i="61" s="1"/>
  <c r="CL16" i="61" s="1"/>
  <c r="CL17" i="61" s="1"/>
  <c r="CL18" i="61" s="1"/>
  <c r="CL19" i="61" s="1"/>
  <c r="CL20" i="61" s="1"/>
  <c r="CL21" i="61" s="1"/>
  <c r="CL22" i="61" s="1"/>
  <c r="CL23" i="61" s="1"/>
  <c r="CL24" i="61" s="1"/>
  <c r="CL25" i="61" s="1"/>
  <c r="CL26" i="61" s="1"/>
  <c r="BX6" i="61"/>
  <c r="BX7" i="61" s="1"/>
  <c r="BX8" i="61" s="1"/>
  <c r="BX9" i="61" s="1"/>
  <c r="BX10" i="61" s="1"/>
  <c r="BX11" i="61" s="1"/>
  <c r="BX12" i="61" s="1"/>
  <c r="BX13" i="61" s="1"/>
  <c r="BX14" i="61" s="1"/>
  <c r="BX15" i="61" s="1"/>
  <c r="BX16" i="61" s="1"/>
  <c r="BX17" i="61" s="1"/>
  <c r="BX18" i="61" s="1"/>
  <c r="BX19" i="61" s="1"/>
  <c r="BX20" i="61" s="1"/>
  <c r="BX21" i="61" s="1"/>
  <c r="BX22" i="61" s="1"/>
  <c r="BX23" i="61" s="1"/>
  <c r="BX24" i="61" s="1"/>
  <c r="BX25" i="61" s="1"/>
  <c r="BX26" i="61" s="1"/>
  <c r="BJ7" i="61"/>
  <c r="BJ8" i="61" s="1"/>
  <c r="BJ9" i="61" s="1"/>
  <c r="BJ10" i="61" s="1"/>
  <c r="BJ11" i="61" s="1"/>
  <c r="BJ12" i="61" s="1"/>
  <c r="BJ13" i="61" s="1"/>
  <c r="BJ14" i="61" s="1"/>
  <c r="BJ15" i="61" s="1"/>
  <c r="BJ16" i="61" s="1"/>
  <c r="BJ17" i="61" s="1"/>
  <c r="BJ18" i="61" s="1"/>
  <c r="BJ19" i="61" s="1"/>
  <c r="BJ20" i="61" s="1"/>
  <c r="BJ21" i="61" s="1"/>
  <c r="BJ22" i="61" s="1"/>
  <c r="BJ23" i="61" s="1"/>
  <c r="BJ24" i="61" s="1"/>
  <c r="BJ25" i="61" s="1"/>
  <c r="BJ26" i="61" s="1"/>
  <c r="BJ6" i="61"/>
  <c r="AV6" i="61"/>
  <c r="AV7" i="61" s="1"/>
  <c r="AV8" i="61" s="1"/>
  <c r="AV9" i="61" s="1"/>
  <c r="AV10" i="61" s="1"/>
  <c r="AV11" i="61" s="1"/>
  <c r="AV12" i="61" s="1"/>
  <c r="AV13" i="61" s="1"/>
  <c r="AV14" i="61" s="1"/>
  <c r="AV15" i="61" s="1"/>
  <c r="AV16" i="61" s="1"/>
  <c r="AV17" i="61" s="1"/>
  <c r="AV18" i="61" s="1"/>
  <c r="AV19" i="61" s="1"/>
  <c r="AV20" i="61" s="1"/>
  <c r="AV21" i="61" s="1"/>
  <c r="AV22" i="61" s="1"/>
  <c r="AV23" i="61" s="1"/>
  <c r="AV24" i="61" s="1"/>
  <c r="AV25" i="61" s="1"/>
  <c r="AV26" i="61" s="1"/>
  <c r="AH6" i="61"/>
  <c r="AH7" i="61" s="1"/>
  <c r="AH8" i="61" s="1"/>
  <c r="AH9" i="61" s="1"/>
  <c r="AH10" i="61" s="1"/>
  <c r="AH11" i="61" s="1"/>
  <c r="AH12" i="61" s="1"/>
  <c r="AH13" i="61" s="1"/>
  <c r="AH14" i="61" s="1"/>
  <c r="AH15" i="61" s="1"/>
  <c r="AH16" i="61" s="1"/>
  <c r="AH17" i="61" s="1"/>
  <c r="AH18" i="61" s="1"/>
  <c r="AH19" i="61" s="1"/>
  <c r="AH20" i="61" s="1"/>
  <c r="AH21" i="61" s="1"/>
  <c r="AH22" i="61" s="1"/>
  <c r="AH23" i="61" s="1"/>
  <c r="AH24" i="61" s="1"/>
  <c r="AH25" i="61" s="1"/>
  <c r="AH26" i="61" s="1"/>
  <c r="T6" i="61"/>
  <c r="T7" i="61" s="1"/>
  <c r="T8" i="61" s="1"/>
  <c r="B16" i="18"/>
  <c r="C16" i="18"/>
  <c r="B25" i="18"/>
  <c r="C25" i="18"/>
  <c r="D32" i="18"/>
  <c r="E2" i="18"/>
  <c r="B46" i="11" s="1"/>
  <c r="B52" i="11" s="1"/>
  <c r="H122" i="59"/>
  <c r="P122" i="59" s="1"/>
  <c r="Q122" i="59" s="1"/>
  <c r="R2" i="59"/>
  <c r="AB1" i="59"/>
  <c r="AE1" i="59"/>
  <c r="AH1" i="59"/>
  <c r="S1" i="59"/>
  <c r="B2" i="59"/>
  <c r="B3" i="59"/>
  <c r="B4" i="59"/>
  <c r="B5" i="59"/>
  <c r="B6" i="59"/>
  <c r="B7" i="59"/>
  <c r="B8" i="59"/>
  <c r="B9" i="59"/>
  <c r="B10" i="59"/>
  <c r="B11" i="59"/>
  <c r="B12" i="59"/>
  <c r="B13" i="59"/>
  <c r="B14" i="59"/>
  <c r="B15" i="59"/>
  <c r="B16" i="59"/>
  <c r="B17" i="59"/>
  <c r="B18" i="59"/>
  <c r="B19" i="59"/>
  <c r="B20" i="59"/>
  <c r="B21" i="59"/>
  <c r="B22" i="59"/>
  <c r="B23" i="59"/>
  <c r="B24" i="59"/>
  <c r="B25" i="59"/>
  <c r="B26" i="59"/>
  <c r="B27" i="59"/>
  <c r="B28" i="59"/>
  <c r="B29" i="59"/>
  <c r="B30" i="59"/>
  <c r="B31" i="59"/>
  <c r="B32" i="59"/>
  <c r="B33" i="59"/>
  <c r="B34" i="59"/>
  <c r="B35" i="59"/>
  <c r="B36" i="59"/>
  <c r="B37" i="59"/>
  <c r="B38" i="59"/>
  <c r="B39" i="59"/>
  <c r="B40" i="59"/>
  <c r="B41" i="59"/>
  <c r="B42" i="59"/>
  <c r="B43" i="59"/>
  <c r="B44" i="59"/>
  <c r="B45" i="59"/>
  <c r="B46" i="59"/>
  <c r="B47" i="59"/>
  <c r="B48" i="59"/>
  <c r="B49" i="59"/>
  <c r="B50" i="59"/>
  <c r="B51" i="59"/>
  <c r="B52" i="59"/>
  <c r="B53" i="59"/>
  <c r="B54" i="59"/>
  <c r="B55" i="59"/>
  <c r="B56" i="59"/>
  <c r="B57" i="59"/>
  <c r="B58" i="59"/>
  <c r="B59" i="59"/>
  <c r="B60" i="59"/>
  <c r="B61" i="59"/>
  <c r="B62" i="59"/>
  <c r="B63" i="59"/>
  <c r="B64" i="59"/>
  <c r="B65" i="59"/>
  <c r="B66" i="59"/>
  <c r="B67" i="59"/>
  <c r="B68" i="59"/>
  <c r="B69" i="59"/>
  <c r="B70" i="59"/>
  <c r="B71" i="59"/>
  <c r="B72" i="59"/>
  <c r="B73" i="59"/>
  <c r="B74" i="59"/>
  <c r="B75" i="59"/>
  <c r="B76" i="59"/>
  <c r="B77" i="59"/>
  <c r="B78" i="59"/>
  <c r="B79" i="59"/>
  <c r="B80" i="59"/>
  <c r="B81" i="59"/>
  <c r="B82" i="59"/>
  <c r="B83" i="59"/>
  <c r="B84" i="59"/>
  <c r="B85" i="59"/>
  <c r="B86" i="59"/>
  <c r="B87" i="59"/>
  <c r="B88" i="59"/>
  <c r="B89" i="59"/>
  <c r="B90" i="59"/>
  <c r="B91" i="59"/>
  <c r="B92" i="59"/>
  <c r="B93" i="59"/>
  <c r="B94" i="59"/>
  <c r="B95" i="59"/>
  <c r="B96" i="59"/>
  <c r="B97" i="59"/>
  <c r="B98" i="59"/>
  <c r="B99" i="59"/>
  <c r="B100" i="59"/>
  <c r="B101" i="59"/>
  <c r="B102" i="59"/>
  <c r="B103" i="59"/>
  <c r="B104" i="59"/>
  <c r="B105" i="59"/>
  <c r="B106" i="59"/>
  <c r="B107" i="59"/>
  <c r="B108" i="59"/>
  <c r="B109" i="59"/>
  <c r="B110" i="59"/>
  <c r="B111" i="59"/>
  <c r="B112" i="59"/>
  <c r="B113" i="59"/>
  <c r="B114" i="59"/>
  <c r="B115" i="59"/>
  <c r="B116" i="59"/>
  <c r="B117" i="59"/>
  <c r="B118" i="59"/>
  <c r="B119" i="59"/>
  <c r="B120" i="59"/>
  <c r="B121" i="59"/>
  <c r="E121" i="59" s="1"/>
  <c r="B122" i="59"/>
  <c r="B123" i="59"/>
  <c r="B124" i="59"/>
  <c r="B125" i="59"/>
  <c r="B126" i="59"/>
  <c r="B127" i="59"/>
  <c r="B128" i="59"/>
  <c r="B129" i="59"/>
  <c r="B130" i="59"/>
  <c r="B131" i="59"/>
  <c r="B132" i="59"/>
  <c r="B133" i="59"/>
  <c r="B134" i="59"/>
  <c r="B135" i="59"/>
  <c r="B136" i="59"/>
  <c r="B137" i="59"/>
  <c r="B138" i="59"/>
  <c r="B139" i="59"/>
  <c r="B140" i="59"/>
  <c r="B141" i="59"/>
  <c r="B142" i="59"/>
  <c r="B143" i="59"/>
  <c r="B144" i="59"/>
  <c r="B145" i="59"/>
  <c r="AK121" i="59"/>
  <c r="H119" i="59"/>
  <c r="G119" i="59"/>
  <c r="G120" i="59" s="1"/>
  <c r="G121" i="59" s="1"/>
  <c r="F119" i="59"/>
  <c r="F120" i="59" s="1"/>
  <c r="E12" i="89" l="1"/>
  <c r="I35" i="89" s="1"/>
  <c r="N135" i="93"/>
  <c r="AU51" i="61"/>
  <c r="AU50" i="61"/>
  <c r="AU49" i="61"/>
  <c r="AU48" i="61"/>
  <c r="AU47" i="61"/>
  <c r="AU46" i="61"/>
  <c r="AU45" i="61"/>
  <c r="AU44" i="61"/>
  <c r="AU43" i="61"/>
  <c r="AU42" i="61"/>
  <c r="AU41" i="61"/>
  <c r="AU40" i="61"/>
  <c r="AU39" i="61"/>
  <c r="AU38" i="61"/>
  <c r="AU37" i="61"/>
  <c r="AU36" i="61"/>
  <c r="AU35" i="61"/>
  <c r="AU34" i="61"/>
  <c r="AU33" i="61"/>
  <c r="AU32" i="61"/>
  <c r="AU5" i="61"/>
  <c r="AU6" i="61"/>
  <c r="AU23" i="61"/>
  <c r="AU21" i="61"/>
  <c r="AU19" i="61"/>
  <c r="AU16" i="61"/>
  <c r="AU14" i="61"/>
  <c r="AU12" i="61"/>
  <c r="AU11" i="61"/>
  <c r="AU24" i="61"/>
  <c r="AU22" i="61"/>
  <c r="AU20" i="61"/>
  <c r="AU18" i="61"/>
  <c r="AU17" i="61"/>
  <c r="AU15" i="61"/>
  <c r="AU13" i="61"/>
  <c r="AU10" i="61"/>
  <c r="AU9" i="61"/>
  <c r="AU8" i="61"/>
  <c r="AU7" i="61"/>
  <c r="T167" i="93"/>
  <c r="U167" i="93" s="1"/>
  <c r="E5" i="89"/>
  <c r="T172" i="93"/>
  <c r="U172" i="93" s="1"/>
  <c r="E10" i="89"/>
  <c r="T168" i="93"/>
  <c r="U168" i="93" s="1"/>
  <c r="E6" i="89"/>
  <c r="T173" i="93"/>
  <c r="U173" i="93" s="1"/>
  <c r="E11" i="89"/>
  <c r="I34" i="89" s="1"/>
  <c r="T166" i="93"/>
  <c r="U166" i="93" s="1"/>
  <c r="E4" i="89"/>
  <c r="T171" i="93"/>
  <c r="U171" i="93" s="1"/>
  <c r="E9" i="89"/>
  <c r="T169" i="93"/>
  <c r="U169" i="93" s="1"/>
  <c r="E7" i="89"/>
  <c r="T170" i="93"/>
  <c r="U170" i="93" s="1"/>
  <c r="E8" i="89"/>
  <c r="Q17" i="93"/>
  <c r="R17" i="93" s="1"/>
  <c r="Q25" i="93"/>
  <c r="R25" i="93" s="1"/>
  <c r="Q18" i="93"/>
  <c r="R18" i="93" s="1"/>
  <c r="Q22" i="93"/>
  <c r="R22" i="93" s="1"/>
  <c r="Q20" i="93"/>
  <c r="R20" i="93" s="1"/>
  <c r="Q16" i="93"/>
  <c r="R16" i="93" s="1"/>
  <c r="Q21" i="93"/>
  <c r="R21" i="93" s="1"/>
  <c r="Q19" i="93"/>
  <c r="R19" i="93" s="1"/>
  <c r="T174" i="93"/>
  <c r="U174" i="93" s="1"/>
  <c r="E3" i="89"/>
  <c r="Q165" i="93"/>
  <c r="D3" i="89" s="1"/>
  <c r="Q24" i="93"/>
  <c r="R24" i="93" s="1"/>
  <c r="Q23" i="93"/>
  <c r="R23" i="93" s="1"/>
  <c r="P15" i="93"/>
  <c r="G165" i="93"/>
  <c r="T178" i="93" s="1"/>
  <c r="Q230" i="61"/>
  <c r="G200" i="76"/>
  <c r="Q232" i="61"/>
  <c r="G202" i="76"/>
  <c r="Q235" i="61"/>
  <c r="G205" i="76"/>
  <c r="Q233" i="61"/>
  <c r="G203" i="76"/>
  <c r="Q239" i="61"/>
  <c r="G209" i="76"/>
  <c r="Q236" i="61"/>
  <c r="G206" i="76"/>
  <c r="Q241" i="61"/>
  <c r="G211" i="76"/>
  <c r="Q237" i="61"/>
  <c r="G207" i="76"/>
  <c r="Q231" i="61"/>
  <c r="G201" i="76"/>
  <c r="Q238" i="61"/>
  <c r="G208" i="76"/>
  <c r="Q240" i="61"/>
  <c r="G210" i="76"/>
  <c r="Q234" i="61"/>
  <c r="G204" i="76"/>
  <c r="F165" i="86"/>
  <c r="T165" i="86" s="1"/>
  <c r="G172" i="86"/>
  <c r="G174" i="86"/>
  <c r="G165" i="86"/>
  <c r="G173" i="86"/>
  <c r="AB45" i="83"/>
  <c r="AA46" i="83"/>
  <c r="AH47" i="84"/>
  <c r="X48" i="83" s="1"/>
  <c r="Z48" i="83" s="1"/>
  <c r="X47" i="83"/>
  <c r="Z47" i="83" s="1"/>
  <c r="Q127" i="61"/>
  <c r="B8" i="11"/>
  <c r="B9" i="11" s="1"/>
  <c r="B51" i="11"/>
  <c r="G15" i="76"/>
  <c r="Q122" i="61" s="1"/>
  <c r="F165" i="76"/>
  <c r="P165" i="76" s="1"/>
  <c r="G171" i="76"/>
  <c r="G174" i="76"/>
  <c r="G172" i="76"/>
  <c r="G173" i="76"/>
  <c r="G167" i="76"/>
  <c r="E107" i="59"/>
  <c r="D107" i="59"/>
  <c r="D99" i="59"/>
  <c r="E99" i="59"/>
  <c r="E87" i="59"/>
  <c r="D87" i="59"/>
  <c r="E79" i="59"/>
  <c r="D79" i="59"/>
  <c r="E71" i="59"/>
  <c r="D71" i="59"/>
  <c r="E59" i="59"/>
  <c r="D59" i="59"/>
  <c r="E51" i="59"/>
  <c r="D51" i="59"/>
  <c r="E43" i="59"/>
  <c r="D43" i="59"/>
  <c r="E35" i="59"/>
  <c r="D35" i="59"/>
  <c r="E27" i="59"/>
  <c r="D27" i="59"/>
  <c r="E15" i="59"/>
  <c r="D15" i="59"/>
  <c r="E118" i="59"/>
  <c r="D118" i="59"/>
  <c r="E106" i="59"/>
  <c r="D106" i="59"/>
  <c r="E98" i="59"/>
  <c r="D98" i="59"/>
  <c r="E90" i="59"/>
  <c r="D90" i="59"/>
  <c r="E82" i="59"/>
  <c r="D82" i="59"/>
  <c r="E74" i="59"/>
  <c r="D74" i="59"/>
  <c r="E66" i="59"/>
  <c r="D66" i="59"/>
  <c r="E58" i="59"/>
  <c r="D58" i="59"/>
  <c r="E50" i="59"/>
  <c r="D50" i="59"/>
  <c r="E42" i="59"/>
  <c r="D42" i="59"/>
  <c r="E34" i="59"/>
  <c r="D34" i="59"/>
  <c r="E26" i="59"/>
  <c r="D26" i="59"/>
  <c r="E18" i="59"/>
  <c r="D18" i="59"/>
  <c r="E10" i="59"/>
  <c r="D10" i="59"/>
  <c r="D2" i="59"/>
  <c r="E2" i="59"/>
  <c r="E117" i="59"/>
  <c r="D117" i="59"/>
  <c r="D113" i="59"/>
  <c r="E113" i="59"/>
  <c r="D109" i="59"/>
  <c r="E109" i="59"/>
  <c r="D105" i="59"/>
  <c r="E105" i="59"/>
  <c r="E101" i="59"/>
  <c r="D101" i="59"/>
  <c r="E97" i="59"/>
  <c r="D97" i="59"/>
  <c r="D93" i="59"/>
  <c r="E93" i="59"/>
  <c r="E89" i="59"/>
  <c r="D89" i="59"/>
  <c r="E85" i="59"/>
  <c r="D85" i="59"/>
  <c r="E81" i="59"/>
  <c r="D81" i="59"/>
  <c r="E77" i="59"/>
  <c r="D77" i="59"/>
  <c r="E73" i="59"/>
  <c r="D73" i="59"/>
  <c r="E69" i="59"/>
  <c r="D69" i="59"/>
  <c r="E65" i="59"/>
  <c r="D65" i="59"/>
  <c r="E61" i="59"/>
  <c r="D61" i="59"/>
  <c r="E57" i="59"/>
  <c r="D57" i="59"/>
  <c r="E53" i="59"/>
  <c r="D53" i="59"/>
  <c r="E49" i="59"/>
  <c r="D49" i="59"/>
  <c r="E45" i="59"/>
  <c r="D45" i="59"/>
  <c r="E41" i="59"/>
  <c r="D41" i="59"/>
  <c r="E37" i="59"/>
  <c r="D37" i="59"/>
  <c r="E33" i="59"/>
  <c r="D33" i="59"/>
  <c r="E29" i="59"/>
  <c r="D29" i="59"/>
  <c r="E25" i="59"/>
  <c r="D25" i="59"/>
  <c r="E21" i="59"/>
  <c r="D21" i="59"/>
  <c r="E17" i="59"/>
  <c r="D17" i="59"/>
  <c r="E13" i="59"/>
  <c r="D13" i="59"/>
  <c r="E9" i="59"/>
  <c r="D9" i="59"/>
  <c r="E5" i="59"/>
  <c r="D5" i="59"/>
  <c r="D115" i="59"/>
  <c r="E115" i="59"/>
  <c r="D103" i="59"/>
  <c r="E103" i="59"/>
  <c r="D95" i="59"/>
  <c r="E95" i="59"/>
  <c r="E83" i="59"/>
  <c r="D83" i="59"/>
  <c r="E75" i="59"/>
  <c r="D75" i="59"/>
  <c r="E63" i="59"/>
  <c r="D63" i="59"/>
  <c r="E55" i="59"/>
  <c r="D55" i="59"/>
  <c r="E47" i="59"/>
  <c r="D47" i="59"/>
  <c r="E39" i="59"/>
  <c r="D39" i="59"/>
  <c r="E31" i="59"/>
  <c r="D31" i="59"/>
  <c r="E23" i="59"/>
  <c r="D23" i="59"/>
  <c r="E11" i="59"/>
  <c r="D11" i="59"/>
  <c r="E7" i="59"/>
  <c r="D7" i="59"/>
  <c r="E3" i="59"/>
  <c r="D3" i="59"/>
  <c r="E114" i="59"/>
  <c r="D114" i="59"/>
  <c r="E110" i="59"/>
  <c r="D110" i="59"/>
  <c r="E102" i="59"/>
  <c r="D102" i="59"/>
  <c r="E94" i="59"/>
  <c r="D94" i="59"/>
  <c r="E86" i="59"/>
  <c r="D86" i="59"/>
  <c r="E78" i="59"/>
  <c r="D78" i="59"/>
  <c r="E70" i="59"/>
  <c r="D70" i="59"/>
  <c r="E62" i="59"/>
  <c r="D62" i="59"/>
  <c r="E54" i="59"/>
  <c r="D54" i="59"/>
  <c r="E46" i="59"/>
  <c r="D46" i="59"/>
  <c r="E38" i="59"/>
  <c r="D38" i="59"/>
  <c r="E30" i="59"/>
  <c r="D30" i="59"/>
  <c r="E22" i="59"/>
  <c r="D22" i="59"/>
  <c r="E14" i="59"/>
  <c r="D14" i="59"/>
  <c r="E6" i="59"/>
  <c r="D6" i="59"/>
  <c r="E116" i="59"/>
  <c r="D116" i="59"/>
  <c r="E112" i="59"/>
  <c r="D112" i="59"/>
  <c r="E108" i="59"/>
  <c r="D108" i="59"/>
  <c r="E104" i="59"/>
  <c r="D104" i="59"/>
  <c r="E100" i="59"/>
  <c r="D100" i="59"/>
  <c r="E96" i="59"/>
  <c r="D96" i="59"/>
  <c r="E92" i="59"/>
  <c r="D92" i="59"/>
  <c r="E88" i="59"/>
  <c r="D88" i="59"/>
  <c r="E84" i="59"/>
  <c r="D84" i="59"/>
  <c r="E80" i="59"/>
  <c r="D80" i="59"/>
  <c r="E76" i="59"/>
  <c r="D76" i="59"/>
  <c r="E72" i="59"/>
  <c r="D72" i="59"/>
  <c r="E68" i="59"/>
  <c r="D68" i="59"/>
  <c r="E64" i="59"/>
  <c r="D64" i="59"/>
  <c r="E60" i="59"/>
  <c r="D60" i="59"/>
  <c r="E56" i="59"/>
  <c r="D56" i="59"/>
  <c r="E52" i="59"/>
  <c r="D52" i="59"/>
  <c r="E48" i="59"/>
  <c r="D48" i="59"/>
  <c r="E44" i="59"/>
  <c r="D44" i="59"/>
  <c r="E40" i="59"/>
  <c r="D40" i="59"/>
  <c r="E36" i="59"/>
  <c r="D36" i="59"/>
  <c r="E32" i="59"/>
  <c r="D32" i="59"/>
  <c r="E28" i="59"/>
  <c r="D28" i="59"/>
  <c r="E24" i="59"/>
  <c r="D24" i="59"/>
  <c r="E20" i="59"/>
  <c r="D20" i="59"/>
  <c r="E16" i="59"/>
  <c r="D16" i="59"/>
  <c r="E12" i="59"/>
  <c r="D12" i="59"/>
  <c r="E8" i="59"/>
  <c r="D8" i="59"/>
  <c r="E4" i="59"/>
  <c r="D4" i="59"/>
  <c r="E111" i="59"/>
  <c r="D111" i="59"/>
  <c r="E91" i="59"/>
  <c r="D91" i="59"/>
  <c r="E67" i="59"/>
  <c r="D67" i="59"/>
  <c r="E19" i="59"/>
  <c r="D19" i="59"/>
  <c r="AL52" i="61"/>
  <c r="AZ52" i="61" a="1"/>
  <c r="AZ52" i="61" s="1"/>
  <c r="AL53" i="61"/>
  <c r="AP64" i="61" s="1"/>
  <c r="E120" i="59"/>
  <c r="D120" i="59"/>
  <c r="AO2" i="59"/>
  <c r="B60" i="11" s="1"/>
  <c r="D119" i="59"/>
  <c r="AN2" i="59"/>
  <c r="B56" i="11" s="1"/>
  <c r="E119" i="59"/>
  <c r="D121" i="59"/>
  <c r="R3" i="59"/>
  <c r="AN3" i="59" s="1"/>
  <c r="C56" i="11" s="1"/>
  <c r="BZ55" i="61"/>
  <c r="CA62" i="61" s="1"/>
  <c r="CU55" i="61"/>
  <c r="CO69" i="61" s="1"/>
  <c r="BO55" i="61"/>
  <c r="BM65" i="61" s="1"/>
  <c r="CO55" i="61"/>
  <c r="CO63" i="61" s="1"/>
  <c r="AQ55" i="61"/>
  <c r="AK69" i="61" s="1"/>
  <c r="CG55" i="61"/>
  <c r="CA69" i="61" s="1"/>
  <c r="AM55" i="61"/>
  <c r="AK65" i="61" s="1"/>
  <c r="AI55" i="61"/>
  <c r="BE55" i="61"/>
  <c r="AY69" i="61" s="1"/>
  <c r="I143" i="93" s="1"/>
  <c r="I155" i="93" s="1"/>
  <c r="I209" i="93" s="1"/>
  <c r="BA55" i="61"/>
  <c r="AY65" i="61" s="1"/>
  <c r="I139" i="93" s="1"/>
  <c r="I151" i="93" s="1"/>
  <c r="I205" i="93" s="1"/>
  <c r="BS55" i="61"/>
  <c r="BM69" i="61" s="1"/>
  <c r="BK55" i="61"/>
  <c r="BM61" i="61" s="1"/>
  <c r="CC55" i="61"/>
  <c r="CA65" i="61" s="1"/>
  <c r="CQ55" i="61"/>
  <c r="CO65" i="61" s="1"/>
  <c r="CM55" i="61"/>
  <c r="CO61" i="61" s="1"/>
  <c r="AN55" i="61"/>
  <c r="AK66" i="61" s="1"/>
  <c r="BF55" i="61"/>
  <c r="AY70" i="61" s="1"/>
  <c r="I144" i="93" s="1"/>
  <c r="I156" i="93" s="1"/>
  <c r="I210" i="93" s="1"/>
  <c r="BP55" i="61"/>
  <c r="BM66" i="61" s="1"/>
  <c r="BG55" i="61"/>
  <c r="AY71" i="61" s="1"/>
  <c r="I145" i="93" s="1"/>
  <c r="I157" i="93" s="1"/>
  <c r="I211" i="93" s="1"/>
  <c r="CE55" i="61"/>
  <c r="CA67" i="61" s="1"/>
  <c r="BU55" i="61"/>
  <c r="BM71" i="61" s="1"/>
  <c r="CP55" i="61"/>
  <c r="CO64" i="61" s="1"/>
  <c r="AR55" i="61"/>
  <c r="AK70" i="61" s="1"/>
  <c r="BT55" i="61"/>
  <c r="BM70" i="61" s="1"/>
  <c r="CV55" i="61"/>
  <c r="CO70" i="61" s="1"/>
  <c r="CJ52" i="61"/>
  <c r="AK55" i="61"/>
  <c r="AK63" i="61" s="1"/>
  <c r="BC55" i="61"/>
  <c r="AY67" i="61" s="1"/>
  <c r="I141" i="93" s="1"/>
  <c r="I153" i="93" s="1"/>
  <c r="I207" i="93" s="1"/>
  <c r="AY55" i="61"/>
  <c r="AY63" i="61" s="1"/>
  <c r="I137" i="93" s="1"/>
  <c r="BQ55" i="61"/>
  <c r="BM67" i="61" s="1"/>
  <c r="BM55" i="61"/>
  <c r="BM63" i="61" s="1"/>
  <c r="CI55" i="61"/>
  <c r="CA71" i="61" s="1"/>
  <c r="CA55" i="61"/>
  <c r="CA63" i="61" s="1"/>
  <c r="CW55" i="61"/>
  <c r="CO71" i="61" s="1"/>
  <c r="CS55" i="61"/>
  <c r="CO67" i="61" s="1"/>
  <c r="CJ53" i="61"/>
  <c r="CF72" i="61" s="1"/>
  <c r="CX55" i="61"/>
  <c r="CO72" i="61" s="1"/>
  <c r="CT55" i="61"/>
  <c r="CO68" i="61" s="1"/>
  <c r="CF55" i="61"/>
  <c r="CA68" i="61" s="1"/>
  <c r="CJ55" i="61"/>
  <c r="CA72" i="61" s="1"/>
  <c r="CB55" i="61"/>
  <c r="CA64" i="61" s="1"/>
  <c r="BD55" i="61"/>
  <c r="AY68" i="61" s="1"/>
  <c r="I142" i="93" s="1"/>
  <c r="I154" i="93" s="1"/>
  <c r="I208" i="93" s="1"/>
  <c r="BV55" i="61"/>
  <c r="BM72" i="61" s="1"/>
  <c r="BR55" i="61"/>
  <c r="BM68" i="61" s="1"/>
  <c r="BN55" i="61"/>
  <c r="BM64" i="61" s="1"/>
  <c r="AZ55" i="61"/>
  <c r="AY64" i="61" s="1"/>
  <c r="I138" i="93" s="1"/>
  <c r="AL55" i="61"/>
  <c r="AK64" i="61" s="1"/>
  <c r="BY55" i="61"/>
  <c r="CA61" i="61" s="1"/>
  <c r="AS55" i="61"/>
  <c r="AK71" i="61" s="1"/>
  <c r="AT55" i="61"/>
  <c r="AK72" i="61" s="1"/>
  <c r="AP55" i="61"/>
  <c r="AK68" i="61" s="1"/>
  <c r="AW55" i="61"/>
  <c r="AY61" i="61" s="1"/>
  <c r="I135" i="93" s="1"/>
  <c r="CN28" i="61"/>
  <c r="BL55" i="61"/>
  <c r="BM62" i="61" s="1"/>
  <c r="AX55" i="61"/>
  <c r="AY62" i="61" s="1"/>
  <c r="I136" i="93" s="1"/>
  <c r="CR55" i="61"/>
  <c r="CO66" i="61" s="1"/>
  <c r="AJ55" i="61"/>
  <c r="AK62" i="61" s="1"/>
  <c r="AC55" i="61"/>
  <c r="W69" i="61" s="1"/>
  <c r="Z55" i="61"/>
  <c r="W66" i="61" s="1"/>
  <c r="AE55" i="61"/>
  <c r="W71" i="61" s="1"/>
  <c r="AE53" i="61"/>
  <c r="AB71" i="61" s="1"/>
  <c r="V55" i="61"/>
  <c r="W62" i="61" s="1"/>
  <c r="AD53" i="61"/>
  <c r="AB70" i="61" s="1"/>
  <c r="Z53" i="61"/>
  <c r="AB66" i="61" s="1"/>
  <c r="AM28" i="61"/>
  <c r="AW28" i="61"/>
  <c r="BE28" i="61"/>
  <c r="BS28" i="61"/>
  <c r="CC28" i="61"/>
  <c r="CQ28" i="61"/>
  <c r="AI28" i="61"/>
  <c r="AQ28" i="61"/>
  <c r="BK28" i="61"/>
  <c r="BY28" i="61"/>
  <c r="CG28" i="61"/>
  <c r="CU28" i="61"/>
  <c r="AO55" i="61"/>
  <c r="AK67" i="61" s="1"/>
  <c r="AB55" i="61"/>
  <c r="W68" i="61" s="1"/>
  <c r="AO28" i="61"/>
  <c r="AY28" i="61"/>
  <c r="BC28" i="61"/>
  <c r="BG28" i="61"/>
  <c r="BM28" i="61"/>
  <c r="BQ28" i="61"/>
  <c r="BU28" i="61"/>
  <c r="Y55" i="61"/>
  <c r="W65" i="61" s="1"/>
  <c r="U55" i="61"/>
  <c r="W61" i="61" s="1"/>
  <c r="U52" i="61"/>
  <c r="AC52" i="61"/>
  <c r="Y52" i="61"/>
  <c r="CM28" i="61"/>
  <c r="CN61" i="61" s="1"/>
  <c r="BA28" i="61"/>
  <c r="AF55" i="61"/>
  <c r="W72" i="61" s="1"/>
  <c r="X55" i="61"/>
  <c r="W64" i="61" s="1"/>
  <c r="X53" i="61"/>
  <c r="AB64" i="61" s="1"/>
  <c r="AF53" i="61"/>
  <c r="AB72" i="61" s="1"/>
  <c r="AB53" i="61"/>
  <c r="AB68" i="61" s="1"/>
  <c r="CA28" i="61"/>
  <c r="CE28" i="61"/>
  <c r="CI28" i="61"/>
  <c r="CO28" i="61"/>
  <c r="CS28" i="61"/>
  <c r="CW28" i="61"/>
  <c r="CH55" i="61"/>
  <c r="CA70" i="61" s="1"/>
  <c r="CN55" i="61"/>
  <c r="CO62" i="61" s="1"/>
  <c r="BB55" i="61"/>
  <c r="AY66" i="61" s="1"/>
  <c r="I140" i="93" s="1"/>
  <c r="I152" i="93" s="1"/>
  <c r="I206" i="93" s="1"/>
  <c r="CD55" i="61"/>
  <c r="CA66" i="61" s="1"/>
  <c r="W55" i="61"/>
  <c r="W63" i="61" s="1"/>
  <c r="W53" i="61"/>
  <c r="AB63" i="61" s="1"/>
  <c r="AA53" i="61"/>
  <c r="AB67" i="61" s="1"/>
  <c r="AA55" i="61"/>
  <c r="W67" i="61" s="1"/>
  <c r="CR53" i="61"/>
  <c r="CT66" i="61" s="1"/>
  <c r="CO53" i="61"/>
  <c r="CT63" i="61" s="1"/>
  <c r="CW53" i="61"/>
  <c r="CT71" i="61" s="1"/>
  <c r="CP53" i="61"/>
  <c r="CT64" i="61" s="1"/>
  <c r="CT53" i="61"/>
  <c r="CT68" i="61" s="1"/>
  <c r="CX53" i="61"/>
  <c r="CT72" i="61" s="1"/>
  <c r="CN53" i="61"/>
  <c r="CT62" i="61" s="1"/>
  <c r="CV53" i="61"/>
  <c r="CT70" i="61" s="1"/>
  <c r="AK28" i="61"/>
  <c r="AS28" i="61"/>
  <c r="CS53" i="61"/>
  <c r="CT67" i="61" s="1"/>
  <c r="CM53" i="61"/>
  <c r="CT61" i="61" s="1"/>
  <c r="CQ53" i="61"/>
  <c r="CT65" i="61" s="1"/>
  <c r="CU53" i="61"/>
  <c r="CT69" i="61" s="1"/>
  <c r="BY52" i="61"/>
  <c r="CC53" i="61"/>
  <c r="CF65" i="61" s="1"/>
  <c r="CA53" i="61"/>
  <c r="CF63" i="61" s="1"/>
  <c r="CE53" i="61"/>
  <c r="CF67" i="61" s="1"/>
  <c r="CI53" i="61"/>
  <c r="CF71" i="61" s="1"/>
  <c r="CG52" i="61"/>
  <c r="BZ53" i="61"/>
  <c r="CF62" i="61" s="1"/>
  <c r="CD53" i="61"/>
  <c r="CF66" i="61" s="1"/>
  <c r="CH53" i="61"/>
  <c r="CF70" i="61" s="1"/>
  <c r="CB53" i="61"/>
  <c r="CF64" i="61" s="1"/>
  <c r="CF53" i="61"/>
  <c r="CF68" i="61" s="1"/>
  <c r="BV53" i="61"/>
  <c r="BR72" i="61" s="1"/>
  <c r="BH55" i="61"/>
  <c r="AY72" i="61" s="1"/>
  <c r="I146" i="93" s="1"/>
  <c r="I158" i="93" s="1"/>
  <c r="I212" i="93" s="1"/>
  <c r="BK53" i="61"/>
  <c r="BR61" i="61" s="1"/>
  <c r="BO53" i="61"/>
  <c r="BR65" i="61" s="1"/>
  <c r="BS53" i="61"/>
  <c r="BR69" i="61" s="1"/>
  <c r="BN53" i="61"/>
  <c r="BR64" i="61" s="1"/>
  <c r="BL53" i="61"/>
  <c r="BR62" i="61" s="1"/>
  <c r="BP53" i="61"/>
  <c r="BR66" i="61" s="1"/>
  <c r="BT53" i="61"/>
  <c r="BR70" i="61" s="1"/>
  <c r="BR53" i="61"/>
  <c r="BR68" i="61" s="1"/>
  <c r="BM53" i="61"/>
  <c r="BR63" i="61" s="1"/>
  <c r="BQ53" i="61"/>
  <c r="BR67" i="61" s="1"/>
  <c r="BU53" i="61"/>
  <c r="BR71" i="61" s="1"/>
  <c r="AZ53" i="61"/>
  <c r="BD64" i="61" s="1"/>
  <c r="BD53" i="61"/>
  <c r="BD68" i="61" s="1"/>
  <c r="BH53" i="61"/>
  <c r="BD72" i="61" s="1"/>
  <c r="AY53" i="61"/>
  <c r="BD63" i="61" s="1"/>
  <c r="BC53" i="61"/>
  <c r="BD67" i="61" s="1"/>
  <c r="BG53" i="61"/>
  <c r="BD71" i="61" s="1"/>
  <c r="AW52" i="61"/>
  <c r="BA53" i="61"/>
  <c r="BD65" i="61" s="1"/>
  <c r="BE52" i="61"/>
  <c r="AX53" i="61"/>
  <c r="BD62" i="61" s="1"/>
  <c r="BB53" i="61"/>
  <c r="BD66" i="61" s="1"/>
  <c r="BF53" i="61"/>
  <c r="BD70" i="61" s="1"/>
  <c r="AK53" i="61"/>
  <c r="AP63" i="61" s="1"/>
  <c r="AO53" i="61"/>
  <c r="AP67" i="61" s="1"/>
  <c r="AS53" i="61"/>
  <c r="AP71" i="61" s="1"/>
  <c r="AP53" i="61"/>
  <c r="AP68" i="61" s="1"/>
  <c r="AT53" i="61"/>
  <c r="AP72" i="61" s="1"/>
  <c r="AI52" i="61"/>
  <c r="AM53" i="61"/>
  <c r="AP65" i="61" s="1"/>
  <c r="AQ52" i="61"/>
  <c r="AJ53" i="61"/>
  <c r="AP62" i="61" s="1"/>
  <c r="AN53" i="61"/>
  <c r="AP66" i="61" s="1"/>
  <c r="AR53" i="61"/>
  <c r="AP70" i="61" s="1"/>
  <c r="CC52" i="61"/>
  <c r="CG53" i="61"/>
  <c r="CF69" i="61" s="1"/>
  <c r="CM52" i="61"/>
  <c r="CQ52" i="61"/>
  <c r="CU52" i="61"/>
  <c r="CN52" i="61"/>
  <c r="CR52" i="61"/>
  <c r="CV52" i="61"/>
  <c r="BY53" i="61"/>
  <c r="CF61" i="61" s="1"/>
  <c r="CO52" i="61"/>
  <c r="CS52" i="61"/>
  <c r="CW52" i="61"/>
  <c r="CP52" i="61"/>
  <c r="CT52" i="61"/>
  <c r="CX52" i="61"/>
  <c r="BZ52" i="61"/>
  <c r="CD52" i="61"/>
  <c r="CH52" i="61"/>
  <c r="CA52" i="61"/>
  <c r="CE52" i="61"/>
  <c r="CI52" i="61"/>
  <c r="CB52" i="61"/>
  <c r="CF52" i="61"/>
  <c r="BA52" i="61"/>
  <c r="BE53" i="61"/>
  <c r="BD69" i="61" s="1"/>
  <c r="BK52" i="61"/>
  <c r="BO52" i="61"/>
  <c r="BS52" i="61"/>
  <c r="AM52" i="61"/>
  <c r="BL52" i="61"/>
  <c r="BP52" i="61"/>
  <c r="BT52" i="61"/>
  <c r="AQ53" i="61"/>
  <c r="AP69" i="61" s="1"/>
  <c r="AW53" i="61"/>
  <c r="BD61" i="61" s="1"/>
  <c r="BM52" i="61"/>
  <c r="BQ52" i="61"/>
  <c r="BU52" i="61"/>
  <c r="BN52" i="61"/>
  <c r="BR52" i="61"/>
  <c r="BV52" i="61"/>
  <c r="AX52" i="61"/>
  <c r="BB52" i="61"/>
  <c r="BF52" i="61"/>
  <c r="AI53" i="61"/>
  <c r="AY52" i="61"/>
  <c r="BC52" i="61"/>
  <c r="BG52" i="61"/>
  <c r="V53" i="61"/>
  <c r="AB62" i="61" s="1"/>
  <c r="BD52" i="61"/>
  <c r="BH52" i="61"/>
  <c r="AJ52" i="61"/>
  <c r="AN52" i="61"/>
  <c r="AR52" i="61"/>
  <c r="AK52" i="61"/>
  <c r="AO52" i="61"/>
  <c r="AS52" i="61"/>
  <c r="AP52" i="61"/>
  <c r="AT52" i="61"/>
  <c r="U53" i="61"/>
  <c r="AB61" i="61" s="1"/>
  <c r="Y53" i="61"/>
  <c r="AB65" i="61" s="1"/>
  <c r="AC53" i="61"/>
  <c r="AB69" i="61" s="1"/>
  <c r="V52" i="61"/>
  <c r="Z52" i="61"/>
  <c r="AD52" i="61"/>
  <c r="W52" i="61"/>
  <c r="AA52" i="61"/>
  <c r="AE52" i="61"/>
  <c r="X52" i="61"/>
  <c r="AB52" i="61"/>
  <c r="AF52" i="61"/>
  <c r="BO28" i="61"/>
  <c r="AD55" i="61"/>
  <c r="W70" i="61" s="1"/>
  <c r="Y28" i="61"/>
  <c r="CM26" i="61"/>
  <c r="CQ26" i="61"/>
  <c r="CU26" i="61"/>
  <c r="CO26" i="61"/>
  <c r="CS26" i="61"/>
  <c r="CW26" i="61"/>
  <c r="BY25" i="61"/>
  <c r="CC26" i="61"/>
  <c r="CG25" i="61"/>
  <c r="CA26" i="61"/>
  <c r="CE26" i="61"/>
  <c r="BK25" i="61"/>
  <c r="BO26" i="61"/>
  <c r="BS26" i="61"/>
  <c r="BM26" i="61"/>
  <c r="BQ26" i="61"/>
  <c r="BU26" i="61"/>
  <c r="AY26" i="61"/>
  <c r="BC26" i="61"/>
  <c r="BG26" i="61"/>
  <c r="AW25" i="61"/>
  <c r="BA26" i="61"/>
  <c r="BE25" i="61"/>
  <c r="CI26" i="61"/>
  <c r="AO26" i="61"/>
  <c r="AK26" i="61"/>
  <c r="AS26" i="61"/>
  <c r="AI26" i="61"/>
  <c r="AM26" i="61"/>
  <c r="AQ26" i="61"/>
  <c r="AN26" i="61"/>
  <c r="AR26" i="61"/>
  <c r="AX26" i="61"/>
  <c r="BB26" i="61"/>
  <c r="BF26" i="61"/>
  <c r="BL26" i="61"/>
  <c r="BP26" i="61"/>
  <c r="BT26" i="61"/>
  <c r="BZ26" i="61"/>
  <c r="CD26" i="61"/>
  <c r="CH26" i="61"/>
  <c r="CN26" i="61"/>
  <c r="CR26" i="61"/>
  <c r="CV26" i="61"/>
  <c r="AN28" i="61"/>
  <c r="AR28" i="61"/>
  <c r="AX28" i="61"/>
  <c r="BB28" i="61"/>
  <c r="BF28" i="61"/>
  <c r="BL28" i="61"/>
  <c r="BP28" i="61"/>
  <c r="BT28" i="61"/>
  <c r="BZ28" i="61"/>
  <c r="CD28" i="61"/>
  <c r="CH28" i="61"/>
  <c r="CR28" i="61"/>
  <c r="CV28" i="61"/>
  <c r="AJ28" i="61"/>
  <c r="AZ26" i="61"/>
  <c r="BD26" i="61"/>
  <c r="BH26" i="61"/>
  <c r="BN26" i="61"/>
  <c r="BR26" i="61"/>
  <c r="BV26" i="61"/>
  <c r="CB26" i="61"/>
  <c r="CF26" i="61"/>
  <c r="CJ26" i="61"/>
  <c r="CP26" i="61"/>
  <c r="CT26" i="61"/>
  <c r="CX26" i="61"/>
  <c r="AZ28" i="61"/>
  <c r="BD28" i="61"/>
  <c r="BH28" i="61"/>
  <c r="BN28" i="61"/>
  <c r="BR28" i="61"/>
  <c r="BV28" i="61"/>
  <c r="CB28" i="61"/>
  <c r="CF28" i="61"/>
  <c r="CJ28" i="61"/>
  <c r="CP28" i="61"/>
  <c r="CT28" i="61"/>
  <c r="CX28" i="61"/>
  <c r="AJ26" i="61"/>
  <c r="CM25" i="61"/>
  <c r="CQ25" i="61"/>
  <c r="CU25" i="61"/>
  <c r="CN25" i="61"/>
  <c r="CR25" i="61"/>
  <c r="CV25" i="61"/>
  <c r="CO25" i="61"/>
  <c r="CS25" i="61"/>
  <c r="CW25" i="61"/>
  <c r="CP25" i="61"/>
  <c r="CT25" i="61"/>
  <c r="CX25" i="61"/>
  <c r="CC25" i="61"/>
  <c r="BA25" i="61"/>
  <c r="BS25" i="61"/>
  <c r="BZ25" i="61"/>
  <c r="CD25" i="61"/>
  <c r="CH25" i="61"/>
  <c r="BY26" i="61"/>
  <c r="CG26" i="61"/>
  <c r="BE26" i="61"/>
  <c r="BK26" i="61"/>
  <c r="CA25" i="61"/>
  <c r="CE25" i="61"/>
  <c r="CI25" i="61"/>
  <c r="BO25" i="61"/>
  <c r="CB25" i="61"/>
  <c r="CF25" i="61"/>
  <c r="CJ25" i="61"/>
  <c r="BL25" i="61"/>
  <c r="BP25" i="61"/>
  <c r="BT25" i="61"/>
  <c r="AW26" i="61"/>
  <c r="BM25" i="61"/>
  <c r="BQ25" i="61"/>
  <c r="BU25" i="61"/>
  <c r="BN25" i="61"/>
  <c r="BR25" i="61"/>
  <c r="BV25" i="61"/>
  <c r="AX25" i="61"/>
  <c r="BB25" i="61"/>
  <c r="BF25" i="61"/>
  <c r="AL26" i="61"/>
  <c r="AP26" i="61"/>
  <c r="AT26" i="61"/>
  <c r="AL28" i="61"/>
  <c r="AP28" i="61"/>
  <c r="AT28" i="61"/>
  <c r="AY25" i="61"/>
  <c r="BC25" i="61"/>
  <c r="BG25" i="61"/>
  <c r="AZ25" i="61"/>
  <c r="BD25" i="61"/>
  <c r="BH25" i="61"/>
  <c r="AI25" i="61"/>
  <c r="AM25" i="61"/>
  <c r="AQ25" i="61"/>
  <c r="AJ25" i="61"/>
  <c r="AN25" i="61"/>
  <c r="AR25" i="61"/>
  <c r="AK25" i="61"/>
  <c r="AO25" i="61"/>
  <c r="AS25" i="61"/>
  <c r="AL25" i="61"/>
  <c r="AP25" i="61"/>
  <c r="AT25" i="61"/>
  <c r="X28" i="61"/>
  <c r="AC28" i="61"/>
  <c r="AF28" i="61"/>
  <c r="AB28" i="61"/>
  <c r="AE28" i="61"/>
  <c r="AA28" i="61"/>
  <c r="W28" i="61"/>
  <c r="AD28" i="61"/>
  <c r="Z28" i="61"/>
  <c r="V28" i="61"/>
  <c r="U28" i="61"/>
  <c r="T9" i="61"/>
  <c r="T10" i="61" s="1"/>
  <c r="T11" i="61" s="1"/>
  <c r="T12" i="61" s="1"/>
  <c r="T13" i="61" s="1"/>
  <c r="T14" i="61" s="1"/>
  <c r="T15" i="61" s="1"/>
  <c r="T16" i="61" s="1"/>
  <c r="T17" i="61" s="1"/>
  <c r="T18" i="61" s="1"/>
  <c r="T19" i="61" s="1"/>
  <c r="T20" i="61" s="1"/>
  <c r="T21" i="61" s="1"/>
  <c r="T22" i="61" s="1"/>
  <c r="T23" i="61" s="1"/>
  <c r="T24" i="61" s="1"/>
  <c r="T25" i="61" s="1"/>
  <c r="T26" i="61" s="1"/>
  <c r="H123" i="59"/>
  <c r="AB2" i="59"/>
  <c r="F3" i="17" s="1"/>
  <c r="AH2" i="59"/>
  <c r="G3" i="17" s="1"/>
  <c r="AE2" i="59"/>
  <c r="E3" i="17" s="1"/>
  <c r="S2" i="59"/>
  <c r="B3" i="17" s="1"/>
  <c r="F121" i="59"/>
  <c r="I190" i="93" l="1"/>
  <c r="AS42" i="83"/>
  <c r="AT42" i="83" s="1"/>
  <c r="AU42" i="83" s="1"/>
  <c r="I196" i="93"/>
  <c r="AS48" i="83"/>
  <c r="AT48" i="83" s="1"/>
  <c r="AU48" i="83" s="1"/>
  <c r="I186" i="93"/>
  <c r="AS38" i="83"/>
  <c r="AT38" i="83" s="1"/>
  <c r="AU38" i="83" s="1"/>
  <c r="I195" i="93"/>
  <c r="AS47" i="83"/>
  <c r="AT47" i="83" s="1"/>
  <c r="AU47" i="83" s="1"/>
  <c r="I192" i="93"/>
  <c r="AS44" i="83"/>
  <c r="AT44" i="83" s="1"/>
  <c r="AU44" i="83" s="1"/>
  <c r="I191" i="93"/>
  <c r="AS43" i="83"/>
  <c r="AT43" i="83" s="1"/>
  <c r="AU43" i="83" s="1"/>
  <c r="I188" i="93"/>
  <c r="AS40" i="83"/>
  <c r="AT40" i="83" s="1"/>
  <c r="AU40" i="83" s="1"/>
  <c r="I193" i="93"/>
  <c r="AS45" i="83"/>
  <c r="AT45" i="83" s="1"/>
  <c r="AU45" i="83" s="1"/>
  <c r="I194" i="93"/>
  <c r="AS46" i="83"/>
  <c r="AT46" i="83" s="1"/>
  <c r="AU46" i="83" s="1"/>
  <c r="I189" i="93"/>
  <c r="AS41" i="83"/>
  <c r="AT41" i="83" s="1"/>
  <c r="AU41" i="83" s="1"/>
  <c r="I187" i="93"/>
  <c r="AS39" i="83"/>
  <c r="AT39" i="83" s="1"/>
  <c r="AU39" i="83" s="1"/>
  <c r="I185" i="93"/>
  <c r="AS37" i="83"/>
  <c r="AT37" i="83" s="1"/>
  <c r="AU37" i="83" s="1"/>
  <c r="AP61" i="61"/>
  <c r="AU53" i="61"/>
  <c r="AK61" i="61"/>
  <c r="AU55" i="61"/>
  <c r="AU52" i="61"/>
  <c r="AU28" i="61"/>
  <c r="AU25" i="61"/>
  <c r="AU26" i="61"/>
  <c r="J21" i="9"/>
  <c r="J21" i="87"/>
  <c r="J54" i="87" s="1"/>
  <c r="I149" i="93"/>
  <c r="I203" i="93" s="1"/>
  <c r="I147" i="93"/>
  <c r="I201" i="93" s="1"/>
  <c r="S178" i="93"/>
  <c r="T165" i="93"/>
  <c r="U165" i="93" s="1"/>
  <c r="I148" i="93"/>
  <c r="I202" i="93" s="1"/>
  <c r="Q15" i="93"/>
  <c r="R15" i="93" s="1"/>
  <c r="S131" i="93" s="1"/>
  <c r="I150" i="93"/>
  <c r="I204" i="93" s="1"/>
  <c r="I186" i="86"/>
  <c r="I195" i="86"/>
  <c r="I192" i="86"/>
  <c r="I185" i="86"/>
  <c r="I191" i="86"/>
  <c r="I188" i="86"/>
  <c r="I193" i="86"/>
  <c r="I194" i="86"/>
  <c r="I189" i="86"/>
  <c r="I187" i="86"/>
  <c r="I190" i="86"/>
  <c r="I196" i="86"/>
  <c r="K5" i="86"/>
  <c r="K17" i="86" s="1"/>
  <c r="K29" i="86" s="1"/>
  <c r="K41" i="86" s="1"/>
  <c r="K53" i="86" s="1"/>
  <c r="K65" i="86" s="1"/>
  <c r="K77" i="86" s="1"/>
  <c r="K89" i="86" s="1"/>
  <c r="K101" i="86" s="1"/>
  <c r="K113" i="86" s="1"/>
  <c r="K125" i="86" s="1"/>
  <c r="K12" i="86"/>
  <c r="K24" i="86" s="1"/>
  <c r="K36" i="86" s="1"/>
  <c r="K48" i="86" s="1"/>
  <c r="K60" i="86" s="1"/>
  <c r="K72" i="86" s="1"/>
  <c r="K84" i="86" s="1"/>
  <c r="K96" i="86" s="1"/>
  <c r="K108" i="86" s="1"/>
  <c r="K120" i="86" s="1"/>
  <c r="K132" i="86" s="1"/>
  <c r="K11" i="86"/>
  <c r="K23" i="86" s="1"/>
  <c r="K35" i="86" s="1"/>
  <c r="K47" i="86" s="1"/>
  <c r="K59" i="86" s="1"/>
  <c r="K71" i="86" s="1"/>
  <c r="K83" i="86" s="1"/>
  <c r="K95" i="86" s="1"/>
  <c r="K107" i="86" s="1"/>
  <c r="K119" i="86" s="1"/>
  <c r="K131" i="86" s="1"/>
  <c r="K9" i="86"/>
  <c r="K21" i="86" s="1"/>
  <c r="K33" i="86" s="1"/>
  <c r="K45" i="86" s="1"/>
  <c r="K57" i="86" s="1"/>
  <c r="K69" i="86" s="1"/>
  <c r="K81" i="86" s="1"/>
  <c r="K93" i="86" s="1"/>
  <c r="K105" i="86" s="1"/>
  <c r="K117" i="86" s="1"/>
  <c r="K129" i="86" s="1"/>
  <c r="K4" i="86"/>
  <c r="K16" i="86" s="1"/>
  <c r="K28" i="86" s="1"/>
  <c r="K40" i="86" s="1"/>
  <c r="K52" i="86" s="1"/>
  <c r="K64" i="86" s="1"/>
  <c r="K76" i="86" s="1"/>
  <c r="K88" i="86" s="1"/>
  <c r="K100" i="86" s="1"/>
  <c r="K112" i="86" s="1"/>
  <c r="K124" i="86" s="1"/>
  <c r="K136" i="86" s="1"/>
  <c r="K13" i="86"/>
  <c r="K25" i="86" s="1"/>
  <c r="K37" i="86" s="1"/>
  <c r="K49" i="86" s="1"/>
  <c r="K61" i="86" s="1"/>
  <c r="K73" i="86" s="1"/>
  <c r="K85" i="86" s="1"/>
  <c r="K97" i="86" s="1"/>
  <c r="K109" i="86" s="1"/>
  <c r="K121" i="86" s="1"/>
  <c r="K133" i="86" s="1"/>
  <c r="K14" i="86"/>
  <c r="K26" i="86" s="1"/>
  <c r="K38" i="86" s="1"/>
  <c r="K50" i="86" s="1"/>
  <c r="K62" i="86" s="1"/>
  <c r="K74" i="86" s="1"/>
  <c r="K86" i="86" s="1"/>
  <c r="K98" i="86" s="1"/>
  <c r="K110" i="86" s="1"/>
  <c r="K122" i="86" s="1"/>
  <c r="K134" i="86" s="1"/>
  <c r="K8" i="86"/>
  <c r="K20" i="86" s="1"/>
  <c r="K32" i="86" s="1"/>
  <c r="K44" i="86" s="1"/>
  <c r="K56" i="86" s="1"/>
  <c r="K68" i="86" s="1"/>
  <c r="K80" i="86" s="1"/>
  <c r="K92" i="86" s="1"/>
  <c r="K104" i="86" s="1"/>
  <c r="K116" i="86" s="1"/>
  <c r="K128" i="86" s="1"/>
  <c r="K6" i="86"/>
  <c r="K18" i="86" s="1"/>
  <c r="K30" i="86" s="1"/>
  <c r="K42" i="86" s="1"/>
  <c r="K54" i="86" s="1"/>
  <c r="K66" i="86" s="1"/>
  <c r="K78" i="86" s="1"/>
  <c r="K90" i="86" s="1"/>
  <c r="K102" i="86" s="1"/>
  <c r="K114" i="86" s="1"/>
  <c r="K126" i="86" s="1"/>
  <c r="K10" i="86"/>
  <c r="K22" i="86" s="1"/>
  <c r="K34" i="86" s="1"/>
  <c r="K46" i="86" s="1"/>
  <c r="K58" i="86" s="1"/>
  <c r="K70" i="86" s="1"/>
  <c r="K82" i="86" s="1"/>
  <c r="K94" i="86" s="1"/>
  <c r="K106" i="86" s="1"/>
  <c r="K118" i="86" s="1"/>
  <c r="K130" i="86" s="1"/>
  <c r="K7" i="86"/>
  <c r="K19" i="86" s="1"/>
  <c r="K31" i="86" s="1"/>
  <c r="K43" i="86" s="1"/>
  <c r="K55" i="86" s="1"/>
  <c r="K67" i="86" s="1"/>
  <c r="K79" i="86" s="1"/>
  <c r="K91" i="86" s="1"/>
  <c r="K103" i="86" s="1"/>
  <c r="K115" i="86" s="1"/>
  <c r="K127" i="86" s="1"/>
  <c r="I135" i="86"/>
  <c r="O135" i="86" s="1"/>
  <c r="K3" i="86"/>
  <c r="K15" i="86" s="1"/>
  <c r="K27" i="86" s="1"/>
  <c r="K39" i="86" s="1"/>
  <c r="K51" i="86" s="1"/>
  <c r="K63" i="86" s="1"/>
  <c r="K75" i="86" s="1"/>
  <c r="K87" i="86" s="1"/>
  <c r="K99" i="86" s="1"/>
  <c r="K111" i="86" s="1"/>
  <c r="K123" i="86" s="1"/>
  <c r="K135" i="86" s="1"/>
  <c r="AN3" i="83"/>
  <c r="AN15" i="83" s="1"/>
  <c r="AO15" i="83" s="1"/>
  <c r="I137" i="86"/>
  <c r="O137" i="86" s="1"/>
  <c r="AN10" i="83"/>
  <c r="AO10" i="83" s="1"/>
  <c r="AP10" i="83" s="1"/>
  <c r="I144" i="86"/>
  <c r="I156" i="86" s="1"/>
  <c r="AN9" i="83"/>
  <c r="AO9" i="83" s="1"/>
  <c r="AP9" i="83" s="1"/>
  <c r="I143" i="86"/>
  <c r="I155" i="86" s="1"/>
  <c r="G178" i="86"/>
  <c r="AN13" i="83"/>
  <c r="AO13" i="83" s="1"/>
  <c r="AP13" i="83" s="1"/>
  <c r="AN7" i="83"/>
  <c r="AO7" i="83" s="1"/>
  <c r="AP7" i="83" s="1"/>
  <c r="I141" i="86"/>
  <c r="I153" i="86" s="1"/>
  <c r="AN14" i="83"/>
  <c r="AO14" i="83" s="1"/>
  <c r="AP14" i="83" s="1"/>
  <c r="I136" i="86"/>
  <c r="O136" i="86" s="1"/>
  <c r="AN11" i="83"/>
  <c r="AO11" i="83" s="1"/>
  <c r="AP11" i="83" s="1"/>
  <c r="I145" i="86"/>
  <c r="I157" i="86" s="1"/>
  <c r="AN12" i="83"/>
  <c r="AO12" i="83" s="1"/>
  <c r="AP12" i="83" s="1"/>
  <c r="I146" i="86"/>
  <c r="I158" i="86" s="1"/>
  <c r="AN6" i="83"/>
  <c r="AO6" i="83" s="1"/>
  <c r="AP6" i="83" s="1"/>
  <c r="I140" i="86"/>
  <c r="I152" i="86" s="1"/>
  <c r="AN4" i="83"/>
  <c r="AO4" i="83" s="1"/>
  <c r="AP4" i="83" s="1"/>
  <c r="I138" i="86"/>
  <c r="O138" i="86" s="1"/>
  <c r="AN8" i="83"/>
  <c r="AO8" i="83" s="1"/>
  <c r="AP8" i="83" s="1"/>
  <c r="I142" i="86"/>
  <c r="I154" i="86" s="1"/>
  <c r="AN5" i="83"/>
  <c r="AO5" i="83" s="1"/>
  <c r="AP5" i="83" s="1"/>
  <c r="I139" i="86"/>
  <c r="I151" i="86" s="1"/>
  <c r="AF26" i="61"/>
  <c r="AE26" i="61"/>
  <c r="AB46" i="83"/>
  <c r="AA47" i="83"/>
  <c r="AA48" i="83"/>
  <c r="B65" i="11"/>
  <c r="B35" i="11"/>
  <c r="AC26" i="61"/>
  <c r="AE25" i="61"/>
  <c r="Y25" i="61"/>
  <c r="Z26" i="61"/>
  <c r="AB25" i="61"/>
  <c r="AA26" i="61"/>
  <c r="V26" i="61"/>
  <c r="V25" i="61"/>
  <c r="X25" i="61"/>
  <c r="AC25" i="61"/>
  <c r="H124" i="59"/>
  <c r="P123" i="59"/>
  <c r="U26" i="61"/>
  <c r="W26" i="61"/>
  <c r="AF25" i="61"/>
  <c r="Z25" i="61"/>
  <c r="X26" i="61"/>
  <c r="W25" i="61"/>
  <c r="I118" i="59"/>
  <c r="U25" i="61"/>
  <c r="AD26" i="61"/>
  <c r="Y26" i="61"/>
  <c r="AD25" i="61"/>
  <c r="AB26" i="61"/>
  <c r="AA25" i="61"/>
  <c r="I186" i="76"/>
  <c r="I195" i="76"/>
  <c r="I192" i="76"/>
  <c r="I136" i="76"/>
  <c r="M136" i="76" s="1"/>
  <c r="I145" i="76"/>
  <c r="I157" i="76" s="1"/>
  <c r="I210" i="76" s="1"/>
  <c r="M210" i="76" s="1"/>
  <c r="I185" i="76"/>
  <c r="I191" i="76"/>
  <c r="I188" i="76"/>
  <c r="I146" i="76"/>
  <c r="I158" i="76" s="1"/>
  <c r="I211" i="76" s="1"/>
  <c r="M211" i="76" s="1"/>
  <c r="I140" i="76"/>
  <c r="I152" i="76" s="1"/>
  <c r="I205" i="76" s="1"/>
  <c r="M205" i="76" s="1"/>
  <c r="I138" i="76"/>
  <c r="I150" i="76" s="1"/>
  <c r="I203" i="76" s="1"/>
  <c r="M203" i="76" s="1"/>
  <c r="I142" i="76"/>
  <c r="I154" i="76" s="1"/>
  <c r="I207" i="76" s="1"/>
  <c r="M207" i="76" s="1"/>
  <c r="I139" i="76"/>
  <c r="I151" i="76" s="1"/>
  <c r="I204" i="76" s="1"/>
  <c r="M204" i="76" s="1"/>
  <c r="I193" i="76"/>
  <c r="I194" i="76"/>
  <c r="I189" i="76"/>
  <c r="I187" i="76"/>
  <c r="I137" i="76"/>
  <c r="I149" i="76" s="1"/>
  <c r="I202" i="76" s="1"/>
  <c r="M202" i="76" s="1"/>
  <c r="I144" i="76"/>
  <c r="I156" i="76" s="1"/>
  <c r="I209" i="76" s="1"/>
  <c r="M209" i="76" s="1"/>
  <c r="I143" i="76"/>
  <c r="I155" i="76" s="1"/>
  <c r="I208" i="76" s="1"/>
  <c r="M208" i="76" s="1"/>
  <c r="I190" i="76"/>
  <c r="I196" i="76"/>
  <c r="I135" i="76"/>
  <c r="I147" i="76" s="1"/>
  <c r="I200" i="76" s="1"/>
  <c r="I141" i="76"/>
  <c r="I153" i="76" s="1"/>
  <c r="I206" i="76" s="1"/>
  <c r="M206" i="76" s="1"/>
  <c r="G165" i="76"/>
  <c r="G178" i="76" s="1"/>
  <c r="I120" i="59"/>
  <c r="I119" i="59"/>
  <c r="AB3" i="59"/>
  <c r="F4" i="17" s="1"/>
  <c r="C31" i="11" s="1"/>
  <c r="AH3" i="59"/>
  <c r="G4" i="17" s="1"/>
  <c r="AF118" i="71"/>
  <c r="AG118" i="71" s="1"/>
  <c r="S3" i="59"/>
  <c r="B4" i="17" s="1"/>
  <c r="AE3" i="59"/>
  <c r="E4" i="17" s="1"/>
  <c r="E21" i="17" s="1"/>
  <c r="V3" i="59"/>
  <c r="C4" i="17" s="1"/>
  <c r="Y3" i="59"/>
  <c r="D4" i="17" s="1"/>
  <c r="V2" i="59"/>
  <c r="C3" i="17" s="1"/>
  <c r="B17" i="11" s="1"/>
  <c r="AO3" i="59"/>
  <c r="C60" i="11" s="1"/>
  <c r="Y2" i="59"/>
  <c r="D3" i="17" s="1"/>
  <c r="D20" i="17" s="1"/>
  <c r="B20" i="17"/>
  <c r="B13" i="11"/>
  <c r="F20" i="17"/>
  <c r="B31" i="11"/>
  <c r="E20" i="17"/>
  <c r="B26" i="11"/>
  <c r="F21" i="17"/>
  <c r="R4" i="59"/>
  <c r="AF119" i="71"/>
  <c r="AG119" i="71" s="1"/>
  <c r="I121" i="59"/>
  <c r="AU50" i="83" l="1"/>
  <c r="AU51" i="83" s="1"/>
  <c r="AU52" i="83" s="1"/>
  <c r="J84" i="87"/>
  <c r="P84" i="87" s="1"/>
  <c r="I54" i="87"/>
  <c r="B21" i="17"/>
  <c r="J22" i="9"/>
  <c r="J22" i="87"/>
  <c r="J55" i="87" s="1"/>
  <c r="K147" i="86"/>
  <c r="Q135" i="86"/>
  <c r="K142" i="86"/>
  <c r="K154" i="86" s="1"/>
  <c r="Q130" i="86"/>
  <c r="K140" i="86"/>
  <c r="K152" i="86" s="1"/>
  <c r="Q128" i="86"/>
  <c r="K145" i="86"/>
  <c r="K157" i="86" s="1"/>
  <c r="Q133" i="86"/>
  <c r="K141" i="86"/>
  <c r="K153" i="86" s="1"/>
  <c r="Q129" i="86"/>
  <c r="K144" i="86"/>
  <c r="K156" i="86" s="1"/>
  <c r="Q132" i="86"/>
  <c r="K139" i="86"/>
  <c r="K151" i="86" s="1"/>
  <c r="Q127" i="86"/>
  <c r="K138" i="86"/>
  <c r="Q126" i="86"/>
  <c r="K146" i="86"/>
  <c r="K158" i="86" s="1"/>
  <c r="Q134" i="86"/>
  <c r="K148" i="86"/>
  <c r="Q136" i="86"/>
  <c r="K143" i="86"/>
  <c r="K155" i="86" s="1"/>
  <c r="Q131" i="86"/>
  <c r="K137" i="86"/>
  <c r="Q125" i="86"/>
  <c r="AO3" i="83"/>
  <c r="AP3" i="83" s="1"/>
  <c r="K3" i="83" s="1"/>
  <c r="AN26" i="83"/>
  <c r="AO26" i="83" s="1"/>
  <c r="AP26" i="83" s="1"/>
  <c r="AN21" i="83"/>
  <c r="AO21" i="83" s="1"/>
  <c r="AP21" i="83" s="1"/>
  <c r="AN19" i="83"/>
  <c r="AO19" i="83" s="1"/>
  <c r="AP19" i="83" s="1"/>
  <c r="AN24" i="83"/>
  <c r="AO24" i="83" s="1"/>
  <c r="AP24" i="83" s="1"/>
  <c r="AN22" i="83"/>
  <c r="AO22" i="83" s="1"/>
  <c r="AP22" i="83" s="1"/>
  <c r="AN25" i="83"/>
  <c r="AO25" i="83" s="1"/>
  <c r="AP25" i="83" s="1"/>
  <c r="AN17" i="83"/>
  <c r="AO17" i="83" s="1"/>
  <c r="AP17" i="83" s="1"/>
  <c r="AN20" i="83"/>
  <c r="AO20" i="83" s="1"/>
  <c r="AP20" i="83" s="1"/>
  <c r="AN16" i="83"/>
  <c r="AO16" i="83" s="1"/>
  <c r="AP16" i="83" s="1"/>
  <c r="I147" i="86"/>
  <c r="I150" i="86"/>
  <c r="I148" i="86"/>
  <c r="I149" i="86"/>
  <c r="AN18" i="83"/>
  <c r="AO18" i="83" s="1"/>
  <c r="AP18" i="83" s="1"/>
  <c r="AN23" i="83"/>
  <c r="AO23" i="83" s="1"/>
  <c r="AP23" i="83" s="1"/>
  <c r="AF45" i="84"/>
  <c r="AG45" i="84" s="1"/>
  <c r="AF46" i="84"/>
  <c r="AG46" i="84" s="1"/>
  <c r="AF120" i="71"/>
  <c r="AG120" i="71" s="1"/>
  <c r="AF44" i="84"/>
  <c r="AG44" i="84" s="1"/>
  <c r="AF47" i="84"/>
  <c r="AG47" i="84" s="1"/>
  <c r="AN27" i="83"/>
  <c r="AO27" i="83" s="1"/>
  <c r="AP15" i="83"/>
  <c r="AB47" i="83"/>
  <c r="AB48" i="83"/>
  <c r="AF3" i="59"/>
  <c r="C26" i="11"/>
  <c r="C65" i="11"/>
  <c r="C35" i="11"/>
  <c r="H125" i="59"/>
  <c r="P124" i="59"/>
  <c r="I148" i="76"/>
  <c r="I201" i="76" s="1"/>
  <c r="M137" i="76"/>
  <c r="M138" i="76"/>
  <c r="M135" i="76"/>
  <c r="AC3" i="59"/>
  <c r="C13" i="11"/>
  <c r="T3" i="59"/>
  <c r="W3" i="59"/>
  <c r="C20" i="17"/>
  <c r="V4" i="59"/>
  <c r="AO4" i="59"/>
  <c r="D60" i="11" s="1"/>
  <c r="Y4" i="59"/>
  <c r="AN4" i="59"/>
  <c r="D56" i="11" s="1"/>
  <c r="B21" i="11"/>
  <c r="B40" i="11" s="1"/>
  <c r="D21" i="17"/>
  <c r="C21" i="11"/>
  <c r="C21" i="17"/>
  <c r="C17" i="11"/>
  <c r="Z3" i="59"/>
  <c r="AF121" i="71"/>
  <c r="AG121" i="71" s="1"/>
  <c r="R5" i="59"/>
  <c r="AB4" i="59"/>
  <c r="AE4" i="59"/>
  <c r="AH4" i="59"/>
  <c r="G5" i="17" s="1"/>
  <c r="D35" i="11" s="1"/>
  <c r="S4" i="59"/>
  <c r="O131" i="76" l="1"/>
  <c r="P131" i="76" s="1"/>
  <c r="Q131" i="76" s="1"/>
  <c r="R131" i="76" s="1"/>
  <c r="N208" i="76"/>
  <c r="O134" i="76"/>
  <c r="P134" i="76" s="1"/>
  <c r="Q134" i="76" s="1"/>
  <c r="R134" i="76" s="1"/>
  <c r="N211" i="76"/>
  <c r="O132" i="76"/>
  <c r="P132" i="76" s="1"/>
  <c r="Q132" i="76" s="1"/>
  <c r="R132" i="76" s="1"/>
  <c r="N209" i="76"/>
  <c r="O133" i="76"/>
  <c r="P133" i="76" s="1"/>
  <c r="Q133" i="76" s="1"/>
  <c r="R133" i="76" s="1"/>
  <c r="N210" i="76"/>
  <c r="O60" i="87"/>
  <c r="J36" i="87"/>
  <c r="I55" i="87"/>
  <c r="T8" i="18"/>
  <c r="K149" i="86"/>
  <c r="Q137" i="86"/>
  <c r="K150" i="86"/>
  <c r="Q138" i="86"/>
  <c r="AN31" i="83"/>
  <c r="AO31" i="83" s="1"/>
  <c r="AP31" i="83" s="1"/>
  <c r="AN37" i="83"/>
  <c r="AN38" i="83"/>
  <c r="AO38" i="83" s="1"/>
  <c r="AP38" i="83" s="1"/>
  <c r="AN34" i="83"/>
  <c r="AO34" i="83" s="1"/>
  <c r="AP34" i="83" s="1"/>
  <c r="AN33" i="83"/>
  <c r="AO33" i="83" s="1"/>
  <c r="AP33" i="83" s="1"/>
  <c r="AN36" i="83"/>
  <c r="AO36" i="83" s="1"/>
  <c r="AP36" i="83" s="1"/>
  <c r="AN32" i="83"/>
  <c r="AO32" i="83" s="1"/>
  <c r="AP32" i="83" s="1"/>
  <c r="AN29" i="83"/>
  <c r="AO29" i="83" s="1"/>
  <c r="AP29" i="83" s="1"/>
  <c r="AN28" i="83"/>
  <c r="AO28" i="83" s="1"/>
  <c r="AP28" i="83" s="1"/>
  <c r="AN30" i="83"/>
  <c r="AO30" i="83" s="1"/>
  <c r="AP30" i="83" s="1"/>
  <c r="AN35" i="83"/>
  <c r="AO35" i="83" s="1"/>
  <c r="AP35" i="83" s="1"/>
  <c r="K4" i="83"/>
  <c r="AN39" i="83"/>
  <c r="AP27" i="83"/>
  <c r="C40" i="11"/>
  <c r="H126" i="59"/>
  <c r="P125" i="59"/>
  <c r="AN5" i="59"/>
  <c r="E56" i="11" s="1"/>
  <c r="V5" i="59"/>
  <c r="AO5" i="59"/>
  <c r="E60" i="11" s="1"/>
  <c r="Y5" i="59"/>
  <c r="B5" i="17"/>
  <c r="T4" i="59"/>
  <c r="D5" i="17"/>
  <c r="D22" i="17" s="1"/>
  <c r="Z4" i="59"/>
  <c r="C5" i="17"/>
  <c r="C22" i="17" s="1"/>
  <c r="W4" i="59"/>
  <c r="E5" i="17"/>
  <c r="E22" i="17" s="1"/>
  <c r="AF4" i="59"/>
  <c r="R6" i="59"/>
  <c r="AE5" i="59"/>
  <c r="S5" i="59"/>
  <c r="AB5" i="59"/>
  <c r="AH5" i="59"/>
  <c r="G6" i="17" s="1"/>
  <c r="E35" i="11" s="1"/>
  <c r="F5" i="17"/>
  <c r="F22" i="17" s="1"/>
  <c r="AC4" i="59"/>
  <c r="AO37" i="83" l="1"/>
  <c r="AP37" i="83" s="1"/>
  <c r="O61" i="87"/>
  <c r="B22" i="17"/>
  <c r="J23" i="87"/>
  <c r="J56" i="87" s="1"/>
  <c r="J23" i="9"/>
  <c r="T9" i="18"/>
  <c r="AN43" i="83"/>
  <c r="AO43" i="83" s="1"/>
  <c r="AP43" i="83" s="1"/>
  <c r="AN46" i="83"/>
  <c r="AO46" i="83" s="1"/>
  <c r="AP46" i="83" s="1"/>
  <c r="AN48" i="83"/>
  <c r="AO48" i="83" s="1"/>
  <c r="AP48" i="83" s="1"/>
  <c r="AN45" i="83"/>
  <c r="AO45" i="83" s="1"/>
  <c r="AP45" i="83" s="1"/>
  <c r="AN44" i="83"/>
  <c r="AO44" i="83" s="1"/>
  <c r="AP44" i="83" s="1"/>
  <c r="AN41" i="83"/>
  <c r="AO41" i="83" s="1"/>
  <c r="AP41" i="83" s="1"/>
  <c r="AN42" i="83"/>
  <c r="AO42" i="83" s="1"/>
  <c r="AP42" i="83" s="1"/>
  <c r="AN47" i="83"/>
  <c r="AO47" i="83" s="1"/>
  <c r="AP47" i="83" s="1"/>
  <c r="AN40" i="83"/>
  <c r="AO40" i="83" s="1"/>
  <c r="AP40" i="83" s="1"/>
  <c r="K5" i="83"/>
  <c r="AO39" i="83"/>
  <c r="AP39" i="83" s="1"/>
  <c r="H127" i="59"/>
  <c r="P126" i="59"/>
  <c r="AN6" i="59"/>
  <c r="F56" i="11" s="1"/>
  <c r="AO6" i="59"/>
  <c r="F60" i="11" s="1"/>
  <c r="Y6" i="59"/>
  <c r="V6" i="59"/>
  <c r="E6" i="17"/>
  <c r="E23" i="17" s="1"/>
  <c r="AF5" i="59"/>
  <c r="C6" i="17"/>
  <c r="C23" i="17" s="1"/>
  <c r="W5" i="59"/>
  <c r="F6" i="17"/>
  <c r="F23" i="17" s="1"/>
  <c r="AC5" i="59"/>
  <c r="D6" i="17"/>
  <c r="D23" i="17" s="1"/>
  <c r="Z5" i="59"/>
  <c r="B6" i="17"/>
  <c r="T5" i="59"/>
  <c r="R7" i="59"/>
  <c r="AH6" i="59"/>
  <c r="G7" i="17" s="1"/>
  <c r="F35" i="11" s="1"/>
  <c r="S6" i="59"/>
  <c r="AB6" i="59"/>
  <c r="AE6" i="59"/>
  <c r="B23" i="17" l="1"/>
  <c r="J24" i="9"/>
  <c r="J24" i="87"/>
  <c r="J57" i="87" s="1"/>
  <c r="J37" i="87"/>
  <c r="I56" i="87"/>
  <c r="O62" i="87"/>
  <c r="T10" i="18"/>
  <c r="K6" i="83"/>
  <c r="H128" i="59"/>
  <c r="P127" i="59"/>
  <c r="V7" i="59"/>
  <c r="Y7" i="59"/>
  <c r="AO7" i="59"/>
  <c r="G60" i="11" s="1"/>
  <c r="AN7" i="59"/>
  <c r="G56" i="11" s="1"/>
  <c r="F7" i="17"/>
  <c r="F24" i="17" s="1"/>
  <c r="AC6" i="59"/>
  <c r="D7" i="17"/>
  <c r="D24" i="17" s="1"/>
  <c r="Z6" i="59"/>
  <c r="B7" i="17"/>
  <c r="T6" i="59"/>
  <c r="R8" i="59"/>
  <c r="AB7" i="59"/>
  <c r="AE7" i="59"/>
  <c r="AH7" i="59"/>
  <c r="G8" i="17" s="1"/>
  <c r="G35" i="11" s="1"/>
  <c r="S7" i="59"/>
  <c r="E7" i="17"/>
  <c r="E24" i="17" s="1"/>
  <c r="AF6" i="59"/>
  <c r="C7" i="17"/>
  <c r="C24" i="17" s="1"/>
  <c r="W6" i="59"/>
  <c r="B24" i="17" l="1"/>
  <c r="J25" i="9"/>
  <c r="J25" i="87"/>
  <c r="J58" i="87" s="1"/>
  <c r="I57" i="87"/>
  <c r="J38" i="87"/>
  <c r="O40" i="89"/>
  <c r="I28" i="89"/>
  <c r="O63" i="87"/>
  <c r="T11" i="18"/>
  <c r="K10" i="83"/>
  <c r="D12" i="18" s="1"/>
  <c r="H129" i="59"/>
  <c r="P128" i="59"/>
  <c r="Y8" i="59"/>
  <c r="AN8" i="59"/>
  <c r="H56" i="11" s="1"/>
  <c r="V8" i="59"/>
  <c r="AO8" i="59"/>
  <c r="H60" i="11" s="1"/>
  <c r="C8" i="17"/>
  <c r="C25" i="17" s="1"/>
  <c r="W7" i="59"/>
  <c r="E8" i="17"/>
  <c r="E25" i="17" s="1"/>
  <c r="AF7" i="59"/>
  <c r="R9" i="59"/>
  <c r="AE8" i="59"/>
  <c r="AH8" i="59"/>
  <c r="G9" i="17" s="1"/>
  <c r="S8" i="59"/>
  <c r="AB8" i="59"/>
  <c r="F8" i="17"/>
  <c r="F25" i="17" s="1"/>
  <c r="AC7" i="59"/>
  <c r="B8" i="17"/>
  <c r="T7" i="59"/>
  <c r="D8" i="17"/>
  <c r="D25" i="17" s="1"/>
  <c r="Z7" i="59"/>
  <c r="J39" i="87" l="1"/>
  <c r="I58" i="87"/>
  <c r="B25" i="17"/>
  <c r="J26" i="9"/>
  <c r="J26" i="87"/>
  <c r="J59" i="87" s="1"/>
  <c r="P40" i="89"/>
  <c r="O41" i="89"/>
  <c r="R175" i="93"/>
  <c r="V175" i="86"/>
  <c r="O64" i="87" s="1"/>
  <c r="R175" i="76"/>
  <c r="K11" i="83"/>
  <c r="G26" i="17"/>
  <c r="H35" i="11"/>
  <c r="H130" i="59"/>
  <c r="P129" i="59"/>
  <c r="AO9" i="59"/>
  <c r="I60" i="11" s="1"/>
  <c r="Y9" i="59"/>
  <c r="V9" i="59"/>
  <c r="AN9" i="59"/>
  <c r="I56" i="11" s="1"/>
  <c r="B9" i="17"/>
  <c r="T8" i="59"/>
  <c r="C9" i="17"/>
  <c r="C26" i="17" s="1"/>
  <c r="W8" i="59"/>
  <c r="R10" i="59"/>
  <c r="AE9" i="59"/>
  <c r="S9" i="59"/>
  <c r="AH9" i="59"/>
  <c r="G10" i="17" s="1"/>
  <c r="AB9" i="59"/>
  <c r="E9" i="17"/>
  <c r="E26" i="17" s="1"/>
  <c r="AF8" i="59"/>
  <c r="F9" i="17"/>
  <c r="F26" i="17" s="1"/>
  <c r="AC8" i="59"/>
  <c r="D9" i="17"/>
  <c r="D26" i="17" s="1"/>
  <c r="Z8" i="59"/>
  <c r="O46" i="89" l="1"/>
  <c r="J46" i="89"/>
  <c r="J40" i="87"/>
  <c r="I59" i="87"/>
  <c r="B26" i="17"/>
  <c r="J27" i="87"/>
  <c r="J60" i="87" s="1"/>
  <c r="J27" i="9"/>
  <c r="L10" i="83"/>
  <c r="P41" i="89"/>
  <c r="M46" i="89"/>
  <c r="K46" i="89"/>
  <c r="N46" i="89"/>
  <c r="L46" i="89"/>
  <c r="R176" i="93"/>
  <c r="V176" i="86"/>
  <c r="O65" i="87" s="1"/>
  <c r="O38" i="9"/>
  <c r="R176" i="76"/>
  <c r="D13" i="18"/>
  <c r="G27" i="17"/>
  <c r="I35" i="11"/>
  <c r="H131" i="59"/>
  <c r="P130" i="59"/>
  <c r="AN10" i="59"/>
  <c r="J56" i="11" s="1"/>
  <c r="V10" i="59"/>
  <c r="AO10" i="59"/>
  <c r="J60" i="11" s="1"/>
  <c r="Y10" i="59"/>
  <c r="Z10" i="59" s="1"/>
  <c r="D10" i="17"/>
  <c r="D27" i="17" s="1"/>
  <c r="Z9" i="59"/>
  <c r="B10" i="17"/>
  <c r="T9" i="59"/>
  <c r="R11" i="59"/>
  <c r="AH10" i="59"/>
  <c r="G11" i="17" s="1"/>
  <c r="AB10" i="59"/>
  <c r="S10" i="59"/>
  <c r="AE10" i="59"/>
  <c r="E10" i="17"/>
  <c r="E27" i="17" s="1"/>
  <c r="AF9" i="59"/>
  <c r="F10" i="17"/>
  <c r="F27" i="17" s="1"/>
  <c r="AC9" i="59"/>
  <c r="C10" i="17"/>
  <c r="C27" i="17" s="1"/>
  <c r="W9" i="59"/>
  <c r="O47" i="89" l="1"/>
  <c r="J47" i="89"/>
  <c r="M10" i="83"/>
  <c r="T12" i="18" s="1"/>
  <c r="B27" i="17"/>
  <c r="J28" i="9"/>
  <c r="J28" i="87"/>
  <c r="J61" i="87" s="1"/>
  <c r="J41" i="87"/>
  <c r="I60" i="87"/>
  <c r="L11" i="83"/>
  <c r="I46" i="89"/>
  <c r="N47" i="89"/>
  <c r="L47" i="89"/>
  <c r="M47" i="89"/>
  <c r="K47" i="89"/>
  <c r="O39" i="9"/>
  <c r="G28" i="17"/>
  <c r="J35" i="11"/>
  <c r="H132" i="59"/>
  <c r="P131" i="59"/>
  <c r="AN11" i="59"/>
  <c r="K56" i="11" s="1"/>
  <c r="AO11" i="59"/>
  <c r="K60" i="11" s="1"/>
  <c r="Y11" i="59"/>
  <c r="V11" i="59"/>
  <c r="E11" i="17"/>
  <c r="E28" i="17" s="1"/>
  <c r="AF10" i="59"/>
  <c r="C11" i="17"/>
  <c r="C28" i="17" s="1"/>
  <c r="W10" i="59"/>
  <c r="B11" i="17"/>
  <c r="T10" i="59"/>
  <c r="D11" i="17"/>
  <c r="D28" i="17" s="1"/>
  <c r="F11" i="17"/>
  <c r="F28" i="17" s="1"/>
  <c r="AC10" i="59"/>
  <c r="R12" i="59"/>
  <c r="R13" i="59" s="1"/>
  <c r="AH11" i="59"/>
  <c r="AE11" i="59"/>
  <c r="S11" i="59"/>
  <c r="AB11" i="59"/>
  <c r="J21" i="89" l="1"/>
  <c r="J23" i="89" s="1"/>
  <c r="J24" i="89" s="1"/>
  <c r="J29" i="87"/>
  <c r="J62" i="87" s="1"/>
  <c r="J42" i="87"/>
  <c r="I61" i="87"/>
  <c r="I47" i="89"/>
  <c r="J35" i="89"/>
  <c r="H133" i="59"/>
  <c r="P132" i="59"/>
  <c r="B12" i="17"/>
  <c r="T11" i="59"/>
  <c r="T12" i="59" s="1"/>
  <c r="C12" i="17"/>
  <c r="W11" i="59"/>
  <c r="W12" i="59" s="1"/>
  <c r="E12" i="17"/>
  <c r="AF11" i="59"/>
  <c r="G12" i="17"/>
  <c r="K35" i="11" s="1"/>
  <c r="AC11" i="59"/>
  <c r="AC12" i="59" s="1"/>
  <c r="AC16" i="59" s="1"/>
  <c r="F12" i="17"/>
  <c r="D12" i="17"/>
  <c r="Z11" i="59"/>
  <c r="Z12" i="59" s="1"/>
  <c r="B28" i="17"/>
  <c r="J29" i="9"/>
  <c r="J36" i="9" l="1"/>
  <c r="J31" i="9"/>
  <c r="J31" i="87"/>
  <c r="I62" i="87"/>
  <c r="J43" i="87"/>
  <c r="J48" i="87" s="1"/>
  <c r="J22" i="89"/>
  <c r="J30" i="87"/>
  <c r="H134" i="59"/>
  <c r="P133" i="59"/>
  <c r="AH29" i="59"/>
  <c r="G13" i="17" s="1"/>
  <c r="L35" i="11" s="1"/>
  <c r="AH20" i="59"/>
  <c r="T16" i="59"/>
  <c r="Z13" i="59"/>
  <c r="Z17" i="59" s="1"/>
  <c r="Z16" i="59"/>
  <c r="W13" i="59"/>
  <c r="W17" i="59" s="1"/>
  <c r="W16" i="59"/>
  <c r="AF12" i="59"/>
  <c r="Y12" i="59"/>
  <c r="N30" i="9"/>
  <c r="N31" i="9" s="1"/>
  <c r="F29" i="17"/>
  <c r="AB12" i="59"/>
  <c r="AC13" i="59"/>
  <c r="AC17" i="59" s="1"/>
  <c r="C29" i="17"/>
  <c r="K30" i="9"/>
  <c r="K37" i="9" s="1"/>
  <c r="O30" i="9"/>
  <c r="G29" i="17"/>
  <c r="M30" i="9"/>
  <c r="M31" i="9" s="1"/>
  <c r="E29" i="17"/>
  <c r="L30" i="9"/>
  <c r="L37" i="9" s="1"/>
  <c r="D29" i="17"/>
  <c r="V12" i="59"/>
  <c r="J30" i="9"/>
  <c r="J37" i="9" s="1"/>
  <c r="B29" i="17"/>
  <c r="I63" i="87" l="1"/>
  <c r="J63" i="87"/>
  <c r="J112" i="87"/>
  <c r="J55" i="9"/>
  <c r="J32" i="87"/>
  <c r="H135" i="59"/>
  <c r="P134" i="59"/>
  <c r="Q134" i="59" s="1"/>
  <c r="T13" i="59"/>
  <c r="T17" i="59" s="1"/>
  <c r="S12" i="59"/>
  <c r="J64" i="87" s="1"/>
  <c r="AF13" i="59"/>
  <c r="AF17" i="59" s="1"/>
  <c r="AF16" i="59"/>
  <c r="AE12" i="59"/>
  <c r="Y13" i="59"/>
  <c r="AB13" i="59"/>
  <c r="V13" i="59"/>
  <c r="J38" i="9" l="1"/>
  <c r="J113" i="87"/>
  <c r="N185" i="76"/>
  <c r="N147" i="93"/>
  <c r="N185" i="93" s="1"/>
  <c r="R185" i="86"/>
  <c r="S13" i="59"/>
  <c r="J65" i="87" s="1"/>
  <c r="H136" i="59"/>
  <c r="P135" i="59"/>
  <c r="AE13" i="59"/>
  <c r="H137" i="59" l="1"/>
  <c r="P136" i="59"/>
  <c r="C123" i="59"/>
  <c r="K123" i="59" s="1"/>
  <c r="H138" i="59" l="1"/>
  <c r="P137" i="59"/>
  <c r="G123" i="59"/>
  <c r="O123" i="59" s="1"/>
  <c r="D123" i="59"/>
  <c r="F123" i="59"/>
  <c r="N123" i="59" s="1"/>
  <c r="E123" i="59"/>
  <c r="C124" i="59"/>
  <c r="K124" i="59" s="1"/>
  <c r="H139" i="59" l="1"/>
  <c r="P138" i="59"/>
  <c r="Q123" i="59"/>
  <c r="I123" i="59"/>
  <c r="D124" i="59"/>
  <c r="E124" i="59"/>
  <c r="F124" i="59"/>
  <c r="N124" i="59" s="1"/>
  <c r="G124" i="59"/>
  <c r="O124" i="59" s="1"/>
  <c r="AG122" i="59"/>
  <c r="C125" i="59"/>
  <c r="K125" i="59" s="1"/>
  <c r="N136" i="76" l="1"/>
  <c r="R136" i="86"/>
  <c r="N136" i="93"/>
  <c r="H140" i="59"/>
  <c r="P139" i="59"/>
  <c r="Q124" i="59"/>
  <c r="E125" i="59"/>
  <c r="I124" i="59"/>
  <c r="D125" i="59"/>
  <c r="G125" i="59"/>
  <c r="O125" i="59" s="1"/>
  <c r="F125" i="59"/>
  <c r="C126" i="59"/>
  <c r="K126" i="59" s="1"/>
  <c r="N137" i="76" l="1"/>
  <c r="R137" i="86"/>
  <c r="N137" i="93"/>
  <c r="H141" i="59"/>
  <c r="P140" i="59"/>
  <c r="F126" i="59"/>
  <c r="N126" i="59" s="1"/>
  <c r="N125" i="59"/>
  <c r="Q125" i="59" s="1"/>
  <c r="I125" i="59"/>
  <c r="D126" i="59"/>
  <c r="G126" i="59"/>
  <c r="O126" i="59" s="1"/>
  <c r="E126" i="59"/>
  <c r="C127" i="59"/>
  <c r="K127" i="59" s="1"/>
  <c r="N138" i="76" l="1"/>
  <c r="R138" i="86"/>
  <c r="N138" i="93"/>
  <c r="H142" i="59"/>
  <c r="P141" i="59"/>
  <c r="Q126" i="59"/>
  <c r="E127" i="59"/>
  <c r="D127" i="59"/>
  <c r="G127" i="59"/>
  <c r="O127" i="59" s="1"/>
  <c r="I126" i="59"/>
  <c r="F127" i="59"/>
  <c r="N127" i="59" s="1"/>
  <c r="C128" i="59"/>
  <c r="K128" i="59" s="1"/>
  <c r="N139" i="76" l="1"/>
  <c r="R139" i="86"/>
  <c r="N139" i="93"/>
  <c r="H143" i="59"/>
  <c r="P142" i="59"/>
  <c r="Q127" i="59"/>
  <c r="C129" i="59"/>
  <c r="K129" i="59" s="1"/>
  <c r="D128" i="59"/>
  <c r="F128" i="59"/>
  <c r="N128" i="59" s="1"/>
  <c r="G128" i="59"/>
  <c r="O128" i="59" s="1"/>
  <c r="E128" i="59"/>
  <c r="N140" i="93" l="1"/>
  <c r="H144" i="59"/>
  <c r="P143" i="59"/>
  <c r="Q128" i="59"/>
  <c r="C130" i="59"/>
  <c r="K130" i="59" s="1"/>
  <c r="G129" i="59"/>
  <c r="O129" i="59" s="1"/>
  <c r="D129" i="59"/>
  <c r="E129" i="59"/>
  <c r="F129" i="59"/>
  <c r="N129" i="59" s="1"/>
  <c r="N141" i="93" l="1"/>
  <c r="H145" i="59"/>
  <c r="P144" i="59"/>
  <c r="Q129" i="59"/>
  <c r="C131" i="59"/>
  <c r="K131" i="59" s="1"/>
  <c r="D130" i="59"/>
  <c r="E130" i="59"/>
  <c r="F130" i="59"/>
  <c r="N130" i="59" s="1"/>
  <c r="G130" i="59"/>
  <c r="O130" i="59" s="1"/>
  <c r="N142" i="93" l="1"/>
  <c r="P145" i="59"/>
  <c r="AH21" i="59"/>
  <c r="AH30" i="59"/>
  <c r="G14" i="17" s="1"/>
  <c r="M35" i="11" s="1"/>
  <c r="Q130" i="59"/>
  <c r="C132" i="59"/>
  <c r="K132" i="59" s="1"/>
  <c r="G131" i="59"/>
  <c r="O131" i="59" s="1"/>
  <c r="E131" i="59"/>
  <c r="F131" i="59"/>
  <c r="N131" i="59" s="1"/>
  <c r="D131" i="59"/>
  <c r="N143" i="93" l="1"/>
  <c r="Q131" i="59"/>
  <c r="C133" i="59"/>
  <c r="K133" i="59" s="1"/>
  <c r="S20" i="59"/>
  <c r="D132" i="59"/>
  <c r="E132" i="59"/>
  <c r="F132" i="59"/>
  <c r="N132" i="59" s="1"/>
  <c r="G132" i="59"/>
  <c r="O132" i="59" s="1"/>
  <c r="N144" i="93" l="1"/>
  <c r="Q132" i="59"/>
  <c r="C135" i="59"/>
  <c r="K135" i="59" s="1"/>
  <c r="E133" i="59"/>
  <c r="G133" i="59"/>
  <c r="O133" i="59" s="1"/>
  <c r="F133" i="59"/>
  <c r="N133" i="59" s="1"/>
  <c r="D133" i="59"/>
  <c r="N145" i="93" l="1"/>
  <c r="Q133" i="59"/>
  <c r="C136" i="59"/>
  <c r="K136" i="59" s="1"/>
  <c r="N146" i="93" l="1"/>
  <c r="C137" i="59"/>
  <c r="K137" i="59" s="1"/>
  <c r="G135" i="59"/>
  <c r="O135" i="59" s="1"/>
  <c r="D135" i="59"/>
  <c r="E135" i="59"/>
  <c r="F135" i="59"/>
  <c r="N135" i="59" s="1"/>
  <c r="Q135" i="59" l="1"/>
  <c r="C138" i="59"/>
  <c r="K138" i="59" s="1"/>
  <c r="E136" i="59"/>
  <c r="D136" i="59"/>
  <c r="F136" i="59"/>
  <c r="N136" i="59" s="1"/>
  <c r="G136" i="59"/>
  <c r="O136" i="59" s="1"/>
  <c r="N148" i="93" l="1"/>
  <c r="N186" i="93" s="1"/>
  <c r="Q136" i="59"/>
  <c r="K139" i="59"/>
  <c r="G137" i="59"/>
  <c r="O137" i="59" s="1"/>
  <c r="D137" i="59"/>
  <c r="F137" i="59"/>
  <c r="N137" i="59" s="1"/>
  <c r="E137" i="59"/>
  <c r="K45" i="9"/>
  <c r="N149" i="93" l="1"/>
  <c r="N187" i="93" s="1"/>
  <c r="Q137" i="59"/>
  <c r="C140" i="59"/>
  <c r="K140" i="59" s="1"/>
  <c r="E138" i="59"/>
  <c r="F138" i="59"/>
  <c r="N138" i="59" s="1"/>
  <c r="D138" i="59"/>
  <c r="G138" i="59"/>
  <c r="O138" i="59" s="1"/>
  <c r="D22" i="18"/>
  <c r="N150" i="93" l="1"/>
  <c r="N188" i="93" s="1"/>
  <c r="Q138" i="59"/>
  <c r="C141" i="59"/>
  <c r="K141" i="59" s="1"/>
  <c r="D139" i="59"/>
  <c r="F139" i="59"/>
  <c r="N139" i="59" s="1"/>
  <c r="G139" i="59"/>
  <c r="O139" i="59" s="1"/>
  <c r="E139" i="59"/>
  <c r="O29" i="9"/>
  <c r="O36" i="9" s="1"/>
  <c r="N151" i="93" l="1"/>
  <c r="N189" i="93" s="1"/>
  <c r="Q139" i="59"/>
  <c r="C142" i="59"/>
  <c r="K142" i="59" s="1"/>
  <c r="E140" i="59"/>
  <c r="G140" i="59"/>
  <c r="O140" i="59" s="1"/>
  <c r="D140" i="59"/>
  <c r="F140" i="59"/>
  <c r="N140" i="59" s="1"/>
  <c r="N152" i="93" l="1"/>
  <c r="N190" i="93" s="1"/>
  <c r="Q140" i="59"/>
  <c r="C143" i="59"/>
  <c r="K143" i="59" s="1"/>
  <c r="F141" i="59"/>
  <c r="N141" i="59" s="1"/>
  <c r="G141" i="59"/>
  <c r="O141" i="59" s="1"/>
  <c r="D141" i="59"/>
  <c r="E141" i="59"/>
  <c r="N153" i="93" l="1"/>
  <c r="N191" i="93" s="1"/>
  <c r="Q141" i="59"/>
  <c r="C144" i="59"/>
  <c r="K144" i="59" s="1"/>
  <c r="G142" i="59"/>
  <c r="O142" i="59" s="1"/>
  <c r="E142" i="59"/>
  <c r="D142" i="59"/>
  <c r="F142" i="59"/>
  <c r="N142" i="59" s="1"/>
  <c r="N154" i="93" l="1"/>
  <c r="N192" i="93" s="1"/>
  <c r="Q142" i="59"/>
  <c r="C145" i="59"/>
  <c r="K145" i="59" s="1"/>
  <c r="F143" i="59"/>
  <c r="N143" i="59" s="1"/>
  <c r="E143" i="59"/>
  <c r="D143" i="59"/>
  <c r="G143" i="59"/>
  <c r="O143" i="59" s="1"/>
  <c r="N155" i="93" l="1"/>
  <c r="N193" i="93" s="1"/>
  <c r="Q143" i="59"/>
  <c r="S21" i="59"/>
  <c r="G144" i="59"/>
  <c r="O144" i="59" s="1"/>
  <c r="D144" i="59"/>
  <c r="E144" i="59"/>
  <c r="F144" i="59"/>
  <c r="N144" i="59" s="1"/>
  <c r="I110" i="59"/>
  <c r="I111" i="59"/>
  <c r="I112" i="59"/>
  <c r="I113" i="59"/>
  <c r="I114" i="59"/>
  <c r="I115" i="59"/>
  <c r="I116" i="59"/>
  <c r="I117" i="59"/>
  <c r="N156" i="93" l="1"/>
  <c r="N194" i="93" s="1"/>
  <c r="AF40" i="84"/>
  <c r="AG40" i="84" s="1"/>
  <c r="AF36" i="84"/>
  <c r="AG36" i="84" s="1"/>
  <c r="AF43" i="84"/>
  <c r="AG43" i="84" s="1"/>
  <c r="AF39" i="84"/>
  <c r="AG39" i="84" s="1"/>
  <c r="AF42" i="84"/>
  <c r="AG42" i="84" s="1"/>
  <c r="AF38" i="84"/>
  <c r="AG38" i="84" s="1"/>
  <c r="AF41" i="84"/>
  <c r="AG41" i="84" s="1"/>
  <c r="AF37" i="84"/>
  <c r="AG37" i="84" s="1"/>
  <c r="S30" i="59"/>
  <c r="Q144" i="59"/>
  <c r="S29" i="59"/>
  <c r="F145" i="59"/>
  <c r="N145" i="59" s="1"/>
  <c r="D145" i="59"/>
  <c r="E145" i="59"/>
  <c r="G145" i="59"/>
  <c r="O145" i="59" s="1"/>
  <c r="AF113" i="71"/>
  <c r="AG113" i="71" s="1"/>
  <c r="AF112" i="71"/>
  <c r="AG112" i="71" s="1"/>
  <c r="AF116" i="71"/>
  <c r="AG116" i="71" s="1"/>
  <c r="AF115" i="71"/>
  <c r="AG115" i="71" s="1"/>
  <c r="AF111" i="71"/>
  <c r="AG111" i="71" s="1"/>
  <c r="AF117" i="71"/>
  <c r="AG117" i="71" s="1"/>
  <c r="AF114" i="71"/>
  <c r="AG114" i="71" s="1"/>
  <c r="AF110" i="71"/>
  <c r="AG110" i="71" s="1"/>
  <c r="I2" i="59"/>
  <c r="O15" i="76" s="1"/>
  <c r="I3" i="59"/>
  <c r="O16" i="76" s="1"/>
  <c r="I4" i="59"/>
  <c r="O17" i="76" s="1"/>
  <c r="I5" i="59"/>
  <c r="O18" i="76" s="1"/>
  <c r="I6" i="59"/>
  <c r="O19" i="76" s="1"/>
  <c r="I7" i="59"/>
  <c r="O20" i="76" s="1"/>
  <c r="I8" i="59"/>
  <c r="O21" i="76" s="1"/>
  <c r="I9" i="59"/>
  <c r="O22" i="76" s="1"/>
  <c r="I10" i="59"/>
  <c r="O23" i="76" s="1"/>
  <c r="I11" i="59"/>
  <c r="O24" i="76" s="1"/>
  <c r="I12" i="59"/>
  <c r="O25" i="76" s="1"/>
  <c r="I13" i="59"/>
  <c r="O26" i="76" s="1"/>
  <c r="I14" i="59"/>
  <c r="O27" i="76" s="1"/>
  <c r="I15" i="59"/>
  <c r="O28" i="76" s="1"/>
  <c r="P28" i="76" s="1"/>
  <c r="Q28" i="76" s="1"/>
  <c r="R28" i="76" s="1"/>
  <c r="I16" i="59"/>
  <c r="O29" i="76" s="1"/>
  <c r="P29" i="76" s="1"/>
  <c r="Q29" i="76" s="1"/>
  <c r="R29" i="76" s="1"/>
  <c r="I17" i="59"/>
  <c r="O30" i="76" s="1"/>
  <c r="P30" i="76" s="1"/>
  <c r="Q30" i="76" s="1"/>
  <c r="R30" i="76" s="1"/>
  <c r="I18" i="59"/>
  <c r="O31" i="76" s="1"/>
  <c r="P31" i="76" s="1"/>
  <c r="Q31" i="76" s="1"/>
  <c r="R31" i="76" s="1"/>
  <c r="I19" i="59"/>
  <c r="O32" i="76" s="1"/>
  <c r="P32" i="76" s="1"/>
  <c r="Q32" i="76" s="1"/>
  <c r="R32" i="76" s="1"/>
  <c r="I20" i="59"/>
  <c r="O33" i="76" s="1"/>
  <c r="P33" i="76" s="1"/>
  <c r="Q33" i="76" s="1"/>
  <c r="R33" i="76" s="1"/>
  <c r="I21" i="59"/>
  <c r="O34" i="76" s="1"/>
  <c r="P34" i="76" s="1"/>
  <c r="Q34" i="76" s="1"/>
  <c r="R34" i="76" s="1"/>
  <c r="I22" i="59"/>
  <c r="O35" i="76" s="1"/>
  <c r="P35" i="76" s="1"/>
  <c r="Q35" i="76" s="1"/>
  <c r="R35" i="76" s="1"/>
  <c r="I23" i="59"/>
  <c r="O36" i="76" s="1"/>
  <c r="P36" i="76" s="1"/>
  <c r="Q36" i="76" s="1"/>
  <c r="R36" i="76" s="1"/>
  <c r="I24" i="59"/>
  <c r="O37" i="76" s="1"/>
  <c r="P37" i="76" s="1"/>
  <c r="Q37" i="76" s="1"/>
  <c r="R37" i="76" s="1"/>
  <c r="I25" i="59"/>
  <c r="O38" i="76" s="1"/>
  <c r="P38" i="76" s="1"/>
  <c r="Q38" i="76" s="1"/>
  <c r="R38" i="76" s="1"/>
  <c r="O128" i="76" l="1"/>
  <c r="P128" i="76" s="1"/>
  <c r="Q128" i="76" s="1"/>
  <c r="R128" i="76" s="1"/>
  <c r="N205" i="76"/>
  <c r="O129" i="76"/>
  <c r="P129" i="76" s="1"/>
  <c r="Q129" i="76" s="1"/>
  <c r="R129" i="76" s="1"/>
  <c r="N206" i="76"/>
  <c r="O130" i="76"/>
  <c r="P130" i="76" s="1"/>
  <c r="Q130" i="76" s="1"/>
  <c r="R130" i="76" s="1"/>
  <c r="N207" i="76"/>
  <c r="O127" i="76"/>
  <c r="P127" i="76" s="1"/>
  <c r="Q127" i="76" s="1"/>
  <c r="R127" i="76" s="1"/>
  <c r="N204" i="76"/>
  <c r="O124" i="76"/>
  <c r="P124" i="76" s="1"/>
  <c r="Q124" i="76" s="1"/>
  <c r="R124" i="76" s="1"/>
  <c r="N201" i="76"/>
  <c r="O125" i="76"/>
  <c r="P125" i="76" s="1"/>
  <c r="Q125" i="76" s="1"/>
  <c r="R125" i="76" s="1"/>
  <c r="N202" i="76"/>
  <c r="O126" i="76"/>
  <c r="P126" i="76" s="1"/>
  <c r="Q126" i="76" s="1"/>
  <c r="R126" i="76" s="1"/>
  <c r="N203" i="76"/>
  <c r="O123" i="76"/>
  <c r="N200" i="76"/>
  <c r="B14" i="17"/>
  <c r="N157" i="93"/>
  <c r="N195" i="93" s="1"/>
  <c r="P22" i="76"/>
  <c r="P25" i="76"/>
  <c r="P21" i="76"/>
  <c r="P17" i="76"/>
  <c r="P26" i="76"/>
  <c r="P18" i="76"/>
  <c r="P24" i="76"/>
  <c r="P20" i="76"/>
  <c r="P16" i="76"/>
  <c r="O166" i="76"/>
  <c r="P27" i="76"/>
  <c r="Q27" i="76" s="1"/>
  <c r="R27" i="76" s="1"/>
  <c r="P23" i="76"/>
  <c r="P19" i="76"/>
  <c r="O165" i="76"/>
  <c r="P15" i="76"/>
  <c r="T29" i="59"/>
  <c r="B13" i="17"/>
  <c r="Q145" i="59"/>
  <c r="T30" i="59"/>
  <c r="V29" i="59"/>
  <c r="V30" i="59"/>
  <c r="Y29" i="59"/>
  <c r="Y30" i="59"/>
  <c r="D14" i="17" s="1"/>
  <c r="AE20" i="59"/>
  <c r="AE29" i="59"/>
  <c r="AE21" i="59"/>
  <c r="AE30" i="59"/>
  <c r="E14" i="17" s="1"/>
  <c r="AB20" i="59"/>
  <c r="AB29" i="59"/>
  <c r="AB21" i="59"/>
  <c r="AB30" i="59"/>
  <c r="F14" i="17" s="1"/>
  <c r="Y20" i="59"/>
  <c r="Y21" i="59"/>
  <c r="V20" i="59"/>
  <c r="V21" i="59"/>
  <c r="AF16" i="71"/>
  <c r="AG16" i="71" s="1"/>
  <c r="AF23" i="71"/>
  <c r="AG23" i="71" s="1"/>
  <c r="AF19" i="71"/>
  <c r="AG19" i="71" s="1"/>
  <c r="AF15" i="71"/>
  <c r="AG15" i="71" s="1"/>
  <c r="AF11" i="71"/>
  <c r="AG11" i="71" s="1"/>
  <c r="AF7" i="71"/>
  <c r="AG7" i="71" s="1"/>
  <c r="AF3" i="71"/>
  <c r="AG3" i="71" s="1"/>
  <c r="AF24" i="71"/>
  <c r="AG24" i="71" s="1"/>
  <c r="AF12" i="71"/>
  <c r="AG12" i="71" s="1"/>
  <c r="AF4" i="71"/>
  <c r="AG4" i="71" s="1"/>
  <c r="AF22" i="71"/>
  <c r="AG22" i="71" s="1"/>
  <c r="AF18" i="71"/>
  <c r="AG18" i="71" s="1"/>
  <c r="AF14" i="71"/>
  <c r="AG14" i="71" s="1"/>
  <c r="AF10" i="71"/>
  <c r="AG10" i="71" s="1"/>
  <c r="AF6" i="71"/>
  <c r="AG6" i="71" s="1"/>
  <c r="AF2" i="71"/>
  <c r="AG2" i="71" s="1"/>
  <c r="AF20" i="71"/>
  <c r="AG20" i="71" s="1"/>
  <c r="AF8" i="71"/>
  <c r="AG8" i="71" s="1"/>
  <c r="AF25" i="71"/>
  <c r="AG25" i="71" s="1"/>
  <c r="AF21" i="71"/>
  <c r="AG21" i="71" s="1"/>
  <c r="AF17" i="71"/>
  <c r="AG17" i="71" s="1"/>
  <c r="AF13" i="71"/>
  <c r="AG13" i="71" s="1"/>
  <c r="AF9" i="71"/>
  <c r="AG9" i="71" s="1"/>
  <c r="AF5" i="71"/>
  <c r="AG5" i="71" s="1"/>
  <c r="I26" i="59"/>
  <c r="O39" i="76" s="1"/>
  <c r="I27" i="59"/>
  <c r="O40" i="76" s="1"/>
  <c r="P40" i="76" s="1"/>
  <c r="Q40" i="76" s="1"/>
  <c r="R40" i="76" s="1"/>
  <c r="I28" i="59"/>
  <c r="O41" i="76" s="1"/>
  <c r="P41" i="76" s="1"/>
  <c r="Q41" i="76" s="1"/>
  <c r="R41" i="76" s="1"/>
  <c r="I29" i="59"/>
  <c r="O42" i="76" s="1"/>
  <c r="P42" i="76" s="1"/>
  <c r="Q42" i="76" s="1"/>
  <c r="R42" i="76" s="1"/>
  <c r="I30" i="59"/>
  <c r="O43" i="76" s="1"/>
  <c r="P43" i="76" s="1"/>
  <c r="Q43" i="76" s="1"/>
  <c r="R43" i="76" s="1"/>
  <c r="I31" i="59"/>
  <c r="O44" i="76" s="1"/>
  <c r="P44" i="76" s="1"/>
  <c r="Q44" i="76" s="1"/>
  <c r="R44" i="76" s="1"/>
  <c r="I32" i="59"/>
  <c r="O45" i="76" s="1"/>
  <c r="P45" i="76" s="1"/>
  <c r="Q45" i="76" s="1"/>
  <c r="R45" i="76" s="1"/>
  <c r="I33" i="59"/>
  <c r="O46" i="76" s="1"/>
  <c r="P46" i="76" s="1"/>
  <c r="Q46" i="76" s="1"/>
  <c r="R46" i="76" s="1"/>
  <c r="I34" i="59"/>
  <c r="O47" i="76" s="1"/>
  <c r="P47" i="76" s="1"/>
  <c r="Q47" i="76" s="1"/>
  <c r="R47" i="76" s="1"/>
  <c r="I35" i="59"/>
  <c r="O48" i="76" s="1"/>
  <c r="P48" i="76" s="1"/>
  <c r="Q48" i="76" s="1"/>
  <c r="R48" i="76" s="1"/>
  <c r="I36" i="59"/>
  <c r="O49" i="76" s="1"/>
  <c r="P49" i="76" s="1"/>
  <c r="Q49" i="76" s="1"/>
  <c r="R49" i="76" s="1"/>
  <c r="I37" i="59"/>
  <c r="O50" i="76" s="1"/>
  <c r="P50" i="76" s="1"/>
  <c r="Q50" i="76" s="1"/>
  <c r="R50" i="76" s="1"/>
  <c r="O174" i="76" l="1"/>
  <c r="P123" i="76"/>
  <c r="Q123" i="76" s="1"/>
  <c r="R123" i="76" s="1"/>
  <c r="N158" i="93"/>
  <c r="N196" i="93" s="1"/>
  <c r="O167" i="76"/>
  <c r="P39" i="76"/>
  <c r="Q39" i="76" s="1"/>
  <c r="R39" i="76" s="1"/>
  <c r="Q19" i="76"/>
  <c r="R19" i="76" s="1"/>
  <c r="Q20" i="76"/>
  <c r="R20" i="76" s="1"/>
  <c r="Q18" i="76"/>
  <c r="R18" i="76" s="1"/>
  <c r="Q17" i="76"/>
  <c r="R17" i="76" s="1"/>
  <c r="Q25" i="76"/>
  <c r="R25" i="76" s="1"/>
  <c r="Q15" i="76"/>
  <c r="R15" i="76" s="1"/>
  <c r="Q166" i="76"/>
  <c r="S166" i="76"/>
  <c r="S165" i="76"/>
  <c r="Q165" i="76"/>
  <c r="Q23" i="76"/>
  <c r="R23" i="76" s="1"/>
  <c r="Q16" i="76"/>
  <c r="R16" i="76" s="1"/>
  <c r="Q24" i="76"/>
  <c r="R24" i="76" s="1"/>
  <c r="Q26" i="76"/>
  <c r="R26" i="76" s="1"/>
  <c r="Q21" i="76"/>
  <c r="R21" i="76" s="1"/>
  <c r="Q22" i="76"/>
  <c r="R22" i="76" s="1"/>
  <c r="AC29" i="59"/>
  <c r="F13" i="17"/>
  <c r="AF29" i="59"/>
  <c r="E13" i="17"/>
  <c r="W30" i="59"/>
  <c r="C14" i="17"/>
  <c r="W29" i="59"/>
  <c r="C13" i="17"/>
  <c r="Z29" i="59"/>
  <c r="D13" i="17"/>
  <c r="AC30" i="59"/>
  <c r="AF30" i="59"/>
  <c r="Z30" i="59"/>
  <c r="AF28" i="71"/>
  <c r="AG28" i="71" s="1"/>
  <c r="AF35" i="71"/>
  <c r="AG35" i="71" s="1"/>
  <c r="AF27" i="71"/>
  <c r="AG27" i="71" s="1"/>
  <c r="AF30" i="71"/>
  <c r="AG30" i="71" s="1"/>
  <c r="AF26" i="71"/>
  <c r="AG26" i="71" s="1"/>
  <c r="AF37" i="71"/>
  <c r="AG37" i="71" s="1"/>
  <c r="AF33" i="71"/>
  <c r="AG33" i="71" s="1"/>
  <c r="AF29" i="71"/>
  <c r="AG29" i="71" s="1"/>
  <c r="AF36" i="71"/>
  <c r="AG36" i="71" s="1"/>
  <c r="AF32" i="71"/>
  <c r="AG32" i="71" s="1"/>
  <c r="AF31" i="71"/>
  <c r="AG31" i="71" s="1"/>
  <c r="AF34" i="71"/>
  <c r="AG34" i="71" s="1"/>
  <c r="I38" i="59"/>
  <c r="O51" i="76" s="1"/>
  <c r="I39" i="59"/>
  <c r="O52" i="76" s="1"/>
  <c r="P52" i="76" s="1"/>
  <c r="Q52" i="76" s="1"/>
  <c r="R52" i="76" s="1"/>
  <c r="I40" i="59"/>
  <c r="O53" i="76" s="1"/>
  <c r="P53" i="76" s="1"/>
  <c r="Q53" i="76" s="1"/>
  <c r="R53" i="76" s="1"/>
  <c r="I41" i="59"/>
  <c r="O54" i="76" s="1"/>
  <c r="P54" i="76" s="1"/>
  <c r="Q54" i="76" s="1"/>
  <c r="R54" i="76" s="1"/>
  <c r="I42" i="59"/>
  <c r="O55" i="76" s="1"/>
  <c r="P55" i="76" s="1"/>
  <c r="Q55" i="76" s="1"/>
  <c r="R55" i="76" s="1"/>
  <c r="I43" i="59"/>
  <c r="O56" i="76" s="1"/>
  <c r="P56" i="76" s="1"/>
  <c r="Q56" i="76" s="1"/>
  <c r="R56" i="76" s="1"/>
  <c r="I44" i="59"/>
  <c r="O57" i="76" s="1"/>
  <c r="P57" i="76" s="1"/>
  <c r="Q57" i="76" s="1"/>
  <c r="R57" i="76" s="1"/>
  <c r="I45" i="59"/>
  <c r="O58" i="76" s="1"/>
  <c r="P58" i="76" s="1"/>
  <c r="Q58" i="76" s="1"/>
  <c r="R58" i="76" s="1"/>
  <c r="I46" i="59"/>
  <c r="O59" i="76" s="1"/>
  <c r="P59" i="76" s="1"/>
  <c r="Q59" i="76" s="1"/>
  <c r="R59" i="76" s="1"/>
  <c r="I47" i="59"/>
  <c r="O60" i="76" s="1"/>
  <c r="P60" i="76" s="1"/>
  <c r="Q60" i="76" s="1"/>
  <c r="R60" i="76" s="1"/>
  <c r="I48" i="59"/>
  <c r="O61" i="76" s="1"/>
  <c r="P61" i="76" s="1"/>
  <c r="Q61" i="76" s="1"/>
  <c r="R61" i="76" s="1"/>
  <c r="I49" i="59"/>
  <c r="O62" i="76" s="1"/>
  <c r="P62" i="76" s="1"/>
  <c r="Q62" i="76" s="1"/>
  <c r="R62" i="76" s="1"/>
  <c r="Q174" i="76" l="1"/>
  <c r="D12" i="9" s="1"/>
  <c r="S174" i="76"/>
  <c r="I64" i="87"/>
  <c r="M17" i="11"/>
  <c r="I65" i="87"/>
  <c r="D4" i="9"/>
  <c r="D3" i="9"/>
  <c r="B5" i="11"/>
  <c r="E3" i="9"/>
  <c r="T165" i="76"/>
  <c r="U165" i="76" s="1"/>
  <c r="O168" i="76"/>
  <c r="P51" i="76"/>
  <c r="T166" i="76"/>
  <c r="U166" i="76" s="1"/>
  <c r="E4" i="9"/>
  <c r="C5" i="11"/>
  <c r="S167" i="76"/>
  <c r="Q167" i="76"/>
  <c r="AF42" i="71"/>
  <c r="AG42" i="71" s="1"/>
  <c r="AF47" i="71"/>
  <c r="AG47" i="71" s="1"/>
  <c r="AF43" i="71"/>
  <c r="AG43" i="71" s="1"/>
  <c r="AF39" i="71"/>
  <c r="AG39" i="71" s="1"/>
  <c r="AF46" i="71"/>
  <c r="AG46" i="71" s="1"/>
  <c r="AF38" i="71"/>
  <c r="AG38" i="71" s="1"/>
  <c r="AF49" i="71"/>
  <c r="AG49" i="71" s="1"/>
  <c r="AF45" i="71"/>
  <c r="AG45" i="71" s="1"/>
  <c r="AF41" i="71"/>
  <c r="AG41" i="71" s="1"/>
  <c r="AF48" i="71"/>
  <c r="AG48" i="71" s="1"/>
  <c r="AF44" i="71"/>
  <c r="AG44" i="71" s="1"/>
  <c r="AF40" i="71"/>
  <c r="AG40" i="71" s="1"/>
  <c r="I50" i="59"/>
  <c r="O63" i="76" s="1"/>
  <c r="I51" i="59"/>
  <c r="O64" i="76" s="1"/>
  <c r="P64" i="76" s="1"/>
  <c r="Q64" i="76" s="1"/>
  <c r="R64" i="76" s="1"/>
  <c r="I52" i="59"/>
  <c r="O65" i="76" s="1"/>
  <c r="P65" i="76" s="1"/>
  <c r="Q65" i="76" s="1"/>
  <c r="R65" i="76" s="1"/>
  <c r="I53" i="59"/>
  <c r="O66" i="76" s="1"/>
  <c r="P66" i="76" s="1"/>
  <c r="Q66" i="76" s="1"/>
  <c r="R66" i="76" s="1"/>
  <c r="I54" i="59"/>
  <c r="O67" i="76" s="1"/>
  <c r="P67" i="76" s="1"/>
  <c r="Q67" i="76" s="1"/>
  <c r="R67" i="76" s="1"/>
  <c r="I55" i="59"/>
  <c r="O68" i="76" s="1"/>
  <c r="P68" i="76" s="1"/>
  <c r="Q68" i="76" s="1"/>
  <c r="R68" i="76" s="1"/>
  <c r="I56" i="59"/>
  <c r="O69" i="76" s="1"/>
  <c r="P69" i="76" s="1"/>
  <c r="Q69" i="76" s="1"/>
  <c r="R69" i="76" s="1"/>
  <c r="I57" i="59"/>
  <c r="O70" i="76" s="1"/>
  <c r="P70" i="76" s="1"/>
  <c r="Q70" i="76" s="1"/>
  <c r="R70" i="76" s="1"/>
  <c r="I58" i="59"/>
  <c r="O71" i="76" s="1"/>
  <c r="P71" i="76" s="1"/>
  <c r="Q71" i="76" s="1"/>
  <c r="R71" i="76" s="1"/>
  <c r="I59" i="59"/>
  <c r="O72" i="76" s="1"/>
  <c r="P72" i="76" s="1"/>
  <c r="Q72" i="76" s="1"/>
  <c r="R72" i="76" s="1"/>
  <c r="I60" i="59"/>
  <c r="O73" i="76" s="1"/>
  <c r="P73" i="76" s="1"/>
  <c r="Q73" i="76" s="1"/>
  <c r="R73" i="76" s="1"/>
  <c r="I61" i="59"/>
  <c r="O74" i="76" s="1"/>
  <c r="P74" i="76" s="1"/>
  <c r="Q74" i="76" s="1"/>
  <c r="R74" i="76" s="1"/>
  <c r="K5" i="11" l="1"/>
  <c r="E12" i="9"/>
  <c r="T174" i="76"/>
  <c r="U174" i="76" s="1"/>
  <c r="D5" i="9"/>
  <c r="Q168" i="76"/>
  <c r="S168" i="76"/>
  <c r="D5" i="11"/>
  <c r="T167" i="76"/>
  <c r="U167" i="76" s="1"/>
  <c r="E5" i="9"/>
  <c r="O169" i="76"/>
  <c r="P63" i="76"/>
  <c r="Q63" i="76" s="1"/>
  <c r="R63" i="76" s="1"/>
  <c r="Q51" i="76"/>
  <c r="R51" i="76" s="1"/>
  <c r="B6" i="11"/>
  <c r="AF58" i="71"/>
  <c r="AG58" i="71" s="1"/>
  <c r="AF54" i="71"/>
  <c r="AG54" i="71" s="1"/>
  <c r="AF50" i="71"/>
  <c r="AG50" i="71" s="1"/>
  <c r="AF61" i="71"/>
  <c r="AG61" i="71" s="1"/>
  <c r="AF57" i="71"/>
  <c r="AG57" i="71" s="1"/>
  <c r="AF53" i="71"/>
  <c r="AG53" i="71" s="1"/>
  <c r="AF60" i="71"/>
  <c r="AG60" i="71" s="1"/>
  <c r="AF56" i="71"/>
  <c r="AG56" i="71" s="1"/>
  <c r="AF52" i="71"/>
  <c r="AG52" i="71" s="1"/>
  <c r="AF59" i="71"/>
  <c r="AG59" i="71" s="1"/>
  <c r="AF55" i="71"/>
  <c r="AG55" i="71" s="1"/>
  <c r="AF51" i="71"/>
  <c r="AG51" i="71" s="1"/>
  <c r="I62" i="59"/>
  <c r="O75" i="76" s="1"/>
  <c r="I63" i="59"/>
  <c r="O76" i="76" s="1"/>
  <c r="P76" i="76" s="1"/>
  <c r="Q76" i="76" s="1"/>
  <c r="R76" i="76" s="1"/>
  <c r="I64" i="59"/>
  <c r="O77" i="76" s="1"/>
  <c r="P77" i="76" s="1"/>
  <c r="Q77" i="76" s="1"/>
  <c r="R77" i="76" s="1"/>
  <c r="I65" i="59"/>
  <c r="O78" i="76" s="1"/>
  <c r="P78" i="76" s="1"/>
  <c r="Q78" i="76" s="1"/>
  <c r="R78" i="76" s="1"/>
  <c r="I66" i="59"/>
  <c r="O79" i="76" s="1"/>
  <c r="P79" i="76" s="1"/>
  <c r="Q79" i="76" s="1"/>
  <c r="R79" i="76" s="1"/>
  <c r="I67" i="59"/>
  <c r="O80" i="76" s="1"/>
  <c r="P80" i="76" s="1"/>
  <c r="Q80" i="76" s="1"/>
  <c r="R80" i="76" s="1"/>
  <c r="I68" i="59"/>
  <c r="O81" i="76" s="1"/>
  <c r="P81" i="76" s="1"/>
  <c r="Q81" i="76" s="1"/>
  <c r="R81" i="76" s="1"/>
  <c r="I69" i="59"/>
  <c r="O82" i="76" s="1"/>
  <c r="P82" i="76" s="1"/>
  <c r="Q82" i="76" s="1"/>
  <c r="R82" i="76" s="1"/>
  <c r="I70" i="59"/>
  <c r="O83" i="76" s="1"/>
  <c r="P83" i="76" s="1"/>
  <c r="Q83" i="76" s="1"/>
  <c r="R83" i="76" s="1"/>
  <c r="I71" i="59"/>
  <c r="O84" i="76" s="1"/>
  <c r="P84" i="76" s="1"/>
  <c r="Q84" i="76" s="1"/>
  <c r="R84" i="76" s="1"/>
  <c r="I72" i="59"/>
  <c r="O85" i="76" s="1"/>
  <c r="P85" i="76" s="1"/>
  <c r="Q85" i="76" s="1"/>
  <c r="R85" i="76" s="1"/>
  <c r="I73" i="59"/>
  <c r="O86" i="76" s="1"/>
  <c r="P86" i="76" s="1"/>
  <c r="Q86" i="76" s="1"/>
  <c r="R86" i="76" s="1"/>
  <c r="D6" i="9" l="1"/>
  <c r="Q169" i="76"/>
  <c r="S169" i="76"/>
  <c r="E5" i="11"/>
  <c r="T168" i="76"/>
  <c r="U168" i="76" s="1"/>
  <c r="E6" i="9"/>
  <c r="O170" i="76"/>
  <c r="P75" i="76"/>
  <c r="AF70" i="71"/>
  <c r="AG70" i="71" s="1"/>
  <c r="AF66" i="71"/>
  <c r="AG66" i="71" s="1"/>
  <c r="AF62" i="71"/>
  <c r="AG62" i="71" s="1"/>
  <c r="AF73" i="71"/>
  <c r="AG73" i="71" s="1"/>
  <c r="AF69" i="71"/>
  <c r="AG69" i="71" s="1"/>
  <c r="AF65" i="71"/>
  <c r="AG65" i="71" s="1"/>
  <c r="AF72" i="71"/>
  <c r="AG72" i="71" s="1"/>
  <c r="AF68" i="71"/>
  <c r="AG68" i="71" s="1"/>
  <c r="AF64" i="71"/>
  <c r="AG64" i="71" s="1"/>
  <c r="AF71" i="71"/>
  <c r="AG71" i="71" s="1"/>
  <c r="AF67" i="71"/>
  <c r="AG67" i="71" s="1"/>
  <c r="AF63" i="71"/>
  <c r="AG63" i="71" s="1"/>
  <c r="I74" i="59"/>
  <c r="O87" i="76" s="1"/>
  <c r="I75" i="59"/>
  <c r="O88" i="76" s="1"/>
  <c r="P88" i="76" s="1"/>
  <c r="Q88" i="76" s="1"/>
  <c r="R88" i="76" s="1"/>
  <c r="I76" i="59"/>
  <c r="I77" i="59"/>
  <c r="I78" i="59"/>
  <c r="I79" i="59"/>
  <c r="I80" i="59"/>
  <c r="I81" i="59"/>
  <c r="I82" i="59"/>
  <c r="I83" i="59"/>
  <c r="I84" i="59"/>
  <c r="I85" i="59"/>
  <c r="O94" i="76" l="1"/>
  <c r="P94" i="76" s="1"/>
  <c r="Q94" i="76" s="1"/>
  <c r="R94" i="76" s="1"/>
  <c r="AF7" i="84"/>
  <c r="AG7" i="84" s="1"/>
  <c r="O90" i="76"/>
  <c r="P90" i="76" s="1"/>
  <c r="Q90" i="76" s="1"/>
  <c r="R90" i="76" s="1"/>
  <c r="AF3" i="84"/>
  <c r="AG3" i="84" s="1"/>
  <c r="O93" i="76"/>
  <c r="P93" i="76" s="1"/>
  <c r="Q93" i="76" s="1"/>
  <c r="R93" i="76" s="1"/>
  <c r="AF6" i="84"/>
  <c r="AG6" i="84" s="1"/>
  <c r="O89" i="76"/>
  <c r="P89" i="76" s="1"/>
  <c r="Q89" i="76" s="1"/>
  <c r="R89" i="76" s="1"/>
  <c r="AF2" i="84"/>
  <c r="AG2" i="84" s="1"/>
  <c r="O96" i="76"/>
  <c r="P96" i="76" s="1"/>
  <c r="Q96" i="76" s="1"/>
  <c r="R96" i="76" s="1"/>
  <c r="AF9" i="84"/>
  <c r="AG9" i="84" s="1"/>
  <c r="O92" i="76"/>
  <c r="P92" i="76" s="1"/>
  <c r="Q92" i="76" s="1"/>
  <c r="R92" i="76" s="1"/>
  <c r="AF5" i="84"/>
  <c r="AG5" i="84" s="1"/>
  <c r="O98" i="76"/>
  <c r="P98" i="76" s="1"/>
  <c r="Q98" i="76" s="1"/>
  <c r="R98" i="76" s="1"/>
  <c r="AF11" i="84"/>
  <c r="AG11" i="84" s="1"/>
  <c r="O97" i="76"/>
  <c r="P97" i="76" s="1"/>
  <c r="Q97" i="76" s="1"/>
  <c r="R97" i="76" s="1"/>
  <c r="AF10" i="84"/>
  <c r="AG10" i="84" s="1"/>
  <c r="O95" i="76"/>
  <c r="P95" i="76" s="1"/>
  <c r="Q95" i="76" s="1"/>
  <c r="R95" i="76" s="1"/>
  <c r="AF8" i="84"/>
  <c r="AG8" i="84" s="1"/>
  <c r="O91" i="76"/>
  <c r="P91" i="76" s="1"/>
  <c r="Q91" i="76" s="1"/>
  <c r="R91" i="76" s="1"/>
  <c r="AF4" i="84"/>
  <c r="AG4" i="84" s="1"/>
  <c r="D7" i="9"/>
  <c r="P87" i="76"/>
  <c r="Q87" i="76" s="1"/>
  <c r="R87" i="76" s="1"/>
  <c r="Q75" i="76"/>
  <c r="R75" i="76" s="1"/>
  <c r="S170" i="76"/>
  <c r="Q170" i="76"/>
  <c r="E7" i="9"/>
  <c r="T169" i="76"/>
  <c r="U169" i="76" s="1"/>
  <c r="F5" i="11"/>
  <c r="AF83" i="71"/>
  <c r="AG83" i="71" s="1"/>
  <c r="AF79" i="71"/>
  <c r="AG79" i="71" s="1"/>
  <c r="AF75" i="71"/>
  <c r="AG75" i="71" s="1"/>
  <c r="AF84" i="71"/>
  <c r="AG84" i="71" s="1"/>
  <c r="AF76" i="71"/>
  <c r="AG76" i="71" s="1"/>
  <c r="AF82" i="71"/>
  <c r="AG82" i="71" s="1"/>
  <c r="AF78" i="71"/>
  <c r="AG78" i="71" s="1"/>
  <c r="AF74" i="71"/>
  <c r="AG74" i="71" s="1"/>
  <c r="AF85" i="71"/>
  <c r="AG85" i="71" s="1"/>
  <c r="AF81" i="71"/>
  <c r="AG81" i="71" s="1"/>
  <c r="AF77" i="71"/>
  <c r="AG77" i="71" s="1"/>
  <c r="AF80" i="71"/>
  <c r="AG80" i="71" s="1"/>
  <c r="I86" i="59"/>
  <c r="I87" i="59"/>
  <c r="I88" i="59"/>
  <c r="I89" i="59"/>
  <c r="I90" i="59"/>
  <c r="I91" i="59"/>
  <c r="I92" i="59"/>
  <c r="I93" i="59"/>
  <c r="I94" i="59"/>
  <c r="I95" i="59"/>
  <c r="I96" i="59"/>
  <c r="I97" i="59"/>
  <c r="O171" i="76" l="1"/>
  <c r="S171" i="76" s="1"/>
  <c r="O103" i="76"/>
  <c r="P103" i="76" s="1"/>
  <c r="Q103" i="76" s="1"/>
  <c r="R103" i="76" s="1"/>
  <c r="AF16" i="84"/>
  <c r="AG16" i="84" s="1"/>
  <c r="O110" i="76"/>
  <c r="P110" i="76" s="1"/>
  <c r="Q110" i="76" s="1"/>
  <c r="R110" i="76" s="1"/>
  <c r="AF23" i="84"/>
  <c r="AG23" i="84" s="1"/>
  <c r="O106" i="76"/>
  <c r="P106" i="76" s="1"/>
  <c r="Q106" i="76" s="1"/>
  <c r="R106" i="76" s="1"/>
  <c r="AF19" i="84"/>
  <c r="AG19" i="84" s="1"/>
  <c r="O102" i="76"/>
  <c r="P102" i="76" s="1"/>
  <c r="Q102" i="76" s="1"/>
  <c r="R102" i="76" s="1"/>
  <c r="AF15" i="84"/>
  <c r="AG15" i="84" s="1"/>
  <c r="O107" i="76"/>
  <c r="P107" i="76" s="1"/>
  <c r="Q107" i="76" s="1"/>
  <c r="R107" i="76" s="1"/>
  <c r="AF20" i="84"/>
  <c r="AG20" i="84" s="1"/>
  <c r="O99" i="76"/>
  <c r="P99" i="76" s="1"/>
  <c r="AF12" i="84"/>
  <c r="AG12" i="84" s="1"/>
  <c r="O109" i="76"/>
  <c r="P109" i="76" s="1"/>
  <c r="Q109" i="76" s="1"/>
  <c r="R109" i="76" s="1"/>
  <c r="AF22" i="84"/>
  <c r="AG22" i="84" s="1"/>
  <c r="O105" i="76"/>
  <c r="P105" i="76" s="1"/>
  <c r="Q105" i="76" s="1"/>
  <c r="R105" i="76" s="1"/>
  <c r="AF18" i="84"/>
  <c r="AG18" i="84" s="1"/>
  <c r="O101" i="76"/>
  <c r="P101" i="76" s="1"/>
  <c r="Q101" i="76" s="1"/>
  <c r="R101" i="76" s="1"/>
  <c r="AF14" i="84"/>
  <c r="AG14" i="84" s="1"/>
  <c r="O108" i="76"/>
  <c r="P108" i="76" s="1"/>
  <c r="Q108" i="76" s="1"/>
  <c r="R108" i="76" s="1"/>
  <c r="AF21" i="84"/>
  <c r="AG21" i="84" s="1"/>
  <c r="O104" i="76"/>
  <c r="P104" i="76" s="1"/>
  <c r="Q104" i="76" s="1"/>
  <c r="R104" i="76" s="1"/>
  <c r="AF17" i="84"/>
  <c r="AG17" i="84" s="1"/>
  <c r="O100" i="76"/>
  <c r="P100" i="76" s="1"/>
  <c r="Q100" i="76" s="1"/>
  <c r="R100" i="76" s="1"/>
  <c r="AF13" i="84"/>
  <c r="AG13" i="84" s="1"/>
  <c r="D8" i="9"/>
  <c r="G5" i="11"/>
  <c r="E8" i="9"/>
  <c r="T170" i="76"/>
  <c r="U170" i="76" s="1"/>
  <c r="AF96" i="71"/>
  <c r="AG96" i="71" s="1"/>
  <c r="AF92" i="71"/>
  <c r="AG92" i="71" s="1"/>
  <c r="AF88" i="71"/>
  <c r="AG88" i="71" s="1"/>
  <c r="AF95" i="71"/>
  <c r="AG95" i="71" s="1"/>
  <c r="AF91" i="71"/>
  <c r="AG91" i="71" s="1"/>
  <c r="AF87" i="71"/>
  <c r="AG87" i="71" s="1"/>
  <c r="AF97" i="71"/>
  <c r="AG97" i="71" s="1"/>
  <c r="AF93" i="71"/>
  <c r="AG93" i="71" s="1"/>
  <c r="AF89" i="71"/>
  <c r="AG89" i="71" s="1"/>
  <c r="AF94" i="71"/>
  <c r="AG94" i="71" s="1"/>
  <c r="AF90" i="71"/>
  <c r="AG90" i="71" s="1"/>
  <c r="AF86" i="71"/>
  <c r="AG86" i="71" s="1"/>
  <c r="I99" i="59"/>
  <c r="I100" i="59"/>
  <c r="I101" i="59"/>
  <c r="I102" i="59"/>
  <c r="I103" i="59"/>
  <c r="I104" i="59"/>
  <c r="I105" i="59"/>
  <c r="I106" i="59"/>
  <c r="I107" i="59"/>
  <c r="I108" i="59"/>
  <c r="I109" i="59"/>
  <c r="I98" i="59"/>
  <c r="Q171" i="76" l="1"/>
  <c r="D9" i="9" s="1"/>
  <c r="O172" i="76"/>
  <c r="Q172" i="76" s="1"/>
  <c r="O119" i="76"/>
  <c r="P119" i="76" s="1"/>
  <c r="Q119" i="76" s="1"/>
  <c r="R119" i="76" s="1"/>
  <c r="AF32" i="84"/>
  <c r="AG32" i="84" s="1"/>
  <c r="O122" i="76"/>
  <c r="P122" i="76" s="1"/>
  <c r="AF35" i="84"/>
  <c r="AG35" i="84" s="1"/>
  <c r="O118" i="76"/>
  <c r="P118" i="76" s="1"/>
  <c r="Q118" i="76" s="1"/>
  <c r="R118" i="76" s="1"/>
  <c r="AF31" i="84"/>
  <c r="AG31" i="84" s="1"/>
  <c r="O114" i="76"/>
  <c r="P114" i="76" s="1"/>
  <c r="Q114" i="76" s="1"/>
  <c r="R114" i="76" s="1"/>
  <c r="AF27" i="84"/>
  <c r="AG27" i="84" s="1"/>
  <c r="O121" i="76"/>
  <c r="P121" i="76" s="1"/>
  <c r="Q121" i="76" s="1"/>
  <c r="R121" i="76" s="1"/>
  <c r="AF34" i="84"/>
  <c r="AG34" i="84" s="1"/>
  <c r="O117" i="76"/>
  <c r="P117" i="76" s="1"/>
  <c r="Q117" i="76" s="1"/>
  <c r="R117" i="76" s="1"/>
  <c r="AF30" i="84"/>
  <c r="AG30" i="84" s="1"/>
  <c r="O113" i="76"/>
  <c r="P113" i="76" s="1"/>
  <c r="Q113" i="76" s="1"/>
  <c r="R113" i="76" s="1"/>
  <c r="AF26" i="84"/>
  <c r="AG26" i="84" s="1"/>
  <c r="O111" i="76"/>
  <c r="AF24" i="84"/>
  <c r="AG24" i="84" s="1"/>
  <c r="O115" i="76"/>
  <c r="P115" i="76" s="1"/>
  <c r="Q115" i="76" s="1"/>
  <c r="R115" i="76" s="1"/>
  <c r="AF28" i="84"/>
  <c r="AG28" i="84" s="1"/>
  <c r="O120" i="76"/>
  <c r="P120" i="76" s="1"/>
  <c r="Q120" i="76" s="1"/>
  <c r="R120" i="76" s="1"/>
  <c r="AF33" i="84"/>
  <c r="AG33" i="84" s="1"/>
  <c r="O116" i="76"/>
  <c r="P116" i="76" s="1"/>
  <c r="Q116" i="76" s="1"/>
  <c r="R116" i="76" s="1"/>
  <c r="AF29" i="84"/>
  <c r="AG29" i="84" s="1"/>
  <c r="O112" i="76"/>
  <c r="P112" i="76" s="1"/>
  <c r="Q112" i="76" s="1"/>
  <c r="R112" i="76" s="1"/>
  <c r="AF25" i="84"/>
  <c r="AG25" i="84" s="1"/>
  <c r="Q99" i="76"/>
  <c r="R99" i="76" s="1"/>
  <c r="P111" i="76"/>
  <c r="Q111" i="76" s="1"/>
  <c r="R111" i="76" s="1"/>
  <c r="H5" i="11"/>
  <c r="T171" i="76"/>
  <c r="U171" i="76" s="1"/>
  <c r="E9" i="9"/>
  <c r="AF109" i="71"/>
  <c r="AG109" i="71" s="1"/>
  <c r="AF105" i="71"/>
  <c r="AG105" i="71" s="1"/>
  <c r="AF101" i="71"/>
  <c r="AG101" i="71" s="1"/>
  <c r="AF108" i="71"/>
  <c r="AG108" i="71" s="1"/>
  <c r="AF104" i="71"/>
  <c r="AG104" i="71" s="1"/>
  <c r="AF100" i="71"/>
  <c r="AG100" i="71" s="1"/>
  <c r="AF98" i="71"/>
  <c r="AG98" i="71" s="1"/>
  <c r="AF106" i="71"/>
  <c r="AG106" i="71" s="1"/>
  <c r="AF102" i="71"/>
  <c r="AG102" i="71" s="1"/>
  <c r="AF107" i="71"/>
  <c r="AG107" i="71" s="1"/>
  <c r="AF103" i="71"/>
  <c r="AG103" i="71" s="1"/>
  <c r="AF99" i="71"/>
  <c r="AG99" i="71" s="1"/>
  <c r="J67" i="11"/>
  <c r="I67" i="11"/>
  <c r="H67" i="11"/>
  <c r="G67" i="11"/>
  <c r="F67" i="11"/>
  <c r="E67" i="11"/>
  <c r="D67" i="11"/>
  <c r="J66" i="11"/>
  <c r="I66" i="11"/>
  <c r="H66" i="11"/>
  <c r="G66" i="11"/>
  <c r="F66" i="11"/>
  <c r="E66" i="11"/>
  <c r="D66" i="11"/>
  <c r="J65" i="11"/>
  <c r="I65" i="11"/>
  <c r="H65" i="11"/>
  <c r="G65" i="11"/>
  <c r="F65" i="11"/>
  <c r="E65" i="11"/>
  <c r="D65" i="11"/>
  <c r="H3" i="17"/>
  <c r="B44" i="11" s="1"/>
  <c r="B50" i="11" s="1"/>
  <c r="H4" i="17"/>
  <c r="C44" i="11" s="1"/>
  <c r="H5" i="17"/>
  <c r="D44" i="11" s="1"/>
  <c r="H6" i="17"/>
  <c r="E44" i="11" s="1"/>
  <c r="H7" i="17"/>
  <c r="F44" i="11" s="1"/>
  <c r="H8" i="17"/>
  <c r="G44" i="11" s="1"/>
  <c r="H9" i="17"/>
  <c r="H44" i="11" s="1"/>
  <c r="H10" i="17"/>
  <c r="I44" i="11" s="1"/>
  <c r="H11" i="17"/>
  <c r="J44" i="11" s="1"/>
  <c r="S172" i="76" l="1"/>
  <c r="E10" i="9" s="1"/>
  <c r="O173" i="76"/>
  <c r="O178" i="76" s="1"/>
  <c r="T178" i="76" s="1"/>
  <c r="D10" i="9"/>
  <c r="Q122" i="76"/>
  <c r="R122" i="76" s="1"/>
  <c r="S131" i="76" s="1"/>
  <c r="E4" i="18"/>
  <c r="D46" i="11" s="1"/>
  <c r="E5" i="18"/>
  <c r="E46" i="11" s="1"/>
  <c r="E6" i="18"/>
  <c r="F46" i="11" s="1"/>
  <c r="E7" i="18"/>
  <c r="G46" i="11" s="1"/>
  <c r="E8" i="18"/>
  <c r="H46" i="11" s="1"/>
  <c r="E9" i="18"/>
  <c r="I46" i="11" s="1"/>
  <c r="E10" i="18"/>
  <c r="J46" i="11" s="1"/>
  <c r="E3" i="18"/>
  <c r="C46" i="11" s="1"/>
  <c r="B17" i="18"/>
  <c r="C17" i="18"/>
  <c r="B18" i="18"/>
  <c r="C18" i="18"/>
  <c r="B19" i="18"/>
  <c r="C19" i="18"/>
  <c r="B20" i="18"/>
  <c r="C20" i="18"/>
  <c r="B21" i="18"/>
  <c r="C21" i="18"/>
  <c r="B22" i="18"/>
  <c r="C22" i="18"/>
  <c r="B23" i="18"/>
  <c r="C23" i="18"/>
  <c r="D23" i="18"/>
  <c r="B24" i="18"/>
  <c r="C24" i="18"/>
  <c r="D24" i="18"/>
  <c r="I5" i="11" l="1"/>
  <c r="T172" i="76"/>
  <c r="U172" i="76" s="1"/>
  <c r="S173" i="76"/>
  <c r="S178" i="76" s="1"/>
  <c r="Q173" i="76"/>
  <c r="D11" i="9" s="1"/>
  <c r="C28" i="18"/>
  <c r="D30" i="18"/>
  <c r="D28" i="18"/>
  <c r="B28" i="18"/>
  <c r="D41" i="18" a="1"/>
  <c r="D41" i="18" s="1"/>
  <c r="B30" i="18" a="1"/>
  <c r="B30" i="18" s="1"/>
  <c r="D40" i="18" a="1"/>
  <c r="D40" i="18" s="1"/>
  <c r="C30" i="18" a="1"/>
  <c r="C30" i="18" s="1"/>
  <c r="B27" i="18"/>
  <c r="B40" i="18" s="1"/>
  <c r="B41" i="18" s="1"/>
  <c r="D27" i="18"/>
  <c r="C27" i="18"/>
  <c r="C32" i="18" s="1"/>
  <c r="E11" i="9" l="1"/>
  <c r="T173" i="76"/>
  <c r="U173" i="76" s="1"/>
  <c r="J5" i="11"/>
  <c r="C31" i="95"/>
  <c r="C40" i="18"/>
  <c r="C41" i="18" s="1"/>
  <c r="B32" i="18"/>
  <c r="D8" i="11"/>
  <c r="E8" i="11"/>
  <c r="F8" i="11"/>
  <c r="G8" i="11"/>
  <c r="H8" i="11"/>
  <c r="I8" i="11"/>
  <c r="G9" i="11" l="1"/>
  <c r="F9" i="11"/>
  <c r="I9" i="11"/>
  <c r="E9" i="11"/>
  <c r="H9" i="11"/>
  <c r="D9" i="11"/>
  <c r="C8" i="11"/>
  <c r="A31" i="9"/>
  <c r="C9" i="11" l="1"/>
  <c r="J27" i="11" l="1"/>
  <c r="J32" i="11"/>
  <c r="J22" i="11"/>
  <c r="J14" i="11"/>
  <c r="J18" i="11"/>
  <c r="J41" i="11" l="1"/>
  <c r="J51" i="11" l="1"/>
  <c r="E28" i="11" l="1"/>
  <c r="F28" i="11"/>
  <c r="I28" i="11"/>
  <c r="D28" i="11"/>
  <c r="G28" i="11"/>
  <c r="H28" i="11"/>
  <c r="C2" i="17" l="1"/>
  <c r="D2" i="17"/>
  <c r="E2" i="17"/>
  <c r="F2" i="17"/>
  <c r="G2" i="17"/>
  <c r="D1" i="18" s="1"/>
  <c r="T1" i="18" s="1"/>
  <c r="O31" i="9" l="1"/>
  <c r="O32" i="9" s="1"/>
  <c r="I26" i="11" l="1"/>
  <c r="M29" i="9" l="1"/>
  <c r="M32" i="9" l="1"/>
  <c r="M36" i="9"/>
  <c r="N29" i="9"/>
  <c r="N32" i="9" l="1"/>
  <c r="N36" i="9"/>
  <c r="H26" i="11"/>
  <c r="E26" i="11"/>
  <c r="G26" i="11" l="1"/>
  <c r="D26" i="11"/>
  <c r="F26" i="11"/>
  <c r="K29" i="9" l="1"/>
  <c r="L29" i="9"/>
  <c r="L31" i="9" l="1"/>
  <c r="L36" i="9"/>
  <c r="K31" i="9"/>
  <c r="K36" i="9"/>
  <c r="K32" i="9"/>
  <c r="L38" i="9" l="1"/>
  <c r="K39" i="9"/>
  <c r="K56" i="9"/>
  <c r="L32" i="9"/>
  <c r="K55" i="9"/>
  <c r="K38" i="9"/>
  <c r="K47" i="9"/>
  <c r="I36" i="9"/>
  <c r="L39" i="9" l="1"/>
  <c r="C1" i="18" l="1"/>
  <c r="S1" i="18" s="1"/>
  <c r="B1" i="18"/>
  <c r="R1" i="18" s="1"/>
  <c r="B2" i="17"/>
  <c r="E32" i="11"/>
  <c r="E27" i="11"/>
  <c r="D32" i="11"/>
  <c r="D27" i="11"/>
  <c r="I32" i="11"/>
  <c r="H32" i="11"/>
  <c r="G32" i="11"/>
  <c r="F32" i="11"/>
  <c r="A29" i="9"/>
  <c r="A30" i="11"/>
  <c r="A25" i="11"/>
  <c r="A20" i="11"/>
  <c r="A16" i="11"/>
  <c r="A12" i="11"/>
  <c r="F22" i="11" l="1"/>
  <c r="H22" i="11"/>
  <c r="D22" i="11"/>
  <c r="G18" i="11"/>
  <c r="I18" i="11"/>
  <c r="G14" i="11"/>
  <c r="I22" i="11"/>
  <c r="E18" i="11"/>
  <c r="G31" i="11"/>
  <c r="D23" i="11"/>
  <c r="E23" i="11"/>
  <c r="H21" i="11"/>
  <c r="I27" i="11"/>
  <c r="D21" i="11"/>
  <c r="H17" i="11"/>
  <c r="E14" i="11"/>
  <c r="D14" i="11"/>
  <c r="F14" i="11"/>
  <c r="E22" i="11"/>
  <c r="F18" i="11"/>
  <c r="I23" i="11"/>
  <c r="H14" i="11"/>
  <c r="H18" i="11"/>
  <c r="I14" i="11"/>
  <c r="D18" i="11"/>
  <c r="G22" i="11"/>
  <c r="E42" i="11" l="1"/>
  <c r="E52" i="11" s="1"/>
  <c r="I42" i="11"/>
  <c r="D42" i="11"/>
  <c r="D41" i="11"/>
  <c r="I41" i="11"/>
  <c r="E41" i="11"/>
  <c r="G13" i="11"/>
  <c r="F27" i="11"/>
  <c r="J26" i="11"/>
  <c r="H27" i="11"/>
  <c r="G27" i="11"/>
  <c r="K26" i="11"/>
  <c r="D13" i="11"/>
  <c r="G23" i="11"/>
  <c r="H23" i="11"/>
  <c r="G21" i="11"/>
  <c r="F23" i="11"/>
  <c r="E21" i="11"/>
  <c r="D17" i="11"/>
  <c r="D31" i="11"/>
  <c r="G17" i="11"/>
  <c r="F31" i="11"/>
  <c r="I31" i="11"/>
  <c r="E13" i="11"/>
  <c r="E17" i="11"/>
  <c r="E31" i="11"/>
  <c r="H31" i="11"/>
  <c r="D51" i="11" l="1"/>
  <c r="H42" i="11"/>
  <c r="E51" i="11"/>
  <c r="G41" i="11"/>
  <c r="H41" i="11"/>
  <c r="F41" i="11"/>
  <c r="D52" i="11"/>
  <c r="G42" i="11"/>
  <c r="I52" i="11"/>
  <c r="F42" i="11"/>
  <c r="G40" i="11"/>
  <c r="E40" i="11"/>
  <c r="D40" i="11"/>
  <c r="G51" i="11"/>
  <c r="H51" i="11"/>
  <c r="F51" i="11"/>
  <c r="I51" i="11"/>
  <c r="H13" i="11"/>
  <c r="I13" i="11"/>
  <c r="F21" i="11"/>
  <c r="I21" i="11"/>
  <c r="F13" i="11"/>
  <c r="C51" i="11"/>
  <c r="I17" i="11"/>
  <c r="J31" i="11"/>
  <c r="F17" i="11"/>
  <c r="G50" i="11" l="1"/>
  <c r="G52" i="11"/>
  <c r="D50" i="11"/>
  <c r="E50" i="11"/>
  <c r="H40" i="11"/>
  <c r="H50" i="11" s="1"/>
  <c r="H52" i="11"/>
  <c r="F52" i="11"/>
  <c r="I40" i="11"/>
  <c r="F40" i="11"/>
  <c r="J32" i="9"/>
  <c r="J56" i="9" s="1"/>
  <c r="L26" i="11"/>
  <c r="M31" i="11"/>
  <c r="N39" i="9"/>
  <c r="C50" i="11"/>
  <c r="L31" i="11"/>
  <c r="K31" i="11"/>
  <c r="J39" i="9" l="1"/>
  <c r="F50" i="11"/>
  <c r="I50" i="11"/>
  <c r="M26" i="11"/>
  <c r="M39" i="9"/>
  <c r="N47" i="9"/>
  <c r="N38" i="9"/>
  <c r="N37" i="9"/>
  <c r="M47" i="9" l="1"/>
  <c r="N46" i="9"/>
  <c r="L21" i="11"/>
  <c r="K21" i="11"/>
  <c r="J21" i="11"/>
  <c r="J13" i="11"/>
  <c r="K17" i="11" l="1"/>
  <c r="J17" i="11"/>
  <c r="K13" i="11"/>
  <c r="J40" i="11" l="1"/>
  <c r="J50" i="11" s="1"/>
  <c r="K40" i="11"/>
  <c r="M21" i="11"/>
  <c r="K65" i="11"/>
  <c r="O37" i="9"/>
  <c r="H12" i="17"/>
  <c r="L46" i="9"/>
  <c r="L17" i="11"/>
  <c r="I39" i="9" l="1"/>
  <c r="P39" i="9" s="1"/>
  <c r="L47" i="9"/>
  <c r="K46" i="9"/>
  <c r="K44" i="11"/>
  <c r="L65" i="11"/>
  <c r="M37" i="9"/>
  <c r="I37" i="9" s="1"/>
  <c r="K50" i="11" l="1"/>
  <c r="M65" i="11"/>
  <c r="O46" i="9"/>
  <c r="M38" i="9"/>
  <c r="O47" i="9" l="1"/>
  <c r="M46" i="9"/>
  <c r="F5" i="63" l="1"/>
  <c r="F6" i="63"/>
  <c r="F7" i="63"/>
  <c r="F5" i="9" l="1"/>
  <c r="G5" i="9" s="1"/>
  <c r="F4" i="9"/>
  <c r="G4" i="9" s="1"/>
  <c r="C6" i="11"/>
  <c r="F3" i="9"/>
  <c r="G3" i="9" s="1"/>
  <c r="D6" i="11" l="1"/>
  <c r="F6" i="9" l="1"/>
  <c r="G6" i="9" s="1"/>
  <c r="E6" i="11" l="1"/>
  <c r="F7" i="9" l="1"/>
  <c r="G7" i="9" s="1"/>
  <c r="F6" i="11" l="1"/>
  <c r="J28" i="11" l="1"/>
  <c r="J23" i="11" l="1"/>
  <c r="J42" i="11" l="1"/>
  <c r="K23" i="11"/>
  <c r="J52" i="11" l="1"/>
  <c r="E11" i="18"/>
  <c r="K67" i="11"/>
  <c r="K28" i="11"/>
  <c r="K42" i="11" l="1"/>
  <c r="K46" i="11"/>
  <c r="K52" i="11" l="1"/>
  <c r="K51" i="11" l="1"/>
  <c r="C52" i="11" l="1"/>
  <c r="I131" i="59" l="1"/>
  <c r="I130" i="59"/>
  <c r="I129" i="59"/>
  <c r="I128" i="59"/>
  <c r="I127" i="59"/>
  <c r="I132" i="59"/>
  <c r="I134" i="59"/>
  <c r="N141" i="76" l="1"/>
  <c r="R141" i="86"/>
  <c r="N142" i="76"/>
  <c r="R142" i="86"/>
  <c r="N145" i="76"/>
  <c r="R145" i="86"/>
  <c r="N143" i="76"/>
  <c r="R143" i="86"/>
  <c r="N140" i="76"/>
  <c r="R140" i="86"/>
  <c r="N144" i="76"/>
  <c r="R144" i="86"/>
  <c r="J46" i="9"/>
  <c r="P46" i="9" s="1"/>
  <c r="I38" i="9"/>
  <c r="P38" i="9" s="1"/>
  <c r="H13" i="17"/>
  <c r="L44" i="11" s="1"/>
  <c r="L13" i="11"/>
  <c r="I133" i="59"/>
  <c r="N146" i="76" l="1"/>
  <c r="R146" i="86"/>
  <c r="L40" i="11"/>
  <c r="I135" i="59"/>
  <c r="N148" i="76" l="1"/>
  <c r="N186" i="76" s="1"/>
  <c r="R148" i="86"/>
  <c r="R186" i="86" s="1"/>
  <c r="L50" i="11"/>
  <c r="I136" i="59"/>
  <c r="N149" i="76" l="1"/>
  <c r="N187" i="76" s="1"/>
  <c r="R149" i="86"/>
  <c r="R187" i="86" s="1"/>
  <c r="I137" i="59"/>
  <c r="N150" i="76" l="1"/>
  <c r="N188" i="76" s="1"/>
  <c r="R150" i="86"/>
  <c r="R188" i="86" s="1"/>
  <c r="I138" i="59"/>
  <c r="N151" i="76" l="1"/>
  <c r="N189" i="76" s="1"/>
  <c r="R151" i="86"/>
  <c r="R189" i="86" s="1"/>
  <c r="I139" i="59"/>
  <c r="N152" i="76" l="1"/>
  <c r="N190" i="76" s="1"/>
  <c r="R152" i="86"/>
  <c r="R190" i="86" s="1"/>
  <c r="I140" i="59"/>
  <c r="N153" i="76" l="1"/>
  <c r="N191" i="76" s="1"/>
  <c r="R153" i="86"/>
  <c r="R191" i="86" s="1"/>
  <c r="I141" i="59"/>
  <c r="N154" i="76" l="1"/>
  <c r="N192" i="76" s="1"/>
  <c r="R154" i="86"/>
  <c r="R192" i="86" s="1"/>
  <c r="I142" i="59"/>
  <c r="N155" i="76" l="1"/>
  <c r="N193" i="76" s="1"/>
  <c r="R155" i="86"/>
  <c r="R193" i="86" s="1"/>
  <c r="I143" i="59"/>
  <c r="N156" i="76" l="1"/>
  <c r="N194" i="76" s="1"/>
  <c r="R156" i="86"/>
  <c r="R194" i="86" s="1"/>
  <c r="I144" i="59"/>
  <c r="N157" i="76" l="1"/>
  <c r="N195" i="76" s="1"/>
  <c r="R157" i="86"/>
  <c r="R195" i="86" s="1"/>
  <c r="I145" i="59"/>
  <c r="N158" i="76" l="1"/>
  <c r="N196" i="76" s="1"/>
  <c r="R158" i="86"/>
  <c r="R196" i="86" s="1"/>
  <c r="M13" i="11"/>
  <c r="P13" i="11" s="1"/>
  <c r="Q13" i="11" s="1"/>
  <c r="J47" i="9"/>
  <c r="P47" i="9" s="1"/>
  <c r="H14" i="17"/>
  <c r="M44" i="11" s="1"/>
  <c r="P44" i="11" s="1"/>
  <c r="Q44" i="11" s="1"/>
  <c r="P40" i="11" l="1"/>
  <c r="CS72" i="61"/>
  <c r="CN72" i="61"/>
  <c r="CE68" i="61"/>
  <c r="BZ68" i="61"/>
  <c r="BQ64" i="61"/>
  <c r="BL64" i="61"/>
  <c r="AO72" i="61"/>
  <c r="AJ72" i="61"/>
  <c r="CS69" i="61"/>
  <c r="CN69" i="61"/>
  <c r="CN62" i="61"/>
  <c r="CS62" i="61"/>
  <c r="BL70" i="61"/>
  <c r="BQ70" i="61"/>
  <c r="AX66" i="61"/>
  <c r="H140" i="93" s="1"/>
  <c r="BC66" i="61"/>
  <c r="H190" i="93" s="1"/>
  <c r="AX65" i="61"/>
  <c r="H139" i="93" s="1"/>
  <c r="BC65" i="61"/>
  <c r="H189" i="93" s="1"/>
  <c r="V62" i="61"/>
  <c r="AA62" i="61"/>
  <c r="AJ62" i="61"/>
  <c r="AO62" i="61"/>
  <c r="AJ69" i="61"/>
  <c r="AO69" i="61"/>
  <c r="AA63" i="61"/>
  <c r="V63" i="61"/>
  <c r="CN67" i="61"/>
  <c r="CS67" i="61"/>
  <c r="BZ63" i="61"/>
  <c r="CE63" i="61"/>
  <c r="AX71" i="61"/>
  <c r="H145" i="93" s="1"/>
  <c r="BC71" i="61"/>
  <c r="H195" i="93" s="1"/>
  <c r="AJ67" i="61"/>
  <c r="AO67" i="61"/>
  <c r="CS68" i="61"/>
  <c r="CN68" i="61"/>
  <c r="CE64" i="61"/>
  <c r="BZ64" i="61"/>
  <c r="BC72" i="61"/>
  <c r="H196" i="93" s="1"/>
  <c r="AX72" i="61"/>
  <c r="H146" i="93" s="1"/>
  <c r="AO68" i="61"/>
  <c r="AJ68" i="61"/>
  <c r="CS65" i="61"/>
  <c r="CN65" i="61"/>
  <c r="BQ65" i="61"/>
  <c r="BL65" i="61"/>
  <c r="BC61" i="61"/>
  <c r="H185" i="93" s="1"/>
  <c r="AX61" i="61"/>
  <c r="H135" i="93" s="1"/>
  <c r="CN71" i="61"/>
  <c r="CS71" i="61"/>
  <c r="BZ67" i="61"/>
  <c r="CE67" i="61"/>
  <c r="BL63" i="61"/>
  <c r="BQ63" i="61"/>
  <c r="AJ71" i="61"/>
  <c r="AO71" i="61"/>
  <c r="CS61" i="61"/>
  <c r="BZ70" i="61"/>
  <c r="CE70" i="61"/>
  <c r="BL66" i="61"/>
  <c r="BQ66" i="61"/>
  <c r="AX62" i="61"/>
  <c r="H136" i="93" s="1"/>
  <c r="BC62" i="61"/>
  <c r="H186" i="93" s="1"/>
  <c r="AA70" i="61"/>
  <c r="V70" i="61"/>
  <c r="V65" i="61"/>
  <c r="AA65" i="61"/>
  <c r="BQ69" i="61"/>
  <c r="BL69" i="61"/>
  <c r="AO65" i="61"/>
  <c r="AJ65" i="61"/>
  <c r="BZ61" i="61"/>
  <c r="CE61" i="61"/>
  <c r="AA66" i="61"/>
  <c r="V66" i="61"/>
  <c r="CN70" i="61"/>
  <c r="CS70" i="61"/>
  <c r="BZ66" i="61"/>
  <c r="CE66" i="61"/>
  <c r="BL62" i="61"/>
  <c r="BQ62" i="61"/>
  <c r="AJ70" i="61"/>
  <c r="AO70" i="61"/>
  <c r="BZ65" i="61"/>
  <c r="CE65" i="61"/>
  <c r="AX69" i="61"/>
  <c r="H143" i="93" s="1"/>
  <c r="BC69" i="61"/>
  <c r="H193" i="93" s="1"/>
  <c r="BZ72" i="61"/>
  <c r="CE72" i="61"/>
  <c r="BL68" i="61"/>
  <c r="BQ68" i="61"/>
  <c r="AX64" i="61"/>
  <c r="H138" i="93" s="1"/>
  <c r="BC64" i="61"/>
  <c r="H188" i="93" s="1"/>
  <c r="AA67" i="61"/>
  <c r="V67" i="61"/>
  <c r="CN63" i="61"/>
  <c r="CS63" i="61"/>
  <c r="BL71" i="61"/>
  <c r="BQ71" i="61"/>
  <c r="AX67" i="61"/>
  <c r="H141" i="93" s="1"/>
  <c r="BC67" i="61"/>
  <c r="H191" i="93" s="1"/>
  <c r="AJ63" i="61"/>
  <c r="AO63" i="61"/>
  <c r="AA71" i="61"/>
  <c r="V71" i="61"/>
  <c r="CS64" i="61"/>
  <c r="CN64" i="61"/>
  <c r="BQ72" i="61"/>
  <c r="BL72" i="61"/>
  <c r="BC68" i="61"/>
  <c r="H192" i="93" s="1"/>
  <c r="AX68" i="61"/>
  <c r="H142" i="93" s="1"/>
  <c r="AO64" i="61"/>
  <c r="AJ64" i="61"/>
  <c r="CE71" i="61"/>
  <c r="BZ71" i="61"/>
  <c r="BQ67" i="61"/>
  <c r="BL67" i="61"/>
  <c r="BC63" i="61"/>
  <c r="H187" i="93" s="1"/>
  <c r="AX63" i="61"/>
  <c r="H137" i="93" s="1"/>
  <c r="CS66" i="61"/>
  <c r="CN66" i="61"/>
  <c r="CE62" i="61"/>
  <c r="BZ62" i="61"/>
  <c r="BC70" i="61"/>
  <c r="H194" i="93" s="1"/>
  <c r="AX70" i="61"/>
  <c r="H144" i="93" s="1"/>
  <c r="AO66" i="61"/>
  <c r="AJ66" i="61"/>
  <c r="CE69" i="61"/>
  <c r="BZ69" i="61"/>
  <c r="BQ61" i="61"/>
  <c r="BL61" i="61"/>
  <c r="AO61" i="61"/>
  <c r="AJ61" i="61"/>
  <c r="AA72" i="61"/>
  <c r="V72" i="61"/>
  <c r="AA61" i="61"/>
  <c r="V61" i="61"/>
  <c r="AA68" i="61"/>
  <c r="V68" i="61"/>
  <c r="AA64" i="61"/>
  <c r="V64" i="61"/>
  <c r="AA69" i="61"/>
  <c r="V69" i="61"/>
  <c r="P50" i="11" l="1"/>
  <c r="Q40" i="11"/>
  <c r="O187" i="93"/>
  <c r="R187" i="93" s="1"/>
  <c r="O192" i="93"/>
  <c r="R192" i="93" s="1"/>
  <c r="H155" i="93"/>
  <c r="O143" i="93"/>
  <c r="H148" i="93"/>
  <c r="U136" i="93"/>
  <c r="O189" i="93"/>
  <c r="R189" i="93" s="1"/>
  <c r="H156" i="93"/>
  <c r="O144" i="93"/>
  <c r="O191" i="93"/>
  <c r="R191" i="93" s="1"/>
  <c r="O188" i="93"/>
  <c r="R188" i="93" s="1"/>
  <c r="H151" i="93"/>
  <c r="O139" i="93"/>
  <c r="O194" i="93"/>
  <c r="R194" i="93" s="1"/>
  <c r="H153" i="93"/>
  <c r="O141" i="93"/>
  <c r="H150" i="93"/>
  <c r="U138" i="93"/>
  <c r="H147" i="93"/>
  <c r="U135" i="93"/>
  <c r="H158" i="93"/>
  <c r="O146" i="93"/>
  <c r="O195" i="93"/>
  <c r="R195" i="93" s="1"/>
  <c r="O190" i="93"/>
  <c r="R190" i="93" s="1"/>
  <c r="H149" i="93"/>
  <c r="U137" i="93"/>
  <c r="H154" i="93"/>
  <c r="O142" i="93"/>
  <c r="O193" i="93"/>
  <c r="R193" i="93" s="1"/>
  <c r="O186" i="93"/>
  <c r="R186" i="93" s="1"/>
  <c r="O185" i="93"/>
  <c r="R185" i="93" s="1"/>
  <c r="O196" i="93"/>
  <c r="R196" i="93" s="1"/>
  <c r="H157" i="93"/>
  <c r="O145" i="93"/>
  <c r="H152" i="93"/>
  <c r="O140" i="93"/>
  <c r="H187" i="86"/>
  <c r="S187" i="86" s="1"/>
  <c r="V187" i="86" s="1"/>
  <c r="H192" i="86"/>
  <c r="H189" i="86"/>
  <c r="S189" i="86" s="1"/>
  <c r="V189" i="86" s="1"/>
  <c r="H191" i="86"/>
  <c r="S191" i="86" s="1"/>
  <c r="V191" i="86" s="1"/>
  <c r="H188" i="86"/>
  <c r="H194" i="86"/>
  <c r="S194" i="86" s="1"/>
  <c r="V194" i="86" s="1"/>
  <c r="H195" i="86"/>
  <c r="S195" i="86" s="1"/>
  <c r="V195" i="86" s="1"/>
  <c r="H190" i="86"/>
  <c r="S190" i="86" s="1"/>
  <c r="V190" i="86" s="1"/>
  <c r="H193" i="86"/>
  <c r="H186" i="86"/>
  <c r="H185" i="86"/>
  <c r="S185" i="86" s="1"/>
  <c r="V185" i="86" s="1"/>
  <c r="H196" i="86"/>
  <c r="J11" i="86"/>
  <c r="S11" i="86" s="1"/>
  <c r="J4" i="86"/>
  <c r="S4" i="86" s="1"/>
  <c r="J12" i="86"/>
  <c r="S12" i="86" s="1"/>
  <c r="J7" i="86"/>
  <c r="J9" i="86"/>
  <c r="J6" i="86"/>
  <c r="S6" i="86" s="1"/>
  <c r="J14" i="86"/>
  <c r="S14" i="86" s="1"/>
  <c r="J5" i="86"/>
  <c r="J10" i="86"/>
  <c r="S10" i="86" s="1"/>
  <c r="J13" i="86"/>
  <c r="J8" i="86"/>
  <c r="S8" i="86" s="1"/>
  <c r="H135" i="86"/>
  <c r="J3" i="86"/>
  <c r="S3" i="86" s="1"/>
  <c r="H143" i="86"/>
  <c r="H136" i="86"/>
  <c r="H148" i="86" s="1"/>
  <c r="S148" i="86" s="1"/>
  <c r="H144" i="86"/>
  <c r="H139" i="86"/>
  <c r="S139" i="86" s="1"/>
  <c r="H141" i="86"/>
  <c r="H138" i="86"/>
  <c r="H146" i="86"/>
  <c r="H137" i="86"/>
  <c r="H142" i="86"/>
  <c r="H145" i="86"/>
  <c r="H140" i="86"/>
  <c r="M50" i="11"/>
  <c r="H194" i="76"/>
  <c r="O194" i="76" s="1"/>
  <c r="R194" i="76" s="1"/>
  <c r="H141" i="76"/>
  <c r="O141" i="76" s="1"/>
  <c r="H138" i="76"/>
  <c r="H135" i="76"/>
  <c r="H146" i="76"/>
  <c r="O146" i="76" s="1"/>
  <c r="H195" i="76"/>
  <c r="O195" i="76" s="1"/>
  <c r="R195" i="76" s="1"/>
  <c r="H190" i="76"/>
  <c r="O190" i="76" s="1"/>
  <c r="R190" i="76" s="1"/>
  <c r="H137" i="76"/>
  <c r="H149" i="76" s="1"/>
  <c r="H142" i="76"/>
  <c r="O142" i="76" s="1"/>
  <c r="H193" i="76"/>
  <c r="O193" i="76" s="1"/>
  <c r="R193" i="76" s="1"/>
  <c r="H186" i="76"/>
  <c r="O186" i="76" s="1"/>
  <c r="R186" i="76" s="1"/>
  <c r="H185" i="76"/>
  <c r="O185" i="76" s="1"/>
  <c r="H196" i="76"/>
  <c r="O196" i="76" s="1"/>
  <c r="R196" i="76" s="1"/>
  <c r="H145" i="76"/>
  <c r="O145" i="76" s="1"/>
  <c r="H140" i="76"/>
  <c r="O140" i="76" s="1"/>
  <c r="H187" i="76"/>
  <c r="O187" i="76" s="1"/>
  <c r="R187" i="76" s="1"/>
  <c r="H192" i="76"/>
  <c r="O192" i="76" s="1"/>
  <c r="R192" i="76" s="1"/>
  <c r="H143" i="76"/>
  <c r="O143" i="76" s="1"/>
  <c r="H136" i="76"/>
  <c r="H189" i="76"/>
  <c r="H144" i="76"/>
  <c r="O144" i="76" s="1"/>
  <c r="H191" i="76"/>
  <c r="O191" i="76" s="1"/>
  <c r="R191" i="76" s="1"/>
  <c r="H188" i="76"/>
  <c r="O188" i="76" s="1"/>
  <c r="R188" i="76" s="1"/>
  <c r="H139" i="76"/>
  <c r="O139" i="76" s="1"/>
  <c r="R185" i="76" l="1"/>
  <c r="S193" i="86"/>
  <c r="V193" i="86" s="1"/>
  <c r="S196" i="93"/>
  <c r="O138" i="93"/>
  <c r="H203" i="93"/>
  <c r="O149" i="93"/>
  <c r="V138" i="93"/>
  <c r="O150" i="93"/>
  <c r="H204" i="93"/>
  <c r="H210" i="93"/>
  <c r="O156" i="93"/>
  <c r="H206" i="93"/>
  <c r="O152" i="93"/>
  <c r="H208" i="93"/>
  <c r="O154" i="93"/>
  <c r="H201" i="93"/>
  <c r="O201" i="93" s="1"/>
  <c r="R201" i="93" s="1"/>
  <c r="O147" i="93"/>
  <c r="H202" i="93"/>
  <c r="O202" i="93" s="1"/>
  <c r="R202" i="93" s="1"/>
  <c r="O148" i="93"/>
  <c r="H212" i="93"/>
  <c r="O158" i="93"/>
  <c r="H207" i="93"/>
  <c r="O153" i="93"/>
  <c r="H205" i="93"/>
  <c r="O151" i="93"/>
  <c r="H211" i="93"/>
  <c r="O157" i="93"/>
  <c r="O137" i="93"/>
  <c r="O135" i="93"/>
  <c r="O136" i="93"/>
  <c r="H209" i="93"/>
  <c r="O155" i="93"/>
  <c r="O149" i="76"/>
  <c r="H202" i="76"/>
  <c r="O189" i="76"/>
  <c r="R189" i="76" s="1"/>
  <c r="S196" i="86"/>
  <c r="V196" i="86" s="1"/>
  <c r="S186" i="86"/>
  <c r="V186" i="86" s="1"/>
  <c r="S192" i="86"/>
  <c r="V192" i="86" s="1"/>
  <c r="S188" i="86"/>
  <c r="V188" i="86" s="1"/>
  <c r="H151" i="86"/>
  <c r="S151" i="86" s="1"/>
  <c r="J18" i="86"/>
  <c r="S18" i="86" s="1"/>
  <c r="J23" i="86"/>
  <c r="S23" i="86" s="1"/>
  <c r="J16" i="86"/>
  <c r="S16" i="86" s="1"/>
  <c r="J24" i="86"/>
  <c r="S24" i="86" s="1"/>
  <c r="J22" i="86"/>
  <c r="S22" i="86" s="1"/>
  <c r="J20" i="86"/>
  <c r="S20" i="86" s="1"/>
  <c r="J26" i="86"/>
  <c r="S26" i="86" s="1"/>
  <c r="J17" i="86"/>
  <c r="S17" i="86" s="1"/>
  <c r="S5" i="86"/>
  <c r="T5" i="86" s="1"/>
  <c r="J19" i="86"/>
  <c r="S19" i="86" s="1"/>
  <c r="S7" i="86"/>
  <c r="T7" i="86" s="1"/>
  <c r="J25" i="86"/>
  <c r="S25" i="86" s="1"/>
  <c r="S13" i="86"/>
  <c r="T13" i="86" s="1"/>
  <c r="J21" i="86"/>
  <c r="S21" i="86" s="1"/>
  <c r="S9" i="86"/>
  <c r="T9" i="86" s="1"/>
  <c r="H152" i="86"/>
  <c r="S152" i="86" s="1"/>
  <c r="S140" i="86"/>
  <c r="H158" i="86"/>
  <c r="S158" i="86" s="1"/>
  <c r="S146" i="86"/>
  <c r="H156" i="86"/>
  <c r="S156" i="86" s="1"/>
  <c r="S144" i="86"/>
  <c r="H157" i="86"/>
  <c r="S157" i="86" s="1"/>
  <c r="S145" i="86"/>
  <c r="N138" i="86"/>
  <c r="S138" i="86" s="1"/>
  <c r="N136" i="86"/>
  <c r="S136" i="86" s="1"/>
  <c r="H154" i="86"/>
  <c r="S154" i="86" s="1"/>
  <c r="S142" i="86"/>
  <c r="H153" i="86"/>
  <c r="S153" i="86" s="1"/>
  <c r="S141" i="86"/>
  <c r="H155" i="86"/>
  <c r="S155" i="86" s="1"/>
  <c r="S143" i="86"/>
  <c r="H147" i="86"/>
  <c r="S147" i="86" s="1"/>
  <c r="N135" i="86"/>
  <c r="S135" i="86" s="1"/>
  <c r="N137" i="86"/>
  <c r="S137" i="86" s="1"/>
  <c r="J15" i="86"/>
  <c r="S15" i="86" s="1"/>
  <c r="H149" i="86"/>
  <c r="S149" i="86" s="1"/>
  <c r="H150" i="86"/>
  <c r="T6" i="86"/>
  <c r="T4" i="86"/>
  <c r="T8" i="86"/>
  <c r="T10" i="86"/>
  <c r="T14" i="86"/>
  <c r="T12" i="86"/>
  <c r="T11" i="86"/>
  <c r="H148" i="76"/>
  <c r="L136" i="76"/>
  <c r="H147" i="76"/>
  <c r="L135" i="76"/>
  <c r="H150" i="76"/>
  <c r="L138" i="76"/>
  <c r="U138" i="76" s="1"/>
  <c r="H154" i="76"/>
  <c r="H158" i="76"/>
  <c r="H153" i="76"/>
  <c r="H156" i="76"/>
  <c r="H157" i="76"/>
  <c r="H155" i="76"/>
  <c r="L137" i="76"/>
  <c r="H151" i="76"/>
  <c r="H152" i="76"/>
  <c r="S196" i="76" l="1"/>
  <c r="R197" i="76"/>
  <c r="O197" i="76"/>
  <c r="U209" i="93"/>
  <c r="U210" i="93"/>
  <c r="U207" i="93"/>
  <c r="O176" i="93"/>
  <c r="U208" i="93"/>
  <c r="U206" i="93"/>
  <c r="O204" i="93"/>
  <c r="R204" i="93" s="1"/>
  <c r="U204" i="93"/>
  <c r="O175" i="93"/>
  <c r="U205" i="93"/>
  <c r="U211" i="93"/>
  <c r="U212" i="93"/>
  <c r="O162" i="93"/>
  <c r="U203" i="93"/>
  <c r="L202" i="76"/>
  <c r="U202" i="76" s="1"/>
  <c r="O155" i="76"/>
  <c r="H208" i="76"/>
  <c r="O157" i="76"/>
  <c r="H210" i="76"/>
  <c r="O158" i="76"/>
  <c r="H211" i="76"/>
  <c r="O152" i="76"/>
  <c r="H205" i="76"/>
  <c r="O151" i="76"/>
  <c r="H204" i="76"/>
  <c r="O150" i="76"/>
  <c r="H203" i="76"/>
  <c r="O148" i="76"/>
  <c r="H201" i="76"/>
  <c r="O201" i="76" s="1"/>
  <c r="R201" i="76" s="1"/>
  <c r="O156" i="76"/>
  <c r="H209" i="76"/>
  <c r="O153" i="76"/>
  <c r="H206" i="76"/>
  <c r="O154" i="76"/>
  <c r="H207" i="76"/>
  <c r="O147" i="76"/>
  <c r="H200" i="76"/>
  <c r="O200" i="76" s="1"/>
  <c r="R200" i="76" s="1"/>
  <c r="W196" i="86"/>
  <c r="O138" i="76"/>
  <c r="O136" i="76"/>
  <c r="U136" i="76"/>
  <c r="O137" i="76"/>
  <c r="U137" i="76"/>
  <c r="O135" i="76"/>
  <c r="U135" i="76"/>
  <c r="J30" i="86"/>
  <c r="S30" i="86" s="1"/>
  <c r="J35" i="86"/>
  <c r="S35" i="86" s="1"/>
  <c r="J28" i="86"/>
  <c r="S28" i="86" s="1"/>
  <c r="J32" i="86"/>
  <c r="S32" i="86" s="1"/>
  <c r="J36" i="86"/>
  <c r="S36" i="86" s="1"/>
  <c r="J34" i="86"/>
  <c r="S34" i="86" s="1"/>
  <c r="J29" i="86"/>
  <c r="S29" i="86" s="1"/>
  <c r="J38" i="86"/>
  <c r="S38" i="86" s="1"/>
  <c r="J31" i="86"/>
  <c r="S31" i="86" s="1"/>
  <c r="J37" i="86"/>
  <c r="S37" i="86" s="1"/>
  <c r="J33" i="86"/>
  <c r="S33" i="86" s="1"/>
  <c r="S150" i="86"/>
  <c r="J27" i="86"/>
  <c r="S27" i="86" s="1"/>
  <c r="T15" i="86"/>
  <c r="U15" i="86" s="1"/>
  <c r="V15" i="86" s="1"/>
  <c r="U12" i="86"/>
  <c r="V12" i="86" s="1"/>
  <c r="U14" i="86"/>
  <c r="V14" i="86" s="1"/>
  <c r="U8" i="86"/>
  <c r="V8" i="86" s="1"/>
  <c r="U7" i="86"/>
  <c r="V7" i="86" s="1"/>
  <c r="U5" i="86"/>
  <c r="V5" i="86" s="1"/>
  <c r="U11" i="86"/>
  <c r="V11" i="86" s="1"/>
  <c r="U9" i="86"/>
  <c r="V9" i="86" s="1"/>
  <c r="U10" i="86"/>
  <c r="V10" i="86" s="1"/>
  <c r="U4" i="86"/>
  <c r="V4" i="86" s="1"/>
  <c r="U6" i="86"/>
  <c r="V6" i="86" s="1"/>
  <c r="U13" i="86"/>
  <c r="V13" i="86" s="1"/>
  <c r="J48" i="86" l="1"/>
  <c r="S48" i="86" s="1"/>
  <c r="O175" i="76"/>
  <c r="S175" i="76" s="1"/>
  <c r="O176" i="76"/>
  <c r="S176" i="76" s="1"/>
  <c r="O206" i="93"/>
  <c r="R206" i="93" s="1"/>
  <c r="O208" i="93"/>
  <c r="R208" i="93" s="1"/>
  <c r="O210" i="93"/>
  <c r="R210" i="93" s="1"/>
  <c r="O212" i="93"/>
  <c r="R212" i="93" s="1"/>
  <c r="S175" i="93"/>
  <c r="E13" i="89" s="1"/>
  <c r="Q175" i="93"/>
  <c r="D13" i="89" s="1"/>
  <c r="O180" i="93"/>
  <c r="P180" i="93" s="1"/>
  <c r="Q176" i="93"/>
  <c r="D14" i="89" s="1"/>
  <c r="S176" i="93"/>
  <c r="T196" i="93" s="1"/>
  <c r="O203" i="93"/>
  <c r="R203" i="93" s="1"/>
  <c r="O207" i="93"/>
  <c r="R207" i="93" s="1"/>
  <c r="O209" i="93"/>
  <c r="R209" i="93" s="1"/>
  <c r="V211" i="93"/>
  <c r="O211" i="93"/>
  <c r="R211" i="93" s="1"/>
  <c r="O205" i="93"/>
  <c r="R205" i="93" s="1"/>
  <c r="L206" i="76"/>
  <c r="U206" i="76" s="1"/>
  <c r="L204" i="76"/>
  <c r="U204" i="76" s="1"/>
  <c r="L211" i="76"/>
  <c r="U211" i="76" s="1"/>
  <c r="L208" i="76"/>
  <c r="U208" i="76" s="1"/>
  <c r="L207" i="76"/>
  <c r="U207" i="76" s="1"/>
  <c r="L209" i="76"/>
  <c r="U209" i="76" s="1"/>
  <c r="L203" i="76"/>
  <c r="U203" i="76" s="1"/>
  <c r="L205" i="76"/>
  <c r="U205" i="76" s="1"/>
  <c r="L210" i="76"/>
  <c r="U210" i="76" s="1"/>
  <c r="O202" i="76"/>
  <c r="R202" i="76" s="1"/>
  <c r="O162" i="76"/>
  <c r="V138" i="76"/>
  <c r="F3" i="89"/>
  <c r="G3" i="89" s="1"/>
  <c r="J47" i="86"/>
  <c r="S47" i="86" s="1"/>
  <c r="J40" i="86"/>
  <c r="S40" i="86" s="1"/>
  <c r="J42" i="86"/>
  <c r="S42" i="86" s="1"/>
  <c r="J41" i="86"/>
  <c r="S41" i="86" s="1"/>
  <c r="J44" i="86"/>
  <c r="S44" i="86" s="1"/>
  <c r="J43" i="86"/>
  <c r="S43" i="86" s="1"/>
  <c r="J46" i="86"/>
  <c r="S46" i="86" s="1"/>
  <c r="J50" i="86"/>
  <c r="S50" i="86" s="1"/>
  <c r="J49" i="86"/>
  <c r="S49" i="86" s="1"/>
  <c r="J45" i="86"/>
  <c r="S45" i="86" s="1"/>
  <c r="J39" i="86"/>
  <c r="S39" i="86" s="1"/>
  <c r="T25" i="86"/>
  <c r="T28" i="86"/>
  <c r="U28" i="86" s="1"/>
  <c r="V28" i="86" s="1"/>
  <c r="T33" i="86"/>
  <c r="U33" i="86" s="1"/>
  <c r="V33" i="86" s="1"/>
  <c r="T29" i="86"/>
  <c r="U29" i="86" s="1"/>
  <c r="V29" i="86" s="1"/>
  <c r="T32" i="86"/>
  <c r="U32" i="86" s="1"/>
  <c r="V32" i="86" s="1"/>
  <c r="T36" i="86"/>
  <c r="U36" i="86" s="1"/>
  <c r="V36" i="86" s="1"/>
  <c r="T37" i="86"/>
  <c r="U37" i="86" s="1"/>
  <c r="V37" i="86" s="1"/>
  <c r="T16" i="86"/>
  <c r="T21" i="86"/>
  <c r="T17" i="86"/>
  <c r="T20" i="86"/>
  <c r="T24" i="86"/>
  <c r="T18" i="86"/>
  <c r="T22" i="86"/>
  <c r="T35" i="86"/>
  <c r="U35" i="86" s="1"/>
  <c r="V35" i="86" s="1"/>
  <c r="T19" i="86"/>
  <c r="T26" i="86"/>
  <c r="T27" i="86"/>
  <c r="S165" i="86"/>
  <c r="U165" i="86" s="1"/>
  <c r="D3" i="87" s="1"/>
  <c r="T30" i="86"/>
  <c r="U30" i="86" s="1"/>
  <c r="V30" i="86" s="1"/>
  <c r="T23" i="86"/>
  <c r="T31" i="86"/>
  <c r="U31" i="86" s="1"/>
  <c r="V31" i="86" s="1"/>
  <c r="T38" i="86"/>
  <c r="U38" i="86" s="1"/>
  <c r="V38" i="86" s="1"/>
  <c r="V210" i="76" l="1"/>
  <c r="I53" i="89" s="1"/>
  <c r="J59" i="89" s="1"/>
  <c r="J60" i="86"/>
  <c r="S60" i="86" s="1"/>
  <c r="O180" i="76"/>
  <c r="P180" i="76" s="1"/>
  <c r="Q175" i="76"/>
  <c r="I42" i="89"/>
  <c r="I54" i="89"/>
  <c r="I13" i="89"/>
  <c r="I36" i="89"/>
  <c r="T197" i="93"/>
  <c r="E14" i="89"/>
  <c r="Q176" i="76"/>
  <c r="S212" i="93"/>
  <c r="O209" i="76"/>
  <c r="R209" i="76" s="1"/>
  <c r="O205" i="76"/>
  <c r="R205" i="76" s="1"/>
  <c r="O211" i="76"/>
  <c r="R211" i="76" s="1"/>
  <c r="O210" i="76"/>
  <c r="R210" i="76" s="1"/>
  <c r="O203" i="76"/>
  <c r="R203" i="76" s="1"/>
  <c r="O207" i="76"/>
  <c r="R207" i="76" s="1"/>
  <c r="O208" i="76"/>
  <c r="R208" i="76" s="1"/>
  <c r="O206" i="76"/>
  <c r="R206" i="76" s="1"/>
  <c r="O204" i="76"/>
  <c r="R204" i="76" s="1"/>
  <c r="J59" i="86"/>
  <c r="S59" i="86" s="1"/>
  <c r="J52" i="86"/>
  <c r="S52" i="86" s="1"/>
  <c r="J54" i="86"/>
  <c r="S54" i="86" s="1"/>
  <c r="J56" i="86"/>
  <c r="S56" i="86" s="1"/>
  <c r="J55" i="86"/>
  <c r="S55" i="86" s="1"/>
  <c r="J53" i="86"/>
  <c r="S53" i="86" s="1"/>
  <c r="J57" i="86"/>
  <c r="S57" i="86" s="1"/>
  <c r="J58" i="86"/>
  <c r="S58" i="86" s="1"/>
  <c r="J62" i="86"/>
  <c r="S62" i="86" s="1"/>
  <c r="J61" i="86"/>
  <c r="S61" i="86" s="1"/>
  <c r="J51" i="86"/>
  <c r="S51" i="86" s="1"/>
  <c r="W165" i="86"/>
  <c r="E3" i="87" s="1"/>
  <c r="U19" i="86"/>
  <c r="V19" i="86" s="1"/>
  <c r="U22" i="86"/>
  <c r="V22" i="86" s="1"/>
  <c r="U24" i="86"/>
  <c r="V24" i="86" s="1"/>
  <c r="U17" i="86"/>
  <c r="V17" i="86" s="1"/>
  <c r="U16" i="86"/>
  <c r="V16" i="86" s="1"/>
  <c r="U27" i="86"/>
  <c r="V27" i="86" s="1"/>
  <c r="U23" i="86"/>
  <c r="V23" i="86" s="1"/>
  <c r="S166" i="86"/>
  <c r="T34" i="86"/>
  <c r="U34" i="86" s="1"/>
  <c r="V34" i="86" s="1"/>
  <c r="U26" i="86"/>
  <c r="V26" i="86" s="1"/>
  <c r="T47" i="86"/>
  <c r="U47" i="86" s="1"/>
  <c r="V47" i="86" s="1"/>
  <c r="U18" i="86"/>
  <c r="V18" i="86" s="1"/>
  <c r="T3" i="86" s="1"/>
  <c r="U3" i="86" s="1"/>
  <c r="V3" i="86" s="1"/>
  <c r="U20" i="86"/>
  <c r="V20" i="86" s="1"/>
  <c r="U21" i="86"/>
  <c r="V21" i="86" s="1"/>
  <c r="T49" i="86"/>
  <c r="U49" i="86" s="1"/>
  <c r="V49" i="86" s="1"/>
  <c r="U25" i="86"/>
  <c r="V25" i="86" s="1"/>
  <c r="E13" i="9"/>
  <c r="I13" i="9" s="1"/>
  <c r="E14" i="9"/>
  <c r="T196" i="76"/>
  <c r="T197" i="76" s="1"/>
  <c r="T212" i="93" l="1"/>
  <c r="T213" i="93" s="1"/>
  <c r="J72" i="86"/>
  <c r="S72" i="86" s="1"/>
  <c r="D14" i="9"/>
  <c r="D13" i="9"/>
  <c r="K59" i="89"/>
  <c r="O59" i="89"/>
  <c r="L59" i="89"/>
  <c r="M59" i="89"/>
  <c r="N59" i="89"/>
  <c r="I14" i="89"/>
  <c r="I37" i="89"/>
  <c r="P3" i="87"/>
  <c r="I70" i="87" s="1"/>
  <c r="I84" i="87" s="1"/>
  <c r="J98" i="87" s="1"/>
  <c r="J70" i="87" s="1"/>
  <c r="S211" i="76"/>
  <c r="F4" i="89"/>
  <c r="G4" i="89" s="1"/>
  <c r="J71" i="86"/>
  <c r="S71" i="86" s="1"/>
  <c r="J64" i="86"/>
  <c r="S64" i="86" s="1"/>
  <c r="J68" i="86"/>
  <c r="S68" i="86" s="1"/>
  <c r="J66" i="86"/>
  <c r="S66" i="86" s="1"/>
  <c r="J69" i="86"/>
  <c r="S69" i="86" s="1"/>
  <c r="J65" i="86"/>
  <c r="S65" i="86" s="1"/>
  <c r="J67" i="86"/>
  <c r="S67" i="86" s="1"/>
  <c r="J73" i="86"/>
  <c r="S73" i="86" s="1"/>
  <c r="J74" i="86"/>
  <c r="S74" i="86" s="1"/>
  <c r="J70" i="86"/>
  <c r="S70" i="86" s="1"/>
  <c r="X165" i="86"/>
  <c r="Y165" i="86" s="1"/>
  <c r="F3" i="87"/>
  <c r="G3" i="87" s="1"/>
  <c r="J63" i="86"/>
  <c r="S63" i="86" s="1"/>
  <c r="T57" i="86"/>
  <c r="U57" i="86" s="1"/>
  <c r="V57" i="86" s="1"/>
  <c r="U166" i="86"/>
  <c r="D4" i="87" s="1"/>
  <c r="W166" i="86"/>
  <c r="T58" i="86"/>
  <c r="U58" i="86" s="1"/>
  <c r="V58" i="86" s="1"/>
  <c r="T52" i="86"/>
  <c r="U52" i="86" s="1"/>
  <c r="V52" i="86" s="1"/>
  <c r="T60" i="86"/>
  <c r="U60" i="86" s="1"/>
  <c r="V60" i="86" s="1"/>
  <c r="T54" i="86"/>
  <c r="U54" i="86" s="1"/>
  <c r="V54" i="86" s="1"/>
  <c r="T46" i="86"/>
  <c r="U46" i="86" s="1"/>
  <c r="V46" i="86" s="1"/>
  <c r="T40" i="86"/>
  <c r="T48" i="86"/>
  <c r="S167" i="86"/>
  <c r="T39" i="86"/>
  <c r="T59" i="86"/>
  <c r="T62" i="86"/>
  <c r="U62" i="86" s="1"/>
  <c r="V62" i="86" s="1"/>
  <c r="T44" i="86"/>
  <c r="T56" i="86"/>
  <c r="U56" i="86" s="1"/>
  <c r="V56" i="86" s="1"/>
  <c r="T43" i="86"/>
  <c r="T41" i="86"/>
  <c r="T45" i="86"/>
  <c r="T61" i="86"/>
  <c r="U61" i="86" s="1"/>
  <c r="V61" i="86" s="1"/>
  <c r="T42" i="86"/>
  <c r="T50" i="86"/>
  <c r="T55" i="86"/>
  <c r="U55" i="86" s="1"/>
  <c r="V55" i="86" s="1"/>
  <c r="T53" i="86"/>
  <c r="U53" i="86" s="1"/>
  <c r="V53" i="86" s="1"/>
  <c r="I14" i="9"/>
  <c r="I43" i="9" s="1"/>
  <c r="I47" i="9" s="1"/>
  <c r="F8" i="63"/>
  <c r="F9" i="63"/>
  <c r="F10" i="63"/>
  <c r="F11" i="63"/>
  <c r="F12" i="63"/>
  <c r="F13" i="63"/>
  <c r="F14" i="63"/>
  <c r="J84" i="86" l="1"/>
  <c r="S84" i="86" s="1"/>
  <c r="I58" i="89"/>
  <c r="I59" i="89"/>
  <c r="T211" i="76"/>
  <c r="T212" i="76" s="1"/>
  <c r="F5" i="89"/>
  <c r="G5" i="89" s="1"/>
  <c r="F6" i="89"/>
  <c r="G6" i="89" s="1"/>
  <c r="J83" i="86"/>
  <c r="S83" i="86" s="1"/>
  <c r="J76" i="86"/>
  <c r="S76" i="86" s="1"/>
  <c r="J78" i="86"/>
  <c r="S78" i="86" s="1"/>
  <c r="J80" i="86"/>
  <c r="S80" i="86" s="1"/>
  <c r="J77" i="86"/>
  <c r="S77" i="86" s="1"/>
  <c r="J86" i="86"/>
  <c r="S86" i="86" s="1"/>
  <c r="J81" i="86"/>
  <c r="S81" i="86" s="1"/>
  <c r="J79" i="86"/>
  <c r="S79" i="86" s="1"/>
  <c r="J85" i="86"/>
  <c r="S85" i="86" s="1"/>
  <c r="J82" i="86"/>
  <c r="S82" i="86" s="1"/>
  <c r="L98" i="87"/>
  <c r="L70" i="87" s="1"/>
  <c r="O98" i="87"/>
  <c r="O70" i="87" s="1"/>
  <c r="K98" i="87"/>
  <c r="K70" i="87" s="1"/>
  <c r="M98" i="87"/>
  <c r="M70" i="87" s="1"/>
  <c r="N98" i="87"/>
  <c r="N70" i="87" s="1"/>
  <c r="J75" i="86"/>
  <c r="S75" i="86" s="1"/>
  <c r="U50" i="86"/>
  <c r="V50" i="86" s="1"/>
  <c r="U59" i="86"/>
  <c r="V59" i="86" s="1"/>
  <c r="U48" i="86"/>
  <c r="V48" i="86" s="1"/>
  <c r="E4" i="87"/>
  <c r="X166" i="86"/>
  <c r="Y166" i="86" s="1"/>
  <c r="T73" i="86"/>
  <c r="U73" i="86" s="1"/>
  <c r="V73" i="86" s="1"/>
  <c r="U41" i="86"/>
  <c r="V41" i="86" s="1"/>
  <c r="T68" i="86"/>
  <c r="U68" i="86" s="1"/>
  <c r="V68" i="86" s="1"/>
  <c r="T71" i="86"/>
  <c r="U71" i="86" s="1"/>
  <c r="V71" i="86" s="1"/>
  <c r="U39" i="86"/>
  <c r="V39" i="86" s="1"/>
  <c r="T67" i="86"/>
  <c r="U67" i="86" s="1"/>
  <c r="V67" i="86" s="1"/>
  <c r="U42" i="86"/>
  <c r="V42" i="86" s="1"/>
  <c r="U167" i="86"/>
  <c r="D5" i="87" s="1"/>
  <c r="W167" i="86"/>
  <c r="U40" i="86"/>
  <c r="V40" i="86" s="1"/>
  <c r="U45" i="86"/>
  <c r="V45" i="86" s="1"/>
  <c r="U43" i="86"/>
  <c r="V43" i="86" s="1"/>
  <c r="U44" i="86"/>
  <c r="V44" i="86" s="1"/>
  <c r="S168" i="86"/>
  <c r="T51" i="86"/>
  <c r="U51" i="86" s="1"/>
  <c r="V51" i="86" s="1"/>
  <c r="K6" i="11"/>
  <c r="S2" i="18" l="1"/>
  <c r="T2" i="18"/>
  <c r="R2" i="18"/>
  <c r="J96" i="86"/>
  <c r="S96" i="86" s="1"/>
  <c r="P4" i="87"/>
  <c r="I71" i="87" s="1"/>
  <c r="J95" i="86"/>
  <c r="S95" i="86" s="1"/>
  <c r="J88" i="86"/>
  <c r="S88" i="86" s="1"/>
  <c r="J90" i="86"/>
  <c r="S90" i="86" s="1"/>
  <c r="J92" i="86"/>
  <c r="S92" i="86" s="1"/>
  <c r="J89" i="86"/>
  <c r="S89" i="86" s="1"/>
  <c r="J97" i="86"/>
  <c r="S97" i="86" s="1"/>
  <c r="J93" i="86"/>
  <c r="S93" i="86" s="1"/>
  <c r="J94" i="86"/>
  <c r="S94" i="86" s="1"/>
  <c r="J98" i="86"/>
  <c r="S98" i="86" s="1"/>
  <c r="J91" i="86"/>
  <c r="S91" i="86" s="1"/>
  <c r="P70" i="87"/>
  <c r="F4" i="87"/>
  <c r="G4" i="87" s="1"/>
  <c r="J87" i="86"/>
  <c r="S87" i="86" s="1"/>
  <c r="T86" i="86"/>
  <c r="U86" i="86" s="1"/>
  <c r="V86" i="86" s="1"/>
  <c r="T82" i="86"/>
  <c r="U82" i="86" s="1"/>
  <c r="V82" i="86" s="1"/>
  <c r="T78" i="86"/>
  <c r="U78" i="86" s="1"/>
  <c r="V78" i="86" s="1"/>
  <c r="S169" i="86"/>
  <c r="T63" i="86"/>
  <c r="U63" i="86" s="1"/>
  <c r="V63" i="86" s="1"/>
  <c r="T76" i="86"/>
  <c r="U76" i="86" s="1"/>
  <c r="V76" i="86" s="1"/>
  <c r="U168" i="86"/>
  <c r="D6" i="87" s="1"/>
  <c r="W168" i="86"/>
  <c r="T72" i="86"/>
  <c r="T65" i="86"/>
  <c r="T70" i="86"/>
  <c r="T66" i="86"/>
  <c r="E5" i="87"/>
  <c r="X167" i="86"/>
  <c r="Y167" i="86" s="1"/>
  <c r="T81" i="86"/>
  <c r="U81" i="86" s="1"/>
  <c r="V81" i="86" s="1"/>
  <c r="T69" i="86"/>
  <c r="T74" i="86"/>
  <c r="T84" i="86"/>
  <c r="U84" i="86" s="1"/>
  <c r="V84" i="86" s="1"/>
  <c r="T64" i="86"/>
  <c r="T77" i="86"/>
  <c r="U77" i="86" s="1"/>
  <c r="V77" i="86" s="1"/>
  <c r="F10" i="9"/>
  <c r="G10" i="9" s="1"/>
  <c r="I6" i="11"/>
  <c r="I42" i="9"/>
  <c r="I46" i="9" s="1"/>
  <c r="H6" i="11"/>
  <c r="F8" i="9"/>
  <c r="G8" i="9" s="1"/>
  <c r="G6" i="11"/>
  <c r="F11" i="9"/>
  <c r="G11" i="9" s="1"/>
  <c r="J6" i="11"/>
  <c r="F9" i="9"/>
  <c r="G9" i="9" s="1"/>
  <c r="F12" i="9"/>
  <c r="G12" i="9" s="1"/>
  <c r="U2" i="18" l="1"/>
  <c r="J108" i="86"/>
  <c r="S108" i="86" s="1"/>
  <c r="P5" i="87"/>
  <c r="I72" i="87" s="1"/>
  <c r="F7" i="89"/>
  <c r="G7" i="89" s="1"/>
  <c r="J107" i="86"/>
  <c r="S107" i="86" s="1"/>
  <c r="J100" i="86"/>
  <c r="S100" i="86" s="1"/>
  <c r="J104" i="86"/>
  <c r="S104" i="86" s="1"/>
  <c r="J101" i="86"/>
  <c r="S101" i="86" s="1"/>
  <c r="J102" i="86"/>
  <c r="S102" i="86" s="1"/>
  <c r="J110" i="86"/>
  <c r="S110" i="86" s="1"/>
  <c r="J109" i="86"/>
  <c r="S109" i="86" s="1"/>
  <c r="J103" i="86"/>
  <c r="S103" i="86" s="1"/>
  <c r="J106" i="86"/>
  <c r="S106" i="86" s="1"/>
  <c r="J105" i="86"/>
  <c r="S105" i="86" s="1"/>
  <c r="I85" i="87"/>
  <c r="F5" i="87"/>
  <c r="G5" i="87" s="1"/>
  <c r="J99" i="86"/>
  <c r="S99" i="86" s="1"/>
  <c r="U64" i="86"/>
  <c r="V64" i="86" s="1"/>
  <c r="T92" i="86"/>
  <c r="U92" i="86" s="1"/>
  <c r="V92" i="86" s="1"/>
  <c r="T85" i="86"/>
  <c r="E6" i="87"/>
  <c r="X168" i="86"/>
  <c r="Y168" i="86" s="1"/>
  <c r="T83" i="86"/>
  <c r="U74" i="86"/>
  <c r="V74" i="86" s="1"/>
  <c r="T93" i="86"/>
  <c r="U93" i="86" s="1"/>
  <c r="V93" i="86" s="1"/>
  <c r="U66" i="86"/>
  <c r="V66" i="86" s="1"/>
  <c r="U65" i="86"/>
  <c r="V65" i="86" s="1"/>
  <c r="T97" i="86"/>
  <c r="U97" i="86" s="1"/>
  <c r="V97" i="86" s="1"/>
  <c r="T96" i="86"/>
  <c r="U96" i="86" s="1"/>
  <c r="V96" i="86" s="1"/>
  <c r="S170" i="86"/>
  <c r="T75" i="86"/>
  <c r="U72" i="86"/>
  <c r="V72" i="86" s="1"/>
  <c r="T95" i="86"/>
  <c r="U95" i="86" s="1"/>
  <c r="V95" i="86" s="1"/>
  <c r="T80" i="86"/>
  <c r="U69" i="86"/>
  <c r="V69" i="86" s="1"/>
  <c r="U70" i="86"/>
  <c r="V70" i="86" s="1"/>
  <c r="T79" i="86"/>
  <c r="T91" i="86"/>
  <c r="U91" i="86" s="1"/>
  <c r="V91" i="86" s="1"/>
  <c r="U169" i="86"/>
  <c r="D7" i="87" s="1"/>
  <c r="W169" i="86"/>
  <c r="J50" i="9"/>
  <c r="J42" i="9" s="1"/>
  <c r="J120" i="86" l="1"/>
  <c r="S120" i="86" s="1"/>
  <c r="J30" i="89"/>
  <c r="P6" i="87"/>
  <c r="I73" i="87" s="1"/>
  <c r="F8" i="89"/>
  <c r="G8" i="89" s="1"/>
  <c r="J119" i="86"/>
  <c r="S119" i="86" s="1"/>
  <c r="J113" i="86"/>
  <c r="S113" i="86" s="1"/>
  <c r="J112" i="86"/>
  <c r="S112" i="86" s="1"/>
  <c r="J116" i="86"/>
  <c r="S116" i="86" s="1"/>
  <c r="J114" i="86"/>
  <c r="S114" i="86" s="1"/>
  <c r="J122" i="86"/>
  <c r="S122" i="86" s="1"/>
  <c r="J121" i="86"/>
  <c r="S121" i="86" s="1"/>
  <c r="J115" i="86"/>
  <c r="S115" i="86" s="1"/>
  <c r="J118" i="86"/>
  <c r="S118" i="86" s="1"/>
  <c r="J117" i="86"/>
  <c r="S117" i="86" s="1"/>
  <c r="I86" i="87"/>
  <c r="F6" i="87"/>
  <c r="G6" i="87" s="1"/>
  <c r="J111" i="86"/>
  <c r="S111" i="86" s="1"/>
  <c r="T100" i="86"/>
  <c r="U100" i="86" s="1"/>
  <c r="V100" i="86" s="1"/>
  <c r="T102" i="86"/>
  <c r="U102" i="86" s="1"/>
  <c r="V102" i="86" s="1"/>
  <c r="T89" i="86"/>
  <c r="T98" i="86"/>
  <c r="T108" i="86"/>
  <c r="T101" i="86"/>
  <c r="U101" i="86" s="1"/>
  <c r="V101" i="86" s="1"/>
  <c r="U83" i="86"/>
  <c r="V83" i="86" s="1"/>
  <c r="T110" i="86"/>
  <c r="U110" i="86" s="1"/>
  <c r="V110" i="86" s="1"/>
  <c r="U79" i="86"/>
  <c r="V79" i="86" s="1"/>
  <c r="U75" i="86"/>
  <c r="V75" i="86" s="1"/>
  <c r="T94" i="86"/>
  <c r="U85" i="86"/>
  <c r="V85" i="86" s="1"/>
  <c r="E7" i="87"/>
  <c r="X169" i="86"/>
  <c r="Y169" i="86" s="1"/>
  <c r="T88" i="86"/>
  <c r="T90" i="86"/>
  <c r="S171" i="86"/>
  <c r="T87" i="86"/>
  <c r="U87" i="86" s="1"/>
  <c r="V87" i="86" s="1"/>
  <c r="U80" i="86"/>
  <c r="V80" i="86" s="1"/>
  <c r="T107" i="86"/>
  <c r="U107" i="86" s="1"/>
  <c r="V107" i="86" s="1"/>
  <c r="W170" i="86"/>
  <c r="U170" i="86"/>
  <c r="D8" i="87" s="1"/>
  <c r="T109" i="86"/>
  <c r="U109" i="86" s="1"/>
  <c r="V109" i="86" s="1"/>
  <c r="T106" i="86"/>
  <c r="U106" i="86" s="1"/>
  <c r="V106" i="86" s="1"/>
  <c r="J51" i="9"/>
  <c r="J43" i="9" s="1"/>
  <c r="K50" i="9"/>
  <c r="K42" i="9" s="1"/>
  <c r="O50" i="9"/>
  <c r="N50" i="9"/>
  <c r="L50" i="9"/>
  <c r="M50" i="9"/>
  <c r="L51" i="9"/>
  <c r="N51" i="9"/>
  <c r="N43" i="9" s="1"/>
  <c r="O51" i="9"/>
  <c r="O43" i="9" s="1"/>
  <c r="M51" i="9"/>
  <c r="M43" i="9" s="1"/>
  <c r="K51" i="9"/>
  <c r="K43" i="9" s="1"/>
  <c r="J132" i="86" l="1"/>
  <c r="P132" i="86" s="1"/>
  <c r="S132" i="86" s="1"/>
  <c r="J54" i="89"/>
  <c r="L14" i="11"/>
  <c r="J42" i="89"/>
  <c r="L18" i="11"/>
  <c r="M42" i="9"/>
  <c r="M30" i="89" s="1"/>
  <c r="N42" i="9"/>
  <c r="N30" i="89" s="1"/>
  <c r="O42" i="9"/>
  <c r="O30" i="89" s="1"/>
  <c r="M32" i="11"/>
  <c r="N31" i="89"/>
  <c r="M18" i="11"/>
  <c r="K31" i="89"/>
  <c r="C13" i="18"/>
  <c r="M31" i="89"/>
  <c r="M14" i="11"/>
  <c r="J31" i="89"/>
  <c r="P7" i="87"/>
  <c r="I74" i="87" s="1"/>
  <c r="F9" i="89"/>
  <c r="G9" i="89" s="1"/>
  <c r="J131" i="86"/>
  <c r="P131" i="86" s="1"/>
  <c r="S131" i="86" s="1"/>
  <c r="J124" i="86"/>
  <c r="S124" i="86" s="1"/>
  <c r="T124" i="86" s="1"/>
  <c r="U124" i="86" s="1"/>
  <c r="V124" i="86" s="1"/>
  <c r="J125" i="86"/>
  <c r="J137" i="86" s="1"/>
  <c r="J128" i="86"/>
  <c r="J140" i="86" s="1"/>
  <c r="J126" i="86"/>
  <c r="P126" i="86" s="1"/>
  <c r="S126" i="86" s="1"/>
  <c r="J134" i="86"/>
  <c r="P134" i="86" s="1"/>
  <c r="S134" i="86" s="1"/>
  <c r="J133" i="86"/>
  <c r="J145" i="86" s="1"/>
  <c r="J127" i="86"/>
  <c r="J139" i="86" s="1"/>
  <c r="J129" i="86"/>
  <c r="J141" i="86" s="1"/>
  <c r="J130" i="86"/>
  <c r="J142" i="86" s="1"/>
  <c r="I87" i="87"/>
  <c r="F7" i="87"/>
  <c r="G7" i="87" s="1"/>
  <c r="J123" i="86"/>
  <c r="S123" i="86" s="1"/>
  <c r="T105" i="86"/>
  <c r="T119" i="86"/>
  <c r="U108" i="86"/>
  <c r="V108" i="86" s="1"/>
  <c r="U94" i="86"/>
  <c r="V94" i="86" s="1"/>
  <c r="T120" i="86"/>
  <c r="U120" i="86" s="1"/>
  <c r="V120" i="86" s="1"/>
  <c r="U89" i="86"/>
  <c r="V89" i="86" s="1"/>
  <c r="T112" i="86"/>
  <c r="U112" i="86" s="1"/>
  <c r="V112" i="86" s="1"/>
  <c r="S172" i="86"/>
  <c r="T99" i="86"/>
  <c r="T104" i="86"/>
  <c r="U171" i="86"/>
  <c r="D9" i="87" s="1"/>
  <c r="W171" i="86"/>
  <c r="U88" i="86"/>
  <c r="V88" i="86" s="1"/>
  <c r="T115" i="86"/>
  <c r="U115" i="86" s="1"/>
  <c r="V115" i="86" s="1"/>
  <c r="T117" i="86"/>
  <c r="U117" i="86" s="1"/>
  <c r="V117" i="86" s="1"/>
  <c r="E8" i="87"/>
  <c r="X170" i="86"/>
  <c r="Y170" i="86" s="1"/>
  <c r="U90" i="86"/>
  <c r="V90" i="86" s="1"/>
  <c r="T121" i="86"/>
  <c r="T103" i="86"/>
  <c r="T122" i="86"/>
  <c r="U122" i="86" s="1"/>
  <c r="V122" i="86" s="1"/>
  <c r="U98" i="86"/>
  <c r="V98" i="86" s="1"/>
  <c r="T116" i="86"/>
  <c r="U116" i="86" s="1"/>
  <c r="V116" i="86" s="1"/>
  <c r="I50" i="9"/>
  <c r="I51" i="9"/>
  <c r="M27" i="11"/>
  <c r="P32" i="11" l="1"/>
  <c r="Q32" i="11" s="1"/>
  <c r="P27" i="11"/>
  <c r="Q27" i="11" s="1"/>
  <c r="P18" i="11"/>
  <c r="Q18" i="11" s="1"/>
  <c r="P14" i="11"/>
  <c r="Q14" i="11" s="1"/>
  <c r="J144" i="86"/>
  <c r="J156" i="86" s="1"/>
  <c r="O54" i="89"/>
  <c r="C12" i="18"/>
  <c r="L28" i="11" s="1"/>
  <c r="L66" i="11"/>
  <c r="K30" i="89"/>
  <c r="L36" i="11"/>
  <c r="M28" i="11"/>
  <c r="M42" i="89"/>
  <c r="M54" i="89"/>
  <c r="L27" i="11"/>
  <c r="M43" i="89"/>
  <c r="M55" i="89"/>
  <c r="N42" i="89"/>
  <c r="N54" i="89"/>
  <c r="K43" i="89"/>
  <c r="N43" i="89"/>
  <c r="N55" i="89"/>
  <c r="L32" i="11"/>
  <c r="O42" i="89"/>
  <c r="O31" i="89"/>
  <c r="J43" i="89"/>
  <c r="P8" i="87"/>
  <c r="I75" i="87" s="1"/>
  <c r="F10" i="89"/>
  <c r="G10" i="89" s="1"/>
  <c r="J143" i="86"/>
  <c r="J155" i="86" s="1"/>
  <c r="J136" i="86"/>
  <c r="P136" i="86" s="1"/>
  <c r="P125" i="86"/>
  <c r="S125" i="86" s="1"/>
  <c r="P128" i="86"/>
  <c r="S128" i="86" s="1"/>
  <c r="J138" i="86"/>
  <c r="J150" i="86" s="1"/>
  <c r="J146" i="86"/>
  <c r="J158" i="86" s="1"/>
  <c r="P133" i="86"/>
  <c r="S133" i="86" s="1"/>
  <c r="P129" i="86"/>
  <c r="S129" i="86" s="1"/>
  <c r="P127" i="86"/>
  <c r="S127" i="86" s="1"/>
  <c r="P130" i="86"/>
  <c r="S130" i="86" s="1"/>
  <c r="I88" i="87"/>
  <c r="F8" i="87"/>
  <c r="G8" i="87" s="1"/>
  <c r="J152" i="86"/>
  <c r="J149" i="86"/>
  <c r="P137" i="86"/>
  <c r="J151" i="86"/>
  <c r="J154" i="86"/>
  <c r="J153" i="86"/>
  <c r="J157" i="86"/>
  <c r="J135" i="86"/>
  <c r="T114" i="86"/>
  <c r="U104" i="86"/>
  <c r="V104" i="86" s="1"/>
  <c r="U99" i="86"/>
  <c r="V99" i="86" s="1"/>
  <c r="U119" i="86"/>
  <c r="V119" i="86" s="1"/>
  <c r="U121" i="86"/>
  <c r="V121" i="86" s="1"/>
  <c r="S173" i="86"/>
  <c r="T111" i="86"/>
  <c r="U111" i="86" s="1"/>
  <c r="V111" i="86" s="1"/>
  <c r="W172" i="86"/>
  <c r="U172" i="86"/>
  <c r="D10" i="87" s="1"/>
  <c r="T123" i="86"/>
  <c r="U123" i="86" s="1"/>
  <c r="V123" i="86" s="1"/>
  <c r="T113" i="86"/>
  <c r="U103" i="86"/>
  <c r="V103" i="86" s="1"/>
  <c r="T118" i="86"/>
  <c r="U118" i="86" s="1"/>
  <c r="V118" i="86" s="1"/>
  <c r="E9" i="87"/>
  <c r="X171" i="86"/>
  <c r="Y171" i="86" s="1"/>
  <c r="U105" i="86"/>
  <c r="V105" i="86" s="1"/>
  <c r="M36" i="11"/>
  <c r="M67" i="11"/>
  <c r="M66" i="11"/>
  <c r="L67" i="11"/>
  <c r="P67" i="11" l="1"/>
  <c r="P66" i="11"/>
  <c r="P36" i="11"/>
  <c r="Q36" i="11" s="1"/>
  <c r="P28" i="11"/>
  <c r="Q28" i="11" s="1"/>
  <c r="K54" i="89"/>
  <c r="O55" i="89"/>
  <c r="K42" i="89"/>
  <c r="O43" i="89"/>
  <c r="P9" i="87"/>
  <c r="I76" i="87" s="1"/>
  <c r="J148" i="86"/>
  <c r="P138" i="86"/>
  <c r="T133" i="86"/>
  <c r="U133" i="86" s="1"/>
  <c r="V133" i="86" s="1"/>
  <c r="I89" i="87"/>
  <c r="F9" i="87"/>
  <c r="G9" i="87" s="1"/>
  <c r="J147" i="86"/>
  <c r="S176" i="86" s="1"/>
  <c r="S175" i="86"/>
  <c r="P135" i="86"/>
  <c r="T132" i="86"/>
  <c r="T134" i="86"/>
  <c r="T126" i="86"/>
  <c r="U126" i="86" s="1"/>
  <c r="V126" i="86" s="1"/>
  <c r="T129" i="86"/>
  <c r="T131" i="86"/>
  <c r="T127" i="86"/>
  <c r="T128" i="86"/>
  <c r="T130" i="86"/>
  <c r="U130" i="86" s="1"/>
  <c r="V130" i="86" s="1"/>
  <c r="T125" i="86"/>
  <c r="U125" i="86" s="1"/>
  <c r="V125" i="86" s="1"/>
  <c r="S162" i="86"/>
  <c r="S174" i="86"/>
  <c r="U174" i="86" s="1"/>
  <c r="U173" i="86"/>
  <c r="D11" i="87" s="1"/>
  <c r="W173" i="86"/>
  <c r="U113" i="86"/>
  <c r="V113" i="86" s="1"/>
  <c r="E10" i="87"/>
  <c r="X172" i="86"/>
  <c r="Y172" i="86" s="1"/>
  <c r="U114" i="86"/>
  <c r="V114" i="86" s="1"/>
  <c r="M11" i="83"/>
  <c r="N10" i="83"/>
  <c r="L37" i="11"/>
  <c r="D12" i="87" l="1"/>
  <c r="P10" i="87"/>
  <c r="I77" i="87" s="1"/>
  <c r="F11" i="89"/>
  <c r="G11" i="89" s="1"/>
  <c r="N11" i="83"/>
  <c r="T13" i="18"/>
  <c r="I90" i="87"/>
  <c r="F10" i="87"/>
  <c r="G10" i="87" s="1"/>
  <c r="U175" i="86"/>
  <c r="D13" i="87" s="1"/>
  <c r="W175" i="86"/>
  <c r="E13" i="87" s="1"/>
  <c r="U176" i="86"/>
  <c r="D14" i="87" s="1"/>
  <c r="W176" i="86"/>
  <c r="U134" i="86"/>
  <c r="V134" i="86" s="1"/>
  <c r="U132" i="86"/>
  <c r="V132" i="86" s="1"/>
  <c r="U128" i="86"/>
  <c r="V128" i="86" s="1"/>
  <c r="U131" i="86"/>
  <c r="V131" i="86" s="1"/>
  <c r="U127" i="86"/>
  <c r="V127" i="86" s="1"/>
  <c r="U129" i="86"/>
  <c r="V129" i="86" s="1"/>
  <c r="S178" i="86"/>
  <c r="X178" i="86" s="1"/>
  <c r="S180" i="86"/>
  <c r="T180" i="86" s="1"/>
  <c r="W174" i="86"/>
  <c r="X174" i="86" s="1"/>
  <c r="Y174" i="86" s="1"/>
  <c r="E11" i="87"/>
  <c r="X173" i="86"/>
  <c r="Y173" i="86" s="1"/>
  <c r="M37" i="11"/>
  <c r="P37" i="11" l="1"/>
  <c r="Q37" i="11" s="1"/>
  <c r="I13" i="87"/>
  <c r="I80" i="87" s="1"/>
  <c r="P11" i="87"/>
  <c r="I78" i="87" s="1"/>
  <c r="F12" i="89"/>
  <c r="G12" i="89" s="1"/>
  <c r="K34" i="89"/>
  <c r="M34" i="89"/>
  <c r="N34" i="89"/>
  <c r="O34" i="89"/>
  <c r="L34" i="89"/>
  <c r="W178" i="86"/>
  <c r="I91" i="87"/>
  <c r="F11" i="87"/>
  <c r="G11" i="87" s="1"/>
  <c r="E12" i="87"/>
  <c r="W131" i="86"/>
  <c r="X196" i="86"/>
  <c r="X197" i="86" s="1"/>
  <c r="E14" i="87"/>
  <c r="I14" i="87" l="1"/>
  <c r="I81" i="87" s="1"/>
  <c r="P12" i="87"/>
  <c r="I79" i="87" s="1"/>
  <c r="J34" i="89"/>
  <c r="P34" i="89" s="1"/>
  <c r="I94" i="87"/>
  <c r="I92" i="87"/>
  <c r="F12" i="87"/>
  <c r="G12" i="87" s="1"/>
  <c r="O35" i="89" l="1"/>
  <c r="M35" i="89"/>
  <c r="N35" i="89"/>
  <c r="I95" i="87"/>
  <c r="I93" i="87"/>
  <c r="K35" i="89" l="1"/>
  <c r="L35" i="89"/>
  <c r="P35" i="89" l="1"/>
  <c r="Q35" i="89" l="1"/>
  <c r="M95" i="87" l="1"/>
  <c r="N95" i="87"/>
  <c r="L95" i="87"/>
  <c r="K95" i="87"/>
  <c r="K94" i="87"/>
  <c r="N94" i="87"/>
  <c r="M94" i="87"/>
  <c r="L94" i="87"/>
  <c r="O94" i="87"/>
  <c r="J95" i="87"/>
  <c r="O95" i="87"/>
  <c r="J94" i="87"/>
  <c r="J90" i="87"/>
  <c r="J87" i="87"/>
  <c r="J86" i="87"/>
  <c r="J85" i="87"/>
  <c r="J88" i="87"/>
  <c r="L88" i="87"/>
  <c r="L87" i="87"/>
  <c r="L86" i="87"/>
  <c r="L85" i="87"/>
  <c r="L93" i="87"/>
  <c r="L92" i="87"/>
  <c r="L91" i="87"/>
  <c r="L90" i="87"/>
  <c r="L89" i="87"/>
  <c r="J93" i="87"/>
  <c r="J92" i="87"/>
  <c r="J91" i="87"/>
  <c r="J89" i="87"/>
  <c r="K88" i="87"/>
  <c r="K85" i="87"/>
  <c r="K93" i="87"/>
  <c r="K92" i="87"/>
  <c r="K91" i="87"/>
  <c r="K90" i="87"/>
  <c r="K89" i="87"/>
  <c r="K87" i="87"/>
  <c r="K86" i="87"/>
  <c r="O87" i="87"/>
  <c r="O86" i="87"/>
  <c r="O93" i="87"/>
  <c r="O92" i="87"/>
  <c r="O91" i="87"/>
  <c r="O90" i="87"/>
  <c r="O89" i="87"/>
  <c r="O88" i="87"/>
  <c r="O85" i="87"/>
  <c r="N88" i="87"/>
  <c r="N87" i="87"/>
  <c r="N86" i="87"/>
  <c r="N85" i="87"/>
  <c r="N93" i="87"/>
  <c r="N92" i="87"/>
  <c r="N91" i="87"/>
  <c r="N90" i="87"/>
  <c r="N89" i="87"/>
  <c r="M93" i="87"/>
  <c r="M92" i="87"/>
  <c r="M90" i="87"/>
  <c r="M91" i="87"/>
  <c r="M89" i="87"/>
  <c r="M88" i="87"/>
  <c r="M87" i="87"/>
  <c r="M86" i="87"/>
  <c r="M85" i="87"/>
  <c r="P89" i="87" l="1"/>
  <c r="O103" i="87" s="1"/>
  <c r="O75" i="87" s="1"/>
  <c r="P94" i="87"/>
  <c r="P93" i="87"/>
  <c r="M107" i="87" s="1"/>
  <c r="P85" i="87"/>
  <c r="N99" i="87" s="1"/>
  <c r="N71" i="87" s="1"/>
  <c r="P86" i="87"/>
  <c r="O100" i="87" s="1"/>
  <c r="O72" i="87" s="1"/>
  <c r="P91" i="87"/>
  <c r="N105" i="87" s="1"/>
  <c r="N77" i="87" s="1"/>
  <c r="P88" i="87"/>
  <c r="N102" i="87" s="1"/>
  <c r="N74" i="87" s="1"/>
  <c r="P87" i="87"/>
  <c r="J101" i="87" s="1"/>
  <c r="J73" i="87" s="1"/>
  <c r="P92" i="87"/>
  <c r="L106" i="87" s="1"/>
  <c r="L78" i="87" s="1"/>
  <c r="P90" i="87"/>
  <c r="L104" i="87" s="1"/>
  <c r="L76" i="87" s="1"/>
  <c r="P95" i="87"/>
  <c r="O109" i="87" s="1"/>
  <c r="O81" i="87" s="1"/>
  <c r="N103" i="87" l="1"/>
  <c r="N75" i="87" s="1"/>
  <c r="L103" i="87"/>
  <c r="L75" i="87" s="1"/>
  <c r="M103" i="87"/>
  <c r="M75" i="87" s="1"/>
  <c r="J103" i="87"/>
  <c r="J75" i="87" s="1"/>
  <c r="K103" i="87"/>
  <c r="K75" i="87" s="1"/>
  <c r="M79" i="87"/>
  <c r="T4" i="18"/>
  <c r="T7" i="18"/>
  <c r="R10" i="18"/>
  <c r="R8" i="18"/>
  <c r="J107" i="87"/>
  <c r="J79" i="87" s="1"/>
  <c r="O106" i="87"/>
  <c r="O78" i="87" s="1"/>
  <c r="M106" i="87"/>
  <c r="M78" i="87" s="1"/>
  <c r="L105" i="87"/>
  <c r="L77" i="87" s="1"/>
  <c r="O101" i="87"/>
  <c r="O73" i="87" s="1"/>
  <c r="N104" i="87"/>
  <c r="N76" i="87" s="1"/>
  <c r="J104" i="87"/>
  <c r="J105" i="87"/>
  <c r="J77" i="87" s="1"/>
  <c r="O104" i="87"/>
  <c r="O76" i="87" s="1"/>
  <c r="M105" i="87"/>
  <c r="M77" i="87" s="1"/>
  <c r="L102" i="87"/>
  <c r="L74" i="87" s="1"/>
  <c r="K106" i="87"/>
  <c r="K78" i="87" s="1"/>
  <c r="N101" i="87"/>
  <c r="N73" i="87" s="1"/>
  <c r="J100" i="87"/>
  <c r="J72" i="87" s="1"/>
  <c r="K102" i="87"/>
  <c r="K74" i="87" s="1"/>
  <c r="O102" i="87"/>
  <c r="O74" i="87" s="1"/>
  <c r="M102" i="87"/>
  <c r="M74" i="87" s="1"/>
  <c r="J106" i="87"/>
  <c r="J78" i="87" s="1"/>
  <c r="O105" i="87"/>
  <c r="O77" i="87" s="1"/>
  <c r="M104" i="87"/>
  <c r="M76" i="87" s="1"/>
  <c r="J102" i="87"/>
  <c r="J74" i="87" s="1"/>
  <c r="K107" i="87"/>
  <c r="K79" i="87" s="1"/>
  <c r="M100" i="87"/>
  <c r="M72" i="87" s="1"/>
  <c r="L107" i="87"/>
  <c r="L79" i="87" s="1"/>
  <c r="K101" i="87"/>
  <c r="K73" i="87" s="1"/>
  <c r="N106" i="87"/>
  <c r="N78" i="87" s="1"/>
  <c r="L101" i="87"/>
  <c r="L73" i="87" s="1"/>
  <c r="K105" i="87"/>
  <c r="K77" i="87" s="1"/>
  <c r="N100" i="87"/>
  <c r="N72" i="87" s="1"/>
  <c r="J99" i="87"/>
  <c r="J71" i="87" s="1"/>
  <c r="K99" i="87"/>
  <c r="K71" i="87" s="1"/>
  <c r="O99" i="87"/>
  <c r="O71" i="87" s="1"/>
  <c r="M101" i="87"/>
  <c r="M73" i="87" s="1"/>
  <c r="L99" i="87"/>
  <c r="L71" i="87" s="1"/>
  <c r="N107" i="87"/>
  <c r="M99" i="87"/>
  <c r="M71" i="87" s="1"/>
  <c r="O107" i="87"/>
  <c r="K100" i="87"/>
  <c r="K72" i="87" s="1"/>
  <c r="L100" i="87"/>
  <c r="L72" i="87" s="1"/>
  <c r="K104" i="87"/>
  <c r="K76" i="87" s="1"/>
  <c r="J108" i="87"/>
  <c r="J80" i="87" s="1"/>
  <c r="M108" i="87"/>
  <c r="K108" i="87"/>
  <c r="K80" i="87" s="1"/>
  <c r="L108" i="87"/>
  <c r="N108" i="87"/>
  <c r="J109" i="87"/>
  <c r="J81" i="87" s="1"/>
  <c r="L109" i="87"/>
  <c r="N109" i="87"/>
  <c r="M109" i="87"/>
  <c r="K109" i="87"/>
  <c r="K81" i="87" s="1"/>
  <c r="O108" i="87"/>
  <c r="I98" i="87"/>
  <c r="R7" i="18" l="1"/>
  <c r="S7" i="18"/>
  <c r="P75" i="87"/>
  <c r="S11" i="18"/>
  <c r="I107" i="87"/>
  <c r="N79" i="87"/>
  <c r="O79" i="87"/>
  <c r="R3" i="18"/>
  <c r="S3" i="18"/>
  <c r="T5" i="18"/>
  <c r="T3" i="18"/>
  <c r="T6" i="18"/>
  <c r="S9" i="18"/>
  <c r="S5" i="18"/>
  <c r="S6" i="18"/>
  <c r="S8" i="18"/>
  <c r="S4" i="18"/>
  <c r="S10" i="18"/>
  <c r="R9" i="18"/>
  <c r="R4" i="18"/>
  <c r="R5" i="18"/>
  <c r="R6" i="18"/>
  <c r="I102" i="87"/>
  <c r="P77" i="87"/>
  <c r="I106" i="87"/>
  <c r="I105" i="87"/>
  <c r="I100" i="87"/>
  <c r="P74" i="87"/>
  <c r="J76" i="87"/>
  <c r="I104" i="87"/>
  <c r="P71" i="87"/>
  <c r="P78" i="87"/>
  <c r="N81" i="87"/>
  <c r="O80" i="87"/>
  <c r="M80" i="87"/>
  <c r="M81" i="87"/>
  <c r="N80" i="87"/>
  <c r="I108" i="87"/>
  <c r="I101" i="87"/>
  <c r="I99" i="87"/>
  <c r="I103" i="87"/>
  <c r="I109" i="87"/>
  <c r="U7" i="18" l="1"/>
  <c r="R11" i="18"/>
  <c r="P79" i="87"/>
  <c r="S12" i="18"/>
  <c r="S13" i="18"/>
  <c r="U3" i="18"/>
  <c r="U10" i="18"/>
  <c r="U8" i="18"/>
  <c r="U5" i="18"/>
  <c r="U6" i="18"/>
  <c r="U4" i="18"/>
  <c r="U9" i="18"/>
  <c r="P76" i="87"/>
  <c r="P72" i="87"/>
  <c r="P73" i="87"/>
  <c r="U11" i="18" l="1"/>
  <c r="C29" i="95" l="1"/>
  <c r="C30" i="95" l="1"/>
  <c r="C22" i="95"/>
  <c r="C23" i="95"/>
  <c r="C24" i="95"/>
  <c r="C16" i="95"/>
  <c r="C18" i="95"/>
  <c r="E33" i="95"/>
  <c r="E39" i="95" s="1"/>
  <c r="D43" i="95" s="1"/>
  <c r="C15" i="95"/>
  <c r="C17" i="95"/>
  <c r="C19" i="95"/>
  <c r="C21" i="95"/>
  <c r="C14" i="95"/>
  <c r="C33" i="95"/>
  <c r="B43" i="95" s="1"/>
  <c r="C20" i="95"/>
  <c r="E26" i="95"/>
  <c r="C26" i="95" s="1"/>
  <c r="E25" i="95"/>
  <c r="E27" i="95" l="1"/>
  <c r="C25" i="95"/>
  <c r="L55" i="9"/>
  <c r="L112" i="87"/>
  <c r="P112" i="87" l="1"/>
  <c r="L80" i="87"/>
  <c r="E28" i="95"/>
  <c r="C28" i="95" s="1"/>
  <c r="C27" i="95"/>
  <c r="C34" i="95" s="1"/>
  <c r="C40" i="95" s="1"/>
  <c r="B44" i="95" s="1"/>
  <c r="L42" i="9"/>
  <c r="P55" i="9"/>
  <c r="L113" i="87" l="1"/>
  <c r="L56" i="9"/>
  <c r="L5" i="11"/>
  <c r="P80" i="87"/>
  <c r="R12" i="18"/>
  <c r="U12" i="18" s="1"/>
  <c r="E34" i="95"/>
  <c r="E40" i="95" s="1"/>
  <c r="D44" i="95" s="1"/>
  <c r="B12" i="18"/>
  <c r="P42" i="9"/>
  <c r="L30" i="89"/>
  <c r="L22" i="11"/>
  <c r="L23" i="11" l="1"/>
  <c r="E12" i="18"/>
  <c r="R80" i="87"/>
  <c r="P56" i="9"/>
  <c r="L43" i="9"/>
  <c r="L41" i="11"/>
  <c r="I30" i="89"/>
  <c r="L42" i="89"/>
  <c r="L54" i="89"/>
  <c r="L81" i="87"/>
  <c r="P113" i="87"/>
  <c r="L45" i="11"/>
  <c r="L8" i="11"/>
  <c r="P42" i="89" l="1"/>
  <c r="L48" i="89" s="1"/>
  <c r="L36" i="89" s="1"/>
  <c r="P43" i="9"/>
  <c r="M22" i="11"/>
  <c r="B13" i="18"/>
  <c r="L31" i="89"/>
  <c r="L46" i="11"/>
  <c r="R13" i="18"/>
  <c r="U13" i="18" s="1"/>
  <c r="P81" i="87"/>
  <c r="M5" i="11"/>
  <c r="P5" i="11" s="1"/>
  <c r="Q5" i="11" s="1"/>
  <c r="L9" i="11"/>
  <c r="P54" i="89"/>
  <c r="L60" i="89" s="1"/>
  <c r="L51" i="11"/>
  <c r="L42" i="11"/>
  <c r="P22" i="11" l="1"/>
  <c r="Q22" i="11" s="1"/>
  <c r="L52" i="11"/>
  <c r="I31" i="89"/>
  <c r="L43" i="89"/>
  <c r="E13" i="18"/>
  <c r="M23" i="11"/>
  <c r="K48" i="89"/>
  <c r="K36" i="89" s="1"/>
  <c r="N48" i="89"/>
  <c r="N36" i="89" s="1"/>
  <c r="M48" i="89"/>
  <c r="M36" i="89" s="1"/>
  <c r="O48" i="89"/>
  <c r="O36" i="89" s="1"/>
  <c r="J48" i="89"/>
  <c r="R81" i="87"/>
  <c r="M41" i="11"/>
  <c r="N60" i="89"/>
  <c r="M60" i="89"/>
  <c r="O60" i="89"/>
  <c r="K60" i="89"/>
  <c r="J60" i="89"/>
  <c r="M45" i="11"/>
  <c r="P45" i="11" s="1"/>
  <c r="Q45" i="11" s="1"/>
  <c r="M8" i="11"/>
  <c r="P8" i="11" s="1"/>
  <c r="Q8" i="11" s="1"/>
  <c r="P41" i="11" l="1"/>
  <c r="Q41" i="11" s="1"/>
  <c r="P23" i="11"/>
  <c r="Q23" i="11" s="1"/>
  <c r="M42" i="11"/>
  <c r="P43" i="89"/>
  <c r="M9" i="11"/>
  <c r="P9" i="11" s="1"/>
  <c r="Q9" i="11" s="1"/>
  <c r="M51" i="11"/>
  <c r="M46" i="11"/>
  <c r="P46" i="11" s="1"/>
  <c r="Q46" i="11" s="1"/>
  <c r="I60" i="89"/>
  <c r="I48" i="89"/>
  <c r="J36" i="89"/>
  <c r="P51" i="11" l="1"/>
  <c r="P42" i="11"/>
  <c r="Q42" i="11" s="1"/>
  <c r="M49" i="89"/>
  <c r="M37" i="89" s="1"/>
  <c r="N49" i="89"/>
  <c r="N37" i="89" s="1"/>
  <c r="O49" i="89"/>
  <c r="O37" i="89" s="1"/>
  <c r="K49" i="89"/>
  <c r="J49" i="89"/>
  <c r="L49" i="89"/>
  <c r="P36" i="89"/>
  <c r="Q36" i="89" s="1"/>
  <c r="M52" i="11"/>
  <c r="P52" i="11" l="1"/>
  <c r="J37" i="89"/>
  <c r="I49" i="89"/>
  <c r="J55" i="89"/>
  <c r="K37" i="89"/>
  <c r="K55" i="89"/>
  <c r="L55" i="89"/>
  <c r="L37" i="89"/>
  <c r="P37" i="89" l="1"/>
  <c r="Q37" i="89" s="1"/>
  <c r="P55" i="89"/>
  <c r="M61" i="89" l="1"/>
  <c r="O61" i="89"/>
  <c r="N61" i="89"/>
  <c r="J61" i="89"/>
  <c r="I61" i="89" s="1"/>
  <c r="K61" i="89"/>
  <c r="L61" i="89"/>
</calcChain>
</file>

<file path=xl/sharedStrings.xml><?xml version="1.0" encoding="utf-8"?>
<sst xmlns="http://schemas.openxmlformats.org/spreadsheetml/2006/main" count="1074" uniqueCount="288">
  <si>
    <t>Loss Factor</t>
  </si>
  <si>
    <t xml:space="preserve">Residential </t>
  </si>
  <si>
    <t xml:space="preserve">Unmetered Loads </t>
  </si>
  <si>
    <t>Total Billed</t>
  </si>
  <si>
    <t>Heating Degree Days</t>
  </si>
  <si>
    <t>Cooling Degree Days</t>
  </si>
  <si>
    <t>Number of Days in Month</t>
  </si>
  <si>
    <t>Number of Peak Hours</t>
  </si>
  <si>
    <t>Ontario Real GDP Monthly %</t>
  </si>
  <si>
    <t>Purchases</t>
  </si>
  <si>
    <t>Modeled Purchases</t>
  </si>
  <si>
    <t>% Difference</t>
  </si>
  <si>
    <t>Total</t>
  </si>
  <si>
    <t xml:space="preserve">Predicted Purchases </t>
  </si>
  <si>
    <t>Variances (kWh)</t>
  </si>
  <si>
    <t>% Variance</t>
  </si>
  <si>
    <t>Average</t>
  </si>
  <si>
    <t>Usage Per Customer</t>
  </si>
  <si>
    <t>Check</t>
  </si>
  <si>
    <t>Spring Fall Flag</t>
  </si>
  <si>
    <t>Difference</t>
  </si>
  <si>
    <t>Weather Corrected Forecast</t>
  </si>
  <si>
    <t>Non Weather Corrected Forecast</t>
  </si>
  <si>
    <t>% Weather Sensitive</t>
  </si>
  <si>
    <t>Allocation of Weather Sensitive Amount</t>
  </si>
  <si>
    <t xml:space="preserve">  Customers</t>
  </si>
  <si>
    <t xml:space="preserve">  kWh</t>
  </si>
  <si>
    <t xml:space="preserve">  kW</t>
  </si>
  <si>
    <t xml:space="preserve">  Connections</t>
  </si>
  <si>
    <t xml:space="preserve">  kW from applicable classes</t>
  </si>
  <si>
    <t xml:space="preserve">  Customer/Connections</t>
  </si>
  <si>
    <t>Actual kWh Purchases</t>
  </si>
  <si>
    <t>Predicted kWh Purchases</t>
  </si>
  <si>
    <t>By Class</t>
  </si>
  <si>
    <t>Used</t>
  </si>
  <si>
    <r>
      <t xml:space="preserve">General Service </t>
    </r>
    <r>
      <rPr>
        <u/>
        <sz val="10"/>
        <rFont val="Arial"/>
        <family val="2"/>
      </rPr>
      <t>&lt; 50 kW</t>
    </r>
  </si>
  <si>
    <t>kW/kWh</t>
  </si>
  <si>
    <t>Street Lights</t>
  </si>
  <si>
    <t>May</t>
  </si>
  <si>
    <t>kWh</t>
  </si>
  <si>
    <t>kW</t>
  </si>
  <si>
    <t>Number of Customers</t>
  </si>
  <si>
    <t>% Variance (Abs)</t>
  </si>
  <si>
    <t>Month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</si>
  <si>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</si>
  <si>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</si>
  <si>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</si>
  <si>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</si>
  <si>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</si>
  <si>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</si>
  <si>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</si>
  <si>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</si>
  <si>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</si>
  <si>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</si>
  <si>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</si>
  <si>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 xml:space="preserve">2014 Actual </t>
  </si>
  <si>
    <t xml:space="preserve">2015 Actual </t>
  </si>
  <si>
    <t xml:space="preserve">2016 Actual </t>
  </si>
  <si>
    <t>Embedded Distributor</t>
  </si>
  <si>
    <t xml:space="preserve">2017 Actual </t>
  </si>
  <si>
    <t xml:space="preserve">  Customers </t>
  </si>
  <si>
    <t>20 Year Trend</t>
  </si>
  <si>
    <t>Trend</t>
  </si>
  <si>
    <t>MAPE</t>
  </si>
  <si>
    <t>Average Number of Customer/Connections</t>
  </si>
  <si>
    <t>Forecast</t>
  </si>
  <si>
    <t xml:space="preserve">2012 Actual </t>
  </si>
  <si>
    <t>2013 Actual</t>
  </si>
  <si>
    <t xml:space="preserve">2018 Actual </t>
  </si>
  <si>
    <t xml:space="preserve">2019 Actual </t>
  </si>
  <si>
    <t xml:space="preserve">Total Billed </t>
  </si>
  <si>
    <t>Power Purchased from IESO Final Statements Includes Class A and Generation</t>
  </si>
  <si>
    <t>Embedded Dist</t>
  </si>
  <si>
    <t>Month-Year</t>
  </si>
  <si>
    <t>Residential</t>
  </si>
  <si>
    <t>GS&lt;50</t>
  </si>
  <si>
    <t>GS&gt;50</t>
  </si>
  <si>
    <t xml:space="preserve">USL </t>
  </si>
  <si>
    <t>Streetlights</t>
  </si>
  <si>
    <t>2020 Purchases</t>
  </si>
  <si>
    <r>
      <t xml:space="preserve">General Service </t>
    </r>
    <r>
      <rPr>
        <u/>
        <sz val="10"/>
        <rFont val="Arial"/>
        <family val="2"/>
      </rPr>
      <t>&gt; 50 to 4,999 kW</t>
    </r>
  </si>
  <si>
    <t>2022 Test</t>
  </si>
  <si>
    <t>2021 Bridge</t>
  </si>
  <si>
    <t>2020 Actual</t>
  </si>
  <si>
    <t>Year</t>
  </si>
  <si>
    <t>Subdivision</t>
  </si>
  <si>
    <t>Growth</t>
  </si>
  <si>
    <t xml:space="preserve">Average </t>
  </si>
  <si>
    <t xml:space="preserve">Monthly </t>
  </si>
  <si>
    <t>Increase</t>
  </si>
  <si>
    <t>MeanTemp</t>
  </si>
  <si>
    <t>HDD20</t>
  </si>
  <si>
    <t>CDD20</t>
  </si>
  <si>
    <t>HDD18</t>
  </si>
  <si>
    <t>CDD18</t>
  </si>
  <si>
    <t>HDD16</t>
  </si>
  <si>
    <t>CDD16</t>
  </si>
  <si>
    <t>HDD14</t>
  </si>
  <si>
    <t>CDD14</t>
  </si>
  <si>
    <t>HDD12</t>
  </si>
  <si>
    <t>CDD12</t>
  </si>
  <si>
    <t>HDD10</t>
  </si>
  <si>
    <t>CDD10</t>
  </si>
  <si>
    <t>Jan</t>
  </si>
  <si>
    <t>Feb</t>
  </si>
  <si>
    <t>Mar</t>
  </si>
  <si>
    <t>Apr</t>
  </si>
  <si>
    <t>Sept</t>
  </si>
  <si>
    <t>Oct</t>
  </si>
  <si>
    <t>Nov</t>
  </si>
  <si>
    <t>Dec</t>
  </si>
  <si>
    <t>10-year</t>
  </si>
  <si>
    <t>10 Year Average</t>
  </si>
  <si>
    <t>20 Year Trend (2021)</t>
  </si>
  <si>
    <t>Grimsby Mountain</t>
  </si>
  <si>
    <t>COVID</t>
  </si>
  <si>
    <t>OntarioGDP</t>
  </si>
  <si>
    <t>OntarioFTEAdj</t>
  </si>
  <si>
    <t>OntarioFTE</t>
  </si>
  <si>
    <t>OntarioUnemployAdj</t>
  </si>
  <si>
    <t>OntarioUnemploy</t>
  </si>
  <si>
    <t>HamiltonFTEAdj</t>
  </si>
  <si>
    <t>HamiltonFTE</t>
  </si>
  <si>
    <t>HamiltonUnemployAdj</t>
  </si>
  <si>
    <t>HamiltonUnemploy</t>
  </si>
  <si>
    <t>StCathFTEAdj</t>
  </si>
  <si>
    <t>StCathFTE</t>
  </si>
  <si>
    <t>StCathUnemployAdj</t>
  </si>
  <si>
    <t>StCathUnemploy</t>
  </si>
  <si>
    <t>Date</t>
  </si>
  <si>
    <t>Half-Year Current</t>
  </si>
  <si>
    <t>CDM</t>
  </si>
  <si>
    <t>Load Forecast CDM</t>
  </si>
  <si>
    <t>Savings Year</t>
  </si>
  <si>
    <t>Implementation Year</t>
  </si>
  <si>
    <t>Persistance from Previous Programs</t>
  </si>
  <si>
    <t>Jun</t>
  </si>
  <si>
    <t>Jul</t>
  </si>
  <si>
    <t>Aug</t>
  </si>
  <si>
    <t>Sep</t>
  </si>
  <si>
    <t>CDM (with 1/2 year rule)</t>
  </si>
  <si>
    <t>Monthly Incremantal CDM</t>
  </si>
  <si>
    <t>Predicted Purchases without CDM</t>
  </si>
  <si>
    <t>Difference between 2022 Predicted Purchaes Using 20 Weather Trend</t>
  </si>
  <si>
    <t>Embedded Distributor Purchases</t>
  </si>
  <si>
    <t>Purchases Plus CDM Less Embedded</t>
  </si>
  <si>
    <t>Embedded</t>
  </si>
  <si>
    <t>Monthly Cummulative CDM</t>
  </si>
  <si>
    <t>Class A Dummy</t>
  </si>
  <si>
    <t>Average Consumption/Customer</t>
  </si>
  <si>
    <t>Incremental CDM</t>
  </si>
  <si>
    <t>Average (10 yr)</t>
  </si>
  <si>
    <t>Average (5 yr)</t>
  </si>
  <si>
    <t>10-yr</t>
  </si>
  <si>
    <t>5-yr</t>
  </si>
  <si>
    <t>USF Weather Normal Load Forecast for 2022 Rate Application</t>
  </si>
  <si>
    <t>Dependent variable: PurchasesPlusCDMLessEmbedde</t>
  </si>
  <si>
    <t>coefficient</t>
  </si>
  <si>
    <t>std. error</t>
  </si>
  <si>
    <t>t-ratio</t>
  </si>
  <si>
    <t>p-value</t>
  </si>
  <si>
    <t>const</t>
  </si>
  <si>
    <t>Mean dependent var</t>
  </si>
  <si>
    <t>S.D. dependent var</t>
  </si>
  <si>
    <t>Sum squared resid</t>
  </si>
  <si>
    <t>S.E. of regression</t>
  </si>
  <si>
    <t>R-squared</t>
  </si>
  <si>
    <t>Adjusted R-squared</t>
  </si>
  <si>
    <t>F(2, 117)</t>
  </si>
  <si>
    <t>P-value(F)</t>
  </si>
  <si>
    <t>rho</t>
  </si>
  <si>
    <t>Durbin-Watson</t>
  </si>
  <si>
    <t>Statistics based on the rho-differenced data</t>
  </si>
  <si>
    <t>Model 17: Prais-Winsten, using observations 2011:01-2020:12 (T = 120)</t>
  </si>
  <si>
    <t>rho = 0.582328</t>
  </si>
  <si>
    <t>Predicted16</t>
  </si>
  <si>
    <t>Predicted18</t>
  </si>
  <si>
    <t>Flat CDM</t>
  </si>
  <si>
    <t>Purchases Plus Flat CDM Less Embedded</t>
  </si>
  <si>
    <t>Model 1: Prais-Winsten, using observations 2011:01-2020:12 (T = 120)</t>
  </si>
  <si>
    <t>Dependent variable: PurchasesPlusFlatCDMLessEm</t>
  </si>
  <si>
    <t>rho = 0.62599</t>
  </si>
  <si>
    <t>Model 2: Prais-Winsten, using observations 2011:01-2020:12 (T = 120)</t>
  </si>
  <si>
    <t>NumberofDaysinMonth</t>
  </si>
  <si>
    <t>NumberofCustomers</t>
  </si>
  <si>
    <t>Spring Flag</t>
  </si>
  <si>
    <t>Fall Flag</t>
  </si>
  <si>
    <t>SpringFlag</t>
  </si>
  <si>
    <t>COVID Alt</t>
  </si>
  <si>
    <t xml:space="preserve">Metered Quantities for GS&gt;50 Customer with Less Than Average 50 kW Demand </t>
  </si>
  <si>
    <t>Total Metered kWh</t>
  </si>
  <si>
    <t>Total kW</t>
  </si>
  <si>
    <t>GS &lt; 50 (Adj)</t>
  </si>
  <si>
    <r>
      <t xml:space="preserve">General Service </t>
    </r>
    <r>
      <rPr>
        <u/>
        <sz val="10"/>
        <rFont val="Arial"/>
        <family val="2"/>
      </rPr>
      <t>&lt; 50 kW</t>
    </r>
    <r>
      <rPr>
        <sz val="10"/>
        <rFont val="Arial"/>
        <family val="2"/>
      </rPr>
      <t xml:space="preserve"> Adj</t>
    </r>
  </si>
  <si>
    <r>
      <t xml:space="preserve">General Service </t>
    </r>
    <r>
      <rPr>
        <u/>
        <sz val="10"/>
        <rFont val="Arial"/>
        <family val="2"/>
      </rPr>
      <t>&gt; 50 to 4,999 kW</t>
    </r>
    <r>
      <rPr>
        <sz val="10"/>
        <rFont val="Arial"/>
        <family val="2"/>
      </rPr>
      <t xml:space="preserve"> Adj</t>
    </r>
  </si>
  <si>
    <t>General Service &gt; 50 to 4,999 kW</t>
  </si>
  <si>
    <t xml:space="preserve">2011 Actual </t>
  </si>
  <si>
    <t>Additions</t>
  </si>
  <si>
    <t>GS&gt;50 (Adj)</t>
  </si>
  <si>
    <t>Customers-NoDevices</t>
  </si>
  <si>
    <t xml:space="preserve">Customer </t>
  </si>
  <si>
    <t>Count</t>
  </si>
  <si>
    <t>Residential Subdivision</t>
  </si>
  <si>
    <t>GS&lt;50 Subdivision</t>
  </si>
  <si>
    <t>GS&gt;50 Subdivision</t>
  </si>
  <si>
    <t>GoalSeek: Set "Check" rows above equal to 0 by changing Jan 2021/2022 values</t>
  </si>
  <si>
    <t>COVID CDD</t>
  </si>
  <si>
    <t>COVIDCDD</t>
  </si>
  <si>
    <t>F(7, 112)</t>
  </si>
  <si>
    <t>COVID HDD</t>
  </si>
  <si>
    <t>COVIDHDD</t>
  </si>
  <si>
    <t>Monthly Subdivision Additions</t>
  </si>
  <si>
    <t>With Subdivision Additions</t>
  </si>
  <si>
    <t>Note: Jan 2021 and Jan 2022 values are set with GoalSeek function so monthly increases are consistent AND average annual increases are equal to geoman growth rates calculated above.</t>
  </si>
  <si>
    <t>TD</t>
  </si>
  <si>
    <t>GDP</t>
  </si>
  <si>
    <t>FTE</t>
  </si>
  <si>
    <t>BMO</t>
  </si>
  <si>
    <t>Scotia</t>
  </si>
  <si>
    <t>RBC</t>
  </si>
  <si>
    <t>Average Used</t>
  </si>
  <si>
    <t>Power Purchased with Losses Includes Class A and Generation Including WMP</t>
  </si>
  <si>
    <t>Purchases for WMP with Losses</t>
  </si>
  <si>
    <t>Purchases Generation</t>
  </si>
  <si>
    <t>Purchases Embedded Distributor</t>
  </si>
  <si>
    <t>Purchases without WMP, Generation and Embedded Distributor</t>
  </si>
  <si>
    <t>Predicted Purchases without CDM plus embedded</t>
  </si>
  <si>
    <t>Modeled Purchases (without Embedded)</t>
  </si>
  <si>
    <t>Purchases (without Embedded)</t>
  </si>
  <si>
    <t>WMP Billed</t>
  </si>
  <si>
    <t>rho = 0.442241</t>
  </si>
  <si>
    <t>NPEI kWh</t>
  </si>
  <si>
    <t>NPEI kW</t>
  </si>
  <si>
    <t>NPEI Grossed Up Demand</t>
  </si>
  <si>
    <t>Gross Up Difference in Demand</t>
  </si>
  <si>
    <t>*Jan-17</t>
  </si>
  <si>
    <t>*Feb-17</t>
  </si>
  <si>
    <t>Gross up %</t>
  </si>
  <si>
    <t>3-Year Average</t>
  </si>
  <si>
    <t>Embedded Distributor (Before kW Gross-Up)</t>
  </si>
  <si>
    <t>Peak Demand (kW)</t>
  </si>
  <si>
    <t>Dependent variable: EmbeddedDistributorPurchases</t>
  </si>
  <si>
    <t>Predicted Purchases</t>
  </si>
  <si>
    <t>Model 2: Prais-Winsten, using observations 2017:03-2020:12 (T = 46)</t>
  </si>
  <si>
    <t>F(3, 42)</t>
  </si>
  <si>
    <t>rho = 0.219789</t>
  </si>
  <si>
    <t>Weather Impact</t>
  </si>
  <si>
    <t>Weather Normal</t>
  </si>
  <si>
    <t>NPEI kWh Weather Normal</t>
  </si>
  <si>
    <t>Annual Growth Rate</t>
  </si>
  <si>
    <t>CDD16 Normal</t>
  </si>
  <si>
    <t>*HDD is not statistically significant</t>
  </si>
  <si>
    <t>Geomean</t>
  </si>
  <si>
    <t>HDD Norm</t>
  </si>
  <si>
    <t>CDD Norm</t>
  </si>
  <si>
    <t>COVID HDD Norm</t>
  </si>
  <si>
    <t>COVID CDD Norm</t>
  </si>
  <si>
    <t>2020 Normalized</t>
  </si>
  <si>
    <t>Total Billed Excluding Embedded</t>
  </si>
  <si>
    <t>Covid Impact</t>
  </si>
  <si>
    <t>% COVID</t>
  </si>
  <si>
    <t>Customer 1</t>
  </si>
  <si>
    <t>Customer 2</t>
  </si>
  <si>
    <t>Customer 1 forecast based on actual June 2021</t>
  </si>
  <si>
    <t>Customer 2 forecast based on anticipated demand once facilities are completed</t>
  </si>
  <si>
    <t>New Customers</t>
  </si>
  <si>
    <t>Allocation of COVID</t>
  </si>
  <si>
    <t>% COVID (Weather Normal)</t>
  </si>
  <si>
    <t>Allocation of COVID (Weather Normal)</t>
  </si>
  <si>
    <t>Weather Corrected Forecast + New Customers</t>
  </si>
  <si>
    <t>General Service &lt; 50 kW (Before GS Adjustment)</t>
  </si>
  <si>
    <t>General Service &gt; 50 to 4,999 kW (Before GS Adjustment)</t>
  </si>
  <si>
    <t>20- Year Trend</t>
  </si>
  <si>
    <t>Typical Monthly Demand</t>
  </si>
  <si>
    <t>Typical Annual Demand</t>
  </si>
  <si>
    <t>Less</t>
  </si>
  <si>
    <t>Built-in Consumption/Demand</t>
  </si>
  <si>
    <t>Number of Customers (no ED)</t>
  </si>
  <si>
    <t>NumberofCustomersnoED</t>
  </si>
  <si>
    <t>rho = 0.442306</t>
  </si>
  <si>
    <t>As Filed</t>
  </si>
  <si>
    <t>IRR Update</t>
  </si>
  <si>
    <t>Change from Filed to IRR</t>
  </si>
  <si>
    <t>Changes:</t>
  </si>
  <si>
    <t>- Corrected Loss Factor to 4.56%</t>
  </si>
  <si>
    <t>- Removed ED from Customer Count (regression re-ran)</t>
  </si>
  <si>
    <t>- Corrected new customer kWh consumption to Jan20-Jun20 average (instead of rolling average)</t>
  </si>
  <si>
    <t xml:space="preserve">- Revised 2022 Residential Subdivision Additions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</si>
</sst>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0"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_);\(&quot;$&quot;#,##0\)"/>
    <numFmt numFmtId="165" formatCode="_(&quot;$&quot;* #,##0.00_);_(&quot;$&quot;* \(#,##0.00\);_(&quot;$&quot;* &quot;-&quot;??_);_(@_)"/>
    <numFmt numFmtId="166" formatCode="_(* #,##0.00_);_(* \(#,##0.00\);_(* &quot;-&quot;??_);_(@_)"/>
    <numFmt numFmtId="167" formatCode="0.0%"/>
    <numFmt numFmtId="168" formatCode="0.0"/>
    <numFmt numFmtId="169" formatCode="#,##0;\(#,##0\)"/>
    <numFmt numFmtId="170" formatCode="0.0000"/>
    <numFmt numFmtId="171" formatCode="#,##0.0000"/>
    <numFmt numFmtId="172" formatCode="0.0000%"/>
    <numFmt numFmtId="173" formatCode="_(* #,##0_);_(* \(#,##0\);_(* &quot;-&quot;??_);_(@_)"/>
    <numFmt numFmtId="174" formatCode="_(* #,##0.0_);_(* \(#,##0.0\);_(* &quot;-&quot;??_);_(@_)"/>
    <numFmt numFmtId="175" formatCode="#,##0.0"/>
    <numFmt numFmtId="176" formatCode="mm/dd/yyyy"/>
    <numFmt numFmtId="177" formatCode="0\-0"/>
    <numFmt numFmtId="178" formatCode="##\-#"/>
    <numFmt numFmtId="179" formatCode="&quot;£ &quot;#,##0.00;[Red]\-&quot;£ &quot;#,##0.00"/>
    <numFmt numFmtId="180" formatCode="_(* #,##0.0_);_(* \(#,##0.0\);_(* &quot;-&quot;?_);_(@_)"/>
    <numFmt numFmtId="181" formatCode="0.000%"/>
    <numFmt numFmtId="182" formatCode="0.000"/>
    <numFmt numFmtId="183" formatCode="#,##0.0000000"/>
    <numFmt numFmtId="184" formatCode="_(* #,##0.000_);_(* \(#,##0.000\);_(* &quot;-&quot;??_);_(@_)"/>
    <numFmt numFmtId="185" formatCode="0.00000"/>
    <numFmt numFmtId="186" formatCode="_(* #,##0.0000000_);_(* \(#,##0.0000000\);_(* &quot;-&quot;??_);_(@_)"/>
    <numFmt numFmtId="187" formatCode="_(* #,##0_);_(* \(#,##0\);_(* &quot;-&quot;?_);_(@_)"/>
    <numFmt numFmtId="188" formatCode="0.0000E+00"/>
    <numFmt numFmtId="189" formatCode="mmm\-yyyy"/>
    <numFmt numFmtId="190" formatCode="_-* #,##0_-;\-* #,##0_-;_-* &quot;-&quot;??_-;_-@_-"/>
    <numFmt numFmtId="191" formatCode="_(* #,##0.00000000000000_);_(* \(#,##0.00000000000000\);_(* &quot;-&quot;??_);_(@_)"/>
  </numFmts>
  <fonts count="4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14"/>
      <name val="Arial"/>
      <family val="2"/>
    </font>
    <font>
      <sz val="10"/>
      <color rgb="FF7030A0"/>
      <name val="Arial"/>
      <family val="2"/>
    </font>
    <font>
      <sz val="10"/>
      <color theme="1"/>
      <name val="Arial"/>
      <family val="2"/>
    </font>
    <font>
      <sz val="10"/>
      <color rgb="FFC00000"/>
      <name val="Arial"/>
      <family val="2"/>
    </font>
    <font>
      <i/>
      <sz val="10"/>
      <color rgb="FFC00000"/>
      <name val="Arial"/>
      <family val="2"/>
    </font>
    <font>
      <sz val="10"/>
      <name val="Times New Roman"/>
      <family val="1"/>
    </font>
    <font>
      <b/>
      <sz val="11"/>
      <name val="Arial"/>
      <family val="2"/>
    </font>
    <font>
      <i/>
      <sz val="10"/>
      <name val="Times New Roman"/>
      <family val="1"/>
    </font>
    <font>
      <i/>
      <sz val="10"/>
      <color rgb="FFFF0000"/>
      <name val="Arial"/>
      <family val="2"/>
    </font>
  </fonts>
  <fills count="47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rgb="FF7F7F7F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06">
    <xf numFmtId="0" fontId="0" fillId="0" borderId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4" fillId="5" borderId="1" applyNumberFormat="0" applyProtection="0">
      <alignment horizontal="left" vertical="center"/>
    </xf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4" fontId="6" fillId="0" borderId="0" applyFont="0" applyFill="0" applyBorder="0" applyAlignment="0" applyProtection="0"/>
    <xf numFmtId="2" fontId="6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4" fontId="6" fillId="0" borderId="0"/>
    <xf numFmtId="175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6" fontId="6" fillId="0" borderId="0"/>
    <xf numFmtId="177" fontId="6" fillId="0" borderId="0"/>
    <xf numFmtId="176" fontId="6" fillId="0" borderId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35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36" borderId="0" applyNumberFormat="0" applyBorder="0" applyAlignment="0" applyProtection="0"/>
    <xf numFmtId="0" fontId="31" fillId="17" borderId="0" applyNumberFormat="0" applyBorder="0" applyAlignment="0" applyProtection="0"/>
    <xf numFmtId="0" fontId="31" fillId="21" borderId="0" applyNumberFormat="0" applyBorder="0" applyAlignment="0" applyProtection="0"/>
    <xf numFmtId="0" fontId="31" fillId="25" borderId="0" applyNumberFormat="0" applyBorder="0" applyAlignment="0" applyProtection="0"/>
    <xf numFmtId="0" fontId="31" fillId="29" borderId="0" applyNumberFormat="0" applyBorder="0" applyAlignment="0" applyProtection="0"/>
    <xf numFmtId="0" fontId="31" fillId="33" borderId="0" applyNumberFormat="0" applyBorder="0" applyAlignment="0" applyProtection="0"/>
    <xf numFmtId="0" fontId="31" fillId="37" borderId="0" applyNumberFormat="0" applyBorder="0" applyAlignment="0" applyProtection="0"/>
    <xf numFmtId="0" fontId="31" fillId="14" borderId="0" applyNumberFormat="0" applyBorder="0" applyAlignment="0" applyProtection="0"/>
    <xf numFmtId="0" fontId="31" fillId="18" borderId="0" applyNumberFormat="0" applyBorder="0" applyAlignment="0" applyProtection="0"/>
    <xf numFmtId="0" fontId="31" fillId="22" borderId="0" applyNumberFormat="0" applyBorder="0" applyAlignment="0" applyProtection="0"/>
    <xf numFmtId="0" fontId="31" fillId="26" borderId="0" applyNumberFormat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22" fillId="8" borderId="0" applyNumberFormat="0" applyBorder="0" applyAlignment="0" applyProtection="0"/>
    <xf numFmtId="0" fontId="26" fillId="11" borderId="14" applyNumberFormat="0" applyAlignment="0" applyProtection="0"/>
    <xf numFmtId="0" fontId="28" fillId="12" borderId="17" applyNumberFormat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21" fillId="7" borderId="0" applyNumberFormat="0" applyBorder="0" applyAlignment="0" applyProtection="0"/>
    <xf numFmtId="38" fontId="12" fillId="38" borderId="0" applyNumberFormat="0" applyBorder="0" applyAlignment="0" applyProtection="0"/>
    <xf numFmtId="38" fontId="12" fillId="38" borderId="0" applyNumberFormat="0" applyBorder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10" fontId="12" fillId="39" borderId="1" applyNumberFormat="0" applyBorder="0" applyAlignment="0" applyProtection="0"/>
    <xf numFmtId="10" fontId="12" fillId="39" borderId="1" applyNumberFormat="0" applyBorder="0" applyAlignment="0" applyProtection="0"/>
    <xf numFmtId="0" fontId="24" fillId="10" borderId="14" applyNumberFormat="0" applyAlignment="0" applyProtection="0"/>
    <xf numFmtId="0" fontId="27" fillId="0" borderId="16" applyNumberFormat="0" applyFill="0" applyAlignment="0" applyProtection="0"/>
    <xf numFmtId="178" fontId="6" fillId="0" borderId="0"/>
    <xf numFmtId="173" fontId="6" fillId="0" borderId="0"/>
    <xf numFmtId="178" fontId="6" fillId="0" borderId="0"/>
    <xf numFmtId="178" fontId="6" fillId="0" borderId="0"/>
    <xf numFmtId="178" fontId="6" fillId="0" borderId="0"/>
    <xf numFmtId="178" fontId="6" fillId="0" borderId="0"/>
    <xf numFmtId="0" fontId="23" fillId="9" borderId="0" applyNumberFormat="0" applyBorder="0" applyAlignment="0" applyProtection="0"/>
    <xf numFmtId="179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13" borderId="18" applyNumberFormat="0" applyFont="0" applyAlignment="0" applyProtection="0"/>
    <xf numFmtId="0" fontId="25" fillId="11" borderId="15" applyNumberFormat="0" applyAlignment="0" applyProtection="0"/>
    <xf numFmtId="10" fontId="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32" fillId="0" borderId="0" applyNumberFormat="0" applyBorder="0" applyAlignment="0"/>
    <xf numFmtId="0" fontId="33" fillId="0" borderId="0" applyNumberFormat="0" applyBorder="0" applyAlignment="0"/>
    <xf numFmtId="0" fontId="34" fillId="0" borderId="0" applyNumberFormat="0" applyBorder="0" applyAlignment="0"/>
    <xf numFmtId="0" fontId="35" fillId="0" borderId="20">
      <alignment horizontal="center" vertical="center"/>
    </xf>
    <xf numFmtId="0" fontId="17" fillId="0" borderId="0" applyNumberFormat="0" applyFill="0" applyBorder="0" applyAlignment="0" applyProtection="0"/>
    <xf numFmtId="0" fontId="16" fillId="0" borderId="19" applyNumberFormat="0" applyFill="0" applyAlignment="0" applyProtection="0"/>
    <xf numFmtId="0" fontId="29" fillId="0" borderId="0" applyNumberForma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  <xf numFmtId="0" fontId="26" fillId="11" borderId="14" applyNumberFormat="0" applyAlignment="0" applyProtection="0"/>
    <xf numFmtId="0" fontId="40" fillId="0" borderId="0"/>
    <xf numFmtId="166" fontId="40" fillId="0" borderId="0" applyFont="0" applyFill="0" applyBorder="0" applyAlignment="0" applyProtection="0"/>
    <xf numFmtId="0" fontId="1" fillId="0" borderId="0"/>
    <xf numFmtId="44" fontId="6" fillId="0" borderId="0" applyFont="0" applyFill="0" applyBorder="0" applyAlignment="0" applyProtection="0"/>
  </cellStyleXfs>
  <cellXfs count="322">
    <xf numFmtId="0" fontId="0" fillId="0" borderId="0" xfId="0"/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17" fontId="0" fillId="0" borderId="0" xfId="0" applyNumberFormat="1"/>
    <xf numFmtId="0" fontId="0" fillId="0" borderId="0" xfId="0" applyAlignment="1">
      <alignment horizontal="right"/>
    </xf>
    <xf numFmtId="167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3" fontId="8" fillId="0" borderId="0" xfId="0" applyNumberFormat="1" applyFont="1" applyAlignment="1">
      <alignment horizontal="center"/>
    </xf>
    <xf numFmtId="3" fontId="7" fillId="0" borderId="0" xfId="0" applyNumberFormat="1" applyFont="1" applyAlignment="1">
      <alignment horizontal="center" wrapText="1"/>
    </xf>
    <xf numFmtId="3" fontId="8" fillId="0" borderId="0" xfId="0" applyNumberFormat="1" applyFont="1" applyAlignment="1">
      <alignment horizontal="center" wrapText="1"/>
    </xf>
    <xf numFmtId="37" fontId="7" fillId="0" borderId="0" xfId="0" applyNumberFormat="1" applyFont="1" applyAlignment="1">
      <alignment horizontal="center"/>
    </xf>
    <xf numFmtId="3" fontId="6" fillId="0" borderId="0" xfId="1" applyNumberFormat="1" applyAlignment="1">
      <alignment horizontal="center"/>
    </xf>
    <xf numFmtId="167" fontId="7" fillId="0" borderId="0" xfId="0" applyNumberFormat="1" applyFont="1" applyAlignment="1">
      <alignment horizontal="center"/>
    </xf>
    <xf numFmtId="10" fontId="0" fillId="0" borderId="0" xfId="0" applyNumberFormat="1" applyAlignment="1">
      <alignment horizontal="center"/>
    </xf>
    <xf numFmtId="0" fontId="0" fillId="2" borderId="0" xfId="0" applyFill="1" applyAlignment="1">
      <alignment horizontal="center"/>
    </xf>
    <xf numFmtId="0" fontId="9" fillId="0" borderId="0" xfId="0" applyFont="1"/>
    <xf numFmtId="0" fontId="9" fillId="0" borderId="0" xfId="0" applyFont="1" applyAlignment="1"/>
    <xf numFmtId="3" fontId="0" fillId="2" borderId="0" xfId="0" applyNumberFormat="1" applyFill="1" applyAlignment="1">
      <alignment horizontal="center"/>
    </xf>
    <xf numFmtId="17" fontId="9" fillId="0" borderId="0" xfId="0" applyNumberFormat="1" applyFont="1"/>
    <xf numFmtId="0" fontId="0" fillId="0" borderId="0" xfId="0" applyFill="1" applyAlignment="1">
      <alignment horizontal="center"/>
    </xf>
    <xf numFmtId="170" fontId="0" fillId="0" borderId="0" xfId="0" applyNumberFormat="1" applyAlignment="1">
      <alignment horizontal="center"/>
    </xf>
    <xf numFmtId="171" fontId="0" fillId="0" borderId="0" xfId="0" applyNumberFormat="1" applyAlignment="1">
      <alignment horizontal="center"/>
    </xf>
    <xf numFmtId="9" fontId="0" fillId="0" borderId="0" xfId="0" applyNumberFormat="1" applyAlignment="1">
      <alignment horizontal="center"/>
    </xf>
    <xf numFmtId="3" fontId="0" fillId="0" borderId="0" xfId="0" applyNumberFormat="1" applyFill="1" applyAlignment="1">
      <alignment horizontal="center"/>
    </xf>
    <xf numFmtId="172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 wrapText="1"/>
    </xf>
    <xf numFmtId="0" fontId="0" fillId="0" borderId="1" xfId="0" applyBorder="1" applyAlignment="1">
      <alignment horizontal="right"/>
    </xf>
    <xf numFmtId="3" fontId="7" fillId="2" borderId="1" xfId="0" applyNumberFormat="1" applyFont="1" applyFill="1" applyBorder="1" applyAlignment="1">
      <alignment horizontal="center"/>
    </xf>
    <xf numFmtId="0" fontId="0" fillId="0" borderId="0" xfId="0" applyFill="1"/>
    <xf numFmtId="4" fontId="0" fillId="0" borderId="0" xfId="0" applyNumberFormat="1" applyAlignment="1">
      <alignment horizontal="center"/>
    </xf>
    <xf numFmtId="0" fontId="0" fillId="0" borderId="0" xfId="0" applyFill="1" applyBorder="1" applyAlignment="1"/>
    <xf numFmtId="169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3" fontId="9" fillId="0" borderId="0" xfId="0" applyNumberFormat="1" applyFont="1"/>
    <xf numFmtId="0" fontId="10" fillId="0" borderId="0" xfId="0" applyFont="1"/>
    <xf numFmtId="167" fontId="0" fillId="0" borderId="0" xfId="0" applyNumberFormat="1" applyAlignment="1">
      <alignment horizontal="center" wrapText="1"/>
    </xf>
    <xf numFmtId="0" fontId="9" fillId="0" borderId="0" xfId="0" applyFont="1" applyAlignment="1">
      <alignment horizontal="center" wrapText="1"/>
    </xf>
    <xf numFmtId="3" fontId="8" fillId="3" borderId="0" xfId="0" applyNumberFormat="1" applyFont="1" applyFill="1" applyAlignment="1">
      <alignment horizontal="center"/>
    </xf>
    <xf numFmtId="3" fontId="7" fillId="3" borderId="0" xfId="0" applyNumberFormat="1" applyFont="1" applyFill="1" applyAlignment="1">
      <alignment horizontal="center" wrapText="1"/>
    </xf>
    <xf numFmtId="3" fontId="8" fillId="3" borderId="0" xfId="0" applyNumberFormat="1" applyFont="1" applyFill="1" applyAlignment="1">
      <alignment horizontal="center" wrapText="1"/>
    </xf>
    <xf numFmtId="37" fontId="0" fillId="0" borderId="0" xfId="0" applyNumberFormat="1" applyAlignment="1">
      <alignment horizontal="center"/>
    </xf>
    <xf numFmtId="17" fontId="0" fillId="0" borderId="0" xfId="0" applyNumberFormat="1" applyAlignment="1">
      <alignment horizontal="left"/>
    </xf>
    <xf numFmtId="1" fontId="0" fillId="0" borderId="0" xfId="0" applyNumberFormat="1" applyAlignment="1">
      <alignment horizontal="left"/>
    </xf>
    <xf numFmtId="166" fontId="0" fillId="0" borderId="0" xfId="1" applyFont="1" applyAlignment="1">
      <alignment horizontal="center"/>
    </xf>
    <xf numFmtId="173" fontId="0" fillId="0" borderId="0" xfId="1" applyNumberFormat="1" applyFont="1" applyAlignment="1">
      <alignment horizontal="center"/>
    </xf>
    <xf numFmtId="3" fontId="0" fillId="0" borderId="0" xfId="0" applyNumberFormat="1"/>
    <xf numFmtId="0" fontId="0" fillId="0" borderId="0" xfId="0" applyBorder="1"/>
    <xf numFmtId="10" fontId="0" fillId="0" borderId="0" xfId="2" applyNumberFormat="1" applyFont="1"/>
    <xf numFmtId="173" fontId="0" fillId="0" borderId="0" xfId="0" applyNumberFormat="1" applyAlignment="1">
      <alignment horizontal="center"/>
    </xf>
    <xf numFmtId="0" fontId="9" fillId="0" borderId="0" xfId="0" applyFont="1" applyAlignment="1">
      <alignment horizontal="center"/>
    </xf>
    <xf numFmtId="3" fontId="0" fillId="4" borderId="0" xfId="0" applyNumberFormat="1" applyFill="1" applyAlignment="1">
      <alignment horizontal="center"/>
    </xf>
    <xf numFmtId="3" fontId="7" fillId="4" borderId="1" xfId="0" applyNumberFormat="1" applyFont="1" applyFill="1" applyBorder="1" applyAlignment="1">
      <alignment horizontal="center"/>
    </xf>
    <xf numFmtId="3" fontId="13" fillId="0" borderId="0" xfId="0" applyNumberFormat="1" applyFont="1" applyAlignment="1">
      <alignment horizontal="left"/>
    </xf>
    <xf numFmtId="167" fontId="0" fillId="0" borderId="0" xfId="2" applyNumberFormat="1" applyFont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/>
    <xf numFmtId="0" fontId="9" fillId="0" borderId="0" xfId="0" applyFont="1" applyFill="1" applyAlignment="1">
      <alignment horizontal="center" wrapText="1"/>
    </xf>
    <xf numFmtId="38" fontId="0" fillId="0" borderId="0" xfId="0" applyNumberFormat="1" applyFill="1" applyAlignment="1">
      <alignment horizontal="center"/>
    </xf>
    <xf numFmtId="3" fontId="6" fillId="4" borderId="0" xfId="0" applyNumberFormat="1" applyFont="1" applyFill="1" applyAlignment="1">
      <alignment horizontal="center" wrapText="1"/>
    </xf>
    <xf numFmtId="10" fontId="0" fillId="0" borderId="0" xfId="0" applyNumberFormat="1"/>
    <xf numFmtId="0" fontId="0" fillId="0" borderId="0" xfId="0" applyAlignment="1">
      <alignment horizontal="center"/>
    </xf>
    <xf numFmtId="1" fontId="0" fillId="0" borderId="0" xfId="0" applyNumberFormat="1"/>
    <xf numFmtId="3" fontId="0" fillId="0" borderId="0" xfId="0" applyNumberFormat="1" applyFill="1" applyAlignment="1">
      <alignment horizontal="center" wrapText="1"/>
    </xf>
    <xf numFmtId="167" fontId="0" fillId="0" borderId="0" xfId="0" applyNumberFormat="1" applyFill="1" applyAlignment="1">
      <alignment horizontal="center" wrapText="1"/>
    </xf>
    <xf numFmtId="1" fontId="0" fillId="0" borderId="0" xfId="0" applyNumberFormat="1" applyAlignment="1">
      <alignment horizontal="center"/>
    </xf>
    <xf numFmtId="3" fontId="6" fillId="3" borderId="0" xfId="0" applyNumberFormat="1" applyFont="1" applyFill="1" applyAlignment="1">
      <alignment horizontal="center" wrapText="1"/>
    </xf>
    <xf numFmtId="17" fontId="0" fillId="0" borderId="1" xfId="0" applyNumberFormat="1" applyBorder="1" applyAlignment="1">
      <alignment horizontal="left"/>
    </xf>
    <xf numFmtId="37" fontId="7" fillId="0" borderId="1" xfId="0" applyNumberFormat="1" applyFont="1" applyBorder="1" applyAlignment="1">
      <alignment horizontal="center"/>
    </xf>
    <xf numFmtId="168" fontId="0" fillId="0" borderId="1" xfId="0" applyNumberForma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168" fontId="7" fillId="0" borderId="1" xfId="0" applyNumberFormat="1" applyFont="1" applyFill="1" applyBorder="1" applyAlignment="1">
      <alignment horizontal="center"/>
    </xf>
    <xf numFmtId="166" fontId="0" fillId="0" borderId="0" xfId="0" applyNumberFormat="1"/>
    <xf numFmtId="173" fontId="0" fillId="0" borderId="0" xfId="0" applyNumberFormat="1"/>
    <xf numFmtId="3" fontId="0" fillId="0" borderId="1" xfId="0" applyNumberFormat="1" applyBorder="1" applyAlignment="1">
      <alignment horizontal="center"/>
    </xf>
    <xf numFmtId="9" fontId="6" fillId="4" borderId="0" xfId="0" applyNumberFormat="1" applyFont="1" applyFill="1" applyAlignment="1">
      <alignment horizontal="center"/>
    </xf>
    <xf numFmtId="9" fontId="0" fillId="4" borderId="0" xfId="0" applyNumberFormat="1" applyFill="1" applyAlignment="1">
      <alignment horizontal="center"/>
    </xf>
    <xf numFmtId="0" fontId="6" fillId="0" borderId="0" xfId="0" quotePrefix="1" applyFont="1" applyAlignment="1">
      <alignment horizontal="center"/>
    </xf>
    <xf numFmtId="0" fontId="6" fillId="0" borderId="0" xfId="0" applyFont="1" applyAlignment="1">
      <alignment horizontal="center"/>
    </xf>
    <xf numFmtId="172" fontId="0" fillId="0" borderId="1" xfId="0" applyNumberFormat="1" applyBorder="1" applyAlignment="1">
      <alignment horizontal="center"/>
    </xf>
    <xf numFmtId="3" fontId="0" fillId="2" borderId="1" xfId="0" applyNumberFormat="1" applyFill="1" applyBorder="1" applyAlignment="1">
      <alignment horizontal="center"/>
    </xf>
    <xf numFmtId="3" fontId="9" fillId="0" borderId="1" xfId="0" applyNumberFormat="1" applyFont="1" applyFill="1" applyBorder="1" applyAlignment="1">
      <alignment horizontal="center" wrapText="1"/>
    </xf>
    <xf numFmtId="0" fontId="9" fillId="0" borderId="1" xfId="0" applyFont="1" applyFill="1" applyBorder="1" applyAlignment="1">
      <alignment horizontal="center" wrapText="1"/>
    </xf>
    <xf numFmtId="4" fontId="9" fillId="0" borderId="1" xfId="0" applyNumberFormat="1" applyFont="1" applyFill="1" applyBorder="1" applyAlignment="1">
      <alignment horizontal="center" wrapText="1"/>
    </xf>
    <xf numFmtId="0" fontId="9" fillId="0" borderId="3" xfId="0" applyFont="1" applyFill="1" applyBorder="1" applyAlignment="1">
      <alignment horizontal="center" wrapText="1"/>
    </xf>
    <xf numFmtId="166" fontId="0" fillId="0" borderId="0" xfId="1" applyFont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173" fontId="36" fillId="0" borderId="1" xfId="1" applyNumberFormat="1" applyFont="1" applyBorder="1"/>
    <xf numFmtId="173" fontId="36" fillId="0" borderId="1" xfId="0" applyNumberFormat="1" applyFont="1" applyBorder="1"/>
    <xf numFmtId="2" fontId="0" fillId="0" borderId="1" xfId="1" applyNumberFormat="1" applyFont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166" fontId="0" fillId="0" borderId="0" xfId="1" applyFont="1" applyFill="1" applyBorder="1" applyAlignment="1"/>
    <xf numFmtId="3" fontId="0" fillId="0" borderId="1" xfId="0" applyNumberFormat="1" applyBorder="1" applyAlignment="1">
      <alignment horizontal="center"/>
    </xf>
    <xf numFmtId="166" fontId="7" fillId="0" borderId="1" xfId="1" applyFont="1" applyFill="1" applyBorder="1" applyAlignment="1">
      <alignment horizontal="center"/>
    </xf>
    <xf numFmtId="166" fontId="36" fillId="0" borderId="1" xfId="1" applyFont="1" applyBorder="1" applyAlignment="1">
      <alignment horizontal="center"/>
    </xf>
    <xf numFmtId="3" fontId="26" fillId="11" borderId="14" xfId="101" applyNumberFormat="1" applyAlignment="1">
      <alignment horizontal="center"/>
    </xf>
    <xf numFmtId="2" fontId="0" fillId="0" borderId="0" xfId="0" applyNumberFormat="1"/>
    <xf numFmtId="0" fontId="0" fillId="0" borderId="0" xfId="0" applyBorder="1" applyAlignment="1">
      <alignment horizontal="right"/>
    </xf>
    <xf numFmtId="10" fontId="0" fillId="2" borderId="0" xfId="0" applyNumberFormat="1" applyFill="1" applyAlignment="1">
      <alignment horizontal="center"/>
    </xf>
    <xf numFmtId="0" fontId="6" fillId="0" borderId="0" xfId="0" applyFont="1" applyAlignment="1">
      <alignment horizontal="center" wrapText="1"/>
    </xf>
    <xf numFmtId="0" fontId="6" fillId="0" borderId="21" xfId="0" applyFont="1" applyBorder="1" applyAlignment="1">
      <alignment horizontal="center" wrapText="1"/>
    </xf>
    <xf numFmtId="3" fontId="0" fillId="0" borderId="1" xfId="0" applyNumberForma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166" fontId="6" fillId="0" borderId="1" xfId="1" applyFont="1" applyFill="1" applyBorder="1" applyAlignment="1">
      <alignment horizontal="center"/>
    </xf>
    <xf numFmtId="166" fontId="6" fillId="4" borderId="1" xfId="1" applyFont="1" applyFill="1" applyBorder="1" applyAlignment="1">
      <alignment horizontal="center"/>
    </xf>
    <xf numFmtId="166" fontId="6" fillId="41" borderId="1" xfId="1" applyFont="1" applyFill="1" applyBorder="1" applyAlignment="1">
      <alignment horizontal="center"/>
    </xf>
    <xf numFmtId="166" fontId="15" fillId="0" borderId="1" xfId="1" applyFont="1" applyBorder="1" applyAlignment="1">
      <alignment horizontal="center"/>
    </xf>
    <xf numFmtId="1" fontId="7" fillId="0" borderId="1" xfId="0" applyNumberFormat="1" applyFont="1" applyBorder="1" applyAlignment="1">
      <alignment horizontal="center"/>
    </xf>
    <xf numFmtId="1" fontId="7" fillId="0" borderId="1" xfId="0" applyNumberFormat="1" applyFont="1" applyFill="1" applyBorder="1" applyAlignment="1">
      <alignment horizontal="center"/>
    </xf>
    <xf numFmtId="173" fontId="36" fillId="0" borderId="1" xfId="5" applyNumberFormat="1" applyFont="1" applyBorder="1"/>
    <xf numFmtId="2" fontId="39" fillId="0" borderId="1" xfId="0" applyNumberFormat="1" applyFont="1" applyFill="1" applyBorder="1" applyAlignment="1">
      <alignment horizontal="center"/>
    </xf>
    <xf numFmtId="168" fontId="39" fillId="0" borderId="1" xfId="0" applyNumberFormat="1" applyFont="1" applyFill="1" applyBorder="1" applyAlignment="1">
      <alignment horizontal="center"/>
    </xf>
    <xf numFmtId="37" fontId="39" fillId="0" borderId="1" xfId="0" applyNumberFormat="1" applyFont="1" applyBorder="1" applyAlignment="1">
      <alignment horizontal="center"/>
    </xf>
    <xf numFmtId="0" fontId="0" fillId="0" borderId="1" xfId="0" applyNumberFormat="1" applyBorder="1" applyAlignment="1">
      <alignment horizontal="left"/>
    </xf>
    <xf numFmtId="0" fontId="0" fillId="0" borderId="0" xfId="0" applyNumberFormat="1"/>
    <xf numFmtId="168" fontId="0" fillId="0" borderId="0" xfId="0" applyNumberFormat="1"/>
    <xf numFmtId="167" fontId="0" fillId="0" borderId="0" xfId="2" applyNumberFormat="1" applyFont="1"/>
    <xf numFmtId="0" fontId="38" fillId="0" borderId="0" xfId="0" applyNumberFormat="1" applyFont="1"/>
    <xf numFmtId="168" fontId="38" fillId="0" borderId="0" xfId="0" applyNumberFormat="1" applyFont="1"/>
    <xf numFmtId="0" fontId="38" fillId="0" borderId="0" xfId="0" applyFont="1"/>
    <xf numFmtId="167" fontId="38" fillId="0" borderId="0" xfId="2" applyNumberFormat="1" applyFont="1"/>
    <xf numFmtId="167" fontId="39" fillId="0" borderId="0" xfId="2" applyNumberFormat="1" applyFont="1"/>
    <xf numFmtId="180" fontId="0" fillId="0" borderId="0" xfId="0" applyNumberFormat="1"/>
    <xf numFmtId="174" fontId="39" fillId="0" borderId="1" xfId="1" applyNumberFormat="1" applyFont="1" applyBorder="1"/>
    <xf numFmtId="174" fontId="39" fillId="0" borderId="1" xfId="0" applyNumberFormat="1" applyFont="1" applyBorder="1"/>
    <xf numFmtId="174" fontId="38" fillId="0" borderId="0" xfId="1" applyNumberFormat="1" applyFont="1"/>
    <xf numFmtId="174" fontId="0" fillId="0" borderId="0" xfId="1" applyNumberFormat="1" applyFont="1"/>
    <xf numFmtId="173" fontId="0" fillId="0" borderId="0" xfId="1" applyNumberFormat="1" applyFont="1"/>
    <xf numFmtId="10" fontId="38" fillId="0" borderId="0" xfId="2" applyNumberFormat="1" applyFont="1"/>
    <xf numFmtId="167" fontId="39" fillId="4" borderId="0" xfId="2" applyNumberFormat="1" applyFont="1" applyFill="1"/>
    <xf numFmtId="0" fontId="6" fillId="0" borderId="1" xfId="0" applyFont="1" applyFill="1" applyBorder="1" applyAlignment="1">
      <alignment horizontal="left"/>
    </xf>
    <xf numFmtId="0" fontId="40" fillId="0" borderId="0" xfId="102"/>
    <xf numFmtId="173" fontId="40" fillId="0" borderId="0" xfId="102" applyNumberFormat="1"/>
    <xf numFmtId="168" fontId="40" fillId="0" borderId="0" xfId="102" applyNumberFormat="1"/>
    <xf numFmtId="0" fontId="9" fillId="0" borderId="0" xfId="102" applyFont="1" applyAlignment="1">
      <alignment horizontal="right"/>
    </xf>
    <xf numFmtId="0" fontId="40" fillId="0" borderId="0" xfId="102" applyAlignment="1">
      <alignment horizontal="right"/>
    </xf>
    <xf numFmtId="0" fontId="6" fillId="0" borderId="0" xfId="102" applyFont="1" applyAlignment="1">
      <alignment horizontal="right"/>
    </xf>
    <xf numFmtId="0" fontId="29" fillId="0" borderId="0" xfId="102" applyFont="1"/>
    <xf numFmtId="168" fontId="29" fillId="0" borderId="0" xfId="102" applyNumberFormat="1" applyFont="1"/>
    <xf numFmtId="0" fontId="6" fillId="0" borderId="0" xfId="102" applyFont="1"/>
    <xf numFmtId="0" fontId="41" fillId="0" borderId="0" xfId="102" applyFont="1"/>
    <xf numFmtId="0" fontId="40" fillId="0" borderId="0" xfId="102" applyAlignment="1">
      <alignment horizontal="center"/>
    </xf>
    <xf numFmtId="2" fontId="40" fillId="0" borderId="0" xfId="102" applyNumberFormat="1"/>
    <xf numFmtId="1" fontId="40" fillId="0" borderId="0" xfId="102" applyNumberFormat="1"/>
    <xf numFmtId="173" fontId="0" fillId="0" borderId="0" xfId="103" applyNumberFormat="1" applyFont="1"/>
    <xf numFmtId="166" fontId="40" fillId="0" borderId="0" xfId="102" applyNumberFormat="1"/>
    <xf numFmtId="3" fontId="40" fillId="0" borderId="0" xfId="102" applyNumberFormat="1"/>
    <xf numFmtId="173" fontId="40" fillId="0" borderId="0" xfId="1" applyNumberFormat="1" applyFont="1"/>
    <xf numFmtId="174" fontId="37" fillId="42" borderId="1" xfId="1" applyNumberFormat="1" applyFont="1" applyFill="1" applyBorder="1" applyAlignment="1">
      <alignment horizontal="center"/>
    </xf>
    <xf numFmtId="174" fontId="36" fillId="0" borderId="1" xfId="1" applyNumberFormat="1" applyFont="1" applyFill="1" applyBorder="1" applyAlignment="1">
      <alignment horizontal="center"/>
    </xf>
    <xf numFmtId="174" fontId="39" fillId="0" borderId="1" xfId="1" applyNumberFormat="1" applyFont="1" applyFill="1" applyBorder="1" applyAlignment="1">
      <alignment horizontal="center"/>
    </xf>
    <xf numFmtId="1" fontId="0" fillId="0" borderId="1" xfId="0" applyNumberFormat="1" applyFill="1" applyBorder="1" applyAlignment="1">
      <alignment horizontal="center"/>
    </xf>
    <xf numFmtId="10" fontId="7" fillId="0" borderId="0" xfId="0" applyNumberFormat="1" applyFont="1" applyAlignment="1">
      <alignment horizontal="center"/>
    </xf>
    <xf numFmtId="182" fontId="0" fillId="0" borderId="0" xfId="0" applyNumberFormat="1"/>
    <xf numFmtId="4" fontId="0" fillId="0" borderId="0" xfId="0" applyNumberFormat="1"/>
    <xf numFmtId="2" fontId="29" fillId="0" borderId="0" xfId="102" applyNumberFormat="1" applyFont="1"/>
    <xf numFmtId="173" fontId="0" fillId="0" borderId="7" xfId="1" applyNumberFormat="1" applyFont="1" applyBorder="1"/>
    <xf numFmtId="173" fontId="0" fillId="0" borderId="0" xfId="1" applyNumberFormat="1" applyFont="1" applyBorder="1"/>
    <xf numFmtId="173" fontId="0" fillId="0" borderId="8" xfId="1" applyNumberFormat="1" applyFont="1" applyBorder="1"/>
    <xf numFmtId="173" fontId="0" fillId="0" borderId="9" xfId="1" applyNumberFormat="1" applyFont="1" applyBorder="1"/>
    <xf numFmtId="173" fontId="0" fillId="0" borderId="2" xfId="1" applyNumberFormat="1" applyFont="1" applyBorder="1"/>
    <xf numFmtId="173" fontId="0" fillId="0" borderId="10" xfId="1" applyNumberFormat="1" applyFont="1" applyBorder="1"/>
    <xf numFmtId="0" fontId="0" fillId="0" borderId="1" xfId="0" applyBorder="1" applyAlignment="1">
      <alignment horizontal="center"/>
    </xf>
    <xf numFmtId="0" fontId="0" fillId="0" borderId="0" xfId="0" applyAlignment="1">
      <alignment wrapText="1"/>
    </xf>
    <xf numFmtId="0" fontId="6" fillId="0" borderId="0" xfId="0" applyFont="1" applyAlignment="1">
      <alignment wrapText="1"/>
    </xf>
    <xf numFmtId="0" fontId="0" fillId="0" borderId="24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40" borderId="0" xfId="0" applyFill="1" applyAlignment="1"/>
    <xf numFmtId="173" fontId="0" fillId="0" borderId="0" xfId="1" applyNumberFormat="1" applyFont="1" applyFill="1" applyBorder="1" applyAlignment="1"/>
    <xf numFmtId="173" fontId="7" fillId="0" borderId="1" xfId="1" applyNumberFormat="1" applyFont="1" applyFill="1" applyBorder="1" applyAlignment="1">
      <alignment horizontal="center"/>
    </xf>
    <xf numFmtId="173" fontId="0" fillId="4" borderId="0" xfId="1" applyNumberFormat="1" applyFont="1" applyFill="1" applyAlignment="1">
      <alignment horizontal="center"/>
    </xf>
    <xf numFmtId="172" fontId="0" fillId="4" borderId="1" xfId="0" applyNumberFormat="1" applyFill="1" applyBorder="1" applyAlignment="1">
      <alignment horizontal="center"/>
    </xf>
    <xf numFmtId="172" fontId="0" fillId="4" borderId="0" xfId="0" applyNumberFormat="1" applyFill="1" applyAlignment="1">
      <alignment horizontal="center"/>
    </xf>
    <xf numFmtId="172" fontId="0" fillId="0" borderId="0" xfId="0" applyNumberFormat="1" applyFill="1" applyAlignment="1">
      <alignment horizontal="center"/>
    </xf>
    <xf numFmtId="183" fontId="0" fillId="0" borderId="0" xfId="0" applyNumberFormat="1" applyAlignment="1">
      <alignment horizontal="center"/>
    </xf>
    <xf numFmtId="3" fontId="6" fillId="0" borderId="0" xfId="0" applyNumberFormat="1" applyFont="1" applyAlignment="1">
      <alignment horizontal="center"/>
    </xf>
    <xf numFmtId="10" fontId="6" fillId="0" borderId="0" xfId="0" applyNumberFormat="1" applyFont="1"/>
    <xf numFmtId="0" fontId="0" fillId="0" borderId="0" xfId="0" applyFill="1" applyAlignment="1">
      <alignment wrapText="1"/>
    </xf>
    <xf numFmtId="173" fontId="0" fillId="0" borderId="0" xfId="0" applyNumberFormat="1" applyAlignment="1">
      <alignment wrapText="1"/>
    </xf>
    <xf numFmtId="11" fontId="40" fillId="0" borderId="0" xfId="102" applyNumberFormat="1"/>
    <xf numFmtId="11" fontId="0" fillId="0" borderId="0" xfId="0" applyNumberFormat="1"/>
    <xf numFmtId="3" fontId="9" fillId="0" borderId="1" xfId="0" applyNumberFormat="1" applyFont="1" applyBorder="1" applyAlignment="1">
      <alignment horizontal="center" wrapText="1"/>
    </xf>
    <xf numFmtId="0" fontId="0" fillId="0" borderId="1" xfId="0" applyBorder="1"/>
    <xf numFmtId="166" fontId="0" fillId="0" borderId="1" xfId="1" applyFont="1" applyBorder="1"/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6" fillId="0" borderId="5" xfId="0" applyFont="1" applyFill="1" applyBorder="1" applyAlignment="1">
      <alignment horizontal="center"/>
    </xf>
    <xf numFmtId="43" fontId="0" fillId="0" borderId="1" xfId="0" applyNumberFormat="1" applyBorder="1"/>
    <xf numFmtId="43" fontId="0" fillId="0" borderId="6" xfId="0" applyNumberFormat="1" applyBorder="1"/>
    <xf numFmtId="3" fontId="6" fillId="0" borderId="0" xfId="0" applyNumberFormat="1" applyFont="1" applyAlignment="1">
      <alignment horizontal="center" wrapText="1"/>
    </xf>
    <xf numFmtId="181" fontId="0" fillId="0" borderId="0" xfId="0" applyNumberFormat="1" applyAlignment="1">
      <alignment horizontal="center"/>
    </xf>
    <xf numFmtId="166" fontId="6" fillId="0" borderId="0" xfId="0" applyNumberFormat="1" applyFont="1"/>
    <xf numFmtId="2" fontId="0" fillId="0" borderId="0" xfId="2" applyNumberFormat="1" applyFont="1"/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166" fontId="38" fillId="0" borderId="0" xfId="0" applyNumberFormat="1" applyFont="1"/>
    <xf numFmtId="173" fontId="6" fillId="0" borderId="0" xfId="0" applyNumberFormat="1" applyFont="1"/>
    <xf numFmtId="0" fontId="6" fillId="0" borderId="0" xfId="0" applyFont="1" applyAlignment="1">
      <alignment horizontal="center"/>
    </xf>
    <xf numFmtId="3" fontId="11" fillId="0" borderId="0" xfId="0" applyNumberFormat="1" applyFont="1" applyFill="1" applyAlignment="1">
      <alignment horizontal="center"/>
    </xf>
    <xf numFmtId="3" fontId="6" fillId="0" borderId="0" xfId="0" applyNumberFormat="1" applyFont="1" applyFill="1" applyAlignment="1">
      <alignment horizontal="center"/>
    </xf>
    <xf numFmtId="15" fontId="0" fillId="0" borderId="0" xfId="0" applyNumberFormat="1"/>
    <xf numFmtId="17" fontId="39" fillId="0" borderId="0" xfId="0" applyNumberFormat="1" applyFont="1"/>
    <xf numFmtId="0" fontId="39" fillId="0" borderId="0" xfId="0" applyFont="1"/>
    <xf numFmtId="173" fontId="39" fillId="0" borderId="0" xfId="0" applyNumberFormat="1" applyFont="1"/>
    <xf numFmtId="174" fontId="39" fillId="0" borderId="0" xfId="1" applyNumberFormat="1" applyFont="1"/>
    <xf numFmtId="174" fontId="0" fillId="0" borderId="0" xfId="0" applyNumberFormat="1"/>
    <xf numFmtId="184" fontId="0" fillId="0" borderId="0" xfId="0" applyNumberFormat="1"/>
    <xf numFmtId="166" fontId="39" fillId="0" borderId="0" xfId="1" applyNumberFormat="1" applyFont="1"/>
    <xf numFmtId="184" fontId="39" fillId="0" borderId="0" xfId="1" applyNumberFormat="1" applyFont="1"/>
    <xf numFmtId="10" fontId="39" fillId="0" borderId="0" xfId="0" applyNumberFormat="1" applyFont="1"/>
    <xf numFmtId="0" fontId="0" fillId="0" borderId="4" xfId="0" applyBorder="1" applyAlignment="1">
      <alignment horizontal="left"/>
    </xf>
    <xf numFmtId="0" fontId="0" fillId="0" borderId="1" xfId="0" applyBorder="1" applyAlignment="1">
      <alignment horizontal="left"/>
    </xf>
    <xf numFmtId="166" fontId="16" fillId="0" borderId="1" xfId="1" applyFont="1" applyBorder="1" applyAlignment="1">
      <alignment horizontal="center" wrapText="1"/>
    </xf>
    <xf numFmtId="166" fontId="16" fillId="0" borderId="1" xfId="1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3" fontId="0" fillId="0" borderId="0" xfId="0" applyNumberFormat="1" applyAlignment="1">
      <alignment wrapText="1"/>
    </xf>
    <xf numFmtId="0" fontId="8" fillId="0" borderId="0" xfId="0" applyFont="1" applyAlignment="1">
      <alignment horizontal="center" wrapText="1"/>
    </xf>
    <xf numFmtId="166" fontId="0" fillId="0" borderId="6" xfId="1" applyFont="1" applyBorder="1"/>
    <xf numFmtId="0" fontId="11" fillId="0" borderId="0" xfId="0" applyFont="1" applyFill="1" applyBorder="1" applyAlignment="1">
      <alignment horizontal="centerContinuous"/>
    </xf>
    <xf numFmtId="0" fontId="11" fillId="0" borderId="0" xfId="0" applyFont="1" applyFill="1" applyBorder="1" applyAlignment="1">
      <alignment horizontal="center"/>
    </xf>
    <xf numFmtId="174" fontId="0" fillId="0" borderId="0" xfId="1" applyNumberFormat="1" applyFont="1" applyBorder="1"/>
    <xf numFmtId="184" fontId="0" fillId="0" borderId="0" xfId="1" applyNumberFormat="1" applyFont="1" applyBorder="1"/>
    <xf numFmtId="185" fontId="0" fillId="0" borderId="0" xfId="0" applyNumberFormat="1" applyBorder="1"/>
    <xf numFmtId="11" fontId="0" fillId="0" borderId="0" xfId="0" applyNumberFormat="1" applyBorder="1"/>
    <xf numFmtId="166" fontId="0" fillId="0" borderId="0" xfId="1" applyFont="1" applyBorder="1"/>
    <xf numFmtId="166" fontId="11" fillId="0" borderId="0" xfId="1" applyFont="1" applyFill="1" applyBorder="1" applyAlignment="1">
      <alignment horizontal="center"/>
    </xf>
    <xf numFmtId="0" fontId="6" fillId="0" borderId="0" xfId="0" applyFont="1" applyBorder="1"/>
    <xf numFmtId="43" fontId="0" fillId="0" borderId="0" xfId="0" applyNumberFormat="1"/>
    <xf numFmtId="37" fontId="7" fillId="43" borderId="1" xfId="0" applyNumberFormat="1" applyFont="1" applyFill="1" applyBorder="1" applyAlignment="1">
      <alignment horizontal="center"/>
    </xf>
    <xf numFmtId="37" fontId="7" fillId="44" borderId="1" xfId="0" applyNumberFormat="1" applyFont="1" applyFill="1" applyBorder="1" applyAlignment="1">
      <alignment horizontal="center"/>
    </xf>
    <xf numFmtId="43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6" fillId="0" borderId="0" xfId="0" applyFont="1" applyAlignment="1">
      <alignment horizontal="center" wrapText="1"/>
    </xf>
    <xf numFmtId="166" fontId="16" fillId="0" borderId="0" xfId="1" applyFont="1" applyAlignment="1">
      <alignment horizontal="center" wrapText="1"/>
    </xf>
    <xf numFmtId="0" fontId="16" fillId="0" borderId="0" xfId="0" applyFont="1" applyAlignment="1">
      <alignment wrapText="1"/>
    </xf>
    <xf numFmtId="166" fontId="16" fillId="0" borderId="0" xfId="1" applyFont="1" applyFill="1" applyAlignment="1">
      <alignment horizontal="center" wrapText="1"/>
    </xf>
    <xf numFmtId="0" fontId="16" fillId="0" borderId="0" xfId="0" applyNumberFormat="1" applyFont="1" applyAlignment="1">
      <alignment horizontal="center" wrapText="1"/>
    </xf>
    <xf numFmtId="0" fontId="16" fillId="6" borderId="0" xfId="0" applyFont="1" applyFill="1" applyAlignment="1"/>
    <xf numFmtId="0" fontId="13" fillId="0" borderId="0" xfId="0" applyFont="1"/>
    <xf numFmtId="3" fontId="13" fillId="0" borderId="0" xfId="0" applyNumberFormat="1" applyFont="1"/>
    <xf numFmtId="173" fontId="13" fillId="0" borderId="0" xfId="0" applyNumberFormat="1" applyFont="1"/>
    <xf numFmtId="166" fontId="0" fillId="0" borderId="0" xfId="0" applyNumberFormat="1" applyAlignment="1">
      <alignment wrapText="1"/>
    </xf>
    <xf numFmtId="167" fontId="13" fillId="0" borderId="0" xfId="2" applyNumberFormat="1" applyFont="1"/>
    <xf numFmtId="0" fontId="0" fillId="0" borderId="0" xfId="0" applyAlignment="1">
      <alignment horizontal="center"/>
    </xf>
    <xf numFmtId="17" fontId="6" fillId="0" borderId="0" xfId="0" applyNumberFormat="1" applyFont="1"/>
    <xf numFmtId="9" fontId="0" fillId="0" borderId="0" xfId="2" applyNumberFormat="1" applyFont="1"/>
    <xf numFmtId="175" fontId="0" fillId="0" borderId="0" xfId="0" applyNumberFormat="1"/>
    <xf numFmtId="175" fontId="0" fillId="0" borderId="0" xfId="0" applyNumberFormat="1" applyAlignment="1">
      <alignment wrapText="1"/>
    </xf>
    <xf numFmtId="186" fontId="0" fillId="0" borderId="0" xfId="0" applyNumberFormat="1"/>
    <xf numFmtId="166" fontId="6" fillId="0" borderId="0" xfId="0" applyNumberFormat="1" applyFont="1" applyAlignment="1">
      <alignment wrapText="1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3" fontId="6" fillId="0" borderId="1" xfId="0" applyNumberFormat="1" applyFon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3" fontId="0" fillId="0" borderId="1" xfId="0" applyNumberFormat="1" applyBorder="1" applyAlignment="1">
      <alignment horizontal="center"/>
    </xf>
    <xf numFmtId="0" fontId="6" fillId="0" borderId="0" xfId="4"/>
    <xf numFmtId="0" fontId="6" fillId="0" borderId="0" xfId="4" applyAlignment="1">
      <alignment horizontal="center"/>
    </xf>
    <xf numFmtId="166" fontId="6" fillId="0" borderId="0" xfId="4" applyNumberFormat="1"/>
    <xf numFmtId="0" fontId="13" fillId="0" borderId="1" xfId="0" applyFont="1" applyBorder="1" applyAlignment="1">
      <alignment horizontal="right"/>
    </xf>
    <xf numFmtId="3" fontId="13" fillId="0" borderId="1" xfId="0" applyNumberFormat="1" applyFont="1" applyBorder="1" applyAlignment="1">
      <alignment horizontal="center"/>
    </xf>
    <xf numFmtId="3" fontId="13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173" fontId="6" fillId="0" borderId="0" xfId="4" applyNumberFormat="1" applyAlignment="1">
      <alignment horizontal="center"/>
    </xf>
    <xf numFmtId="0" fontId="8" fillId="0" borderId="0" xfId="4" applyFont="1" applyAlignment="1">
      <alignment horizontal="center"/>
    </xf>
    <xf numFmtId="0" fontId="8" fillId="0" borderId="0" xfId="4" applyFont="1" applyAlignment="1">
      <alignment horizontal="center" wrapText="1"/>
    </xf>
    <xf numFmtId="3" fontId="8" fillId="0" borderId="0" xfId="4" applyNumberFormat="1" applyFont="1" applyAlignment="1">
      <alignment horizontal="center"/>
    </xf>
    <xf numFmtId="3" fontId="8" fillId="3" borderId="0" xfId="4" applyNumberFormat="1" applyFont="1" applyFill="1" applyAlignment="1">
      <alignment horizontal="center"/>
    </xf>
    <xf numFmtId="3" fontId="6" fillId="3" borderId="0" xfId="4" applyNumberFormat="1" applyFill="1" applyAlignment="1">
      <alignment horizontal="center" wrapText="1"/>
    </xf>
    <xf numFmtId="3" fontId="8" fillId="3" borderId="0" xfId="4" applyNumberFormat="1" applyFont="1" applyFill="1" applyAlignment="1">
      <alignment horizontal="center" wrapText="1"/>
    </xf>
    <xf numFmtId="3" fontId="6" fillId="4" borderId="0" xfId="4" applyNumberFormat="1" applyFill="1" applyAlignment="1">
      <alignment horizontal="center" wrapText="1"/>
    </xf>
    <xf numFmtId="1" fontId="6" fillId="0" borderId="0" xfId="4" applyNumberFormat="1"/>
    <xf numFmtId="3" fontId="6" fillId="0" borderId="0" xfId="4" applyNumberFormat="1" applyAlignment="1">
      <alignment horizontal="center"/>
    </xf>
    <xf numFmtId="3" fontId="6" fillId="0" borderId="0" xfId="4" applyNumberFormat="1" applyAlignment="1">
      <alignment horizontal="center" wrapText="1"/>
    </xf>
    <xf numFmtId="169" fontId="6" fillId="0" borderId="0" xfId="4" applyNumberFormat="1" applyAlignment="1">
      <alignment horizontal="center"/>
    </xf>
    <xf numFmtId="167" fontId="6" fillId="0" borderId="0" xfId="4" applyNumberFormat="1" applyAlignment="1">
      <alignment horizontal="center"/>
    </xf>
    <xf numFmtId="170" fontId="6" fillId="0" borderId="0" xfId="4" applyNumberFormat="1" applyAlignment="1">
      <alignment horizontal="center"/>
    </xf>
    <xf numFmtId="3" fontId="6" fillId="4" borderId="0" xfId="4" applyNumberFormat="1" applyFill="1" applyAlignment="1">
      <alignment horizontal="center"/>
    </xf>
    <xf numFmtId="43" fontId="6" fillId="0" borderId="1" xfId="4" applyNumberFormat="1" applyBorder="1"/>
    <xf numFmtId="43" fontId="6" fillId="0" borderId="6" xfId="4" applyNumberFormat="1" applyBorder="1"/>
    <xf numFmtId="3" fontId="6" fillId="2" borderId="0" xfId="4" applyNumberFormat="1" applyFill="1" applyAlignment="1">
      <alignment horizontal="center"/>
    </xf>
    <xf numFmtId="0" fontId="9" fillId="0" borderId="0" xfId="4" applyFont="1"/>
    <xf numFmtId="17" fontId="9" fillId="0" borderId="0" xfId="4" applyNumberFormat="1" applyFont="1"/>
    <xf numFmtId="3" fontId="11" fillId="0" borderId="0" xfId="4" applyNumberFormat="1" applyFont="1" applyAlignment="1">
      <alignment horizontal="center"/>
    </xf>
    <xf numFmtId="171" fontId="6" fillId="0" borderId="0" xfId="4" applyNumberFormat="1" applyAlignment="1">
      <alignment horizontal="center"/>
    </xf>
    <xf numFmtId="9" fontId="6" fillId="4" borderId="0" xfId="4" applyNumberFormat="1" applyFill="1" applyAlignment="1">
      <alignment horizontal="center"/>
    </xf>
    <xf numFmtId="10" fontId="6" fillId="2" borderId="0" xfId="4" applyNumberFormat="1" applyFill="1" applyAlignment="1">
      <alignment horizontal="center"/>
    </xf>
    <xf numFmtId="9" fontId="6" fillId="0" borderId="0" xfId="4" applyNumberFormat="1" applyAlignment="1">
      <alignment horizontal="center"/>
    </xf>
    <xf numFmtId="187" fontId="0" fillId="0" borderId="0" xfId="0" applyNumberFormat="1"/>
    <xf numFmtId="188" fontId="0" fillId="0" borderId="0" xfId="0" applyNumberFormat="1"/>
    <xf numFmtId="10" fontId="0" fillId="0" borderId="0" xfId="2" applyNumberFormat="1" applyFont="1" applyFill="1"/>
    <xf numFmtId="1" fontId="42" fillId="0" borderId="0" xfId="102" applyNumberFormat="1" applyFont="1"/>
    <xf numFmtId="1" fontId="42" fillId="4" borderId="0" xfId="102" applyNumberFormat="1" applyFont="1" applyFill="1"/>
    <xf numFmtId="189" fontId="0" fillId="0" borderId="0" xfId="0" applyNumberFormat="1"/>
    <xf numFmtId="173" fontId="43" fillId="0" borderId="0" xfId="1" applyNumberFormat="1" applyFont="1"/>
    <xf numFmtId="173" fontId="43" fillId="0" borderId="0" xfId="0" applyNumberFormat="1" applyFont="1"/>
    <xf numFmtId="173" fontId="6" fillId="0" borderId="0" xfId="1" applyNumberFormat="1" applyFont="1"/>
    <xf numFmtId="173" fontId="6" fillId="0" borderId="0" xfId="1" applyNumberFormat="1" applyFont="1" applyAlignment="1">
      <alignment horizontal="center"/>
    </xf>
    <xf numFmtId="190" fontId="0" fillId="0" borderId="0" xfId="0" applyNumberFormat="1"/>
    <xf numFmtId="166" fontId="15" fillId="0" borderId="1" xfId="1" applyFont="1" applyFill="1" applyBorder="1" applyAlignment="1">
      <alignment horizontal="center"/>
    </xf>
    <xf numFmtId="191" fontId="0" fillId="0" borderId="0" xfId="0" applyNumberFormat="1"/>
    <xf numFmtId="173" fontId="43" fillId="45" borderId="0" xfId="0" applyNumberFormat="1" applyFont="1" applyFill="1"/>
    <xf numFmtId="0" fontId="9" fillId="46" borderId="1" xfId="0" applyFont="1" applyFill="1" applyBorder="1" applyAlignment="1">
      <alignment horizontal="center" wrapText="1"/>
    </xf>
    <xf numFmtId="0" fontId="6" fillId="46" borderId="0" xfId="0" applyFont="1" applyFill="1"/>
    <xf numFmtId="0" fontId="0" fillId="46" borderId="0" xfId="0" applyFill="1"/>
    <xf numFmtId="0" fontId="6" fillId="46" borderId="0" xfId="0" quotePrefix="1" applyFont="1" applyFill="1"/>
    <xf numFmtId="3" fontId="0" fillId="46" borderId="0" xfId="0" applyNumberFormat="1" applyFill="1" applyAlignment="1">
      <alignment horizontal="center"/>
    </xf>
    <xf numFmtId="174" fontId="38" fillId="46" borderId="0" xfId="1" applyNumberFormat="1" applyFont="1" applyFill="1"/>
    <xf numFmtId="167" fontId="38" fillId="46" borderId="0" xfId="2" applyNumberFormat="1" applyFont="1" applyFill="1"/>
    <xf numFmtId="168" fontId="0" fillId="46" borderId="0" xfId="0" applyNumberFormat="1" applyFill="1"/>
    <xf numFmtId="3" fontId="0" fillId="46" borderId="1" xfId="0" applyNumberFormat="1" applyFill="1" applyBorder="1" applyAlignment="1">
      <alignment horizontal="center"/>
    </xf>
    <xf numFmtId="0" fontId="9" fillId="0" borderId="0" xfId="0" applyFont="1" applyAlignment="1">
      <alignment horizontal="center" wrapText="1"/>
    </xf>
    <xf numFmtId="3" fontId="16" fillId="0" borderId="1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3" fontId="6" fillId="0" borderId="1" xfId="0" applyNumberFormat="1" applyFon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16" fillId="4" borderId="1" xfId="0" applyFont="1" applyFill="1" applyBorder="1" applyAlignment="1">
      <alignment horizontal="center" wrapText="1"/>
    </xf>
  </cellXfs>
  <cellStyles count="106">
    <cellStyle name="$" xfId="14"/>
    <cellStyle name="$.00" xfId="15"/>
    <cellStyle name="$_9. Rev2Cost_GDPIPI" xfId="16"/>
    <cellStyle name="$_lists" xfId="17"/>
    <cellStyle name="$_lists_4. Current Monthly Fixed Charge" xfId="18"/>
    <cellStyle name="$_Sheet4" xfId="19"/>
    <cellStyle name="$M" xfId="20"/>
    <cellStyle name="$M.00" xfId="21"/>
    <cellStyle name="$M_9. Rev2Cost_GDPIPI" xfId="22"/>
    <cellStyle name="20% - Accent1 2" xfId="23"/>
    <cellStyle name="20% - Accent2 2" xfId="24"/>
    <cellStyle name="20% - Accent3 2" xfId="25"/>
    <cellStyle name="20% - Accent4 2" xfId="26"/>
    <cellStyle name="20% - Accent5 2" xfId="27"/>
    <cellStyle name="20% - Accent6 2" xfId="28"/>
    <cellStyle name="40% - Accent1 2" xfId="29"/>
    <cellStyle name="40% - Accent2 2" xfId="30"/>
    <cellStyle name="40% - Accent3 2" xfId="31"/>
    <cellStyle name="40% - Accent4 2" xfId="32"/>
    <cellStyle name="40% - Accent5 2" xfId="33"/>
    <cellStyle name="40% - Accent6 2" xfId="34"/>
    <cellStyle name="60% - Accent1 2" xfId="35"/>
    <cellStyle name="60% - Accent2 2" xfId="36"/>
    <cellStyle name="60% - Accent3 2" xfId="37"/>
    <cellStyle name="60% - Accent4 2" xfId="38"/>
    <cellStyle name="60% - Accent5 2" xfId="39"/>
    <cellStyle name="60% - Accent6 2" xfId="40"/>
    <cellStyle name="Accent1 2" xfId="41"/>
    <cellStyle name="Accent2 2" xfId="42"/>
    <cellStyle name="Accent3 2" xfId="43"/>
    <cellStyle name="Accent4 2" xfId="44"/>
    <cellStyle name="Accent5 2" xfId="45"/>
    <cellStyle name="Accent6 2" xfId="46"/>
    <cellStyle name="Bad 2" xfId="47"/>
    <cellStyle name="Calculation" xfId="101" builtinId="22"/>
    <cellStyle name="Calculation 2" xfId="48"/>
    <cellStyle name="Check Cell 2" xfId="49"/>
    <cellStyle name="Comma" xfId="1" builtinId="3"/>
    <cellStyle name="Comma 2" xfId="5"/>
    <cellStyle name="Comma 3" xfId="6"/>
    <cellStyle name="Comma 3 2" xfId="50"/>
    <cellStyle name="Comma 3 2 5" xfId="98"/>
    <cellStyle name="Comma 4" xfId="13"/>
    <cellStyle name="Comma 5" xfId="51"/>
    <cellStyle name="Comma 6" xfId="52"/>
    <cellStyle name="Comma 7" xfId="103"/>
    <cellStyle name="Comma0" xfId="7"/>
    <cellStyle name="Currency 2" xfId="12"/>
    <cellStyle name="Currency 3" xfId="53"/>
    <cellStyle name="Currency 4" xfId="54"/>
    <cellStyle name="Currency 5" xfId="105"/>
    <cellStyle name="Currency0" xfId="8"/>
    <cellStyle name="Date" xfId="9"/>
    <cellStyle name="Explanatory Text 2" xfId="55"/>
    <cellStyle name="Fixed" xfId="10"/>
    <cellStyle name="Good 2" xfId="56"/>
    <cellStyle name="Grey" xfId="57"/>
    <cellStyle name="Grey 2" xfId="58"/>
    <cellStyle name="Heading 1 2" xfId="59"/>
    <cellStyle name="Heading 2 2" xfId="60"/>
    <cellStyle name="Heading 3 2" xfId="61"/>
    <cellStyle name="Heading 4 2" xfId="62"/>
    <cellStyle name="Input [yellow]" xfId="63"/>
    <cellStyle name="Input [yellow] 2" xfId="64"/>
    <cellStyle name="Input 2" xfId="65"/>
    <cellStyle name="Linked Cell 2" xfId="66"/>
    <cellStyle name="M" xfId="67"/>
    <cellStyle name="M.00" xfId="68"/>
    <cellStyle name="M_9. Rev2Cost_GDPIPI" xfId="69"/>
    <cellStyle name="M_lists" xfId="70"/>
    <cellStyle name="M_lists_4. Current Monthly Fixed Charge" xfId="71"/>
    <cellStyle name="M_Sheet4" xfId="72"/>
    <cellStyle name="Neutral 2" xfId="73"/>
    <cellStyle name="Normal" xfId="0" builtinId="0"/>
    <cellStyle name="Normal - Style1" xfId="74"/>
    <cellStyle name="Normal 2" xfId="4"/>
    <cellStyle name="Normal 2 2" xfId="75"/>
    <cellStyle name="Normal 3" xfId="11"/>
    <cellStyle name="Normal 4" xfId="76"/>
    <cellStyle name="Normal 4 2 2" xfId="104"/>
    <cellStyle name="Normal 5" xfId="77"/>
    <cellStyle name="Normal 5 2" xfId="78"/>
    <cellStyle name="Normal 5 2 3" xfId="79"/>
    <cellStyle name="Normal 5 2 3 2" xfId="97"/>
    <cellStyle name="Normal 5 2 3 3" xfId="100"/>
    <cellStyle name="Normal 6" xfId="80"/>
    <cellStyle name="Normal 7" xfId="81"/>
    <cellStyle name="Normal 8" xfId="102"/>
    <cellStyle name="Note 2" xfId="82"/>
    <cellStyle name="Output 2" xfId="83"/>
    <cellStyle name="Percent" xfId="2" builtinId="5"/>
    <cellStyle name="Percent [2]" xfId="84"/>
    <cellStyle name="Percent 2" xfId="85"/>
    <cellStyle name="Percent 3" xfId="86"/>
    <cellStyle name="Percent 3 2" xfId="87"/>
    <cellStyle name="Percent 3 2 3" xfId="99"/>
    <cellStyle name="Percent 4" xfId="88"/>
    <cellStyle name="Percent 5" xfId="89"/>
    <cellStyle name="Style 23" xfId="3"/>
    <cellStyle name="STYLE1" xfId="90"/>
    <cellStyle name="STYLE2" xfId="91"/>
    <cellStyle name="STYLE4" xfId="92"/>
    <cellStyle name="Subtotal" xfId="93"/>
    <cellStyle name="Title 2" xfId="94"/>
    <cellStyle name="Total 2" xfId="95"/>
    <cellStyle name="Warning Text 2" xfId="96"/>
  </cellStyles>
  <dxfs count="0"/>
  <tableStyles count="0" defaultTableStyle="TableStyleMedium2" defaultPivotStyle="PivotStyleLight16"/>
  <colors>
    <mruColors>
      <color rgb="FFC6D9F1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7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4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3.xml"/><Relationship Id="rId27" Type="http://schemas.openxmlformats.org/officeDocument/2006/relationships/externalLink" Target="externalLinks/externalLink8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Purchases vs Temperatures (2011-2020)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Weather!$C$122:$C$241</c:f>
              <c:numCache>
                <c:formatCode>0</c:formatCode>
                <c:ptCount val="120"/>
                <c:pt idx="0">
                  <c:v>-5.9677419354838701</c:v>
                </c:pt>
                <c:pt idx="1">
                  <c:v>-3.8107142857142859</c:v>
                </c:pt>
                <c:pt idx="2">
                  <c:v>0.30322580645161273</c:v>
                </c:pt>
                <c:pt idx="3">
                  <c:v>6.8466666666666667</c:v>
                </c:pt>
                <c:pt idx="4">
                  <c:v>13.251612903225809</c:v>
                </c:pt>
                <c:pt idx="5">
                  <c:v>19.743333333333332</c:v>
                </c:pt>
                <c:pt idx="6">
                  <c:v>24.748387096774191</c:v>
                </c:pt>
                <c:pt idx="7">
                  <c:v>22.074193548387104</c:v>
                </c:pt>
                <c:pt idx="8">
                  <c:v>18.119999999999997</c:v>
                </c:pt>
                <c:pt idx="9">
                  <c:v>11.393548387096775</c:v>
                </c:pt>
                <c:pt idx="10">
                  <c:v>7.7799999999999994</c:v>
                </c:pt>
                <c:pt idx="11">
                  <c:v>1.6870967741935483</c:v>
                </c:pt>
                <c:pt idx="12">
                  <c:v>-0.79354838709677411</c:v>
                </c:pt>
                <c:pt idx="13">
                  <c:v>0.38275862068965522</c:v>
                </c:pt>
                <c:pt idx="14">
                  <c:v>6.9935483870967747</c:v>
                </c:pt>
                <c:pt idx="15">
                  <c:v>7.9733333333333354</c:v>
                </c:pt>
                <c:pt idx="16">
                  <c:v>16.677419354838712</c:v>
                </c:pt>
                <c:pt idx="17">
                  <c:v>21.043333333333333</c:v>
                </c:pt>
                <c:pt idx="18">
                  <c:v>24.616129032258058</c:v>
                </c:pt>
                <c:pt idx="19">
                  <c:v>22.248387096774191</c:v>
                </c:pt>
                <c:pt idx="20">
                  <c:v>17.213333333333335</c:v>
                </c:pt>
                <c:pt idx="21">
                  <c:v>10.916129032258064</c:v>
                </c:pt>
                <c:pt idx="22">
                  <c:v>4.3533333333333335</c:v>
                </c:pt>
                <c:pt idx="23">
                  <c:v>2.0774193548387103</c:v>
                </c:pt>
                <c:pt idx="24">
                  <c:v>-1.7516129032258065</c:v>
                </c:pt>
                <c:pt idx="25">
                  <c:v>-3.089285714285714</c:v>
                </c:pt>
                <c:pt idx="26">
                  <c:v>1.0580645161290323</c:v>
                </c:pt>
                <c:pt idx="27">
                  <c:v>6.666666666666667</c:v>
                </c:pt>
                <c:pt idx="28">
                  <c:v>15.122580645161291</c:v>
                </c:pt>
                <c:pt idx="29">
                  <c:v>19.133333333333336</c:v>
                </c:pt>
                <c:pt idx="30">
                  <c:v>22.548387096774199</c:v>
                </c:pt>
                <c:pt idx="31">
                  <c:v>20.977419354838705</c:v>
                </c:pt>
                <c:pt idx="32">
                  <c:v>16.673333333333336</c:v>
                </c:pt>
                <c:pt idx="33">
                  <c:v>11.903225806451612</c:v>
                </c:pt>
                <c:pt idx="34">
                  <c:v>3.26</c:v>
                </c:pt>
                <c:pt idx="35">
                  <c:v>-2.6354838709677422</c:v>
                </c:pt>
                <c:pt idx="36">
                  <c:v>-7.1451612903225783</c:v>
                </c:pt>
                <c:pt idx="37">
                  <c:v>-6.3964285714285722</c:v>
                </c:pt>
                <c:pt idx="38">
                  <c:v>-2.8999999999999995</c:v>
                </c:pt>
                <c:pt idx="39">
                  <c:v>6.943333333333336</c:v>
                </c:pt>
                <c:pt idx="40">
                  <c:v>14.203225806451613</c:v>
                </c:pt>
                <c:pt idx="41">
                  <c:v>19.976666666666667</c:v>
                </c:pt>
                <c:pt idx="42">
                  <c:v>20.835483870967746</c:v>
                </c:pt>
                <c:pt idx="43">
                  <c:v>20.732258064516131</c:v>
                </c:pt>
                <c:pt idx="44">
                  <c:v>17.43</c:v>
                </c:pt>
                <c:pt idx="45">
                  <c:v>11.725806451612906</c:v>
                </c:pt>
                <c:pt idx="46">
                  <c:v>2.9366666666666665</c:v>
                </c:pt>
                <c:pt idx="47">
                  <c:v>0.76129032258064544</c:v>
                </c:pt>
                <c:pt idx="48">
                  <c:v>-6.4806451612903224</c:v>
                </c:pt>
                <c:pt idx="49">
                  <c:v>-11.107142857142858</c:v>
                </c:pt>
                <c:pt idx="50">
                  <c:v>-0.75483870967741939</c:v>
                </c:pt>
                <c:pt idx="51">
                  <c:v>8.0066666666666659</c:v>
                </c:pt>
                <c:pt idx="52">
                  <c:v>16.56774193548387</c:v>
                </c:pt>
                <c:pt idx="53">
                  <c:v>17.95</c:v>
                </c:pt>
                <c:pt idx="54">
                  <c:v>22.048387096774196</c:v>
                </c:pt>
                <c:pt idx="55">
                  <c:v>21.21935483870968</c:v>
                </c:pt>
                <c:pt idx="56">
                  <c:v>20.309999999999999</c:v>
                </c:pt>
                <c:pt idx="57">
                  <c:v>11.338709677419354</c:v>
                </c:pt>
                <c:pt idx="58">
                  <c:v>7.8766666666666652</c:v>
                </c:pt>
                <c:pt idx="59">
                  <c:v>5.0709677419354833</c:v>
                </c:pt>
                <c:pt idx="60">
                  <c:v>-2.5677419354838702</c:v>
                </c:pt>
                <c:pt idx="61">
                  <c:v>-0.98620689655172389</c:v>
                </c:pt>
                <c:pt idx="62">
                  <c:v>4.0129032258064514</c:v>
                </c:pt>
                <c:pt idx="63">
                  <c:v>5.4000000000000012</c:v>
                </c:pt>
                <c:pt idx="64">
                  <c:v>15.135483870967743</c:v>
                </c:pt>
                <c:pt idx="65">
                  <c:v>19.956666666666667</c:v>
                </c:pt>
                <c:pt idx="66">
                  <c:v>23.838709677419349</c:v>
                </c:pt>
                <c:pt idx="67">
                  <c:v>24.412903225806449</c:v>
                </c:pt>
                <c:pt idx="68">
                  <c:v>19.709999999999997</c:v>
                </c:pt>
                <c:pt idx="69">
                  <c:v>12.945161290322584</c:v>
                </c:pt>
                <c:pt idx="70">
                  <c:v>7.6000000000000023</c:v>
                </c:pt>
                <c:pt idx="71">
                  <c:v>-1.0645161290322585</c:v>
                </c:pt>
                <c:pt idx="72">
                  <c:v>-0.90645161290322607</c:v>
                </c:pt>
                <c:pt idx="73">
                  <c:v>1.1678571428571429</c:v>
                </c:pt>
                <c:pt idx="74">
                  <c:v>0.56129032258064526</c:v>
                </c:pt>
                <c:pt idx="75">
                  <c:v>9.4666666666666703</c:v>
                </c:pt>
                <c:pt idx="76">
                  <c:v>12.745161290322583</c:v>
                </c:pt>
                <c:pt idx="77">
                  <c:v>19.77333333333333</c:v>
                </c:pt>
                <c:pt idx="78">
                  <c:v>21.87096774193548</c:v>
                </c:pt>
                <c:pt idx="79">
                  <c:v>20.816129032258058</c:v>
                </c:pt>
                <c:pt idx="80">
                  <c:v>18.726666666666667</c:v>
                </c:pt>
                <c:pt idx="81">
                  <c:v>14.403225806451617</c:v>
                </c:pt>
                <c:pt idx="82">
                  <c:v>4.3099999999999996</c:v>
                </c:pt>
                <c:pt idx="83">
                  <c:v>-3.7838709677419349</c:v>
                </c:pt>
                <c:pt idx="84">
                  <c:v>-4.5354838709677407</c:v>
                </c:pt>
                <c:pt idx="85">
                  <c:v>-0.49642857142857139</c:v>
                </c:pt>
                <c:pt idx="86">
                  <c:v>0.38387096774193546</c:v>
                </c:pt>
                <c:pt idx="87">
                  <c:v>3.8099999999999996</c:v>
                </c:pt>
                <c:pt idx="88">
                  <c:v>16.380645161290328</c:v>
                </c:pt>
                <c:pt idx="89">
                  <c:v>19.593333333333337</c:v>
                </c:pt>
                <c:pt idx="90">
                  <c:v>23.654838709677414</c:v>
                </c:pt>
                <c:pt idx="91">
                  <c:v>23.525806451612898</c:v>
                </c:pt>
                <c:pt idx="92">
                  <c:v>19.326666666666664</c:v>
                </c:pt>
                <c:pt idx="93">
                  <c:v>10.529032258064522</c:v>
                </c:pt>
                <c:pt idx="94">
                  <c:v>2.1866666666666665</c:v>
                </c:pt>
                <c:pt idx="95">
                  <c:v>0.57741935483870965</c:v>
                </c:pt>
                <c:pt idx="96">
                  <c:v>-5.3290322580645162</c:v>
                </c:pt>
                <c:pt idx="97">
                  <c:v>-2.8142857142857141</c:v>
                </c:pt>
                <c:pt idx="98">
                  <c:v>0.3225806451612902</c:v>
                </c:pt>
                <c:pt idx="99">
                  <c:v>6.6400000000000006</c:v>
                </c:pt>
                <c:pt idx="100">
                  <c:v>12.232258064516133</c:v>
                </c:pt>
                <c:pt idx="101">
                  <c:v>18.116666666666667</c:v>
                </c:pt>
                <c:pt idx="102">
                  <c:v>23.422580645161286</c:v>
                </c:pt>
                <c:pt idx="103">
                  <c:v>21.416129032258059</c:v>
                </c:pt>
                <c:pt idx="104">
                  <c:v>18.566666666666666</c:v>
                </c:pt>
                <c:pt idx="105">
                  <c:v>11.461290322580648</c:v>
                </c:pt>
                <c:pt idx="106">
                  <c:v>1.8266666666666667</c:v>
                </c:pt>
                <c:pt idx="107">
                  <c:v>7.4193548387096936E-2</c:v>
                </c:pt>
                <c:pt idx="108">
                  <c:v>-0.43548387096774183</c:v>
                </c:pt>
                <c:pt idx="109">
                  <c:v>-1.4551724137931032</c:v>
                </c:pt>
                <c:pt idx="110">
                  <c:v>3.7258064516129021</c:v>
                </c:pt>
                <c:pt idx="111">
                  <c:v>6.3566666666666682</c:v>
                </c:pt>
                <c:pt idx="112">
                  <c:v>12.483870967741939</c:v>
                </c:pt>
                <c:pt idx="113">
                  <c:v>20.48</c:v>
                </c:pt>
                <c:pt idx="114">
                  <c:v>24.954838709677418</c:v>
                </c:pt>
                <c:pt idx="115">
                  <c:v>22.603225806451611</c:v>
                </c:pt>
                <c:pt idx="116">
                  <c:v>17.706666666666667</c:v>
                </c:pt>
                <c:pt idx="117">
                  <c:v>10.632258064516131</c:v>
                </c:pt>
                <c:pt idx="118">
                  <c:v>7.7066666666666697</c:v>
                </c:pt>
                <c:pt idx="119">
                  <c:v>0.64838709677419371</c:v>
                </c:pt>
              </c:numCache>
            </c:numRef>
          </c:xVal>
          <c:yVal>
            <c:numRef>
              <c:f>Weather!$P$122:$P$241</c:f>
              <c:numCache>
                <c:formatCode>_(* #,##0_);_(* \(#,##0\);_(* "-"??_);_(@_)</c:formatCode>
                <c:ptCount val="120"/>
                <c:pt idx="0">
                  <c:v>16972495.279649999</c:v>
                </c:pt>
                <c:pt idx="1">
                  <c:v>15034235.442599999</c:v>
                </c:pt>
                <c:pt idx="2">
                  <c:v>15600132.157400001</c:v>
                </c:pt>
                <c:pt idx="3">
                  <c:v>13905160.764599999</c:v>
                </c:pt>
                <c:pt idx="4">
                  <c:v>13964088.668949999</c:v>
                </c:pt>
                <c:pt idx="5">
                  <c:v>15635949.933149999</c:v>
                </c:pt>
                <c:pt idx="6">
                  <c:v>20776403.369124997</c:v>
                </c:pt>
                <c:pt idx="7">
                  <c:v>18292832.774299998</c:v>
                </c:pt>
                <c:pt idx="8">
                  <c:v>15179291.59935</c:v>
                </c:pt>
                <c:pt idx="9">
                  <c:v>14464910.0175</c:v>
                </c:pt>
                <c:pt idx="10">
                  <c:v>14415495.62755</c:v>
                </c:pt>
                <c:pt idx="11">
                  <c:v>16232068.276699999</c:v>
                </c:pt>
                <c:pt idx="12">
                  <c:v>16429520.481299998</c:v>
                </c:pt>
                <c:pt idx="13">
                  <c:v>14922709.590399999</c:v>
                </c:pt>
                <c:pt idx="14">
                  <c:v>14512774.780449999</c:v>
                </c:pt>
                <c:pt idx="15">
                  <c:v>13420400.940308001</c:v>
                </c:pt>
                <c:pt idx="16">
                  <c:v>14603680.867724</c:v>
                </c:pt>
                <c:pt idx="17">
                  <c:v>17157940.412751999</c:v>
                </c:pt>
                <c:pt idx="18">
                  <c:v>20944843.982699998</c:v>
                </c:pt>
                <c:pt idx="19">
                  <c:v>18739592.12965</c:v>
                </c:pt>
                <c:pt idx="20">
                  <c:v>15430254.123528</c:v>
                </c:pt>
                <c:pt idx="21">
                  <c:v>14418668.859476</c:v>
                </c:pt>
                <c:pt idx="22">
                  <c:v>14689598.23167</c:v>
                </c:pt>
                <c:pt idx="23">
                  <c:v>16182826.210109999</c:v>
                </c:pt>
                <c:pt idx="24">
                  <c:v>16622084.10345</c:v>
                </c:pt>
                <c:pt idx="25">
                  <c:v>15003411.894210001</c:v>
                </c:pt>
                <c:pt idx="26">
                  <c:v>15405740.23608</c:v>
                </c:pt>
                <c:pt idx="27">
                  <c:v>13953064.21022</c:v>
                </c:pt>
                <c:pt idx="28">
                  <c:v>14135961.105699999</c:v>
                </c:pt>
                <c:pt idx="29">
                  <c:v>15880216.29284</c:v>
                </c:pt>
                <c:pt idx="30">
                  <c:v>19373764.10244</c:v>
                </c:pt>
                <c:pt idx="31">
                  <c:v>17518528.28576</c:v>
                </c:pt>
                <c:pt idx="32">
                  <c:v>15118315.780299999</c:v>
                </c:pt>
                <c:pt idx="33">
                  <c:v>14697969.943470001</c:v>
                </c:pt>
                <c:pt idx="34">
                  <c:v>15084391.12145</c:v>
                </c:pt>
                <c:pt idx="35">
                  <c:v>17188140.099020001</c:v>
                </c:pt>
                <c:pt idx="36">
                  <c:v>17832921.899999999</c:v>
                </c:pt>
                <c:pt idx="37">
                  <c:v>15630733.610000001</c:v>
                </c:pt>
                <c:pt idx="38">
                  <c:v>16233179.18</c:v>
                </c:pt>
                <c:pt idx="39">
                  <c:v>13779375.02</c:v>
                </c:pt>
                <c:pt idx="40">
                  <c:v>13816260.479999999</c:v>
                </c:pt>
                <c:pt idx="41">
                  <c:v>15763795.030000001</c:v>
                </c:pt>
                <c:pt idx="42">
                  <c:v>17256405.399999999</c:v>
                </c:pt>
                <c:pt idx="43">
                  <c:v>17022827.640000001</c:v>
                </c:pt>
                <c:pt idx="44">
                  <c:v>15128454.74</c:v>
                </c:pt>
                <c:pt idx="45">
                  <c:v>14319576.609999999</c:v>
                </c:pt>
                <c:pt idx="46">
                  <c:v>15066567.450000001</c:v>
                </c:pt>
                <c:pt idx="47">
                  <c:v>16465915.779999999</c:v>
                </c:pt>
                <c:pt idx="48">
                  <c:v>17410556.84</c:v>
                </c:pt>
                <c:pt idx="49">
                  <c:v>16200376.42</c:v>
                </c:pt>
                <c:pt idx="50">
                  <c:v>15791088.430000002</c:v>
                </c:pt>
                <c:pt idx="51">
                  <c:v>13751123.979999999</c:v>
                </c:pt>
                <c:pt idx="52">
                  <c:v>14187561.25</c:v>
                </c:pt>
                <c:pt idx="53">
                  <c:v>14895713.270000001</c:v>
                </c:pt>
                <c:pt idx="54">
                  <c:v>18727962.900000002</c:v>
                </c:pt>
                <c:pt idx="55">
                  <c:v>17447202.449999999</c:v>
                </c:pt>
                <c:pt idx="56">
                  <c:v>16730321.560000001</c:v>
                </c:pt>
                <c:pt idx="57">
                  <c:v>14060097.34</c:v>
                </c:pt>
                <c:pt idx="58">
                  <c:v>14124167.139999999</c:v>
                </c:pt>
                <c:pt idx="59">
                  <c:v>15469283.82</c:v>
                </c:pt>
                <c:pt idx="60">
                  <c:v>16335083.52</c:v>
                </c:pt>
                <c:pt idx="61">
                  <c:v>14794270.139999997</c:v>
                </c:pt>
                <c:pt idx="62">
                  <c:v>14632046.780000001</c:v>
                </c:pt>
                <c:pt idx="63">
                  <c:v>13549514.359999999</c:v>
                </c:pt>
                <c:pt idx="64">
                  <c:v>14337851.494000001</c:v>
                </c:pt>
                <c:pt idx="65">
                  <c:v>16249758.006000003</c:v>
                </c:pt>
                <c:pt idx="66">
                  <c:v>19768835.849999994</c:v>
                </c:pt>
                <c:pt idx="67">
                  <c:v>20746903.439999998</c:v>
                </c:pt>
                <c:pt idx="68">
                  <c:v>16199694.169999998</c:v>
                </c:pt>
                <c:pt idx="69">
                  <c:v>13767515.480000002</c:v>
                </c:pt>
                <c:pt idx="70">
                  <c:v>13671662.76</c:v>
                </c:pt>
                <c:pt idx="71">
                  <c:v>15862873.509999998</c:v>
                </c:pt>
                <c:pt idx="72">
                  <c:v>15654286.4</c:v>
                </c:pt>
                <c:pt idx="73">
                  <c:v>13535413.060000001</c:v>
                </c:pt>
                <c:pt idx="74">
                  <c:v>17164609.959131006</c:v>
                </c:pt>
                <c:pt idx="75">
                  <c:v>15201392.558417326</c:v>
                </c:pt>
                <c:pt idx="76">
                  <c:v>16229118.897553997</c:v>
                </c:pt>
                <c:pt idx="77">
                  <c:v>18871717.803001981</c:v>
                </c:pt>
                <c:pt idx="78">
                  <c:v>22363391.152751956</c:v>
                </c:pt>
                <c:pt idx="79">
                  <c:v>21211440.486327328</c:v>
                </c:pt>
                <c:pt idx="80">
                  <c:v>19533578.176179972</c:v>
                </c:pt>
                <c:pt idx="81">
                  <c:v>15916473.155721987</c:v>
                </c:pt>
                <c:pt idx="82">
                  <c:v>16479806.154822662</c:v>
                </c:pt>
                <c:pt idx="83">
                  <c:v>18908989.901477978</c:v>
                </c:pt>
                <c:pt idx="84">
                  <c:v>18920116.782666825</c:v>
                </c:pt>
                <c:pt idx="85">
                  <c:v>16165609.621245151</c:v>
                </c:pt>
                <c:pt idx="86">
                  <c:v>17475012.52885266</c:v>
                </c:pt>
                <c:pt idx="87">
                  <c:v>16622054.862042977</c:v>
                </c:pt>
                <c:pt idx="88">
                  <c:v>19779671.223524317</c:v>
                </c:pt>
                <c:pt idx="89">
                  <c:v>19936672.391649656</c:v>
                </c:pt>
                <c:pt idx="90">
                  <c:v>26519724.751660287</c:v>
                </c:pt>
                <c:pt idx="91">
                  <c:v>26948242.609250635</c:v>
                </c:pt>
                <c:pt idx="92">
                  <c:v>21215817.727722466</c:v>
                </c:pt>
                <c:pt idx="93">
                  <c:v>17077098.534574993</c:v>
                </c:pt>
                <c:pt idx="94">
                  <c:v>17872678.440282173</c:v>
                </c:pt>
                <c:pt idx="95">
                  <c:v>19117837.684365984</c:v>
                </c:pt>
                <c:pt idx="96">
                  <c:v>19470279.931793816</c:v>
                </c:pt>
                <c:pt idx="97">
                  <c:v>17623038.944653146</c:v>
                </c:pt>
                <c:pt idx="98">
                  <c:v>18298309.582286663</c:v>
                </c:pt>
                <c:pt idx="99">
                  <c:v>16030754.75111879</c:v>
                </c:pt>
                <c:pt idx="100">
                  <c:v>17509709.360292483</c:v>
                </c:pt>
                <c:pt idx="101">
                  <c:v>19696522.675138813</c:v>
                </c:pt>
                <c:pt idx="102">
                  <c:v>27560108.31326063</c:v>
                </c:pt>
                <c:pt idx="103">
                  <c:v>24718341.509218462</c:v>
                </c:pt>
                <c:pt idx="104">
                  <c:v>20237615.335729983</c:v>
                </c:pt>
                <c:pt idx="105">
                  <c:v>18098714.600466475</c:v>
                </c:pt>
                <c:pt idx="106">
                  <c:v>19512627.908904467</c:v>
                </c:pt>
                <c:pt idx="107">
                  <c:v>20791848.943550967</c:v>
                </c:pt>
                <c:pt idx="108">
                  <c:v>21239209.767112821</c:v>
                </c:pt>
                <c:pt idx="109">
                  <c:v>19035160.954744305</c:v>
                </c:pt>
                <c:pt idx="110">
                  <c:v>19087245.664711308</c:v>
                </c:pt>
                <c:pt idx="111">
                  <c:v>17079543.476648476</c:v>
                </c:pt>
                <c:pt idx="112">
                  <c:v>19158490.866862137</c:v>
                </c:pt>
                <c:pt idx="113">
                  <c:v>23659036.820064977</c:v>
                </c:pt>
                <c:pt idx="114">
                  <c:v>31068671.938821949</c:v>
                </c:pt>
                <c:pt idx="115">
                  <c:v>26721444.06371244</c:v>
                </c:pt>
                <c:pt idx="116">
                  <c:v>20324132.402995322</c:v>
                </c:pt>
                <c:pt idx="117">
                  <c:v>19166451.094120812</c:v>
                </c:pt>
                <c:pt idx="118">
                  <c:v>18736074.894379988</c:v>
                </c:pt>
                <c:pt idx="119">
                  <c:v>22275090.071478143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958-415D-98E7-E3EEAF4FD3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99280136"/>
        <c:axId val="899274888"/>
      </c:scatterChart>
      <c:valAx>
        <c:axId val="899280136"/>
        <c:scaling>
          <c:orientation val="minMax"/>
          <c:max val="28"/>
          <c:min val="-14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99274888"/>
        <c:crosses val="autoZero"/>
        <c:crossBetween val="midCat"/>
        <c:majorUnit val="2"/>
      </c:valAx>
      <c:valAx>
        <c:axId val="899274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9928013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kW/kWh</a:t>
            </a:r>
            <a:r>
              <a:rPr lang="en-US" baseline="0"/>
              <a:t> Ratio Trends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'Rate Class Load Model'!$B$1</c:f>
              <c:strCache>
                <c:ptCount val="1"/>
                <c:pt idx="0">
                  <c:v>General Service &gt; 50 to 4,999 kW Adj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'Rate Class Load Model'!$A$16:$A$25</c:f>
              <c:numCache>
                <c:formatCode>General</c:formatCod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numCache>
            </c:numRef>
          </c:cat>
          <c:val>
            <c:numRef>
              <c:f>'Rate Class Load Model'!$B$16:$B$25</c:f>
              <c:numCache>
                <c:formatCode>0.0000%</c:formatCode>
                <c:ptCount val="10"/>
                <c:pt idx="0">
                  <c:v>2.4126694536325366E-3</c:v>
                </c:pt>
                <c:pt idx="1">
                  <c:v>2.5888083315604351E-3</c:v>
                </c:pt>
                <c:pt idx="2">
                  <c:v>2.6116343497154981E-3</c:v>
                </c:pt>
                <c:pt idx="3">
                  <c:v>2.607457199458217E-3</c:v>
                </c:pt>
                <c:pt idx="4">
                  <c:v>2.6172632608403006E-3</c:v>
                </c:pt>
                <c:pt idx="5">
                  <c:v>2.7833265063925846E-3</c:v>
                </c:pt>
                <c:pt idx="6">
                  <c:v>2.8054593935639082E-3</c:v>
                </c:pt>
                <c:pt idx="7">
                  <c:v>2.79328109812849E-3</c:v>
                </c:pt>
                <c:pt idx="8">
                  <c:v>2.8054060436975572E-3</c:v>
                </c:pt>
                <c:pt idx="9">
                  <c:v>2.7658187742503723E-3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8AB-4DE2-BAE5-E768C921318C}"/>
            </c:ext>
          </c:extLst>
        </c:ser>
        <c:ser>
          <c:idx val="2"/>
          <c:order val="1"/>
          <c:tx>
            <c:strRef>
              <c:f>'Rate Class Load Model'!$C$1</c:f>
              <c:strCache>
                <c:ptCount val="1"/>
                <c:pt idx="0">
                  <c:v>Street Lights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'Rate Class Load Model'!$A$16:$A$25</c:f>
              <c:numCache>
                <c:formatCode>General</c:formatCod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numCache>
            </c:numRef>
          </c:cat>
          <c:val>
            <c:numRef>
              <c:f>'Rate Class Load Model'!$C$16:$C$25</c:f>
              <c:numCache>
                <c:formatCode>0.0000%</c:formatCode>
                <c:ptCount val="10"/>
                <c:pt idx="0">
                  <c:v>2.7840978269166598E-3</c:v>
                </c:pt>
                <c:pt idx="1">
                  <c:v>2.7507295835787196E-3</c:v>
                </c:pt>
                <c:pt idx="2">
                  <c:v>2.7692177839950326E-3</c:v>
                </c:pt>
                <c:pt idx="3">
                  <c:v>2.8391229057137105E-3</c:v>
                </c:pt>
                <c:pt idx="4">
                  <c:v>2.7696858346184694E-3</c:v>
                </c:pt>
                <c:pt idx="5">
                  <c:v>2.7616354826294912E-3</c:v>
                </c:pt>
                <c:pt idx="6">
                  <c:v>2.7661053092279684E-3</c:v>
                </c:pt>
                <c:pt idx="7">
                  <c:v>2.762440476736364E-3</c:v>
                </c:pt>
                <c:pt idx="8">
                  <c:v>2.7810844352133346E-3</c:v>
                </c:pt>
                <c:pt idx="9">
                  <c:v>2.7768517175912688E-3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8AB-4DE2-BAE5-E768C921318C}"/>
            </c:ext>
          </c:extLst>
        </c:ser>
        <c:ser>
          <c:idx val="0"/>
          <c:order val="2"/>
          <c:tx>
            <c:strRef>
              <c:f>'Rate Class Load Model'!$D$1</c:f>
              <c:strCache>
                <c:ptCount val="1"/>
                <c:pt idx="0">
                  <c:v>Embedded Distributor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'Rate Class Load Model'!$A$16:$A$25</c:f>
              <c:numCache>
                <c:formatCode>General</c:formatCod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numCache>
            </c:numRef>
          </c:cat>
          <c:val>
            <c:numRef>
              <c:f>'Rate Class Load Model'!$D$16:$D$25</c:f>
              <c:numCache>
                <c:formatCode>0.0000%</c:formatCode>
                <c:ptCount val="10"/>
                <c:pt idx="6">
                  <c:v>3.8597543352963072E-3</c:v>
                </c:pt>
                <c:pt idx="7">
                  <c:v>3.3291653951023452E-3</c:v>
                </c:pt>
                <c:pt idx="8">
                  <c:v>2.9287201976033938E-3</c:v>
                </c:pt>
                <c:pt idx="9">
                  <c:v>2.8317271460869893E-3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8AB-4DE2-BAE5-E768C92131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23809040"/>
        <c:axId val="1623805432"/>
      </c:lineChart>
      <c:catAx>
        <c:axId val="1623809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23805432"/>
        <c:crosses val="autoZero"/>
        <c:auto val="1"/>
        <c:lblAlgn val="ctr"/>
        <c:lblOffset val="100"/>
        <c:noMultiLvlLbl val="0"/>
      </c:catAx>
      <c:valAx>
        <c:axId val="1623805432"/>
        <c:scaling>
          <c:orientation val="minMax"/>
          <c:max val="4.000000000000001E-3"/>
          <c:min val="2.0000000000000005E-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23809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GS 50 - 4,999 kW kW/kWh</a:t>
            </a:r>
            <a:r>
              <a:rPr lang="en-US" baseline="0"/>
              <a:t> Ratio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'Rate Class Load Model'!$B$1</c:f>
              <c:strCache>
                <c:ptCount val="1"/>
                <c:pt idx="0">
                  <c:v>General Service &gt; 50 to 4,999 kW Adj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('Rate Class Load Model'!$A$16:$A$25,'Rate Class Load Model'!$A$40:$A$41)</c:f>
              <c:numCache>
                <c:formatCode>General</c:formatCode>
                <c:ptCount val="12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</c:numCache>
            </c:numRef>
          </c:cat>
          <c:val>
            <c:numRef>
              <c:f>'Rate Class Load Model'!$B$16:$B$25</c:f>
              <c:numCache>
                <c:formatCode>0.0000%</c:formatCode>
                <c:ptCount val="10"/>
                <c:pt idx="0">
                  <c:v>2.4126694536325366E-3</c:v>
                </c:pt>
                <c:pt idx="1">
                  <c:v>2.5888083315604351E-3</c:v>
                </c:pt>
                <c:pt idx="2">
                  <c:v>2.6116343497154981E-3</c:v>
                </c:pt>
                <c:pt idx="3">
                  <c:v>2.607457199458217E-3</c:v>
                </c:pt>
                <c:pt idx="4">
                  <c:v>2.6172632608403006E-3</c:v>
                </c:pt>
                <c:pt idx="5">
                  <c:v>2.7833265063925846E-3</c:v>
                </c:pt>
                <c:pt idx="6">
                  <c:v>2.8054593935639082E-3</c:v>
                </c:pt>
                <c:pt idx="7">
                  <c:v>2.79328109812849E-3</c:v>
                </c:pt>
                <c:pt idx="8">
                  <c:v>2.8054060436975572E-3</c:v>
                </c:pt>
                <c:pt idx="9">
                  <c:v>2.7658187742503723E-3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C5-4666-BCCA-5A140FCF1173}"/>
            </c:ext>
          </c:extLst>
        </c:ser>
        <c:ser>
          <c:idx val="0"/>
          <c:order val="1"/>
          <c:tx>
            <c:strRef>
              <c:f>'Rate Class Load Model'!$B$39</c:f>
              <c:strCache>
                <c:ptCount val="1"/>
                <c:pt idx="0">
                  <c:v>10-yr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('Rate Class Load Model'!$E$16:$E$25,'Rate Class Load Model'!$B$40:$B$41)</c:f>
              <c:numCache>
                <c:formatCode>General</c:formatCode>
                <c:ptCount val="12"/>
                <c:pt idx="10" formatCode="#,##0.0000000">
                  <c:v>2.6791124411239898E-3</c:v>
                </c:pt>
                <c:pt idx="11" formatCode="#,##0.0000000">
                  <c:v>2.6791124411239898E-3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AC5-4666-BCCA-5A140FCF1173}"/>
            </c:ext>
          </c:extLst>
        </c:ser>
        <c:ser>
          <c:idx val="2"/>
          <c:order val="2"/>
          <c:tx>
            <c:strRef>
              <c:f>'Rate Class Load Model'!$C$39</c:f>
              <c:strCache>
                <c:ptCount val="1"/>
                <c:pt idx="0">
                  <c:v>5-yr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('Rate Class Load Model'!$E$16:$E$25,'Rate Class Load Model'!$C$40:$C$41)</c:f>
              <c:numCache>
                <c:formatCode>General</c:formatCode>
                <c:ptCount val="12"/>
                <c:pt idx="10" formatCode="#,##0.0000000">
                  <c:v>2.7906583632065825E-3</c:v>
                </c:pt>
                <c:pt idx="11" formatCode="#,##0.0000000">
                  <c:v>2.7906583632065825E-3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AC5-4666-BCCA-5A140FCF1173}"/>
            </c:ext>
          </c:extLst>
        </c:ser>
        <c:ser>
          <c:idx val="3"/>
          <c:order val="3"/>
          <c:tx>
            <c:strRef>
              <c:f>'Rate Class Load Model'!$D$39</c:f>
              <c:strCache>
                <c:ptCount val="1"/>
                <c:pt idx="0">
                  <c:v>Trend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('Rate Class Load Model'!$E$16:$E$25,'Rate Class Load Model'!$D$40:$D$41)</c:f>
              <c:numCache>
                <c:formatCode>General</c:formatCode>
                <c:ptCount val="12"/>
                <c:pt idx="10">
                  <c:v>2.8912068224724724E-3</c:v>
                </c:pt>
                <c:pt idx="11">
                  <c:v>2.9297694372631133E-3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AC5-4666-BCCA-5A140FCF11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23809040"/>
        <c:axId val="1623805432"/>
      </c:lineChart>
      <c:catAx>
        <c:axId val="1623809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23805432"/>
        <c:crosses val="autoZero"/>
        <c:auto val="1"/>
        <c:lblAlgn val="ctr"/>
        <c:lblOffset val="100"/>
        <c:noMultiLvlLbl val="0"/>
      </c:catAx>
      <c:valAx>
        <c:axId val="1623805432"/>
        <c:scaling>
          <c:orientation val="minMax"/>
          <c:min val="2.2000000000000006E-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23809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2018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'Embedded Distributor'!$I$14:$I$25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'Embedded Distributor'!$C$15:$C$26</c:f>
              <c:numCache>
                <c:formatCode>_(* #,##0.00_);_(* \(#,##0.00\);_(* "-"??_);_(@_)</c:formatCode>
                <c:ptCount val="12"/>
                <c:pt idx="0">
                  <c:v>1852730.1844645019</c:v>
                </c:pt>
                <c:pt idx="1">
                  <c:v>1758839.4821045175</c:v>
                </c:pt>
                <c:pt idx="2">
                  <c:v>2375340.9491960937</c:v>
                </c:pt>
                <c:pt idx="3">
                  <c:v>2485375.9892984647</c:v>
                </c:pt>
                <c:pt idx="4">
                  <c:v>5433603.1230769819</c:v>
                </c:pt>
                <c:pt idx="5">
                  <c:v>3916619.5607652208</c:v>
                </c:pt>
                <c:pt idx="6">
                  <c:v>5890671.1113334885</c:v>
                </c:pt>
                <c:pt idx="7">
                  <c:v>6778894.4532912951</c:v>
                </c:pt>
                <c:pt idx="8">
                  <c:v>4496004.9261929411</c:v>
                </c:pt>
                <c:pt idx="9">
                  <c:v>2542408.0313404463</c:v>
                </c:pt>
                <c:pt idx="10">
                  <c:v>2900973.5563793778</c:v>
                </c:pt>
                <c:pt idx="11">
                  <c:v>2949172.2066761004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BB-470E-96F2-5F408ED289F6}"/>
            </c:ext>
          </c:extLst>
        </c:ser>
        <c:ser>
          <c:idx val="1"/>
          <c:order val="1"/>
          <c:tx>
            <c:v>2019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'Embedded Distributor'!$I$14:$I$25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'Embedded Distributor'!$C$27:$C$38</c:f>
              <c:numCache>
                <c:formatCode>_(* #,##0.00_);_(* \(#,##0.00\);_(* "-"??_);_(@_)</c:formatCode>
                <c:ptCount val="12"/>
                <c:pt idx="0">
                  <c:v>2345384.3176812418</c:v>
                </c:pt>
                <c:pt idx="1">
                  <c:v>2502127.9915483254</c:v>
                </c:pt>
                <c:pt idx="2">
                  <c:v>2643551.1870212546</c:v>
                </c:pt>
                <c:pt idx="3">
                  <c:v>2306272.4364213278</c:v>
                </c:pt>
                <c:pt idx="4">
                  <c:v>3898830.8811403029</c:v>
                </c:pt>
                <c:pt idx="5">
                  <c:v>4853572.3585318187</c:v>
                </c:pt>
                <c:pt idx="6">
                  <c:v>6991030.6470110817</c:v>
                </c:pt>
                <c:pt idx="7">
                  <c:v>6140130.9663574947</c:v>
                </c:pt>
                <c:pt idx="8">
                  <c:v>4814361.1713148011</c:v>
                </c:pt>
                <c:pt idx="9">
                  <c:v>3841776.1678357082</c:v>
                </c:pt>
                <c:pt idx="10">
                  <c:v>4374163.1948623955</c:v>
                </c:pt>
                <c:pt idx="11">
                  <c:v>4357443.9816535302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9BB-470E-96F2-5F408ED289F6}"/>
            </c:ext>
          </c:extLst>
        </c:ser>
        <c:ser>
          <c:idx val="2"/>
          <c:order val="2"/>
          <c:tx>
            <c:v>2020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val>
            <c:numRef>
              <c:f>'Embedded Distributor'!$C$39:$C$50</c:f>
              <c:numCache>
                <c:formatCode>_(* #,##0.00_);_(* \(#,##0.00\);_(* "-"??_);_(@_)</c:formatCode>
                <c:ptCount val="12"/>
                <c:pt idx="0">
                  <c:v>4833173.3349823048</c:v>
                </c:pt>
                <c:pt idx="1">
                  <c:v>3781055.952817406</c:v>
                </c:pt>
                <c:pt idx="2">
                  <c:v>4032656.886527366</c:v>
                </c:pt>
                <c:pt idx="3">
                  <c:v>3435746.1940935161</c:v>
                </c:pt>
                <c:pt idx="4">
                  <c:v>4735242.6950270245</c:v>
                </c:pt>
                <c:pt idx="5">
                  <c:v>6037296.4429668775</c:v>
                </c:pt>
                <c:pt idx="6">
                  <c:v>8129921.4906045105</c:v>
                </c:pt>
                <c:pt idx="7">
                  <c:v>6612027.0517714433</c:v>
                </c:pt>
                <c:pt idx="8">
                  <c:v>4759664.6737366663</c:v>
                </c:pt>
                <c:pt idx="9">
                  <c:v>4510134.313046311</c:v>
                </c:pt>
                <c:pt idx="10">
                  <c:v>3624554.3128952486</c:v>
                </c:pt>
                <c:pt idx="11">
                  <c:v>4690646.6356936488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9BB-470E-96F2-5F408ED289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2411216"/>
        <c:axId val="122412880"/>
      </c:lineChart>
      <c:catAx>
        <c:axId val="122411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2412880"/>
        <c:crosses val="autoZero"/>
        <c:auto val="1"/>
        <c:lblAlgn val="ctr"/>
        <c:lblOffset val="100"/>
        <c:noMultiLvlLbl val="0"/>
      </c:catAx>
      <c:valAx>
        <c:axId val="1224128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24112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kWh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'Embedded Distributor'!$J$2</c:f>
              <c:strCache>
                <c:ptCount val="1"/>
                <c:pt idx="0">
                  <c:v> NPEI kWh 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('Embedded Distributor'!$I$3:$I$6,'Embedded Distributor'!$I$10:$I$11)</c:f>
              <c:numCache>
                <c:formatCode>General</c:formatCod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</c:numCache>
            </c:numRef>
          </c:cat>
          <c:val>
            <c:numRef>
              <c:f>'Embedded Distributor'!$J$3:$J$6</c:f>
              <c:numCache>
                <c:formatCode>_(* #,##0_);_(* \(#,##0\);_(* "-"??_);_(@_)</c:formatCode>
                <c:ptCount val="4"/>
                <c:pt idx="0">
                  <c:v>29983391.131810207</c:v>
                </c:pt>
                <c:pt idx="1">
                  <c:v>43380633.574119426</c:v>
                </c:pt>
                <c:pt idx="2">
                  <c:v>49068645.301379278</c:v>
                </c:pt>
                <c:pt idx="3">
                  <c:v>59182119.984162331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140-41ED-BF7A-DCAB45F9EEEB}"/>
            </c:ext>
          </c:extLst>
        </c:ser>
        <c:ser>
          <c:idx val="0"/>
          <c:order val="1"/>
          <c:tx>
            <c:v>Forecast kWh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('Embedded Distributor'!$I$3:$I$6,'Embedded Distributor'!$I$10:$I$11)</c:f>
              <c:numCache>
                <c:formatCode>General</c:formatCod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</c:numCache>
            </c:numRef>
          </c:cat>
          <c:val>
            <c:numRef>
              <c:f>('Embedded Distributor'!$H$3:$H$6,'Embedded Distributor'!$J$10:$J$11)</c:f>
              <c:numCache>
                <c:formatCode>General</c:formatCode>
                <c:ptCount val="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140-41ED-BF7A-DCAB45F9EEEB}"/>
            </c:ext>
          </c:extLst>
        </c:ser>
        <c:ser>
          <c:idx val="2"/>
          <c:order val="2"/>
          <c:tx>
            <c:strRef>
              <c:f>'Embedded Distributor'!$K$2</c:f>
              <c:strCache>
                <c:ptCount val="1"/>
                <c:pt idx="0">
                  <c:v>NPEI kWh Weather Normal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('Embedded Distributor'!$I$3:$I$6,'Embedded Distributor'!$I$10:$I$11)</c:f>
              <c:numCache>
                <c:formatCode>General</c:formatCod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</c:numCache>
            </c:numRef>
          </c:cat>
          <c:val>
            <c:numRef>
              <c:f>('Embedded Distributor'!$K$3:$K$6,'Embedded Distributor'!$K$10:$K$11)</c:f>
              <c:numCache>
                <c:formatCode>_(* #,##0_);_(* \(#,##0\);_(* "-"??_);_(@_)</c:formatCode>
                <c:ptCount val="6"/>
                <c:pt idx="0">
                  <c:v>30868410.384187136</c:v>
                </c:pt>
                <c:pt idx="1">
                  <c:v>41797868.767820761</c:v>
                </c:pt>
                <c:pt idx="2">
                  <c:v>50714841.521670833</c:v>
                </c:pt>
                <c:pt idx="3">
                  <c:v>58078111.326333761</c:v>
                </c:pt>
                <c:pt idx="4" formatCode="#,##0">
                  <c:v>58368501.882965423</c:v>
                </c:pt>
                <c:pt idx="5" formatCode="#,##0">
                  <c:v>58660344.392380245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140-41ED-BF7A-DCAB45F9EE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2411216"/>
        <c:axId val="122412880"/>
      </c:lineChart>
      <c:catAx>
        <c:axId val="122411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2412880"/>
        <c:crosses val="autoZero"/>
        <c:auto val="1"/>
        <c:lblAlgn val="ctr"/>
        <c:lblOffset val="100"/>
        <c:noMultiLvlLbl val="0"/>
      </c:catAx>
      <c:valAx>
        <c:axId val="1224128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24112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kW Demand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'Embedded Distributor'!$L$2</c:f>
              <c:strCache>
                <c:ptCount val="1"/>
                <c:pt idx="0">
                  <c:v> NPEI kW 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('Embedded Distributor'!$I$3:$I$6,'Embedded Distributor'!$I$10:$I$11)</c:f>
              <c:numCache>
                <c:formatCode>General</c:formatCod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</c:numCache>
            </c:numRef>
          </c:cat>
          <c:val>
            <c:numRef>
              <c:f>'Embedded Distributor'!$L$3:$L$6</c:f>
              <c:numCache>
                <c:formatCode>_(* #,##0_);_(* \(#,##0\);_(* "-"??_);_(@_)</c:formatCode>
                <c:ptCount val="4"/>
                <c:pt idx="0">
                  <c:v>115728.52390788929</c:v>
                </c:pt>
                <c:pt idx="1">
                  <c:v>144421.29999999999</c:v>
                </c:pt>
                <c:pt idx="2">
                  <c:v>143708.33256318636</c:v>
                </c:pt>
                <c:pt idx="3">
                  <c:v>167587.61572212976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20-4914-B360-AE1A6E87E027}"/>
            </c:ext>
          </c:extLst>
        </c:ser>
        <c:ser>
          <c:idx val="0"/>
          <c:order val="1"/>
          <c:tx>
            <c:v>Forecast kW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('Embedded Distributor'!$I$3:$I$6,'Embedded Distributor'!$I$10:$I$11)</c:f>
              <c:numCache>
                <c:formatCode>General</c:formatCod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</c:numCache>
            </c:numRef>
          </c:cat>
          <c:val>
            <c:numRef>
              <c:f>('Embedded Distributor'!$H$3:$H$6,'Embedded Distributor'!$L$10:$L$11)</c:f>
              <c:numCache>
                <c:formatCode>General</c:formatCode>
                <c:ptCount val="6"/>
                <c:pt idx="4" formatCode="#,##0">
                  <c:v>165283.67125842275</c:v>
                </c:pt>
                <c:pt idx="5" formatCode="#,##0">
                  <c:v>166110.08961471485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F20-4914-B360-AE1A6E87E0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2411216"/>
        <c:axId val="122412880"/>
      </c:lineChart>
      <c:catAx>
        <c:axId val="122411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2412880"/>
        <c:crosses val="autoZero"/>
        <c:auto val="1"/>
        <c:lblAlgn val="ctr"/>
        <c:lblOffset val="100"/>
        <c:noMultiLvlLbl val="0"/>
      </c:catAx>
      <c:valAx>
        <c:axId val="1224128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24112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Grossed-Up Demand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'Embedded Distributor'!$M$2</c:f>
              <c:strCache>
                <c:ptCount val="1"/>
                <c:pt idx="0">
                  <c:v> NPEI Grossed Up Demand 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('Embedded Distributor'!$I$3:$I$6,'Embedded Distributor'!$I$10:$I$11)</c:f>
              <c:numCache>
                <c:formatCode>General</c:formatCod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</c:numCache>
            </c:numRef>
          </c:cat>
          <c:val>
            <c:numRef>
              <c:f>'Embedded Distributor'!$M$3:$M$6</c:f>
              <c:numCache>
                <c:formatCode>_(* #,##0_);_(* \(#,##0\);_(* "-"??_);_(@_)</c:formatCode>
                <c:ptCount val="4"/>
                <c:pt idx="0">
                  <c:v>134378.59375901797</c:v>
                </c:pt>
                <c:pt idx="1">
                  <c:v>170905.05999999997</c:v>
                </c:pt>
                <c:pt idx="2">
                  <c:v>164404.78920878115</c:v>
                </c:pt>
                <c:pt idx="3">
                  <c:v>185129.68805562533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A0-42F6-BBAB-43CF6B81F877}"/>
            </c:ext>
          </c:extLst>
        </c:ser>
        <c:ser>
          <c:idx val="0"/>
          <c:order val="1"/>
          <c:tx>
            <c:v>Forecast kW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('Embedded Distributor'!$I$3:$I$6,'Embedded Distributor'!$I$10:$I$11)</c:f>
              <c:numCache>
                <c:formatCode>General</c:formatCod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</c:numCache>
            </c:numRef>
          </c:cat>
          <c:val>
            <c:numRef>
              <c:f>('Embedded Distributor'!$H$3:$H$6,'Embedded Distributor'!$M$10:$M$11)</c:f>
              <c:numCache>
                <c:formatCode>General</c:formatCode>
                <c:ptCount val="6"/>
                <c:pt idx="4" formatCode="_(* #,##0_);_(* \(#,##0\);_(* &quot;-&quot;??_);_(@_)">
                  <c:v>189796.19988442984</c:v>
                </c:pt>
                <c:pt idx="5" formatCode="_(* #,##0_);_(* \(#,##0\);_(* &quot;-&quot;??_);_(@_)">
                  <c:v>190745.18088385198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3A0-42F6-BBAB-43CF6B81F8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2411216"/>
        <c:axId val="122412880"/>
      </c:lineChart>
      <c:catAx>
        <c:axId val="122411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2412880"/>
        <c:crosses val="autoZero"/>
        <c:auto val="1"/>
        <c:lblAlgn val="ctr"/>
        <c:lblOffset val="100"/>
        <c:noMultiLvlLbl val="0"/>
      </c:catAx>
      <c:valAx>
        <c:axId val="1224128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24112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Purchases</a:t>
            </a:r>
            <a:r>
              <a:rPr lang="en-US" baseline="0"/>
              <a:t> (Predicted and Actual)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'Embedded Distributor'!$V$2</c:f>
              <c:strCache>
                <c:ptCount val="1"/>
                <c:pt idx="0">
                  <c:v>Embedded Distributor Purchases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'Embedded Distributor'!$T$3:$T$48</c:f>
              <c:numCache>
                <c:formatCode>mmm\-yy</c:formatCode>
                <c:ptCount val="46"/>
                <c:pt idx="0">
                  <c:v>42825</c:v>
                </c:pt>
                <c:pt idx="1">
                  <c:v>42855</c:v>
                </c:pt>
                <c:pt idx="2">
                  <c:v>42886</c:v>
                </c:pt>
                <c:pt idx="3">
                  <c:v>42916</c:v>
                </c:pt>
                <c:pt idx="4">
                  <c:v>42947</c:v>
                </c:pt>
                <c:pt idx="5">
                  <c:v>42978</c:v>
                </c:pt>
                <c:pt idx="6">
                  <c:v>43008</c:v>
                </c:pt>
                <c:pt idx="7">
                  <c:v>43039</c:v>
                </c:pt>
                <c:pt idx="8">
                  <c:v>43069</c:v>
                </c:pt>
                <c:pt idx="9">
                  <c:v>43100</c:v>
                </c:pt>
                <c:pt idx="10">
                  <c:v>43131</c:v>
                </c:pt>
                <c:pt idx="11">
                  <c:v>43159</c:v>
                </c:pt>
                <c:pt idx="12">
                  <c:v>43190</c:v>
                </c:pt>
                <c:pt idx="13">
                  <c:v>43220</c:v>
                </c:pt>
                <c:pt idx="14">
                  <c:v>43251</c:v>
                </c:pt>
                <c:pt idx="15">
                  <c:v>43281</c:v>
                </c:pt>
                <c:pt idx="16">
                  <c:v>43312</c:v>
                </c:pt>
                <c:pt idx="17">
                  <c:v>43343</c:v>
                </c:pt>
                <c:pt idx="18">
                  <c:v>43373</c:v>
                </c:pt>
                <c:pt idx="19">
                  <c:v>43404</c:v>
                </c:pt>
                <c:pt idx="20">
                  <c:v>43434</c:v>
                </c:pt>
                <c:pt idx="21">
                  <c:v>43465</c:v>
                </c:pt>
                <c:pt idx="22">
                  <c:v>43496</c:v>
                </c:pt>
                <c:pt idx="23">
                  <c:v>43524</c:v>
                </c:pt>
                <c:pt idx="24">
                  <c:v>43555</c:v>
                </c:pt>
                <c:pt idx="25">
                  <c:v>43585</c:v>
                </c:pt>
                <c:pt idx="26">
                  <c:v>43616</c:v>
                </c:pt>
                <c:pt idx="27">
                  <c:v>43646</c:v>
                </c:pt>
                <c:pt idx="28">
                  <c:v>43677</c:v>
                </c:pt>
                <c:pt idx="29">
                  <c:v>43708</c:v>
                </c:pt>
                <c:pt idx="30">
                  <c:v>43738</c:v>
                </c:pt>
                <c:pt idx="31">
                  <c:v>43769</c:v>
                </c:pt>
                <c:pt idx="32">
                  <c:v>43799</c:v>
                </c:pt>
                <c:pt idx="33">
                  <c:v>43830</c:v>
                </c:pt>
                <c:pt idx="34">
                  <c:v>43861</c:v>
                </c:pt>
                <c:pt idx="35">
                  <c:v>43890</c:v>
                </c:pt>
                <c:pt idx="36">
                  <c:v>43921</c:v>
                </c:pt>
                <c:pt idx="37">
                  <c:v>43951</c:v>
                </c:pt>
                <c:pt idx="38">
                  <c:v>43982</c:v>
                </c:pt>
                <c:pt idx="39">
                  <c:v>44012</c:v>
                </c:pt>
                <c:pt idx="40">
                  <c:v>44043</c:v>
                </c:pt>
                <c:pt idx="41">
                  <c:v>44074</c:v>
                </c:pt>
                <c:pt idx="42">
                  <c:v>44104</c:v>
                </c:pt>
                <c:pt idx="43">
                  <c:v>44135</c:v>
                </c:pt>
                <c:pt idx="44">
                  <c:v>44165</c:v>
                </c:pt>
                <c:pt idx="45">
                  <c:v>44196</c:v>
                </c:pt>
              </c:numCache>
            </c:numRef>
          </c:cat>
          <c:val>
            <c:numRef>
              <c:f>'Embedded Distributor'!$V$3:$V$48</c:f>
              <c:numCache>
                <c:formatCode>#,##0</c:formatCode>
                <c:ptCount val="46"/>
                <c:pt idx="0">
                  <c:v>2413945.7550129993</c:v>
                </c:pt>
                <c:pt idx="1">
                  <c:v>2181294.6017022091</c:v>
                </c:pt>
                <c:pt idx="2">
                  <c:v>2595303.9357047086</c:v>
                </c:pt>
                <c:pt idx="3">
                  <c:v>3158025.9024923728</c:v>
                </c:pt>
                <c:pt idx="4">
                  <c:v>4500801.1910749236</c:v>
                </c:pt>
                <c:pt idx="5">
                  <c:v>4110221.2645936697</c:v>
                </c:pt>
                <c:pt idx="6">
                  <c:v>4259176.9817509372</c:v>
                </c:pt>
                <c:pt idx="7">
                  <c:v>2009640.1544891417</c:v>
                </c:pt>
                <c:pt idx="8">
                  <c:v>2222237.4702646215</c:v>
                </c:pt>
                <c:pt idx="9">
                  <c:v>2532743.8747246251</c:v>
                </c:pt>
                <c:pt idx="10">
                  <c:v>1852730.1844645019</c:v>
                </c:pt>
                <c:pt idx="11">
                  <c:v>1758839.4821045175</c:v>
                </c:pt>
                <c:pt idx="12">
                  <c:v>2375340.9491960937</c:v>
                </c:pt>
                <c:pt idx="13">
                  <c:v>2485375.9892984647</c:v>
                </c:pt>
                <c:pt idx="14">
                  <c:v>5433603.1230769819</c:v>
                </c:pt>
                <c:pt idx="15">
                  <c:v>3916619.5607652208</c:v>
                </c:pt>
                <c:pt idx="16">
                  <c:v>5890671.1113334885</c:v>
                </c:pt>
                <c:pt idx="17">
                  <c:v>6778894.4532912951</c:v>
                </c:pt>
                <c:pt idx="18">
                  <c:v>4496004.9261929411</c:v>
                </c:pt>
                <c:pt idx="19">
                  <c:v>2542408.0313404463</c:v>
                </c:pt>
                <c:pt idx="20">
                  <c:v>2900973.5563793778</c:v>
                </c:pt>
                <c:pt idx="21">
                  <c:v>2949172.2066761004</c:v>
                </c:pt>
                <c:pt idx="22">
                  <c:v>2345384.3176812418</c:v>
                </c:pt>
                <c:pt idx="23">
                  <c:v>2502127.9915483254</c:v>
                </c:pt>
                <c:pt idx="24">
                  <c:v>2643551.1870212546</c:v>
                </c:pt>
                <c:pt idx="25">
                  <c:v>2306272.4364213278</c:v>
                </c:pt>
                <c:pt idx="26">
                  <c:v>3898830.8811403029</c:v>
                </c:pt>
                <c:pt idx="27">
                  <c:v>4853572.3585318187</c:v>
                </c:pt>
                <c:pt idx="28">
                  <c:v>6991030.6470110817</c:v>
                </c:pt>
                <c:pt idx="29">
                  <c:v>6140130.9663574947</c:v>
                </c:pt>
                <c:pt idx="30">
                  <c:v>4814361.1713148011</c:v>
                </c:pt>
                <c:pt idx="31">
                  <c:v>3841776.1678357082</c:v>
                </c:pt>
                <c:pt idx="32">
                  <c:v>4374163.1948623955</c:v>
                </c:pt>
                <c:pt idx="33">
                  <c:v>4357443.9816535302</c:v>
                </c:pt>
                <c:pt idx="34">
                  <c:v>4833173.3349823048</c:v>
                </c:pt>
                <c:pt idx="35">
                  <c:v>3781055.952817406</c:v>
                </c:pt>
                <c:pt idx="36">
                  <c:v>4032656.886527366</c:v>
                </c:pt>
                <c:pt idx="37">
                  <c:v>3435746.1940935161</c:v>
                </c:pt>
                <c:pt idx="38">
                  <c:v>4735242.6950270245</c:v>
                </c:pt>
                <c:pt idx="39">
                  <c:v>6037296.4429668775</c:v>
                </c:pt>
                <c:pt idx="40">
                  <c:v>8129921.4906045105</c:v>
                </c:pt>
                <c:pt idx="41">
                  <c:v>6612027.0517714433</c:v>
                </c:pt>
                <c:pt idx="42">
                  <c:v>4759664.6737366663</c:v>
                </c:pt>
                <c:pt idx="43">
                  <c:v>4510134.313046311</c:v>
                </c:pt>
                <c:pt idx="44">
                  <c:v>3624554.3128952486</c:v>
                </c:pt>
                <c:pt idx="45">
                  <c:v>4690646.6356936488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80-40CB-AE26-C46BCE972D53}"/>
            </c:ext>
          </c:extLst>
        </c:ser>
        <c:ser>
          <c:idx val="0"/>
          <c:order val="1"/>
          <c:tx>
            <c:strRef>
              <c:f>'Embedded Distributor'!$Z$2</c:f>
              <c:strCache>
                <c:ptCount val="1"/>
                <c:pt idx="0">
                  <c:v>Predicted Purchases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'Embedded Distributor'!$T$3:$T$48</c:f>
              <c:numCache>
                <c:formatCode>mmm\-yy</c:formatCode>
                <c:ptCount val="46"/>
                <c:pt idx="0">
                  <c:v>42825</c:v>
                </c:pt>
                <c:pt idx="1">
                  <c:v>42855</c:v>
                </c:pt>
                <c:pt idx="2">
                  <c:v>42886</c:v>
                </c:pt>
                <c:pt idx="3">
                  <c:v>42916</c:v>
                </c:pt>
                <c:pt idx="4">
                  <c:v>42947</c:v>
                </c:pt>
                <c:pt idx="5">
                  <c:v>42978</c:v>
                </c:pt>
                <c:pt idx="6">
                  <c:v>43008</c:v>
                </c:pt>
                <c:pt idx="7">
                  <c:v>43039</c:v>
                </c:pt>
                <c:pt idx="8">
                  <c:v>43069</c:v>
                </c:pt>
                <c:pt idx="9">
                  <c:v>43100</c:v>
                </c:pt>
                <c:pt idx="10">
                  <c:v>43131</c:v>
                </c:pt>
                <c:pt idx="11">
                  <c:v>43159</c:v>
                </c:pt>
                <c:pt idx="12">
                  <c:v>43190</c:v>
                </c:pt>
                <c:pt idx="13">
                  <c:v>43220</c:v>
                </c:pt>
                <c:pt idx="14">
                  <c:v>43251</c:v>
                </c:pt>
                <c:pt idx="15">
                  <c:v>43281</c:v>
                </c:pt>
                <c:pt idx="16">
                  <c:v>43312</c:v>
                </c:pt>
                <c:pt idx="17">
                  <c:v>43343</c:v>
                </c:pt>
                <c:pt idx="18">
                  <c:v>43373</c:v>
                </c:pt>
                <c:pt idx="19">
                  <c:v>43404</c:v>
                </c:pt>
                <c:pt idx="20">
                  <c:v>43434</c:v>
                </c:pt>
                <c:pt idx="21">
                  <c:v>43465</c:v>
                </c:pt>
                <c:pt idx="22">
                  <c:v>43496</c:v>
                </c:pt>
                <c:pt idx="23">
                  <c:v>43524</c:v>
                </c:pt>
                <c:pt idx="24">
                  <c:v>43555</c:v>
                </c:pt>
                <c:pt idx="25">
                  <c:v>43585</c:v>
                </c:pt>
                <c:pt idx="26">
                  <c:v>43616</c:v>
                </c:pt>
                <c:pt idx="27">
                  <c:v>43646</c:v>
                </c:pt>
                <c:pt idx="28">
                  <c:v>43677</c:v>
                </c:pt>
                <c:pt idx="29">
                  <c:v>43708</c:v>
                </c:pt>
                <c:pt idx="30">
                  <c:v>43738</c:v>
                </c:pt>
                <c:pt idx="31">
                  <c:v>43769</c:v>
                </c:pt>
                <c:pt idx="32">
                  <c:v>43799</c:v>
                </c:pt>
                <c:pt idx="33">
                  <c:v>43830</c:v>
                </c:pt>
                <c:pt idx="34">
                  <c:v>43861</c:v>
                </c:pt>
                <c:pt idx="35">
                  <c:v>43890</c:v>
                </c:pt>
                <c:pt idx="36">
                  <c:v>43921</c:v>
                </c:pt>
                <c:pt idx="37">
                  <c:v>43951</c:v>
                </c:pt>
                <c:pt idx="38">
                  <c:v>43982</c:v>
                </c:pt>
                <c:pt idx="39">
                  <c:v>44012</c:v>
                </c:pt>
                <c:pt idx="40">
                  <c:v>44043</c:v>
                </c:pt>
                <c:pt idx="41">
                  <c:v>44074</c:v>
                </c:pt>
                <c:pt idx="42">
                  <c:v>44104</c:v>
                </c:pt>
                <c:pt idx="43">
                  <c:v>44135</c:v>
                </c:pt>
                <c:pt idx="44">
                  <c:v>44165</c:v>
                </c:pt>
                <c:pt idx="45">
                  <c:v>44196</c:v>
                </c:pt>
              </c:numCache>
            </c:numRef>
          </c:cat>
          <c:val>
            <c:numRef>
              <c:f>'Embedded Distributor'!$Z$3:$Z$48</c:f>
              <c:numCache>
                <c:formatCode>_(* #,##0_);_(* \(#,##0\);_(* "-"??_);_(@_)</c:formatCode>
                <c:ptCount val="46"/>
                <c:pt idx="0">
                  <c:v>1692846.4311693998</c:v>
                </c:pt>
                <c:pt idx="1">
                  <c:v>1830374.3430195539</c:v>
                </c:pt>
                <c:pt idx="2">
                  <c:v>3021502.6477934737</c:v>
                </c:pt>
                <c:pt idx="3">
                  <c:v>3659499.8095455579</c:v>
                </c:pt>
                <c:pt idx="4">
                  <c:v>4671475.0714404928</c:v>
                </c:pt>
                <c:pt idx="5">
                  <c:v>4235099.7138312068</c:v>
                </c:pt>
                <c:pt idx="6">
                  <c:v>3551039.7872973187</c:v>
                </c:pt>
                <c:pt idx="7">
                  <c:v>2708401.3257812178</c:v>
                </c:pt>
                <c:pt idx="8">
                  <c:v>2152714.498994837</c:v>
                </c:pt>
                <c:pt idx="9">
                  <c:v>2210198.0074730171</c:v>
                </c:pt>
                <c:pt idx="10">
                  <c:v>2267681.5159511967</c:v>
                </c:pt>
                <c:pt idx="11">
                  <c:v>2325165.0244293762</c:v>
                </c:pt>
                <c:pt idx="12">
                  <c:v>2382648.5329075558</c:v>
                </c:pt>
                <c:pt idx="13">
                  <c:v>2440132.0413857359</c:v>
                </c:pt>
                <c:pt idx="14">
                  <c:v>4264064.2143267756</c:v>
                </c:pt>
                <c:pt idx="15">
                  <c:v>4260195.8773413273</c:v>
                </c:pt>
                <c:pt idx="16">
                  <c:v>6196457.4574183086</c:v>
                </c:pt>
                <c:pt idx="17">
                  <c:v>6193530.0954270735</c:v>
                </c:pt>
                <c:pt idx="18">
                  <c:v>4556488.6872381661</c:v>
                </c:pt>
                <c:pt idx="19">
                  <c:v>3062923.0964141218</c:v>
                </c:pt>
                <c:pt idx="20">
                  <c:v>2842516.6007329933</c:v>
                </c:pt>
                <c:pt idx="21">
                  <c:v>2900000.1092111734</c:v>
                </c:pt>
                <c:pt idx="22">
                  <c:v>2957483.6176893529</c:v>
                </c:pt>
                <c:pt idx="23">
                  <c:v>3014967.126167533</c:v>
                </c:pt>
                <c:pt idx="24">
                  <c:v>3072450.6346457126</c:v>
                </c:pt>
                <c:pt idx="25">
                  <c:v>3129934.1431238921</c:v>
                </c:pt>
                <c:pt idx="26">
                  <c:v>4215343.4245763356</c:v>
                </c:pt>
                <c:pt idx="27">
                  <c:v>4371563.8943348378</c:v>
                </c:pt>
                <c:pt idx="28">
                  <c:v>6777519.9923115186</c:v>
                </c:pt>
                <c:pt idx="29">
                  <c:v>5895614.4649902973</c:v>
                </c:pt>
                <c:pt idx="30">
                  <c:v>4605935.5620005261</c:v>
                </c:pt>
                <c:pt idx="31">
                  <c:v>3577533.6737909755</c:v>
                </c:pt>
                <c:pt idx="32">
                  <c:v>3532318.7024711501</c:v>
                </c:pt>
                <c:pt idx="33">
                  <c:v>3589802.2109493297</c:v>
                </c:pt>
                <c:pt idx="34">
                  <c:v>3647285.7194275092</c:v>
                </c:pt>
                <c:pt idx="35">
                  <c:v>3704769.2279056888</c:v>
                </c:pt>
                <c:pt idx="36">
                  <c:v>3762252.7363838688</c:v>
                </c:pt>
                <c:pt idx="37">
                  <c:v>3819736.2448620484</c:v>
                </c:pt>
                <c:pt idx="38">
                  <c:v>5417127.6535427822</c:v>
                </c:pt>
                <c:pt idx="39">
                  <c:v>6079289.1634826334</c:v>
                </c:pt>
                <c:pt idx="40">
                  <c:v>8184701.1808739752</c:v>
                </c:pt>
                <c:pt idx="41">
                  <c:v>7141196.5750470702</c:v>
                </c:pt>
                <c:pt idx="42">
                  <c:v>5211162.4450815022</c:v>
                </c:pt>
                <c:pt idx="43">
                  <c:v>4252233.0579117779</c:v>
                </c:pt>
                <c:pt idx="44">
                  <c:v>4268939.228823103</c:v>
                </c:pt>
                <c:pt idx="45">
                  <c:v>4279604.3126874864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380-40CB-AE26-C46BCE972D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2411216"/>
        <c:axId val="122412880"/>
      </c:lineChart>
      <c:dateAx>
        <c:axId val="122411216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2412880"/>
        <c:crosses val="autoZero"/>
        <c:auto val="1"/>
        <c:lblOffset val="100"/>
        <c:baseTimeUnit val="months"/>
      </c:dateAx>
      <c:valAx>
        <c:axId val="1224128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24112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Purchases</a:t>
            </a:r>
            <a:r>
              <a:rPr lang="en-US" baseline="0"/>
              <a:t> (Actual and Weather-Normal)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'Embedded Distributor'!$V$2</c:f>
              <c:strCache>
                <c:ptCount val="1"/>
                <c:pt idx="0">
                  <c:v>Embedded Distributor Purchases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'Embedded Distributor'!$T$3:$T$48</c:f>
              <c:numCache>
                <c:formatCode>mmm\-yy</c:formatCode>
                <c:ptCount val="46"/>
                <c:pt idx="0">
                  <c:v>42825</c:v>
                </c:pt>
                <c:pt idx="1">
                  <c:v>42855</c:v>
                </c:pt>
                <c:pt idx="2">
                  <c:v>42886</c:v>
                </c:pt>
                <c:pt idx="3">
                  <c:v>42916</c:v>
                </c:pt>
                <c:pt idx="4">
                  <c:v>42947</c:v>
                </c:pt>
                <c:pt idx="5">
                  <c:v>42978</c:v>
                </c:pt>
                <c:pt idx="6">
                  <c:v>43008</c:v>
                </c:pt>
                <c:pt idx="7">
                  <c:v>43039</c:v>
                </c:pt>
                <c:pt idx="8">
                  <c:v>43069</c:v>
                </c:pt>
                <c:pt idx="9">
                  <c:v>43100</c:v>
                </c:pt>
                <c:pt idx="10">
                  <c:v>43131</c:v>
                </c:pt>
                <c:pt idx="11">
                  <c:v>43159</c:v>
                </c:pt>
                <c:pt idx="12">
                  <c:v>43190</c:v>
                </c:pt>
                <c:pt idx="13">
                  <c:v>43220</c:v>
                </c:pt>
                <c:pt idx="14">
                  <c:v>43251</c:v>
                </c:pt>
                <c:pt idx="15">
                  <c:v>43281</c:v>
                </c:pt>
                <c:pt idx="16">
                  <c:v>43312</c:v>
                </c:pt>
                <c:pt idx="17">
                  <c:v>43343</c:v>
                </c:pt>
                <c:pt idx="18">
                  <c:v>43373</c:v>
                </c:pt>
                <c:pt idx="19">
                  <c:v>43404</c:v>
                </c:pt>
                <c:pt idx="20">
                  <c:v>43434</c:v>
                </c:pt>
                <c:pt idx="21">
                  <c:v>43465</c:v>
                </c:pt>
                <c:pt idx="22">
                  <c:v>43496</c:v>
                </c:pt>
                <c:pt idx="23">
                  <c:v>43524</c:v>
                </c:pt>
                <c:pt idx="24">
                  <c:v>43555</c:v>
                </c:pt>
                <c:pt idx="25">
                  <c:v>43585</c:v>
                </c:pt>
                <c:pt idx="26">
                  <c:v>43616</c:v>
                </c:pt>
                <c:pt idx="27">
                  <c:v>43646</c:v>
                </c:pt>
                <c:pt idx="28">
                  <c:v>43677</c:v>
                </c:pt>
                <c:pt idx="29">
                  <c:v>43708</c:v>
                </c:pt>
                <c:pt idx="30">
                  <c:v>43738</c:v>
                </c:pt>
                <c:pt idx="31">
                  <c:v>43769</c:v>
                </c:pt>
                <c:pt idx="32">
                  <c:v>43799</c:v>
                </c:pt>
                <c:pt idx="33">
                  <c:v>43830</c:v>
                </c:pt>
                <c:pt idx="34">
                  <c:v>43861</c:v>
                </c:pt>
                <c:pt idx="35">
                  <c:v>43890</c:v>
                </c:pt>
                <c:pt idx="36">
                  <c:v>43921</c:v>
                </c:pt>
                <c:pt idx="37">
                  <c:v>43951</c:v>
                </c:pt>
                <c:pt idx="38">
                  <c:v>43982</c:v>
                </c:pt>
                <c:pt idx="39">
                  <c:v>44012</c:v>
                </c:pt>
                <c:pt idx="40">
                  <c:v>44043</c:v>
                </c:pt>
                <c:pt idx="41">
                  <c:v>44074</c:v>
                </c:pt>
                <c:pt idx="42">
                  <c:v>44104</c:v>
                </c:pt>
                <c:pt idx="43">
                  <c:v>44135</c:v>
                </c:pt>
                <c:pt idx="44">
                  <c:v>44165</c:v>
                </c:pt>
                <c:pt idx="45">
                  <c:v>44196</c:v>
                </c:pt>
              </c:numCache>
            </c:numRef>
          </c:cat>
          <c:val>
            <c:numRef>
              <c:f>'Embedded Distributor'!$V$3:$V$48</c:f>
              <c:numCache>
                <c:formatCode>#,##0</c:formatCode>
                <c:ptCount val="46"/>
                <c:pt idx="0">
                  <c:v>2413945.7550129993</c:v>
                </c:pt>
                <c:pt idx="1">
                  <c:v>2181294.6017022091</c:v>
                </c:pt>
                <c:pt idx="2">
                  <c:v>2595303.9357047086</c:v>
                </c:pt>
                <c:pt idx="3">
                  <c:v>3158025.9024923728</c:v>
                </c:pt>
                <c:pt idx="4">
                  <c:v>4500801.1910749236</c:v>
                </c:pt>
                <c:pt idx="5">
                  <c:v>4110221.2645936697</c:v>
                </c:pt>
                <c:pt idx="6">
                  <c:v>4259176.9817509372</c:v>
                </c:pt>
                <c:pt idx="7">
                  <c:v>2009640.1544891417</c:v>
                </c:pt>
                <c:pt idx="8">
                  <c:v>2222237.4702646215</c:v>
                </c:pt>
                <c:pt idx="9">
                  <c:v>2532743.8747246251</c:v>
                </c:pt>
                <c:pt idx="10">
                  <c:v>1852730.1844645019</c:v>
                </c:pt>
                <c:pt idx="11">
                  <c:v>1758839.4821045175</c:v>
                </c:pt>
                <c:pt idx="12">
                  <c:v>2375340.9491960937</c:v>
                </c:pt>
                <c:pt idx="13">
                  <c:v>2485375.9892984647</c:v>
                </c:pt>
                <c:pt idx="14">
                  <c:v>5433603.1230769819</c:v>
                </c:pt>
                <c:pt idx="15">
                  <c:v>3916619.5607652208</c:v>
                </c:pt>
                <c:pt idx="16">
                  <c:v>5890671.1113334885</c:v>
                </c:pt>
                <c:pt idx="17">
                  <c:v>6778894.4532912951</c:v>
                </c:pt>
                <c:pt idx="18">
                  <c:v>4496004.9261929411</c:v>
                </c:pt>
                <c:pt idx="19">
                  <c:v>2542408.0313404463</c:v>
                </c:pt>
                <c:pt idx="20">
                  <c:v>2900973.5563793778</c:v>
                </c:pt>
                <c:pt idx="21">
                  <c:v>2949172.2066761004</c:v>
                </c:pt>
                <c:pt idx="22">
                  <c:v>2345384.3176812418</c:v>
                </c:pt>
                <c:pt idx="23">
                  <c:v>2502127.9915483254</c:v>
                </c:pt>
                <c:pt idx="24">
                  <c:v>2643551.1870212546</c:v>
                </c:pt>
                <c:pt idx="25">
                  <c:v>2306272.4364213278</c:v>
                </c:pt>
                <c:pt idx="26">
                  <c:v>3898830.8811403029</c:v>
                </c:pt>
                <c:pt idx="27">
                  <c:v>4853572.3585318187</c:v>
                </c:pt>
                <c:pt idx="28">
                  <c:v>6991030.6470110817</c:v>
                </c:pt>
                <c:pt idx="29">
                  <c:v>6140130.9663574947</c:v>
                </c:pt>
                <c:pt idx="30">
                  <c:v>4814361.1713148011</c:v>
                </c:pt>
                <c:pt idx="31">
                  <c:v>3841776.1678357082</c:v>
                </c:pt>
                <c:pt idx="32">
                  <c:v>4374163.1948623955</c:v>
                </c:pt>
                <c:pt idx="33">
                  <c:v>4357443.9816535302</c:v>
                </c:pt>
                <c:pt idx="34">
                  <c:v>4833173.3349823048</c:v>
                </c:pt>
                <c:pt idx="35">
                  <c:v>3781055.952817406</c:v>
                </c:pt>
                <c:pt idx="36">
                  <c:v>4032656.886527366</c:v>
                </c:pt>
                <c:pt idx="37">
                  <c:v>3435746.1940935161</c:v>
                </c:pt>
                <c:pt idx="38">
                  <c:v>4735242.6950270245</c:v>
                </c:pt>
                <c:pt idx="39">
                  <c:v>6037296.4429668775</c:v>
                </c:pt>
                <c:pt idx="40">
                  <c:v>8129921.4906045105</c:v>
                </c:pt>
                <c:pt idx="41">
                  <c:v>6612027.0517714433</c:v>
                </c:pt>
                <c:pt idx="42">
                  <c:v>4759664.6737366663</c:v>
                </c:pt>
                <c:pt idx="43">
                  <c:v>4510134.313046311</c:v>
                </c:pt>
                <c:pt idx="44">
                  <c:v>3624554.3128952486</c:v>
                </c:pt>
                <c:pt idx="45">
                  <c:v>4690646.6356936488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3C-41AB-B06F-A0C3D154B7F2}"/>
            </c:ext>
          </c:extLst>
        </c:ser>
        <c:ser>
          <c:idx val="0"/>
          <c:order val="1"/>
          <c:tx>
            <c:strRef>
              <c:f>'Embedded Distributor'!$AP$2</c:f>
              <c:strCache>
                <c:ptCount val="1"/>
                <c:pt idx="0">
                  <c:v>Weather Normal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'Embedded Distributor'!$T$3:$T$48</c:f>
              <c:numCache>
                <c:formatCode>mmm\-yy</c:formatCode>
                <c:ptCount val="46"/>
                <c:pt idx="0">
                  <c:v>42825</c:v>
                </c:pt>
                <c:pt idx="1">
                  <c:v>42855</c:v>
                </c:pt>
                <c:pt idx="2">
                  <c:v>42886</c:v>
                </c:pt>
                <c:pt idx="3">
                  <c:v>42916</c:v>
                </c:pt>
                <c:pt idx="4">
                  <c:v>42947</c:v>
                </c:pt>
                <c:pt idx="5">
                  <c:v>42978</c:v>
                </c:pt>
                <c:pt idx="6">
                  <c:v>43008</c:v>
                </c:pt>
                <c:pt idx="7">
                  <c:v>43039</c:v>
                </c:pt>
                <c:pt idx="8">
                  <c:v>43069</c:v>
                </c:pt>
                <c:pt idx="9">
                  <c:v>43100</c:v>
                </c:pt>
                <c:pt idx="10">
                  <c:v>43131</c:v>
                </c:pt>
                <c:pt idx="11">
                  <c:v>43159</c:v>
                </c:pt>
                <c:pt idx="12">
                  <c:v>43190</c:v>
                </c:pt>
                <c:pt idx="13">
                  <c:v>43220</c:v>
                </c:pt>
                <c:pt idx="14">
                  <c:v>43251</c:v>
                </c:pt>
                <c:pt idx="15">
                  <c:v>43281</c:v>
                </c:pt>
                <c:pt idx="16">
                  <c:v>43312</c:v>
                </c:pt>
                <c:pt idx="17">
                  <c:v>43343</c:v>
                </c:pt>
                <c:pt idx="18">
                  <c:v>43373</c:v>
                </c:pt>
                <c:pt idx="19">
                  <c:v>43404</c:v>
                </c:pt>
                <c:pt idx="20">
                  <c:v>43434</c:v>
                </c:pt>
                <c:pt idx="21">
                  <c:v>43465</c:v>
                </c:pt>
                <c:pt idx="22">
                  <c:v>43496</c:v>
                </c:pt>
                <c:pt idx="23">
                  <c:v>43524</c:v>
                </c:pt>
                <c:pt idx="24">
                  <c:v>43555</c:v>
                </c:pt>
                <c:pt idx="25">
                  <c:v>43585</c:v>
                </c:pt>
                <c:pt idx="26">
                  <c:v>43616</c:v>
                </c:pt>
                <c:pt idx="27">
                  <c:v>43646</c:v>
                </c:pt>
                <c:pt idx="28">
                  <c:v>43677</c:v>
                </c:pt>
                <c:pt idx="29">
                  <c:v>43708</c:v>
                </c:pt>
                <c:pt idx="30">
                  <c:v>43738</c:v>
                </c:pt>
                <c:pt idx="31">
                  <c:v>43769</c:v>
                </c:pt>
                <c:pt idx="32">
                  <c:v>43799</c:v>
                </c:pt>
                <c:pt idx="33">
                  <c:v>43830</c:v>
                </c:pt>
                <c:pt idx="34">
                  <c:v>43861</c:v>
                </c:pt>
                <c:pt idx="35">
                  <c:v>43890</c:v>
                </c:pt>
                <c:pt idx="36">
                  <c:v>43921</c:v>
                </c:pt>
                <c:pt idx="37">
                  <c:v>43951</c:v>
                </c:pt>
                <c:pt idx="38">
                  <c:v>43982</c:v>
                </c:pt>
                <c:pt idx="39">
                  <c:v>44012</c:v>
                </c:pt>
                <c:pt idx="40">
                  <c:v>44043</c:v>
                </c:pt>
                <c:pt idx="41">
                  <c:v>44074</c:v>
                </c:pt>
                <c:pt idx="42">
                  <c:v>44104</c:v>
                </c:pt>
                <c:pt idx="43">
                  <c:v>44135</c:v>
                </c:pt>
                <c:pt idx="44">
                  <c:v>44165</c:v>
                </c:pt>
                <c:pt idx="45">
                  <c:v>44196</c:v>
                </c:pt>
              </c:numCache>
            </c:numRef>
          </c:cat>
          <c:val>
            <c:numRef>
              <c:f>'Embedded Distributor'!$AP$3:$AP$48</c:f>
              <c:numCache>
                <c:formatCode>_(* #,##0_);_(* \(#,##0\);_(* "-"??_);_(@_)</c:formatCode>
                <c:ptCount val="46"/>
                <c:pt idx="0">
                  <c:v>2417872.461593511</c:v>
                </c:pt>
                <c:pt idx="1">
                  <c:v>2120279.6225280999</c:v>
                </c:pt>
                <c:pt idx="2">
                  <c:v>2907477.1088554095</c:v>
                </c:pt>
                <c:pt idx="3">
                  <c:v>3109999.2604691884</c:v>
                </c:pt>
                <c:pt idx="4">
                  <c:v>5148254.6953308759</c:v>
                </c:pt>
                <c:pt idx="5">
                  <c:v>4665850.2457361119</c:v>
                </c:pt>
                <c:pt idx="6">
                  <c:v>4116909.3817954655</c:v>
                </c:pt>
                <c:pt idx="7">
                  <c:v>1618630.7953758542</c:v>
                </c:pt>
                <c:pt idx="8">
                  <c:v>2230392.9377779923</c:v>
                </c:pt>
                <c:pt idx="9">
                  <c:v>2532743.8747246251</c:v>
                </c:pt>
                <c:pt idx="10">
                  <c:v>1852730.1844645019</c:v>
                </c:pt>
                <c:pt idx="11">
                  <c:v>1758839.4821045175</c:v>
                </c:pt>
                <c:pt idx="12">
                  <c:v>2379267.6557766055</c:v>
                </c:pt>
                <c:pt idx="13">
                  <c:v>2504405.4134963304</c:v>
                </c:pt>
                <c:pt idx="14">
                  <c:v>5193016.8314325372</c:v>
                </c:pt>
                <c:pt idx="15">
                  <c:v>3957698.9526844234</c:v>
                </c:pt>
                <c:pt idx="16">
                  <c:v>5702944.3313497817</c:v>
                </c:pt>
                <c:pt idx="17">
                  <c:v>6065895.1545760259</c:v>
                </c:pt>
                <c:pt idx="18">
                  <c:v>4038090.5280347774</c:v>
                </c:pt>
                <c:pt idx="19">
                  <c:v>2486679.0033324114</c:v>
                </c:pt>
                <c:pt idx="20">
                  <c:v>2909129.0238927486</c:v>
                </c:pt>
                <c:pt idx="21">
                  <c:v>2949172.2066761004</c:v>
                </c:pt>
                <c:pt idx="22">
                  <c:v>2345384.3176812418</c:v>
                </c:pt>
                <c:pt idx="23">
                  <c:v>2502127.9915483254</c:v>
                </c:pt>
                <c:pt idx="24">
                  <c:v>2647477.8936017663</c:v>
                </c:pt>
                <c:pt idx="25">
                  <c:v>2325301.8606191934</c:v>
                </c:pt>
                <c:pt idx="26">
                  <c:v>4396767.480984454</c:v>
                </c:pt>
                <c:pt idx="27">
                  <c:v>5473085.8351956671</c:v>
                </c:pt>
                <c:pt idx="28">
                  <c:v>6912043.4338723216</c:v>
                </c:pt>
                <c:pt idx="29">
                  <c:v>6414849.3998171575</c:v>
                </c:pt>
                <c:pt idx="30">
                  <c:v>4996802.0001324341</c:v>
                </c:pt>
                <c:pt idx="31">
                  <c:v>3961238.6641889759</c:v>
                </c:pt>
                <c:pt idx="32">
                  <c:v>4382318.6623757668</c:v>
                </c:pt>
                <c:pt idx="33">
                  <c:v>4357443.9816535302</c:v>
                </c:pt>
                <c:pt idx="34">
                  <c:v>4833173.3349823048</c:v>
                </c:pt>
                <c:pt idx="35">
                  <c:v>3781055.952817406</c:v>
                </c:pt>
                <c:pt idx="36">
                  <c:v>4036583.5931078778</c:v>
                </c:pt>
                <c:pt idx="37">
                  <c:v>3454775.6182913817</c:v>
                </c:pt>
                <c:pt idx="38">
                  <c:v>4721197.1676428858</c:v>
                </c:pt>
                <c:pt idx="39">
                  <c:v>5638886.752221087</c:v>
                </c:pt>
                <c:pt idx="40">
                  <c:v>7333555.1906414498</c:v>
                </c:pt>
                <c:pt idx="41">
                  <c:v>6330965.476912491</c:v>
                </c:pt>
                <c:pt idx="42">
                  <c:v>5026680.72121148</c:v>
                </c:pt>
                <c:pt idx="43">
                  <c:v>4644699.5270169321</c:v>
                </c:pt>
                <c:pt idx="44">
                  <c:v>3585891.3557948233</c:v>
                </c:pt>
                <c:pt idx="45">
                  <c:v>4690646.6356936488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3C-41AB-B06F-A0C3D154B7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2411216"/>
        <c:axId val="122412880"/>
      </c:lineChart>
      <c:dateAx>
        <c:axId val="122411216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2412880"/>
        <c:crosses val="autoZero"/>
        <c:auto val="1"/>
        <c:lblOffset val="100"/>
        <c:baseTimeUnit val="months"/>
      </c:dateAx>
      <c:valAx>
        <c:axId val="1224128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24112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0" i="0" baseline="0">
                <a:effectLst/>
              </a:rPr>
              <a:t>Purchases vs Temperatures (July 2017-2020)</a:t>
            </a:r>
            <a:endParaRPr lang="en-US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Weather!$C$200:$C$241</c:f>
              <c:numCache>
                <c:formatCode>0</c:formatCode>
                <c:ptCount val="42"/>
                <c:pt idx="0">
                  <c:v>21.87096774193548</c:v>
                </c:pt>
                <c:pt idx="1">
                  <c:v>20.816129032258058</c:v>
                </c:pt>
                <c:pt idx="2">
                  <c:v>18.726666666666667</c:v>
                </c:pt>
                <c:pt idx="3">
                  <c:v>14.403225806451617</c:v>
                </c:pt>
                <c:pt idx="4">
                  <c:v>4.3099999999999996</c:v>
                </c:pt>
                <c:pt idx="5">
                  <c:v>-3.7838709677419349</c:v>
                </c:pt>
                <c:pt idx="6">
                  <c:v>-4.5354838709677407</c:v>
                </c:pt>
                <c:pt idx="7">
                  <c:v>-0.49642857142857139</c:v>
                </c:pt>
                <c:pt idx="8">
                  <c:v>0.38387096774193546</c:v>
                </c:pt>
                <c:pt idx="9">
                  <c:v>3.8099999999999996</c:v>
                </c:pt>
                <c:pt idx="10">
                  <c:v>16.380645161290328</c:v>
                </c:pt>
                <c:pt idx="11">
                  <c:v>19.593333333333337</c:v>
                </c:pt>
                <c:pt idx="12">
                  <c:v>23.654838709677414</c:v>
                </c:pt>
                <c:pt idx="13">
                  <c:v>23.525806451612898</c:v>
                </c:pt>
                <c:pt idx="14">
                  <c:v>19.326666666666664</c:v>
                </c:pt>
                <c:pt idx="15">
                  <c:v>10.529032258064522</c:v>
                </c:pt>
                <c:pt idx="16">
                  <c:v>2.1866666666666665</c:v>
                </c:pt>
                <c:pt idx="17">
                  <c:v>0.57741935483870965</c:v>
                </c:pt>
                <c:pt idx="18">
                  <c:v>-5.3290322580645162</c:v>
                </c:pt>
                <c:pt idx="19">
                  <c:v>-2.8142857142857141</c:v>
                </c:pt>
                <c:pt idx="20">
                  <c:v>0.3225806451612902</c:v>
                </c:pt>
                <c:pt idx="21">
                  <c:v>6.6400000000000006</c:v>
                </c:pt>
                <c:pt idx="22">
                  <c:v>12.232258064516133</c:v>
                </c:pt>
                <c:pt idx="23">
                  <c:v>18.116666666666667</c:v>
                </c:pt>
                <c:pt idx="24">
                  <c:v>23.422580645161286</c:v>
                </c:pt>
                <c:pt idx="25">
                  <c:v>21.416129032258059</c:v>
                </c:pt>
                <c:pt idx="26">
                  <c:v>18.566666666666666</c:v>
                </c:pt>
                <c:pt idx="27">
                  <c:v>11.461290322580648</c:v>
                </c:pt>
                <c:pt idx="28">
                  <c:v>1.8266666666666667</c:v>
                </c:pt>
                <c:pt idx="29">
                  <c:v>7.4193548387096936E-2</c:v>
                </c:pt>
                <c:pt idx="30">
                  <c:v>-0.43548387096774183</c:v>
                </c:pt>
                <c:pt idx="31">
                  <c:v>-1.4551724137931032</c:v>
                </c:pt>
                <c:pt idx="32">
                  <c:v>3.7258064516129021</c:v>
                </c:pt>
                <c:pt idx="33">
                  <c:v>6.3566666666666682</c:v>
                </c:pt>
                <c:pt idx="34">
                  <c:v>12.483870967741939</c:v>
                </c:pt>
                <c:pt idx="35">
                  <c:v>20.48</c:v>
                </c:pt>
                <c:pt idx="36">
                  <c:v>24.954838709677418</c:v>
                </c:pt>
                <c:pt idx="37">
                  <c:v>22.603225806451611</c:v>
                </c:pt>
                <c:pt idx="38">
                  <c:v>17.706666666666667</c:v>
                </c:pt>
                <c:pt idx="39">
                  <c:v>10.632258064516131</c:v>
                </c:pt>
                <c:pt idx="40">
                  <c:v>7.7066666666666697</c:v>
                </c:pt>
                <c:pt idx="41">
                  <c:v>0.64838709677419371</c:v>
                </c:pt>
              </c:numCache>
            </c:numRef>
          </c:xVal>
          <c:yVal>
            <c:numRef>
              <c:f>Weather!$P$200:$P$241</c:f>
              <c:numCache>
                <c:formatCode>_(* #,##0_);_(* \(#,##0\);_(* "-"??_);_(@_)</c:formatCode>
                <c:ptCount val="42"/>
                <c:pt idx="0">
                  <c:v>22363391.152751956</c:v>
                </c:pt>
                <c:pt idx="1">
                  <c:v>21211440.486327328</c:v>
                </c:pt>
                <c:pt idx="2">
                  <c:v>19533578.176179972</c:v>
                </c:pt>
                <c:pt idx="3">
                  <c:v>15916473.155721987</c:v>
                </c:pt>
                <c:pt idx="4">
                  <c:v>16479806.154822662</c:v>
                </c:pt>
                <c:pt idx="5">
                  <c:v>18908989.901477978</c:v>
                </c:pt>
                <c:pt idx="6">
                  <c:v>18920116.782666825</c:v>
                </c:pt>
                <c:pt idx="7">
                  <c:v>16165609.621245151</c:v>
                </c:pt>
                <c:pt idx="8">
                  <c:v>17475012.52885266</c:v>
                </c:pt>
                <c:pt idx="9">
                  <c:v>16622054.862042977</c:v>
                </c:pt>
                <c:pt idx="10">
                  <c:v>19779671.223524317</c:v>
                </c:pt>
                <c:pt idx="11">
                  <c:v>19936672.391649656</c:v>
                </c:pt>
                <c:pt idx="12">
                  <c:v>26519724.751660287</c:v>
                </c:pt>
                <c:pt idx="13">
                  <c:v>26948242.609250635</c:v>
                </c:pt>
                <c:pt idx="14">
                  <c:v>21215817.727722466</c:v>
                </c:pt>
                <c:pt idx="15">
                  <c:v>17077098.534574993</c:v>
                </c:pt>
                <c:pt idx="16">
                  <c:v>17872678.440282173</c:v>
                </c:pt>
                <c:pt idx="17">
                  <c:v>19117837.684365984</c:v>
                </c:pt>
                <c:pt idx="18">
                  <c:v>19470279.931793816</c:v>
                </c:pt>
                <c:pt idx="19">
                  <c:v>17623038.944653146</c:v>
                </c:pt>
                <c:pt idx="20">
                  <c:v>18298309.582286663</c:v>
                </c:pt>
                <c:pt idx="21">
                  <c:v>16030754.75111879</c:v>
                </c:pt>
                <c:pt idx="22">
                  <c:v>17509709.360292483</c:v>
                </c:pt>
                <c:pt idx="23">
                  <c:v>19696522.675138813</c:v>
                </c:pt>
                <c:pt idx="24">
                  <c:v>27560108.31326063</c:v>
                </c:pt>
                <c:pt idx="25">
                  <c:v>24718341.509218462</c:v>
                </c:pt>
                <c:pt idx="26">
                  <c:v>20237615.335729983</c:v>
                </c:pt>
                <c:pt idx="27">
                  <c:v>18098714.600466475</c:v>
                </c:pt>
                <c:pt idx="28">
                  <c:v>19512627.908904467</c:v>
                </c:pt>
                <c:pt idx="29">
                  <c:v>20791848.943550967</c:v>
                </c:pt>
                <c:pt idx="30">
                  <c:v>21239209.767112821</c:v>
                </c:pt>
                <c:pt idx="31">
                  <c:v>19035160.954744305</c:v>
                </c:pt>
                <c:pt idx="32">
                  <c:v>19087245.664711308</c:v>
                </c:pt>
                <c:pt idx="33">
                  <c:v>17079543.476648476</c:v>
                </c:pt>
                <c:pt idx="34">
                  <c:v>19158490.866862137</c:v>
                </c:pt>
                <c:pt idx="35">
                  <c:v>23659036.820064977</c:v>
                </c:pt>
                <c:pt idx="36">
                  <c:v>31068671.938821949</c:v>
                </c:pt>
                <c:pt idx="37">
                  <c:v>26721444.06371244</c:v>
                </c:pt>
                <c:pt idx="38">
                  <c:v>20324132.402995322</c:v>
                </c:pt>
                <c:pt idx="39">
                  <c:v>19166451.094120812</c:v>
                </c:pt>
                <c:pt idx="40">
                  <c:v>18736074.894379988</c:v>
                </c:pt>
                <c:pt idx="41">
                  <c:v>22275090.071478143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66B-457D-843D-CD4F380D41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99280136"/>
        <c:axId val="899274888"/>
      </c:scatterChart>
      <c:valAx>
        <c:axId val="899280136"/>
        <c:scaling>
          <c:orientation val="minMax"/>
          <c:min val="-14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cross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99274888"/>
        <c:crosses val="autoZero"/>
        <c:crossBetween val="midCat"/>
        <c:majorUnit val="2"/>
      </c:valAx>
      <c:valAx>
        <c:axId val="899274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9928013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0" i="0" baseline="0">
                <a:effectLst/>
              </a:rPr>
              <a:t>Purchases vs Temperatures (2011-Mar 2017)</a:t>
            </a:r>
            <a:endParaRPr lang="en-US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Weather!$C$122:$C$196</c:f>
              <c:numCache>
                <c:formatCode>0</c:formatCode>
                <c:ptCount val="75"/>
                <c:pt idx="0">
                  <c:v>-5.9677419354838701</c:v>
                </c:pt>
                <c:pt idx="1">
                  <c:v>-3.8107142857142859</c:v>
                </c:pt>
                <c:pt idx="2">
                  <c:v>0.30322580645161273</c:v>
                </c:pt>
                <c:pt idx="3">
                  <c:v>6.8466666666666667</c:v>
                </c:pt>
                <c:pt idx="4">
                  <c:v>13.251612903225809</c:v>
                </c:pt>
                <c:pt idx="5">
                  <c:v>19.743333333333332</c:v>
                </c:pt>
                <c:pt idx="6">
                  <c:v>24.748387096774191</c:v>
                </c:pt>
                <c:pt idx="7">
                  <c:v>22.074193548387104</c:v>
                </c:pt>
                <c:pt idx="8">
                  <c:v>18.119999999999997</c:v>
                </c:pt>
                <c:pt idx="9">
                  <c:v>11.393548387096775</c:v>
                </c:pt>
                <c:pt idx="10">
                  <c:v>7.7799999999999994</c:v>
                </c:pt>
                <c:pt idx="11">
                  <c:v>1.6870967741935483</c:v>
                </c:pt>
                <c:pt idx="12">
                  <c:v>-0.79354838709677411</c:v>
                </c:pt>
                <c:pt idx="13">
                  <c:v>0.38275862068965522</c:v>
                </c:pt>
                <c:pt idx="14">
                  <c:v>6.9935483870967747</c:v>
                </c:pt>
                <c:pt idx="15">
                  <c:v>7.9733333333333354</c:v>
                </c:pt>
                <c:pt idx="16">
                  <c:v>16.677419354838712</c:v>
                </c:pt>
                <c:pt idx="17">
                  <c:v>21.043333333333333</c:v>
                </c:pt>
                <c:pt idx="18">
                  <c:v>24.616129032258058</c:v>
                </c:pt>
                <c:pt idx="19">
                  <c:v>22.248387096774191</c:v>
                </c:pt>
                <c:pt idx="20">
                  <c:v>17.213333333333335</c:v>
                </c:pt>
                <c:pt idx="21">
                  <c:v>10.916129032258064</c:v>
                </c:pt>
                <c:pt idx="22">
                  <c:v>4.3533333333333335</c:v>
                </c:pt>
                <c:pt idx="23">
                  <c:v>2.0774193548387103</c:v>
                </c:pt>
                <c:pt idx="24">
                  <c:v>-1.7516129032258065</c:v>
                </c:pt>
                <c:pt idx="25">
                  <c:v>-3.089285714285714</c:v>
                </c:pt>
                <c:pt idx="26">
                  <c:v>1.0580645161290323</c:v>
                </c:pt>
                <c:pt idx="27">
                  <c:v>6.666666666666667</c:v>
                </c:pt>
                <c:pt idx="28">
                  <c:v>15.122580645161291</c:v>
                </c:pt>
                <c:pt idx="29">
                  <c:v>19.133333333333336</c:v>
                </c:pt>
                <c:pt idx="30">
                  <c:v>22.548387096774199</c:v>
                </c:pt>
                <c:pt idx="31">
                  <c:v>20.977419354838705</c:v>
                </c:pt>
                <c:pt idx="32">
                  <c:v>16.673333333333336</c:v>
                </c:pt>
                <c:pt idx="33">
                  <c:v>11.903225806451612</c:v>
                </c:pt>
                <c:pt idx="34">
                  <c:v>3.26</c:v>
                </c:pt>
                <c:pt idx="35">
                  <c:v>-2.6354838709677422</c:v>
                </c:pt>
                <c:pt idx="36">
                  <c:v>-7.1451612903225783</c:v>
                </c:pt>
                <c:pt idx="37">
                  <c:v>-6.3964285714285722</c:v>
                </c:pt>
                <c:pt idx="38">
                  <c:v>-2.8999999999999995</c:v>
                </c:pt>
                <c:pt idx="39">
                  <c:v>6.943333333333336</c:v>
                </c:pt>
                <c:pt idx="40">
                  <c:v>14.203225806451613</c:v>
                </c:pt>
                <c:pt idx="41">
                  <c:v>19.976666666666667</c:v>
                </c:pt>
                <c:pt idx="42">
                  <c:v>20.835483870967746</c:v>
                </c:pt>
                <c:pt idx="43">
                  <c:v>20.732258064516131</c:v>
                </c:pt>
                <c:pt idx="44">
                  <c:v>17.43</c:v>
                </c:pt>
                <c:pt idx="45">
                  <c:v>11.725806451612906</c:v>
                </c:pt>
                <c:pt idx="46">
                  <c:v>2.9366666666666665</c:v>
                </c:pt>
                <c:pt idx="47">
                  <c:v>0.76129032258064544</c:v>
                </c:pt>
                <c:pt idx="48">
                  <c:v>-6.4806451612903224</c:v>
                </c:pt>
                <c:pt idx="49">
                  <c:v>-11.107142857142858</c:v>
                </c:pt>
                <c:pt idx="50">
                  <c:v>-0.75483870967741939</c:v>
                </c:pt>
                <c:pt idx="51">
                  <c:v>8.0066666666666659</c:v>
                </c:pt>
                <c:pt idx="52">
                  <c:v>16.56774193548387</c:v>
                </c:pt>
                <c:pt idx="53">
                  <c:v>17.95</c:v>
                </c:pt>
                <c:pt idx="54">
                  <c:v>22.048387096774196</c:v>
                </c:pt>
                <c:pt idx="55">
                  <c:v>21.21935483870968</c:v>
                </c:pt>
                <c:pt idx="56">
                  <c:v>20.309999999999999</c:v>
                </c:pt>
                <c:pt idx="57">
                  <c:v>11.338709677419354</c:v>
                </c:pt>
                <c:pt idx="58">
                  <c:v>7.8766666666666652</c:v>
                </c:pt>
                <c:pt idx="59">
                  <c:v>5.0709677419354833</c:v>
                </c:pt>
                <c:pt idx="60">
                  <c:v>-2.5677419354838702</c:v>
                </c:pt>
                <c:pt idx="61">
                  <c:v>-0.98620689655172389</c:v>
                </c:pt>
                <c:pt idx="62">
                  <c:v>4.0129032258064514</c:v>
                </c:pt>
                <c:pt idx="63">
                  <c:v>5.4000000000000012</c:v>
                </c:pt>
                <c:pt idx="64">
                  <c:v>15.135483870967743</c:v>
                </c:pt>
                <c:pt idx="65">
                  <c:v>19.956666666666667</c:v>
                </c:pt>
                <c:pt idx="66">
                  <c:v>23.838709677419349</c:v>
                </c:pt>
                <c:pt idx="67">
                  <c:v>24.412903225806449</c:v>
                </c:pt>
                <c:pt idx="68">
                  <c:v>19.709999999999997</c:v>
                </c:pt>
                <c:pt idx="69">
                  <c:v>12.945161290322584</c:v>
                </c:pt>
                <c:pt idx="70">
                  <c:v>7.6000000000000023</c:v>
                </c:pt>
                <c:pt idx="71">
                  <c:v>-1.0645161290322585</c:v>
                </c:pt>
                <c:pt idx="72">
                  <c:v>-0.90645161290322607</c:v>
                </c:pt>
                <c:pt idx="73">
                  <c:v>1.1678571428571429</c:v>
                </c:pt>
                <c:pt idx="74">
                  <c:v>0.56129032258064526</c:v>
                </c:pt>
              </c:numCache>
            </c:numRef>
          </c:xVal>
          <c:yVal>
            <c:numRef>
              <c:f>Weather!$P$122:$P$196</c:f>
              <c:numCache>
                <c:formatCode>_(* #,##0_);_(* \(#,##0\);_(* "-"??_);_(@_)</c:formatCode>
                <c:ptCount val="75"/>
                <c:pt idx="0">
                  <c:v>16972495.279649999</c:v>
                </c:pt>
                <c:pt idx="1">
                  <c:v>15034235.442599999</c:v>
                </c:pt>
                <c:pt idx="2">
                  <c:v>15600132.157400001</c:v>
                </c:pt>
                <c:pt idx="3">
                  <c:v>13905160.764599999</c:v>
                </c:pt>
                <c:pt idx="4">
                  <c:v>13964088.668949999</c:v>
                </c:pt>
                <c:pt idx="5">
                  <c:v>15635949.933149999</c:v>
                </c:pt>
                <c:pt idx="6">
                  <c:v>20776403.369124997</c:v>
                </c:pt>
                <c:pt idx="7">
                  <c:v>18292832.774299998</c:v>
                </c:pt>
                <c:pt idx="8">
                  <c:v>15179291.59935</c:v>
                </c:pt>
                <c:pt idx="9">
                  <c:v>14464910.0175</c:v>
                </c:pt>
                <c:pt idx="10">
                  <c:v>14415495.62755</c:v>
                </c:pt>
                <c:pt idx="11">
                  <c:v>16232068.276699999</c:v>
                </c:pt>
                <c:pt idx="12">
                  <c:v>16429520.481299998</c:v>
                </c:pt>
                <c:pt idx="13">
                  <c:v>14922709.590399999</c:v>
                </c:pt>
                <c:pt idx="14">
                  <c:v>14512774.780449999</c:v>
                </c:pt>
                <c:pt idx="15">
                  <c:v>13420400.940308001</c:v>
                </c:pt>
                <c:pt idx="16">
                  <c:v>14603680.867724</c:v>
                </c:pt>
                <c:pt idx="17">
                  <c:v>17157940.412751999</c:v>
                </c:pt>
                <c:pt idx="18">
                  <c:v>20944843.982699998</c:v>
                </c:pt>
                <c:pt idx="19">
                  <c:v>18739592.12965</c:v>
                </c:pt>
                <c:pt idx="20">
                  <c:v>15430254.123528</c:v>
                </c:pt>
                <c:pt idx="21">
                  <c:v>14418668.859476</c:v>
                </c:pt>
                <c:pt idx="22">
                  <c:v>14689598.23167</c:v>
                </c:pt>
                <c:pt idx="23">
                  <c:v>16182826.210109999</c:v>
                </c:pt>
                <c:pt idx="24">
                  <c:v>16622084.10345</c:v>
                </c:pt>
                <c:pt idx="25">
                  <c:v>15003411.894210001</c:v>
                </c:pt>
                <c:pt idx="26">
                  <c:v>15405740.23608</c:v>
                </c:pt>
                <c:pt idx="27">
                  <c:v>13953064.21022</c:v>
                </c:pt>
                <c:pt idx="28">
                  <c:v>14135961.105699999</c:v>
                </c:pt>
                <c:pt idx="29">
                  <c:v>15880216.29284</c:v>
                </c:pt>
                <c:pt idx="30">
                  <c:v>19373764.10244</c:v>
                </c:pt>
                <c:pt idx="31">
                  <c:v>17518528.28576</c:v>
                </c:pt>
                <c:pt idx="32">
                  <c:v>15118315.780299999</c:v>
                </c:pt>
                <c:pt idx="33">
                  <c:v>14697969.943470001</c:v>
                </c:pt>
                <c:pt idx="34">
                  <c:v>15084391.12145</c:v>
                </c:pt>
                <c:pt idx="35">
                  <c:v>17188140.099020001</c:v>
                </c:pt>
                <c:pt idx="36">
                  <c:v>17832921.899999999</c:v>
                </c:pt>
                <c:pt idx="37">
                  <c:v>15630733.610000001</c:v>
                </c:pt>
                <c:pt idx="38">
                  <c:v>16233179.18</c:v>
                </c:pt>
                <c:pt idx="39">
                  <c:v>13779375.02</c:v>
                </c:pt>
                <c:pt idx="40">
                  <c:v>13816260.479999999</c:v>
                </c:pt>
                <c:pt idx="41">
                  <c:v>15763795.030000001</c:v>
                </c:pt>
                <c:pt idx="42">
                  <c:v>17256405.399999999</c:v>
                </c:pt>
                <c:pt idx="43">
                  <c:v>17022827.640000001</c:v>
                </c:pt>
                <c:pt idx="44">
                  <c:v>15128454.74</c:v>
                </c:pt>
                <c:pt idx="45">
                  <c:v>14319576.609999999</c:v>
                </c:pt>
                <c:pt idx="46">
                  <c:v>15066567.450000001</c:v>
                </c:pt>
                <c:pt idx="47">
                  <c:v>16465915.779999999</c:v>
                </c:pt>
                <c:pt idx="48">
                  <c:v>17410556.84</c:v>
                </c:pt>
                <c:pt idx="49">
                  <c:v>16200376.42</c:v>
                </c:pt>
                <c:pt idx="50">
                  <c:v>15791088.430000002</c:v>
                </c:pt>
                <c:pt idx="51">
                  <c:v>13751123.979999999</c:v>
                </c:pt>
                <c:pt idx="52">
                  <c:v>14187561.25</c:v>
                </c:pt>
                <c:pt idx="53">
                  <c:v>14895713.270000001</c:v>
                </c:pt>
                <c:pt idx="54">
                  <c:v>18727962.900000002</c:v>
                </c:pt>
                <c:pt idx="55">
                  <c:v>17447202.449999999</c:v>
                </c:pt>
                <c:pt idx="56">
                  <c:v>16730321.560000001</c:v>
                </c:pt>
                <c:pt idx="57">
                  <c:v>14060097.34</c:v>
                </c:pt>
                <c:pt idx="58">
                  <c:v>14124167.139999999</c:v>
                </c:pt>
                <c:pt idx="59">
                  <c:v>15469283.82</c:v>
                </c:pt>
                <c:pt idx="60">
                  <c:v>16335083.52</c:v>
                </c:pt>
                <c:pt idx="61">
                  <c:v>14794270.139999997</c:v>
                </c:pt>
                <c:pt idx="62">
                  <c:v>14632046.780000001</c:v>
                </c:pt>
                <c:pt idx="63">
                  <c:v>13549514.359999999</c:v>
                </c:pt>
                <c:pt idx="64">
                  <c:v>14337851.494000001</c:v>
                </c:pt>
                <c:pt idx="65">
                  <c:v>16249758.006000003</c:v>
                </c:pt>
                <c:pt idx="66">
                  <c:v>19768835.849999994</c:v>
                </c:pt>
                <c:pt idx="67">
                  <c:v>20746903.439999998</c:v>
                </c:pt>
                <c:pt idx="68">
                  <c:v>16199694.169999998</c:v>
                </c:pt>
                <c:pt idx="69">
                  <c:v>13767515.480000002</c:v>
                </c:pt>
                <c:pt idx="70">
                  <c:v>13671662.76</c:v>
                </c:pt>
                <c:pt idx="71">
                  <c:v>15862873.509999998</c:v>
                </c:pt>
                <c:pt idx="72">
                  <c:v>15654286.4</c:v>
                </c:pt>
                <c:pt idx="73">
                  <c:v>13535413.060000001</c:v>
                </c:pt>
                <c:pt idx="74">
                  <c:v>17164609.959131006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C45-4BBF-BC3B-78B7345827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99280136"/>
        <c:axId val="899274888"/>
      </c:scatterChart>
      <c:valAx>
        <c:axId val="8992801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cross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99274888"/>
        <c:crosses val="autoZero"/>
        <c:crossBetween val="midCat"/>
        <c:majorUnit val="2"/>
      </c:valAx>
      <c:valAx>
        <c:axId val="899274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9928013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Purchases vs Temperatures (2011-2020)</a:t>
            </a:r>
          </a:p>
          <a:p>
            <a:pPr>
              <a:defRPr/>
            </a:pPr>
            <a:r>
              <a:rPr lang="en-US"/>
              <a:t>(+CDM - Embedded)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Weather!$C$122:$C$241</c:f>
              <c:numCache>
                <c:formatCode>0</c:formatCode>
                <c:ptCount val="120"/>
                <c:pt idx="0">
                  <c:v>-5.9677419354838701</c:v>
                </c:pt>
                <c:pt idx="1">
                  <c:v>-3.8107142857142859</c:v>
                </c:pt>
                <c:pt idx="2">
                  <c:v>0.30322580645161273</c:v>
                </c:pt>
                <c:pt idx="3">
                  <c:v>6.8466666666666667</c:v>
                </c:pt>
                <c:pt idx="4">
                  <c:v>13.251612903225809</c:v>
                </c:pt>
                <c:pt idx="5">
                  <c:v>19.743333333333332</c:v>
                </c:pt>
                <c:pt idx="6">
                  <c:v>24.748387096774191</c:v>
                </c:pt>
                <c:pt idx="7">
                  <c:v>22.074193548387104</c:v>
                </c:pt>
                <c:pt idx="8">
                  <c:v>18.119999999999997</c:v>
                </c:pt>
                <c:pt idx="9">
                  <c:v>11.393548387096775</c:v>
                </c:pt>
                <c:pt idx="10">
                  <c:v>7.7799999999999994</c:v>
                </c:pt>
                <c:pt idx="11">
                  <c:v>1.6870967741935483</c:v>
                </c:pt>
                <c:pt idx="12">
                  <c:v>-0.79354838709677411</c:v>
                </c:pt>
                <c:pt idx="13">
                  <c:v>0.38275862068965522</c:v>
                </c:pt>
                <c:pt idx="14">
                  <c:v>6.9935483870967747</c:v>
                </c:pt>
                <c:pt idx="15">
                  <c:v>7.9733333333333354</c:v>
                </c:pt>
                <c:pt idx="16">
                  <c:v>16.677419354838712</c:v>
                </c:pt>
                <c:pt idx="17">
                  <c:v>21.043333333333333</c:v>
                </c:pt>
                <c:pt idx="18">
                  <c:v>24.616129032258058</c:v>
                </c:pt>
                <c:pt idx="19">
                  <c:v>22.248387096774191</c:v>
                </c:pt>
                <c:pt idx="20">
                  <c:v>17.213333333333335</c:v>
                </c:pt>
                <c:pt idx="21">
                  <c:v>10.916129032258064</c:v>
                </c:pt>
                <c:pt idx="22">
                  <c:v>4.3533333333333335</c:v>
                </c:pt>
                <c:pt idx="23">
                  <c:v>2.0774193548387103</c:v>
                </c:pt>
                <c:pt idx="24">
                  <c:v>-1.7516129032258065</c:v>
                </c:pt>
                <c:pt idx="25">
                  <c:v>-3.089285714285714</c:v>
                </c:pt>
                <c:pt idx="26">
                  <c:v>1.0580645161290323</c:v>
                </c:pt>
                <c:pt idx="27">
                  <c:v>6.666666666666667</c:v>
                </c:pt>
                <c:pt idx="28">
                  <c:v>15.122580645161291</c:v>
                </c:pt>
                <c:pt idx="29">
                  <c:v>19.133333333333336</c:v>
                </c:pt>
                <c:pt idx="30">
                  <c:v>22.548387096774199</c:v>
                </c:pt>
                <c:pt idx="31">
                  <c:v>20.977419354838705</c:v>
                </c:pt>
                <c:pt idx="32">
                  <c:v>16.673333333333336</c:v>
                </c:pt>
                <c:pt idx="33">
                  <c:v>11.903225806451612</c:v>
                </c:pt>
                <c:pt idx="34">
                  <c:v>3.26</c:v>
                </c:pt>
                <c:pt idx="35">
                  <c:v>-2.6354838709677422</c:v>
                </c:pt>
                <c:pt idx="36">
                  <c:v>-7.1451612903225783</c:v>
                </c:pt>
                <c:pt idx="37">
                  <c:v>-6.3964285714285722</c:v>
                </c:pt>
                <c:pt idx="38">
                  <c:v>-2.8999999999999995</c:v>
                </c:pt>
                <c:pt idx="39">
                  <c:v>6.943333333333336</c:v>
                </c:pt>
                <c:pt idx="40">
                  <c:v>14.203225806451613</c:v>
                </c:pt>
                <c:pt idx="41">
                  <c:v>19.976666666666667</c:v>
                </c:pt>
                <c:pt idx="42">
                  <c:v>20.835483870967746</c:v>
                </c:pt>
                <c:pt idx="43">
                  <c:v>20.732258064516131</c:v>
                </c:pt>
                <c:pt idx="44">
                  <c:v>17.43</c:v>
                </c:pt>
                <c:pt idx="45">
                  <c:v>11.725806451612906</c:v>
                </c:pt>
                <c:pt idx="46">
                  <c:v>2.9366666666666665</c:v>
                </c:pt>
                <c:pt idx="47">
                  <c:v>0.76129032258064544</c:v>
                </c:pt>
                <c:pt idx="48">
                  <c:v>-6.4806451612903224</c:v>
                </c:pt>
                <c:pt idx="49">
                  <c:v>-11.107142857142858</c:v>
                </c:pt>
                <c:pt idx="50">
                  <c:v>-0.75483870967741939</c:v>
                </c:pt>
                <c:pt idx="51">
                  <c:v>8.0066666666666659</c:v>
                </c:pt>
                <c:pt idx="52">
                  <c:v>16.56774193548387</c:v>
                </c:pt>
                <c:pt idx="53">
                  <c:v>17.95</c:v>
                </c:pt>
                <c:pt idx="54">
                  <c:v>22.048387096774196</c:v>
                </c:pt>
                <c:pt idx="55">
                  <c:v>21.21935483870968</c:v>
                </c:pt>
                <c:pt idx="56">
                  <c:v>20.309999999999999</c:v>
                </c:pt>
                <c:pt idx="57">
                  <c:v>11.338709677419354</c:v>
                </c:pt>
                <c:pt idx="58">
                  <c:v>7.8766666666666652</c:v>
                </c:pt>
                <c:pt idx="59">
                  <c:v>5.0709677419354833</c:v>
                </c:pt>
                <c:pt idx="60">
                  <c:v>-2.5677419354838702</c:v>
                </c:pt>
                <c:pt idx="61">
                  <c:v>-0.98620689655172389</c:v>
                </c:pt>
                <c:pt idx="62">
                  <c:v>4.0129032258064514</c:v>
                </c:pt>
                <c:pt idx="63">
                  <c:v>5.4000000000000012</c:v>
                </c:pt>
                <c:pt idx="64">
                  <c:v>15.135483870967743</c:v>
                </c:pt>
                <c:pt idx="65">
                  <c:v>19.956666666666667</c:v>
                </c:pt>
                <c:pt idx="66">
                  <c:v>23.838709677419349</c:v>
                </c:pt>
                <c:pt idx="67">
                  <c:v>24.412903225806449</c:v>
                </c:pt>
                <c:pt idx="68">
                  <c:v>19.709999999999997</c:v>
                </c:pt>
                <c:pt idx="69">
                  <c:v>12.945161290322584</c:v>
                </c:pt>
                <c:pt idx="70">
                  <c:v>7.6000000000000023</c:v>
                </c:pt>
                <c:pt idx="71">
                  <c:v>-1.0645161290322585</c:v>
                </c:pt>
                <c:pt idx="72">
                  <c:v>-0.90645161290322607</c:v>
                </c:pt>
                <c:pt idx="73">
                  <c:v>1.1678571428571429</c:v>
                </c:pt>
                <c:pt idx="74">
                  <c:v>0.56129032258064526</c:v>
                </c:pt>
                <c:pt idx="75">
                  <c:v>9.4666666666666703</c:v>
                </c:pt>
                <c:pt idx="76">
                  <c:v>12.745161290322583</c:v>
                </c:pt>
                <c:pt idx="77">
                  <c:v>19.77333333333333</c:v>
                </c:pt>
                <c:pt idx="78">
                  <c:v>21.87096774193548</c:v>
                </c:pt>
                <c:pt idx="79">
                  <c:v>20.816129032258058</c:v>
                </c:pt>
                <c:pt idx="80">
                  <c:v>18.726666666666667</c:v>
                </c:pt>
                <c:pt idx="81">
                  <c:v>14.403225806451617</c:v>
                </c:pt>
                <c:pt idx="82">
                  <c:v>4.3099999999999996</c:v>
                </c:pt>
                <c:pt idx="83">
                  <c:v>-3.7838709677419349</c:v>
                </c:pt>
                <c:pt idx="84">
                  <c:v>-4.5354838709677407</c:v>
                </c:pt>
                <c:pt idx="85">
                  <c:v>-0.49642857142857139</c:v>
                </c:pt>
                <c:pt idx="86">
                  <c:v>0.38387096774193546</c:v>
                </c:pt>
                <c:pt idx="87">
                  <c:v>3.8099999999999996</c:v>
                </c:pt>
                <c:pt idx="88">
                  <c:v>16.380645161290328</c:v>
                </c:pt>
                <c:pt idx="89">
                  <c:v>19.593333333333337</c:v>
                </c:pt>
                <c:pt idx="90">
                  <c:v>23.654838709677414</c:v>
                </c:pt>
                <c:pt idx="91">
                  <c:v>23.525806451612898</c:v>
                </c:pt>
                <c:pt idx="92">
                  <c:v>19.326666666666664</c:v>
                </c:pt>
                <c:pt idx="93">
                  <c:v>10.529032258064522</c:v>
                </c:pt>
                <c:pt idx="94">
                  <c:v>2.1866666666666665</c:v>
                </c:pt>
                <c:pt idx="95">
                  <c:v>0.57741935483870965</c:v>
                </c:pt>
                <c:pt idx="96">
                  <c:v>-5.3290322580645162</c:v>
                </c:pt>
                <c:pt idx="97">
                  <c:v>-2.8142857142857141</c:v>
                </c:pt>
                <c:pt idx="98">
                  <c:v>0.3225806451612902</c:v>
                </c:pt>
                <c:pt idx="99">
                  <c:v>6.6400000000000006</c:v>
                </c:pt>
                <c:pt idx="100">
                  <c:v>12.232258064516133</c:v>
                </c:pt>
                <c:pt idx="101">
                  <c:v>18.116666666666667</c:v>
                </c:pt>
                <c:pt idx="102">
                  <c:v>23.422580645161286</c:v>
                </c:pt>
                <c:pt idx="103">
                  <c:v>21.416129032258059</c:v>
                </c:pt>
                <c:pt idx="104">
                  <c:v>18.566666666666666</c:v>
                </c:pt>
                <c:pt idx="105">
                  <c:v>11.461290322580648</c:v>
                </c:pt>
                <c:pt idx="106">
                  <c:v>1.8266666666666667</c:v>
                </c:pt>
                <c:pt idx="107">
                  <c:v>7.4193548387096936E-2</c:v>
                </c:pt>
                <c:pt idx="108">
                  <c:v>-0.43548387096774183</c:v>
                </c:pt>
                <c:pt idx="109">
                  <c:v>-1.4551724137931032</c:v>
                </c:pt>
                <c:pt idx="110">
                  <c:v>3.7258064516129021</c:v>
                </c:pt>
                <c:pt idx="111">
                  <c:v>6.3566666666666682</c:v>
                </c:pt>
                <c:pt idx="112">
                  <c:v>12.483870967741939</c:v>
                </c:pt>
                <c:pt idx="113">
                  <c:v>20.48</c:v>
                </c:pt>
                <c:pt idx="114">
                  <c:v>24.954838709677418</c:v>
                </c:pt>
                <c:pt idx="115">
                  <c:v>22.603225806451611</c:v>
                </c:pt>
                <c:pt idx="116">
                  <c:v>17.706666666666667</c:v>
                </c:pt>
                <c:pt idx="117">
                  <c:v>10.632258064516131</c:v>
                </c:pt>
                <c:pt idx="118">
                  <c:v>7.7066666666666697</c:v>
                </c:pt>
                <c:pt idx="119">
                  <c:v>0.64838709677419371</c:v>
                </c:pt>
              </c:numCache>
            </c:numRef>
          </c:xVal>
          <c:yVal>
            <c:numRef>
              <c:f>Weather!$Q$122:$Q$241</c:f>
              <c:numCache>
                <c:formatCode>_(* #,##0_);_(* \(#,##0\);_(* "-"??_);_(@_)</c:formatCode>
                <c:ptCount val="120"/>
                <c:pt idx="0">
                  <c:v>16979172.514533948</c:v>
                </c:pt>
                <c:pt idx="1">
                  <c:v>15047589.912367899</c:v>
                </c:pt>
                <c:pt idx="2">
                  <c:v>15620163.862051852</c:v>
                </c:pt>
                <c:pt idx="3">
                  <c:v>13931869.7041358</c:v>
                </c:pt>
                <c:pt idx="4">
                  <c:v>13997474.84336975</c:v>
                </c:pt>
                <c:pt idx="5">
                  <c:v>15676013.3424537</c:v>
                </c:pt>
                <c:pt idx="6">
                  <c:v>20823144.013312649</c:v>
                </c:pt>
                <c:pt idx="7">
                  <c:v>18346250.653371599</c:v>
                </c:pt>
                <c:pt idx="8">
                  <c:v>15239386.713305552</c:v>
                </c:pt>
                <c:pt idx="9">
                  <c:v>14531682.366339501</c:v>
                </c:pt>
                <c:pt idx="10">
                  <c:v>14488945.211273452</c:v>
                </c:pt>
                <c:pt idx="11">
                  <c:v>16312195.0953074</c:v>
                </c:pt>
                <c:pt idx="12">
                  <c:v>16521541.606928099</c:v>
                </c:pt>
                <c:pt idx="13">
                  <c:v>15021222.700664848</c:v>
                </c:pt>
                <c:pt idx="14">
                  <c:v>14617779.875351597</c:v>
                </c:pt>
                <c:pt idx="15">
                  <c:v>13531898.019846346</c:v>
                </c:pt>
                <c:pt idx="16">
                  <c:v>14721669.931899093</c:v>
                </c:pt>
                <c:pt idx="17">
                  <c:v>17282421.461563841</c:v>
                </c:pt>
                <c:pt idx="18">
                  <c:v>21075817.01614859</c:v>
                </c:pt>
                <c:pt idx="19">
                  <c:v>18877057.147735339</c:v>
                </c:pt>
                <c:pt idx="20">
                  <c:v>15574211.126250088</c:v>
                </c:pt>
                <c:pt idx="21">
                  <c:v>14569117.846834837</c:v>
                </c:pt>
                <c:pt idx="22">
                  <c:v>14846539.203665584</c:v>
                </c:pt>
                <c:pt idx="23">
                  <c:v>16346259.166742332</c:v>
                </c:pt>
                <c:pt idx="24">
                  <c:v>16799318.155919474</c:v>
                </c:pt>
                <c:pt idx="25">
                  <c:v>15188659.921796532</c:v>
                </c:pt>
                <c:pt idx="26">
                  <c:v>15599002.238783589</c:v>
                </c:pt>
                <c:pt idx="27">
                  <c:v>14154340.188040646</c:v>
                </c:pt>
                <c:pt idx="28">
                  <c:v>14345251.058637705</c:v>
                </c:pt>
                <c:pt idx="29">
                  <c:v>16097520.220894763</c:v>
                </c:pt>
                <c:pt idx="30">
                  <c:v>19599082.005611818</c:v>
                </c:pt>
                <c:pt idx="31">
                  <c:v>17751860.164048877</c:v>
                </c:pt>
                <c:pt idx="32">
                  <c:v>15359661.633705935</c:v>
                </c:pt>
                <c:pt idx="33">
                  <c:v>14947329.771992994</c:v>
                </c:pt>
                <c:pt idx="34">
                  <c:v>15341764.92509005</c:v>
                </c:pt>
                <c:pt idx="35">
                  <c:v>17453527.877777111</c:v>
                </c:pt>
                <c:pt idx="36">
                  <c:v>18110591.944826521</c:v>
                </c:pt>
                <c:pt idx="37">
                  <c:v>15914959.373623915</c:v>
                </c:pt>
                <c:pt idx="38">
                  <c:v>16523960.662421307</c:v>
                </c:pt>
                <c:pt idx="39">
                  <c:v>14076712.2212187</c:v>
                </c:pt>
                <c:pt idx="40">
                  <c:v>14120153.400016092</c:v>
                </c:pt>
                <c:pt idx="41">
                  <c:v>16074243.668813486</c:v>
                </c:pt>
                <c:pt idx="42">
                  <c:v>17573409.757610876</c:v>
                </c:pt>
                <c:pt idx="43">
                  <c:v>17346387.716408271</c:v>
                </c:pt>
                <c:pt idx="44">
                  <c:v>15458570.535205664</c:v>
                </c:pt>
                <c:pt idx="45">
                  <c:v>14656248.124003055</c:v>
                </c:pt>
                <c:pt idx="46">
                  <c:v>15409794.682800449</c:v>
                </c:pt>
                <c:pt idx="47">
                  <c:v>16815698.731597841</c:v>
                </c:pt>
                <c:pt idx="48">
                  <c:v>17776501.36587267</c:v>
                </c:pt>
                <c:pt idx="49">
                  <c:v>16586638.093308568</c:v>
                </c:pt>
                <c:pt idx="50">
                  <c:v>16197667.250744466</c:v>
                </c:pt>
                <c:pt idx="51">
                  <c:v>14178019.948180361</c:v>
                </c:pt>
                <c:pt idx="52">
                  <c:v>14634774.36561626</c:v>
                </c:pt>
                <c:pt idx="53">
                  <c:v>15363243.533052159</c:v>
                </c:pt>
                <c:pt idx="54">
                  <c:v>19215810.310488056</c:v>
                </c:pt>
                <c:pt idx="55">
                  <c:v>17955367.007923953</c:v>
                </c:pt>
                <c:pt idx="56">
                  <c:v>17258803.265359849</c:v>
                </c:pt>
                <c:pt idx="57">
                  <c:v>14608896.192795746</c:v>
                </c:pt>
                <c:pt idx="58">
                  <c:v>14693283.140231643</c:v>
                </c:pt>
                <c:pt idx="59">
                  <c:v>16058716.967667542</c:v>
                </c:pt>
                <c:pt idx="60">
                  <c:v>16939376.199412331</c:v>
                </c:pt>
                <c:pt idx="61">
                  <c:v>15416417.774540534</c:v>
                </c:pt>
                <c:pt idx="62">
                  <c:v>15272049.369668743</c:v>
                </c:pt>
                <c:pt idx="63">
                  <c:v>14207371.904796947</c:v>
                </c:pt>
                <c:pt idx="64">
                  <c:v>15013563.993925152</c:v>
                </c:pt>
                <c:pt idx="65">
                  <c:v>16943325.46105336</c:v>
                </c:pt>
                <c:pt idx="66">
                  <c:v>20480258.260181557</c:v>
                </c:pt>
                <c:pt idx="67">
                  <c:v>21476180.805309765</c:v>
                </c:pt>
                <c:pt idx="68">
                  <c:v>16946826.49043797</c:v>
                </c:pt>
                <c:pt idx="69">
                  <c:v>14532502.75556618</c:v>
                </c:pt>
                <c:pt idx="70">
                  <c:v>14454504.990694383</c:v>
                </c:pt>
                <c:pt idx="71">
                  <c:v>16663570.695822585</c:v>
                </c:pt>
                <c:pt idx="72">
                  <c:v>16461122.712404348</c:v>
                </c:pt>
                <c:pt idx="73">
                  <c:v>14358849.953563245</c:v>
                </c:pt>
                <c:pt idx="74">
                  <c:v>15590701.678840145</c:v>
                </c:pt>
                <c:pt idx="75">
                  <c:v>13876736.012596153</c:v>
                </c:pt>
                <c:pt idx="76">
                  <c:v>14507053.598889221</c:v>
                </c:pt>
                <c:pt idx="77">
                  <c:v>16603531.118708437</c:v>
                </c:pt>
                <c:pt idx="78">
                  <c:v>18769029.761034757</c:v>
                </c:pt>
                <c:pt idx="79">
                  <c:v>18024259.602250282</c:v>
                </c:pt>
                <c:pt idx="80">
                  <c:v>16214042.156104552</c:v>
                </c:pt>
                <c:pt idx="81">
                  <c:v>14863074.54406726</c:v>
                </c:pt>
                <c:pt idx="82">
                  <c:v>15230410.808551352</c:v>
                </c:pt>
                <c:pt idx="83">
                  <c:v>17365688.731905557</c:v>
                </c:pt>
                <c:pt idx="84">
                  <c:v>18038356.804139033</c:v>
                </c:pt>
                <c:pt idx="85">
                  <c:v>15384114.566748679</c:v>
                </c:pt>
                <c:pt idx="86">
                  <c:v>16083390.228935946</c:v>
                </c:pt>
                <c:pt idx="87">
                  <c:v>15126771.74369522</c:v>
                </c:pt>
                <c:pt idx="88">
                  <c:v>15342535.193069376</c:v>
                </c:pt>
                <c:pt idx="89">
                  <c:v>17022894.145177811</c:v>
                </c:pt>
                <c:pt idx="90">
                  <c:v>21638269.176291507</c:v>
                </c:pt>
                <c:pt idx="91">
                  <c:v>21184937.913595378</c:v>
                </c:pt>
                <c:pt idx="92">
                  <c:v>17741776.780836895</c:v>
                </c:pt>
                <c:pt idx="93">
                  <c:v>15563028.704213254</c:v>
                </c:pt>
                <c:pt idx="94">
                  <c:v>16006417.306552835</c:v>
                </c:pt>
                <c:pt idx="95">
                  <c:v>17209752.122011255</c:v>
                </c:pt>
                <c:pt idx="96">
                  <c:v>18172352.816812448</c:v>
                </c:pt>
                <c:pt idx="97">
                  <c:v>16169434.931683503</c:v>
                </c:pt>
                <c:pt idx="98">
                  <c:v>16704349.149722897</c:v>
                </c:pt>
                <c:pt idx="99">
                  <c:v>14775139.845033761</c:v>
                </c:pt>
                <c:pt idx="100">
                  <c:v>14662602.785367284</c:v>
                </c:pt>
                <c:pt idx="101">
                  <c:v>15895741.398700908</c:v>
                </c:pt>
                <c:pt idx="102">
                  <c:v>21622935.524222266</c:v>
                </c:pt>
                <c:pt idx="103">
                  <c:v>19633135.176712491</c:v>
                </c:pt>
                <c:pt idx="104">
                  <c:v>16479245.574145515</c:v>
                </c:pt>
                <c:pt idx="105">
                  <c:v>15313996.618239906</c:v>
                </c:pt>
                <c:pt idx="106">
                  <c:v>16196589.67553002</c:v>
                </c:pt>
                <c:pt idx="107">
                  <c:v>17493596.699264191</c:v>
                </c:pt>
                <c:pt idx="108">
                  <c:v>17455151.705439299</c:v>
                </c:pt>
                <c:pt idx="109">
                  <c:v>16303220.275235683</c:v>
                </c:pt>
                <c:pt idx="110">
                  <c:v>16103704.051492725</c:v>
                </c:pt>
                <c:pt idx="111">
                  <c:v>14692912.555863744</c:v>
                </c:pt>
                <c:pt idx="112">
                  <c:v>15472363.445143897</c:v>
                </c:pt>
                <c:pt idx="113">
                  <c:v>18670855.650406882</c:v>
                </c:pt>
                <c:pt idx="114">
                  <c:v>23987865.72152622</c:v>
                </c:pt>
                <c:pt idx="115">
                  <c:v>21158532.285249781</c:v>
                </c:pt>
                <c:pt idx="116">
                  <c:v>16613583.00256744</c:v>
                </c:pt>
                <c:pt idx="117">
                  <c:v>15705432.054383285</c:v>
                </c:pt>
                <c:pt idx="118">
                  <c:v>16160635.854793523</c:v>
                </c:pt>
                <c:pt idx="119">
                  <c:v>18633558.70909328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618-41F8-B124-57F17BB949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99280136"/>
        <c:axId val="899274888"/>
      </c:scatterChart>
      <c:valAx>
        <c:axId val="899280136"/>
        <c:scaling>
          <c:orientation val="minMax"/>
          <c:max val="28"/>
          <c:min val="-14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99274888"/>
        <c:crosses val="autoZero"/>
        <c:crossBetween val="midCat"/>
        <c:majorUnit val="2"/>
      </c:valAx>
      <c:valAx>
        <c:axId val="899274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9928013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Purchases vs Temperatures (2011-2020)</a:t>
            </a:r>
          </a:p>
          <a:p>
            <a:pPr>
              <a:defRPr/>
            </a:pPr>
            <a:r>
              <a:rPr lang="en-US"/>
              <a:t>(+CDM - Embedded)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Purchases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Weather!$C$122:$C$241</c:f>
              <c:numCache>
                <c:formatCode>0</c:formatCode>
                <c:ptCount val="120"/>
                <c:pt idx="0">
                  <c:v>-5.9677419354838701</c:v>
                </c:pt>
                <c:pt idx="1">
                  <c:v>-3.8107142857142859</c:v>
                </c:pt>
                <c:pt idx="2">
                  <c:v>0.30322580645161273</c:v>
                </c:pt>
                <c:pt idx="3">
                  <c:v>6.8466666666666667</c:v>
                </c:pt>
                <c:pt idx="4">
                  <c:v>13.251612903225809</c:v>
                </c:pt>
                <c:pt idx="5">
                  <c:v>19.743333333333332</c:v>
                </c:pt>
                <c:pt idx="6">
                  <c:v>24.748387096774191</c:v>
                </c:pt>
                <c:pt idx="7">
                  <c:v>22.074193548387104</c:v>
                </c:pt>
                <c:pt idx="8">
                  <c:v>18.119999999999997</c:v>
                </c:pt>
                <c:pt idx="9">
                  <c:v>11.393548387096775</c:v>
                </c:pt>
                <c:pt idx="10">
                  <c:v>7.7799999999999994</c:v>
                </c:pt>
                <c:pt idx="11">
                  <c:v>1.6870967741935483</c:v>
                </c:pt>
                <c:pt idx="12">
                  <c:v>-0.79354838709677411</c:v>
                </c:pt>
                <c:pt idx="13">
                  <c:v>0.38275862068965522</c:v>
                </c:pt>
                <c:pt idx="14">
                  <c:v>6.9935483870967747</c:v>
                </c:pt>
                <c:pt idx="15">
                  <c:v>7.9733333333333354</c:v>
                </c:pt>
                <c:pt idx="16">
                  <c:v>16.677419354838712</c:v>
                </c:pt>
                <c:pt idx="17">
                  <c:v>21.043333333333333</c:v>
                </c:pt>
                <c:pt idx="18">
                  <c:v>24.616129032258058</c:v>
                </c:pt>
                <c:pt idx="19">
                  <c:v>22.248387096774191</c:v>
                </c:pt>
                <c:pt idx="20">
                  <c:v>17.213333333333335</c:v>
                </c:pt>
                <c:pt idx="21">
                  <c:v>10.916129032258064</c:v>
                </c:pt>
                <c:pt idx="22">
                  <c:v>4.3533333333333335</c:v>
                </c:pt>
                <c:pt idx="23">
                  <c:v>2.0774193548387103</c:v>
                </c:pt>
                <c:pt idx="24">
                  <c:v>-1.7516129032258065</c:v>
                </c:pt>
                <c:pt idx="25">
                  <c:v>-3.089285714285714</c:v>
                </c:pt>
                <c:pt idx="26">
                  <c:v>1.0580645161290323</c:v>
                </c:pt>
                <c:pt idx="27">
                  <c:v>6.666666666666667</c:v>
                </c:pt>
                <c:pt idx="28">
                  <c:v>15.122580645161291</c:v>
                </c:pt>
                <c:pt idx="29">
                  <c:v>19.133333333333336</c:v>
                </c:pt>
                <c:pt idx="30">
                  <c:v>22.548387096774199</c:v>
                </c:pt>
                <c:pt idx="31">
                  <c:v>20.977419354838705</c:v>
                </c:pt>
                <c:pt idx="32">
                  <c:v>16.673333333333336</c:v>
                </c:pt>
                <c:pt idx="33">
                  <c:v>11.903225806451612</c:v>
                </c:pt>
                <c:pt idx="34">
                  <c:v>3.26</c:v>
                </c:pt>
                <c:pt idx="35">
                  <c:v>-2.6354838709677422</c:v>
                </c:pt>
                <c:pt idx="36">
                  <c:v>-7.1451612903225783</c:v>
                </c:pt>
                <c:pt idx="37">
                  <c:v>-6.3964285714285722</c:v>
                </c:pt>
                <c:pt idx="38">
                  <c:v>-2.8999999999999995</c:v>
                </c:pt>
                <c:pt idx="39">
                  <c:v>6.943333333333336</c:v>
                </c:pt>
                <c:pt idx="40">
                  <c:v>14.203225806451613</c:v>
                </c:pt>
                <c:pt idx="41">
                  <c:v>19.976666666666667</c:v>
                </c:pt>
                <c:pt idx="42">
                  <c:v>20.835483870967746</c:v>
                </c:pt>
                <c:pt idx="43">
                  <c:v>20.732258064516131</c:v>
                </c:pt>
                <c:pt idx="44">
                  <c:v>17.43</c:v>
                </c:pt>
                <c:pt idx="45">
                  <c:v>11.725806451612906</c:v>
                </c:pt>
                <c:pt idx="46">
                  <c:v>2.9366666666666665</c:v>
                </c:pt>
                <c:pt idx="47">
                  <c:v>0.76129032258064544</c:v>
                </c:pt>
                <c:pt idx="48">
                  <c:v>-6.4806451612903224</c:v>
                </c:pt>
                <c:pt idx="49">
                  <c:v>-11.107142857142858</c:v>
                </c:pt>
                <c:pt idx="50">
                  <c:v>-0.75483870967741939</c:v>
                </c:pt>
                <c:pt idx="51">
                  <c:v>8.0066666666666659</c:v>
                </c:pt>
                <c:pt idx="52">
                  <c:v>16.56774193548387</c:v>
                </c:pt>
                <c:pt idx="53">
                  <c:v>17.95</c:v>
                </c:pt>
                <c:pt idx="54">
                  <c:v>22.048387096774196</c:v>
                </c:pt>
                <c:pt idx="55">
                  <c:v>21.21935483870968</c:v>
                </c:pt>
                <c:pt idx="56">
                  <c:v>20.309999999999999</c:v>
                </c:pt>
                <c:pt idx="57">
                  <c:v>11.338709677419354</c:v>
                </c:pt>
                <c:pt idx="58">
                  <c:v>7.8766666666666652</c:v>
                </c:pt>
                <c:pt idx="59">
                  <c:v>5.0709677419354833</c:v>
                </c:pt>
                <c:pt idx="60">
                  <c:v>-2.5677419354838702</c:v>
                </c:pt>
                <c:pt idx="61">
                  <c:v>-0.98620689655172389</c:v>
                </c:pt>
                <c:pt idx="62">
                  <c:v>4.0129032258064514</c:v>
                </c:pt>
                <c:pt idx="63">
                  <c:v>5.4000000000000012</c:v>
                </c:pt>
                <c:pt idx="64">
                  <c:v>15.135483870967743</c:v>
                </c:pt>
                <c:pt idx="65">
                  <c:v>19.956666666666667</c:v>
                </c:pt>
                <c:pt idx="66">
                  <c:v>23.838709677419349</c:v>
                </c:pt>
                <c:pt idx="67">
                  <c:v>24.412903225806449</c:v>
                </c:pt>
                <c:pt idx="68">
                  <c:v>19.709999999999997</c:v>
                </c:pt>
                <c:pt idx="69">
                  <c:v>12.945161290322584</c:v>
                </c:pt>
                <c:pt idx="70">
                  <c:v>7.6000000000000023</c:v>
                </c:pt>
                <c:pt idx="71">
                  <c:v>-1.0645161290322585</c:v>
                </c:pt>
                <c:pt idx="72">
                  <c:v>-0.90645161290322607</c:v>
                </c:pt>
                <c:pt idx="73">
                  <c:v>1.1678571428571429</c:v>
                </c:pt>
                <c:pt idx="74">
                  <c:v>0.56129032258064526</c:v>
                </c:pt>
                <c:pt idx="75">
                  <c:v>9.4666666666666703</c:v>
                </c:pt>
                <c:pt idx="76">
                  <c:v>12.745161290322583</c:v>
                </c:pt>
                <c:pt idx="77">
                  <c:v>19.77333333333333</c:v>
                </c:pt>
                <c:pt idx="78">
                  <c:v>21.87096774193548</c:v>
                </c:pt>
                <c:pt idx="79">
                  <c:v>20.816129032258058</c:v>
                </c:pt>
                <c:pt idx="80">
                  <c:v>18.726666666666667</c:v>
                </c:pt>
                <c:pt idx="81">
                  <c:v>14.403225806451617</c:v>
                </c:pt>
                <c:pt idx="82">
                  <c:v>4.3099999999999996</c:v>
                </c:pt>
                <c:pt idx="83">
                  <c:v>-3.7838709677419349</c:v>
                </c:pt>
                <c:pt idx="84">
                  <c:v>-4.5354838709677407</c:v>
                </c:pt>
                <c:pt idx="85">
                  <c:v>-0.49642857142857139</c:v>
                </c:pt>
                <c:pt idx="86">
                  <c:v>0.38387096774193546</c:v>
                </c:pt>
                <c:pt idx="87">
                  <c:v>3.8099999999999996</c:v>
                </c:pt>
                <c:pt idx="88">
                  <c:v>16.380645161290328</c:v>
                </c:pt>
                <c:pt idx="89">
                  <c:v>19.593333333333337</c:v>
                </c:pt>
                <c:pt idx="90">
                  <c:v>23.654838709677414</c:v>
                </c:pt>
                <c:pt idx="91">
                  <c:v>23.525806451612898</c:v>
                </c:pt>
                <c:pt idx="92">
                  <c:v>19.326666666666664</c:v>
                </c:pt>
                <c:pt idx="93">
                  <c:v>10.529032258064522</c:v>
                </c:pt>
                <c:pt idx="94">
                  <c:v>2.1866666666666665</c:v>
                </c:pt>
                <c:pt idx="95">
                  <c:v>0.57741935483870965</c:v>
                </c:pt>
                <c:pt idx="96">
                  <c:v>-5.3290322580645162</c:v>
                </c:pt>
                <c:pt idx="97">
                  <c:v>-2.8142857142857141</c:v>
                </c:pt>
                <c:pt idx="98">
                  <c:v>0.3225806451612902</c:v>
                </c:pt>
                <c:pt idx="99">
                  <c:v>6.6400000000000006</c:v>
                </c:pt>
                <c:pt idx="100">
                  <c:v>12.232258064516133</c:v>
                </c:pt>
                <c:pt idx="101">
                  <c:v>18.116666666666667</c:v>
                </c:pt>
                <c:pt idx="102">
                  <c:v>23.422580645161286</c:v>
                </c:pt>
                <c:pt idx="103">
                  <c:v>21.416129032258059</c:v>
                </c:pt>
                <c:pt idx="104">
                  <c:v>18.566666666666666</c:v>
                </c:pt>
                <c:pt idx="105">
                  <c:v>11.461290322580648</c:v>
                </c:pt>
                <c:pt idx="106">
                  <c:v>1.8266666666666667</c:v>
                </c:pt>
                <c:pt idx="107">
                  <c:v>7.4193548387096936E-2</c:v>
                </c:pt>
                <c:pt idx="108">
                  <c:v>-0.43548387096774183</c:v>
                </c:pt>
                <c:pt idx="109">
                  <c:v>-1.4551724137931032</c:v>
                </c:pt>
                <c:pt idx="110">
                  <c:v>3.7258064516129021</c:v>
                </c:pt>
                <c:pt idx="111">
                  <c:v>6.3566666666666682</c:v>
                </c:pt>
                <c:pt idx="112">
                  <c:v>12.483870967741939</c:v>
                </c:pt>
                <c:pt idx="113">
                  <c:v>20.48</c:v>
                </c:pt>
                <c:pt idx="114">
                  <c:v>24.954838709677418</c:v>
                </c:pt>
                <c:pt idx="115">
                  <c:v>22.603225806451611</c:v>
                </c:pt>
                <c:pt idx="116">
                  <c:v>17.706666666666667</c:v>
                </c:pt>
                <c:pt idx="117">
                  <c:v>10.632258064516131</c:v>
                </c:pt>
                <c:pt idx="118">
                  <c:v>7.7066666666666697</c:v>
                </c:pt>
                <c:pt idx="119">
                  <c:v>0.64838709677419371</c:v>
                </c:pt>
              </c:numCache>
            </c:numRef>
          </c:xVal>
          <c:yVal>
            <c:numRef>
              <c:f>Weather!$Q$122:$Q$241</c:f>
              <c:numCache>
                <c:formatCode>_(* #,##0_);_(* \(#,##0\);_(* "-"??_);_(@_)</c:formatCode>
                <c:ptCount val="120"/>
                <c:pt idx="0">
                  <c:v>16979172.514533948</c:v>
                </c:pt>
                <c:pt idx="1">
                  <c:v>15047589.912367899</c:v>
                </c:pt>
                <c:pt idx="2">
                  <c:v>15620163.862051852</c:v>
                </c:pt>
                <c:pt idx="3">
                  <c:v>13931869.7041358</c:v>
                </c:pt>
                <c:pt idx="4">
                  <c:v>13997474.84336975</c:v>
                </c:pt>
                <c:pt idx="5">
                  <c:v>15676013.3424537</c:v>
                </c:pt>
                <c:pt idx="6">
                  <c:v>20823144.013312649</c:v>
                </c:pt>
                <c:pt idx="7">
                  <c:v>18346250.653371599</c:v>
                </c:pt>
                <c:pt idx="8">
                  <c:v>15239386.713305552</c:v>
                </c:pt>
                <c:pt idx="9">
                  <c:v>14531682.366339501</c:v>
                </c:pt>
                <c:pt idx="10">
                  <c:v>14488945.211273452</c:v>
                </c:pt>
                <c:pt idx="11">
                  <c:v>16312195.0953074</c:v>
                </c:pt>
                <c:pt idx="12">
                  <c:v>16521541.606928099</c:v>
                </c:pt>
                <c:pt idx="13">
                  <c:v>15021222.700664848</c:v>
                </c:pt>
                <c:pt idx="14">
                  <c:v>14617779.875351597</c:v>
                </c:pt>
                <c:pt idx="15">
                  <c:v>13531898.019846346</c:v>
                </c:pt>
                <c:pt idx="16">
                  <c:v>14721669.931899093</c:v>
                </c:pt>
                <c:pt idx="17">
                  <c:v>17282421.461563841</c:v>
                </c:pt>
                <c:pt idx="18">
                  <c:v>21075817.01614859</c:v>
                </c:pt>
                <c:pt idx="19">
                  <c:v>18877057.147735339</c:v>
                </c:pt>
                <c:pt idx="20">
                  <c:v>15574211.126250088</c:v>
                </c:pt>
                <c:pt idx="21">
                  <c:v>14569117.846834837</c:v>
                </c:pt>
                <c:pt idx="22">
                  <c:v>14846539.203665584</c:v>
                </c:pt>
                <c:pt idx="23">
                  <c:v>16346259.166742332</c:v>
                </c:pt>
                <c:pt idx="24">
                  <c:v>16799318.155919474</c:v>
                </c:pt>
                <c:pt idx="25">
                  <c:v>15188659.921796532</c:v>
                </c:pt>
                <c:pt idx="26">
                  <c:v>15599002.238783589</c:v>
                </c:pt>
                <c:pt idx="27">
                  <c:v>14154340.188040646</c:v>
                </c:pt>
                <c:pt idx="28">
                  <c:v>14345251.058637705</c:v>
                </c:pt>
                <c:pt idx="29">
                  <c:v>16097520.220894763</c:v>
                </c:pt>
                <c:pt idx="30">
                  <c:v>19599082.005611818</c:v>
                </c:pt>
                <c:pt idx="31">
                  <c:v>17751860.164048877</c:v>
                </c:pt>
                <c:pt idx="32">
                  <c:v>15359661.633705935</c:v>
                </c:pt>
                <c:pt idx="33">
                  <c:v>14947329.771992994</c:v>
                </c:pt>
                <c:pt idx="34">
                  <c:v>15341764.92509005</c:v>
                </c:pt>
                <c:pt idx="35">
                  <c:v>17453527.877777111</c:v>
                </c:pt>
                <c:pt idx="36">
                  <c:v>18110591.944826521</c:v>
                </c:pt>
                <c:pt idx="37">
                  <c:v>15914959.373623915</c:v>
                </c:pt>
                <c:pt idx="38">
                  <c:v>16523960.662421307</c:v>
                </c:pt>
                <c:pt idx="39">
                  <c:v>14076712.2212187</c:v>
                </c:pt>
                <c:pt idx="40">
                  <c:v>14120153.400016092</c:v>
                </c:pt>
                <c:pt idx="41">
                  <c:v>16074243.668813486</c:v>
                </c:pt>
                <c:pt idx="42">
                  <c:v>17573409.757610876</c:v>
                </c:pt>
                <c:pt idx="43">
                  <c:v>17346387.716408271</c:v>
                </c:pt>
                <c:pt idx="44">
                  <c:v>15458570.535205664</c:v>
                </c:pt>
                <c:pt idx="45">
                  <c:v>14656248.124003055</c:v>
                </c:pt>
                <c:pt idx="46">
                  <c:v>15409794.682800449</c:v>
                </c:pt>
                <c:pt idx="47">
                  <c:v>16815698.731597841</c:v>
                </c:pt>
                <c:pt idx="48">
                  <c:v>17776501.36587267</c:v>
                </c:pt>
                <c:pt idx="49">
                  <c:v>16586638.093308568</c:v>
                </c:pt>
                <c:pt idx="50">
                  <c:v>16197667.250744466</c:v>
                </c:pt>
                <c:pt idx="51">
                  <c:v>14178019.948180361</c:v>
                </c:pt>
                <c:pt idx="52">
                  <c:v>14634774.36561626</c:v>
                </c:pt>
                <c:pt idx="53">
                  <c:v>15363243.533052159</c:v>
                </c:pt>
                <c:pt idx="54">
                  <c:v>19215810.310488056</c:v>
                </c:pt>
                <c:pt idx="55">
                  <c:v>17955367.007923953</c:v>
                </c:pt>
                <c:pt idx="56">
                  <c:v>17258803.265359849</c:v>
                </c:pt>
                <c:pt idx="57">
                  <c:v>14608896.192795746</c:v>
                </c:pt>
                <c:pt idx="58">
                  <c:v>14693283.140231643</c:v>
                </c:pt>
                <c:pt idx="59">
                  <c:v>16058716.967667542</c:v>
                </c:pt>
                <c:pt idx="60">
                  <c:v>16939376.199412331</c:v>
                </c:pt>
                <c:pt idx="61">
                  <c:v>15416417.774540534</c:v>
                </c:pt>
                <c:pt idx="62">
                  <c:v>15272049.369668743</c:v>
                </c:pt>
                <c:pt idx="63">
                  <c:v>14207371.904796947</c:v>
                </c:pt>
                <c:pt idx="64">
                  <c:v>15013563.993925152</c:v>
                </c:pt>
                <c:pt idx="65">
                  <c:v>16943325.46105336</c:v>
                </c:pt>
                <c:pt idx="66">
                  <c:v>20480258.260181557</c:v>
                </c:pt>
                <c:pt idx="67">
                  <c:v>21476180.805309765</c:v>
                </c:pt>
                <c:pt idx="68">
                  <c:v>16946826.49043797</c:v>
                </c:pt>
                <c:pt idx="69">
                  <c:v>14532502.75556618</c:v>
                </c:pt>
                <c:pt idx="70">
                  <c:v>14454504.990694383</c:v>
                </c:pt>
                <c:pt idx="71">
                  <c:v>16663570.695822585</c:v>
                </c:pt>
                <c:pt idx="72">
                  <c:v>16461122.712404348</c:v>
                </c:pt>
                <c:pt idx="73">
                  <c:v>14358849.953563245</c:v>
                </c:pt>
                <c:pt idx="74">
                  <c:v>15590701.678840145</c:v>
                </c:pt>
                <c:pt idx="75">
                  <c:v>13876736.012596153</c:v>
                </c:pt>
                <c:pt idx="76">
                  <c:v>14507053.598889221</c:v>
                </c:pt>
                <c:pt idx="77">
                  <c:v>16603531.118708437</c:v>
                </c:pt>
                <c:pt idx="78">
                  <c:v>18769029.761034757</c:v>
                </c:pt>
                <c:pt idx="79">
                  <c:v>18024259.602250282</c:v>
                </c:pt>
                <c:pt idx="80">
                  <c:v>16214042.156104552</c:v>
                </c:pt>
                <c:pt idx="81">
                  <c:v>14863074.54406726</c:v>
                </c:pt>
                <c:pt idx="82">
                  <c:v>15230410.808551352</c:v>
                </c:pt>
                <c:pt idx="83">
                  <c:v>17365688.731905557</c:v>
                </c:pt>
                <c:pt idx="84">
                  <c:v>18038356.804139033</c:v>
                </c:pt>
                <c:pt idx="85">
                  <c:v>15384114.566748679</c:v>
                </c:pt>
                <c:pt idx="86">
                  <c:v>16083390.228935946</c:v>
                </c:pt>
                <c:pt idx="87">
                  <c:v>15126771.74369522</c:v>
                </c:pt>
                <c:pt idx="88">
                  <c:v>15342535.193069376</c:v>
                </c:pt>
                <c:pt idx="89">
                  <c:v>17022894.145177811</c:v>
                </c:pt>
                <c:pt idx="90">
                  <c:v>21638269.176291507</c:v>
                </c:pt>
                <c:pt idx="91">
                  <c:v>21184937.913595378</c:v>
                </c:pt>
                <c:pt idx="92">
                  <c:v>17741776.780836895</c:v>
                </c:pt>
                <c:pt idx="93">
                  <c:v>15563028.704213254</c:v>
                </c:pt>
                <c:pt idx="94">
                  <c:v>16006417.306552835</c:v>
                </c:pt>
                <c:pt idx="95">
                  <c:v>17209752.122011255</c:v>
                </c:pt>
                <c:pt idx="96">
                  <c:v>18172352.816812448</c:v>
                </c:pt>
                <c:pt idx="97">
                  <c:v>16169434.931683503</c:v>
                </c:pt>
                <c:pt idx="98">
                  <c:v>16704349.149722897</c:v>
                </c:pt>
                <c:pt idx="99">
                  <c:v>14775139.845033761</c:v>
                </c:pt>
                <c:pt idx="100">
                  <c:v>14662602.785367284</c:v>
                </c:pt>
                <c:pt idx="101">
                  <c:v>15895741.398700908</c:v>
                </c:pt>
                <c:pt idx="102">
                  <c:v>21622935.524222266</c:v>
                </c:pt>
                <c:pt idx="103">
                  <c:v>19633135.176712491</c:v>
                </c:pt>
                <c:pt idx="104">
                  <c:v>16479245.574145515</c:v>
                </c:pt>
                <c:pt idx="105">
                  <c:v>15313996.618239906</c:v>
                </c:pt>
                <c:pt idx="106">
                  <c:v>16196589.67553002</c:v>
                </c:pt>
                <c:pt idx="107">
                  <c:v>17493596.699264191</c:v>
                </c:pt>
                <c:pt idx="108">
                  <c:v>17455151.705439299</c:v>
                </c:pt>
                <c:pt idx="109">
                  <c:v>16303220.275235683</c:v>
                </c:pt>
                <c:pt idx="110">
                  <c:v>16103704.051492725</c:v>
                </c:pt>
                <c:pt idx="111">
                  <c:v>14692912.555863744</c:v>
                </c:pt>
                <c:pt idx="112">
                  <c:v>15472363.445143897</c:v>
                </c:pt>
                <c:pt idx="113">
                  <c:v>18670855.650406882</c:v>
                </c:pt>
                <c:pt idx="114">
                  <c:v>23987865.72152622</c:v>
                </c:pt>
                <c:pt idx="115">
                  <c:v>21158532.285249781</c:v>
                </c:pt>
                <c:pt idx="116">
                  <c:v>16613583.00256744</c:v>
                </c:pt>
                <c:pt idx="117">
                  <c:v>15705432.054383285</c:v>
                </c:pt>
                <c:pt idx="118">
                  <c:v>16160635.854793523</c:v>
                </c:pt>
                <c:pt idx="119">
                  <c:v>18633558.70909328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E50-4ECD-9E18-8BFBA2AC1190}"/>
            </c:ext>
          </c:extLst>
        </c:ser>
        <c:ser>
          <c:idx val="1"/>
          <c:order val="1"/>
          <c:tx>
            <c:v>Predicted16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Weather!$C$122:$C$241</c:f>
              <c:numCache>
                <c:formatCode>0</c:formatCode>
                <c:ptCount val="120"/>
                <c:pt idx="0">
                  <c:v>-5.9677419354838701</c:v>
                </c:pt>
                <c:pt idx="1">
                  <c:v>-3.8107142857142859</c:v>
                </c:pt>
                <c:pt idx="2">
                  <c:v>0.30322580645161273</c:v>
                </c:pt>
                <c:pt idx="3">
                  <c:v>6.8466666666666667</c:v>
                </c:pt>
                <c:pt idx="4">
                  <c:v>13.251612903225809</c:v>
                </c:pt>
                <c:pt idx="5">
                  <c:v>19.743333333333332</c:v>
                </c:pt>
                <c:pt idx="6">
                  <c:v>24.748387096774191</c:v>
                </c:pt>
                <c:pt idx="7">
                  <c:v>22.074193548387104</c:v>
                </c:pt>
                <c:pt idx="8">
                  <c:v>18.119999999999997</c:v>
                </c:pt>
                <c:pt idx="9">
                  <c:v>11.393548387096775</c:v>
                </c:pt>
                <c:pt idx="10">
                  <c:v>7.7799999999999994</c:v>
                </c:pt>
                <c:pt idx="11">
                  <c:v>1.6870967741935483</c:v>
                </c:pt>
                <c:pt idx="12">
                  <c:v>-0.79354838709677411</c:v>
                </c:pt>
                <c:pt idx="13">
                  <c:v>0.38275862068965522</c:v>
                </c:pt>
                <c:pt idx="14">
                  <c:v>6.9935483870967747</c:v>
                </c:pt>
                <c:pt idx="15">
                  <c:v>7.9733333333333354</c:v>
                </c:pt>
                <c:pt idx="16">
                  <c:v>16.677419354838712</c:v>
                </c:pt>
                <c:pt idx="17">
                  <c:v>21.043333333333333</c:v>
                </c:pt>
                <c:pt idx="18">
                  <c:v>24.616129032258058</c:v>
                </c:pt>
                <c:pt idx="19">
                  <c:v>22.248387096774191</c:v>
                </c:pt>
                <c:pt idx="20">
                  <c:v>17.213333333333335</c:v>
                </c:pt>
                <c:pt idx="21">
                  <c:v>10.916129032258064</c:v>
                </c:pt>
                <c:pt idx="22">
                  <c:v>4.3533333333333335</c:v>
                </c:pt>
                <c:pt idx="23">
                  <c:v>2.0774193548387103</c:v>
                </c:pt>
                <c:pt idx="24">
                  <c:v>-1.7516129032258065</c:v>
                </c:pt>
                <c:pt idx="25">
                  <c:v>-3.089285714285714</c:v>
                </c:pt>
                <c:pt idx="26">
                  <c:v>1.0580645161290323</c:v>
                </c:pt>
                <c:pt idx="27">
                  <c:v>6.666666666666667</c:v>
                </c:pt>
                <c:pt idx="28">
                  <c:v>15.122580645161291</c:v>
                </c:pt>
                <c:pt idx="29">
                  <c:v>19.133333333333336</c:v>
                </c:pt>
                <c:pt idx="30">
                  <c:v>22.548387096774199</c:v>
                </c:pt>
                <c:pt idx="31">
                  <c:v>20.977419354838705</c:v>
                </c:pt>
                <c:pt idx="32">
                  <c:v>16.673333333333336</c:v>
                </c:pt>
                <c:pt idx="33">
                  <c:v>11.903225806451612</c:v>
                </c:pt>
                <c:pt idx="34">
                  <c:v>3.26</c:v>
                </c:pt>
                <c:pt idx="35">
                  <c:v>-2.6354838709677422</c:v>
                </c:pt>
                <c:pt idx="36">
                  <c:v>-7.1451612903225783</c:v>
                </c:pt>
                <c:pt idx="37">
                  <c:v>-6.3964285714285722</c:v>
                </c:pt>
                <c:pt idx="38">
                  <c:v>-2.8999999999999995</c:v>
                </c:pt>
                <c:pt idx="39">
                  <c:v>6.943333333333336</c:v>
                </c:pt>
                <c:pt idx="40">
                  <c:v>14.203225806451613</c:v>
                </c:pt>
                <c:pt idx="41">
                  <c:v>19.976666666666667</c:v>
                </c:pt>
                <c:pt idx="42">
                  <c:v>20.835483870967746</c:v>
                </c:pt>
                <c:pt idx="43">
                  <c:v>20.732258064516131</c:v>
                </c:pt>
                <c:pt idx="44">
                  <c:v>17.43</c:v>
                </c:pt>
                <c:pt idx="45">
                  <c:v>11.725806451612906</c:v>
                </c:pt>
                <c:pt idx="46">
                  <c:v>2.9366666666666665</c:v>
                </c:pt>
                <c:pt idx="47">
                  <c:v>0.76129032258064544</c:v>
                </c:pt>
                <c:pt idx="48">
                  <c:v>-6.4806451612903224</c:v>
                </c:pt>
                <c:pt idx="49">
                  <c:v>-11.107142857142858</c:v>
                </c:pt>
                <c:pt idx="50">
                  <c:v>-0.75483870967741939</c:v>
                </c:pt>
                <c:pt idx="51">
                  <c:v>8.0066666666666659</c:v>
                </c:pt>
                <c:pt idx="52">
                  <c:v>16.56774193548387</c:v>
                </c:pt>
                <c:pt idx="53">
                  <c:v>17.95</c:v>
                </c:pt>
                <c:pt idx="54">
                  <c:v>22.048387096774196</c:v>
                </c:pt>
                <c:pt idx="55">
                  <c:v>21.21935483870968</c:v>
                </c:pt>
                <c:pt idx="56">
                  <c:v>20.309999999999999</c:v>
                </c:pt>
                <c:pt idx="57">
                  <c:v>11.338709677419354</c:v>
                </c:pt>
                <c:pt idx="58">
                  <c:v>7.8766666666666652</c:v>
                </c:pt>
                <c:pt idx="59">
                  <c:v>5.0709677419354833</c:v>
                </c:pt>
                <c:pt idx="60">
                  <c:v>-2.5677419354838702</c:v>
                </c:pt>
                <c:pt idx="61">
                  <c:v>-0.98620689655172389</c:v>
                </c:pt>
                <c:pt idx="62">
                  <c:v>4.0129032258064514</c:v>
                </c:pt>
                <c:pt idx="63">
                  <c:v>5.4000000000000012</c:v>
                </c:pt>
                <c:pt idx="64">
                  <c:v>15.135483870967743</c:v>
                </c:pt>
                <c:pt idx="65">
                  <c:v>19.956666666666667</c:v>
                </c:pt>
                <c:pt idx="66">
                  <c:v>23.838709677419349</c:v>
                </c:pt>
                <c:pt idx="67">
                  <c:v>24.412903225806449</c:v>
                </c:pt>
                <c:pt idx="68">
                  <c:v>19.709999999999997</c:v>
                </c:pt>
                <c:pt idx="69">
                  <c:v>12.945161290322584</c:v>
                </c:pt>
                <c:pt idx="70">
                  <c:v>7.6000000000000023</c:v>
                </c:pt>
                <c:pt idx="71">
                  <c:v>-1.0645161290322585</c:v>
                </c:pt>
                <c:pt idx="72">
                  <c:v>-0.90645161290322607</c:v>
                </c:pt>
                <c:pt idx="73">
                  <c:v>1.1678571428571429</c:v>
                </c:pt>
                <c:pt idx="74">
                  <c:v>0.56129032258064526</c:v>
                </c:pt>
                <c:pt idx="75">
                  <c:v>9.4666666666666703</c:v>
                </c:pt>
                <c:pt idx="76">
                  <c:v>12.745161290322583</c:v>
                </c:pt>
                <c:pt idx="77">
                  <c:v>19.77333333333333</c:v>
                </c:pt>
                <c:pt idx="78">
                  <c:v>21.87096774193548</c:v>
                </c:pt>
                <c:pt idx="79">
                  <c:v>20.816129032258058</c:v>
                </c:pt>
                <c:pt idx="80">
                  <c:v>18.726666666666667</c:v>
                </c:pt>
                <c:pt idx="81">
                  <c:v>14.403225806451617</c:v>
                </c:pt>
                <c:pt idx="82">
                  <c:v>4.3099999999999996</c:v>
                </c:pt>
                <c:pt idx="83">
                  <c:v>-3.7838709677419349</c:v>
                </c:pt>
                <c:pt idx="84">
                  <c:v>-4.5354838709677407</c:v>
                </c:pt>
                <c:pt idx="85">
                  <c:v>-0.49642857142857139</c:v>
                </c:pt>
                <c:pt idx="86">
                  <c:v>0.38387096774193546</c:v>
                </c:pt>
                <c:pt idx="87">
                  <c:v>3.8099999999999996</c:v>
                </c:pt>
                <c:pt idx="88">
                  <c:v>16.380645161290328</c:v>
                </c:pt>
                <c:pt idx="89">
                  <c:v>19.593333333333337</c:v>
                </c:pt>
                <c:pt idx="90">
                  <c:v>23.654838709677414</c:v>
                </c:pt>
                <c:pt idx="91">
                  <c:v>23.525806451612898</c:v>
                </c:pt>
                <c:pt idx="92">
                  <c:v>19.326666666666664</c:v>
                </c:pt>
                <c:pt idx="93">
                  <c:v>10.529032258064522</c:v>
                </c:pt>
                <c:pt idx="94">
                  <c:v>2.1866666666666665</c:v>
                </c:pt>
                <c:pt idx="95">
                  <c:v>0.57741935483870965</c:v>
                </c:pt>
                <c:pt idx="96">
                  <c:v>-5.3290322580645162</c:v>
                </c:pt>
                <c:pt idx="97">
                  <c:v>-2.8142857142857141</c:v>
                </c:pt>
                <c:pt idx="98">
                  <c:v>0.3225806451612902</c:v>
                </c:pt>
                <c:pt idx="99">
                  <c:v>6.6400000000000006</c:v>
                </c:pt>
                <c:pt idx="100">
                  <c:v>12.232258064516133</c:v>
                </c:pt>
                <c:pt idx="101">
                  <c:v>18.116666666666667</c:v>
                </c:pt>
                <c:pt idx="102">
                  <c:v>23.422580645161286</c:v>
                </c:pt>
                <c:pt idx="103">
                  <c:v>21.416129032258059</c:v>
                </c:pt>
                <c:pt idx="104">
                  <c:v>18.566666666666666</c:v>
                </c:pt>
                <c:pt idx="105">
                  <c:v>11.461290322580648</c:v>
                </c:pt>
                <c:pt idx="106">
                  <c:v>1.8266666666666667</c:v>
                </c:pt>
                <c:pt idx="107">
                  <c:v>7.4193548387096936E-2</c:v>
                </c:pt>
                <c:pt idx="108">
                  <c:v>-0.43548387096774183</c:v>
                </c:pt>
                <c:pt idx="109">
                  <c:v>-1.4551724137931032</c:v>
                </c:pt>
                <c:pt idx="110">
                  <c:v>3.7258064516129021</c:v>
                </c:pt>
                <c:pt idx="111">
                  <c:v>6.3566666666666682</c:v>
                </c:pt>
                <c:pt idx="112">
                  <c:v>12.483870967741939</c:v>
                </c:pt>
                <c:pt idx="113">
                  <c:v>20.48</c:v>
                </c:pt>
                <c:pt idx="114">
                  <c:v>24.954838709677418</c:v>
                </c:pt>
                <c:pt idx="115">
                  <c:v>22.603225806451611</c:v>
                </c:pt>
                <c:pt idx="116">
                  <c:v>17.706666666666667</c:v>
                </c:pt>
                <c:pt idx="117">
                  <c:v>10.632258064516131</c:v>
                </c:pt>
                <c:pt idx="118">
                  <c:v>7.7066666666666697</c:v>
                </c:pt>
                <c:pt idx="119">
                  <c:v>0.64838709677419371</c:v>
                </c:pt>
              </c:numCache>
            </c:numRef>
          </c:xVal>
          <c:yVal>
            <c:numRef>
              <c:f>Weather!$R$122:$R$241</c:f>
              <c:numCache>
                <c:formatCode>_(* #,##0_);_(* \(#,##0\);_(* "-"??_);_(@_)</c:formatCode>
                <c:ptCount val="120"/>
                <c:pt idx="0">
                  <c:v>17599247.902229022</c:v>
                </c:pt>
                <c:pt idx="1">
                  <c:v>16722135.438637393</c:v>
                </c:pt>
                <c:pt idx="2">
                  <c:v>16249203.065156871</c:v>
                </c:pt>
                <c:pt idx="3">
                  <c:v>14776931.946539091</c:v>
                </c:pt>
                <c:pt idx="4">
                  <c:v>14598243.644670097</c:v>
                </c:pt>
                <c:pt idx="5">
                  <c:v>16677019.372757167</c:v>
                </c:pt>
                <c:pt idx="6">
                  <c:v>21956454.010582626</c:v>
                </c:pt>
                <c:pt idx="7">
                  <c:v>19178897.506165713</c:v>
                </c:pt>
                <c:pt idx="8">
                  <c:v>15704658.701620981</c:v>
                </c:pt>
                <c:pt idx="9">
                  <c:v>14351063.671499867</c:v>
                </c:pt>
                <c:pt idx="10">
                  <c:v>14582481.04408014</c:v>
                </c:pt>
                <c:pt idx="11">
                  <c:v>15951276.503889406</c:v>
                </c:pt>
                <c:pt idx="12">
                  <c:v>16485322.018142739</c:v>
                </c:pt>
                <c:pt idx="13">
                  <c:v>16015167.514697347</c:v>
                </c:pt>
                <c:pt idx="14">
                  <c:v>14914046.356405217</c:v>
                </c:pt>
                <c:pt idx="15">
                  <c:v>14788944.358270455</c:v>
                </c:pt>
                <c:pt idx="16">
                  <c:v>15393758.180772748</c:v>
                </c:pt>
                <c:pt idx="17">
                  <c:v>18210228.251644548</c:v>
                </c:pt>
                <c:pt idx="18">
                  <c:v>21819083.906021599</c:v>
                </c:pt>
                <c:pt idx="19">
                  <c:v>19359823.985343654</c:v>
                </c:pt>
                <c:pt idx="20">
                  <c:v>15282765.226556394</c:v>
                </c:pt>
                <c:pt idx="21">
                  <c:v>14219237.306691714</c:v>
                </c:pt>
                <c:pt idx="22">
                  <c:v>15296393.643108007</c:v>
                </c:pt>
                <c:pt idx="23">
                  <c:v>15867245.935326787</c:v>
                </c:pt>
                <c:pt idx="24">
                  <c:v>16691578.868250985</c:v>
                </c:pt>
                <c:pt idx="25">
                  <c:v>16581853.001863435</c:v>
                </c:pt>
                <c:pt idx="26">
                  <c:v>16086697.66810189</c:v>
                </c:pt>
                <c:pt idx="27">
                  <c:v>14814433.192013318</c:v>
                </c:pt>
                <c:pt idx="28">
                  <c:v>14879050.368580561</c:v>
                </c:pt>
                <c:pt idx="29">
                  <c:v>16630173.738715319</c:v>
                </c:pt>
                <c:pt idx="30">
                  <c:v>19671419.588372327</c:v>
                </c:pt>
                <c:pt idx="31">
                  <c:v>18039730.785415716</c:v>
                </c:pt>
                <c:pt idx="32">
                  <c:v>15188976.111918693</c:v>
                </c:pt>
                <c:pt idx="33">
                  <c:v>14253472.678704103</c:v>
                </c:pt>
                <c:pt idx="34">
                  <c:v>15524178.985988492</c:v>
                </c:pt>
                <c:pt idx="35">
                  <c:v>16881862.965657249</c:v>
                </c:pt>
                <c:pt idx="36">
                  <c:v>17852728.542934444</c:v>
                </c:pt>
                <c:pt idx="37">
                  <c:v>17224929.91499554</c:v>
                </c:pt>
                <c:pt idx="38">
                  <c:v>16938809.301377367</c:v>
                </c:pt>
                <c:pt idx="39">
                  <c:v>14772972.220240131</c:v>
                </c:pt>
                <c:pt idx="40">
                  <c:v>14239667.330750111</c:v>
                </c:pt>
                <c:pt idx="41">
                  <c:v>16968183.10771247</c:v>
                </c:pt>
                <c:pt idx="42">
                  <c:v>17892309.209789243</c:v>
                </c:pt>
                <c:pt idx="43">
                  <c:v>17789138.476288464</c:v>
                </c:pt>
                <c:pt idx="44">
                  <c:v>15456052.563137732</c:v>
                </c:pt>
                <c:pt idx="45">
                  <c:v>14210769.234408531</c:v>
                </c:pt>
                <c:pt idx="46">
                  <c:v>15591542.334340343</c:v>
                </c:pt>
                <c:pt idx="47">
                  <c:v>16150588.678909831</c:v>
                </c:pt>
                <c:pt idx="48">
                  <c:v>17709668.236125354</c:v>
                </c:pt>
                <c:pt idx="49">
                  <c:v>18140932.559078958</c:v>
                </c:pt>
                <c:pt idx="50">
                  <c:v>16476988.408037357</c:v>
                </c:pt>
                <c:pt idx="51">
                  <c:v>14547392.127074754</c:v>
                </c:pt>
                <c:pt idx="52">
                  <c:v>15660067.547907075</c:v>
                </c:pt>
                <c:pt idx="53">
                  <c:v>15699626.965929572</c:v>
                </c:pt>
                <c:pt idx="54">
                  <c:v>19152093.583324537</c:v>
                </c:pt>
                <c:pt idx="55">
                  <c:v>18291017.562051743</c:v>
                </c:pt>
                <c:pt idx="56">
                  <c:v>17505480.036423627</c:v>
                </c:pt>
                <c:pt idx="57">
                  <c:v>14063542.737218412</c:v>
                </c:pt>
                <c:pt idx="58">
                  <c:v>14655375.51719583</c:v>
                </c:pt>
                <c:pt idx="59">
                  <c:v>15222780.087177116</c:v>
                </c:pt>
                <c:pt idx="60">
                  <c:v>16867279.147972822</c:v>
                </c:pt>
                <c:pt idx="61">
                  <c:v>16290871.115683788</c:v>
                </c:pt>
                <c:pt idx="62">
                  <c:v>15450565.430057604</c:v>
                </c:pt>
                <c:pt idx="63">
                  <c:v>15098555.634670112</c:v>
                </c:pt>
                <c:pt idx="64">
                  <c:v>15863242.217344115</c:v>
                </c:pt>
                <c:pt idx="65">
                  <c:v>17126058.311594464</c:v>
                </c:pt>
                <c:pt idx="66">
                  <c:v>21011615.730431158</c:v>
                </c:pt>
                <c:pt idx="67">
                  <c:v>21608003.013647333</c:v>
                </c:pt>
                <c:pt idx="68">
                  <c:v>16906436.730361082</c:v>
                </c:pt>
                <c:pt idx="69">
                  <c:v>14724892.42596332</c:v>
                </c:pt>
                <c:pt idx="70">
                  <c:v>14619982.289554367</c:v>
                </c:pt>
                <c:pt idx="71">
                  <c:v>16543657.288880426</c:v>
                </c:pt>
                <c:pt idx="72">
                  <c:v>16509628.380950108</c:v>
                </c:pt>
                <c:pt idx="73">
                  <c:v>15754047.731395325</c:v>
                </c:pt>
                <c:pt idx="74">
                  <c:v>16193645.664454313</c:v>
                </c:pt>
                <c:pt idx="75">
                  <c:v>14445463.2514247</c:v>
                </c:pt>
                <c:pt idx="76">
                  <c:v>14541431.771127775</c:v>
                </c:pt>
                <c:pt idx="77">
                  <c:v>16889196.889830295</c:v>
                </c:pt>
                <c:pt idx="78">
                  <c:v>18967816.613791451</c:v>
                </c:pt>
                <c:pt idx="79">
                  <c:v>17872206.26765836</c:v>
                </c:pt>
                <c:pt idx="80">
                  <c:v>16354897.524897037</c:v>
                </c:pt>
                <c:pt idx="81">
                  <c:v>14855938.47702606</c:v>
                </c:pt>
                <c:pt idx="82">
                  <c:v>15305421.720722172</c:v>
                </c:pt>
                <c:pt idx="83">
                  <c:v>17129093.398783628</c:v>
                </c:pt>
                <c:pt idx="84">
                  <c:v>17290904.328329828</c:v>
                </c:pt>
                <c:pt idx="85">
                  <c:v>16077669.590487724</c:v>
                </c:pt>
                <c:pt idx="86">
                  <c:v>16231841.377437321</c:v>
                </c:pt>
                <c:pt idx="87">
                  <c:v>15409591.847039467</c:v>
                </c:pt>
                <c:pt idx="88">
                  <c:v>15239221.466928519</c:v>
                </c:pt>
                <c:pt idx="89">
                  <c:v>16688045.621332709</c:v>
                </c:pt>
                <c:pt idx="90">
                  <c:v>20820637.780187774</c:v>
                </c:pt>
                <c:pt idx="91">
                  <c:v>20686618.165981892</c:v>
                </c:pt>
                <c:pt idx="92">
                  <c:v>17075289.566877447</c:v>
                </c:pt>
                <c:pt idx="93">
                  <c:v>14792013.309280964</c:v>
                </c:pt>
                <c:pt idx="94">
                  <c:v>15747797.523816288</c:v>
                </c:pt>
                <c:pt idx="95">
                  <c:v>16190173.326910403</c:v>
                </c:pt>
                <c:pt idx="96">
                  <c:v>17461743.335490189</c:v>
                </c:pt>
                <c:pt idx="97">
                  <c:v>16528379.003687223</c:v>
                </c:pt>
                <c:pt idx="98">
                  <c:v>16245036.260104179</c:v>
                </c:pt>
                <c:pt idx="99">
                  <c:v>14819988.932083573</c:v>
                </c:pt>
                <c:pt idx="100">
                  <c:v>14154322.287760839</c:v>
                </c:pt>
                <c:pt idx="101">
                  <c:v>15446475.865838304</c:v>
                </c:pt>
                <c:pt idx="102">
                  <c:v>20579402.474617187</c:v>
                </c:pt>
                <c:pt idx="103">
                  <c:v>18495397.473715715</c:v>
                </c:pt>
                <c:pt idx="104">
                  <c:v>15518566.024573829</c:v>
                </c:pt>
                <c:pt idx="105">
                  <c:v>14122097.087027207</c:v>
                </c:pt>
                <c:pt idx="106">
                  <c:v>15822800.014764741</c:v>
                </c:pt>
                <c:pt idx="107">
                  <c:v>16298510.258280389</c:v>
                </c:pt>
                <c:pt idx="108">
                  <c:v>16408236.124667943</c:v>
                </c:pt>
                <c:pt idx="109">
                  <c:v>16385318.696878137</c:v>
                </c:pt>
                <c:pt idx="110">
                  <c:v>15512373.038339198</c:v>
                </c:pt>
                <c:pt idx="111">
                  <c:v>14879018.67033004</c:v>
                </c:pt>
                <c:pt idx="112">
                  <c:v>15471394.537947787</c:v>
                </c:pt>
                <c:pt idx="113">
                  <c:v>17680400.002400056</c:v>
                </c:pt>
                <c:pt idx="114">
                  <c:v>22170885.393312041</c:v>
                </c:pt>
                <c:pt idx="115">
                  <c:v>19728377.924409833</c:v>
                </c:pt>
                <c:pt idx="116">
                  <c:v>15471221.001459552</c:v>
                </c:pt>
                <c:pt idx="117">
                  <c:v>14260125.658144882</c:v>
                </c:pt>
                <c:pt idx="118">
                  <c:v>14723153.023055144</c:v>
                </c:pt>
                <c:pt idx="119">
                  <c:v>16174895.041717198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E50-4ECD-9E18-8BFBA2AC11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99280136"/>
        <c:axId val="899274888"/>
      </c:scatterChart>
      <c:valAx>
        <c:axId val="899280136"/>
        <c:scaling>
          <c:orientation val="minMax"/>
          <c:max val="28"/>
          <c:min val="-14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Average</a:t>
                </a:r>
                <a:r>
                  <a:rPr lang="en-US" baseline="0"/>
                  <a:t> Monthly Tempurature (</a:t>
                </a:r>
                <a:r>
                  <a:rPr lang="en-US" sz="1000" b="0" i="0" u="none" strike="noStrike" baseline="0">
                    <a:effectLst/>
                  </a:rPr>
                  <a:t>°</a:t>
                </a:r>
                <a:r>
                  <a:rPr lang="en-US" baseline="0"/>
                  <a:t>C)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99274888"/>
        <c:crosses val="autoZero"/>
        <c:crossBetween val="midCat"/>
        <c:majorUnit val="2"/>
      </c:valAx>
      <c:valAx>
        <c:axId val="899274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Monthly Purchases (kWh)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992801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Purchases vs Temperatures (2011-2020)</a:t>
            </a:r>
          </a:p>
          <a:p>
            <a:pPr>
              <a:defRPr/>
            </a:pPr>
            <a:r>
              <a:rPr lang="en-US"/>
              <a:t>(+CDM - Embedded)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Weather!$C$122:$C$241</c:f>
              <c:numCache>
                <c:formatCode>0</c:formatCode>
                <c:ptCount val="120"/>
                <c:pt idx="0">
                  <c:v>-5.9677419354838701</c:v>
                </c:pt>
                <c:pt idx="1">
                  <c:v>-3.8107142857142859</c:v>
                </c:pt>
                <c:pt idx="2">
                  <c:v>0.30322580645161273</c:v>
                </c:pt>
                <c:pt idx="3">
                  <c:v>6.8466666666666667</c:v>
                </c:pt>
                <c:pt idx="4">
                  <c:v>13.251612903225809</c:v>
                </c:pt>
                <c:pt idx="5">
                  <c:v>19.743333333333332</c:v>
                </c:pt>
                <c:pt idx="6">
                  <c:v>24.748387096774191</c:v>
                </c:pt>
                <c:pt idx="7">
                  <c:v>22.074193548387104</c:v>
                </c:pt>
                <c:pt idx="8">
                  <c:v>18.119999999999997</c:v>
                </c:pt>
                <c:pt idx="9">
                  <c:v>11.393548387096775</c:v>
                </c:pt>
                <c:pt idx="10">
                  <c:v>7.7799999999999994</c:v>
                </c:pt>
                <c:pt idx="11">
                  <c:v>1.6870967741935483</c:v>
                </c:pt>
                <c:pt idx="12">
                  <c:v>-0.79354838709677411</c:v>
                </c:pt>
                <c:pt idx="13">
                  <c:v>0.38275862068965522</c:v>
                </c:pt>
                <c:pt idx="14">
                  <c:v>6.9935483870967747</c:v>
                </c:pt>
                <c:pt idx="15">
                  <c:v>7.9733333333333354</c:v>
                </c:pt>
                <c:pt idx="16">
                  <c:v>16.677419354838712</c:v>
                </c:pt>
                <c:pt idx="17">
                  <c:v>21.043333333333333</c:v>
                </c:pt>
                <c:pt idx="18">
                  <c:v>24.616129032258058</c:v>
                </c:pt>
                <c:pt idx="19">
                  <c:v>22.248387096774191</c:v>
                </c:pt>
                <c:pt idx="20">
                  <c:v>17.213333333333335</c:v>
                </c:pt>
                <c:pt idx="21">
                  <c:v>10.916129032258064</c:v>
                </c:pt>
                <c:pt idx="22">
                  <c:v>4.3533333333333335</c:v>
                </c:pt>
                <c:pt idx="23">
                  <c:v>2.0774193548387103</c:v>
                </c:pt>
                <c:pt idx="24">
                  <c:v>-1.7516129032258065</c:v>
                </c:pt>
                <c:pt idx="25">
                  <c:v>-3.089285714285714</c:v>
                </c:pt>
                <c:pt idx="26">
                  <c:v>1.0580645161290323</c:v>
                </c:pt>
                <c:pt idx="27">
                  <c:v>6.666666666666667</c:v>
                </c:pt>
                <c:pt idx="28">
                  <c:v>15.122580645161291</c:v>
                </c:pt>
                <c:pt idx="29">
                  <c:v>19.133333333333336</c:v>
                </c:pt>
                <c:pt idx="30">
                  <c:v>22.548387096774199</c:v>
                </c:pt>
                <c:pt idx="31">
                  <c:v>20.977419354838705</c:v>
                </c:pt>
                <c:pt idx="32">
                  <c:v>16.673333333333336</c:v>
                </c:pt>
                <c:pt idx="33">
                  <c:v>11.903225806451612</c:v>
                </c:pt>
                <c:pt idx="34">
                  <c:v>3.26</c:v>
                </c:pt>
                <c:pt idx="35">
                  <c:v>-2.6354838709677422</c:v>
                </c:pt>
                <c:pt idx="36">
                  <c:v>-7.1451612903225783</c:v>
                </c:pt>
                <c:pt idx="37">
                  <c:v>-6.3964285714285722</c:v>
                </c:pt>
                <c:pt idx="38">
                  <c:v>-2.8999999999999995</c:v>
                </c:pt>
                <c:pt idx="39">
                  <c:v>6.943333333333336</c:v>
                </c:pt>
                <c:pt idx="40">
                  <c:v>14.203225806451613</c:v>
                </c:pt>
                <c:pt idx="41">
                  <c:v>19.976666666666667</c:v>
                </c:pt>
                <c:pt idx="42">
                  <c:v>20.835483870967746</c:v>
                </c:pt>
                <c:pt idx="43">
                  <c:v>20.732258064516131</c:v>
                </c:pt>
                <c:pt idx="44">
                  <c:v>17.43</c:v>
                </c:pt>
                <c:pt idx="45">
                  <c:v>11.725806451612906</c:v>
                </c:pt>
                <c:pt idx="46">
                  <c:v>2.9366666666666665</c:v>
                </c:pt>
                <c:pt idx="47">
                  <c:v>0.76129032258064544</c:v>
                </c:pt>
                <c:pt idx="48">
                  <c:v>-6.4806451612903224</c:v>
                </c:pt>
                <c:pt idx="49">
                  <c:v>-11.107142857142858</c:v>
                </c:pt>
                <c:pt idx="50">
                  <c:v>-0.75483870967741939</c:v>
                </c:pt>
                <c:pt idx="51">
                  <c:v>8.0066666666666659</c:v>
                </c:pt>
                <c:pt idx="52">
                  <c:v>16.56774193548387</c:v>
                </c:pt>
                <c:pt idx="53">
                  <c:v>17.95</c:v>
                </c:pt>
                <c:pt idx="54">
                  <c:v>22.048387096774196</c:v>
                </c:pt>
                <c:pt idx="55">
                  <c:v>21.21935483870968</c:v>
                </c:pt>
                <c:pt idx="56">
                  <c:v>20.309999999999999</c:v>
                </c:pt>
                <c:pt idx="57">
                  <c:v>11.338709677419354</c:v>
                </c:pt>
                <c:pt idx="58">
                  <c:v>7.8766666666666652</c:v>
                </c:pt>
                <c:pt idx="59">
                  <c:v>5.0709677419354833</c:v>
                </c:pt>
                <c:pt idx="60">
                  <c:v>-2.5677419354838702</c:v>
                </c:pt>
                <c:pt idx="61">
                  <c:v>-0.98620689655172389</c:v>
                </c:pt>
                <c:pt idx="62">
                  <c:v>4.0129032258064514</c:v>
                </c:pt>
                <c:pt idx="63">
                  <c:v>5.4000000000000012</c:v>
                </c:pt>
                <c:pt idx="64">
                  <c:v>15.135483870967743</c:v>
                </c:pt>
                <c:pt idx="65">
                  <c:v>19.956666666666667</c:v>
                </c:pt>
                <c:pt idx="66">
                  <c:v>23.838709677419349</c:v>
                </c:pt>
                <c:pt idx="67">
                  <c:v>24.412903225806449</c:v>
                </c:pt>
                <c:pt idx="68">
                  <c:v>19.709999999999997</c:v>
                </c:pt>
                <c:pt idx="69">
                  <c:v>12.945161290322584</c:v>
                </c:pt>
                <c:pt idx="70">
                  <c:v>7.6000000000000023</c:v>
                </c:pt>
                <c:pt idx="71">
                  <c:v>-1.0645161290322585</c:v>
                </c:pt>
                <c:pt idx="72">
                  <c:v>-0.90645161290322607</c:v>
                </c:pt>
                <c:pt idx="73">
                  <c:v>1.1678571428571429</c:v>
                </c:pt>
                <c:pt idx="74">
                  <c:v>0.56129032258064526</c:v>
                </c:pt>
                <c:pt idx="75">
                  <c:v>9.4666666666666703</c:v>
                </c:pt>
                <c:pt idx="76">
                  <c:v>12.745161290322583</c:v>
                </c:pt>
                <c:pt idx="77">
                  <c:v>19.77333333333333</c:v>
                </c:pt>
                <c:pt idx="78">
                  <c:v>21.87096774193548</c:v>
                </c:pt>
                <c:pt idx="79">
                  <c:v>20.816129032258058</c:v>
                </c:pt>
                <c:pt idx="80">
                  <c:v>18.726666666666667</c:v>
                </c:pt>
                <c:pt idx="81">
                  <c:v>14.403225806451617</c:v>
                </c:pt>
                <c:pt idx="82">
                  <c:v>4.3099999999999996</c:v>
                </c:pt>
                <c:pt idx="83">
                  <c:v>-3.7838709677419349</c:v>
                </c:pt>
                <c:pt idx="84">
                  <c:v>-4.5354838709677407</c:v>
                </c:pt>
                <c:pt idx="85">
                  <c:v>-0.49642857142857139</c:v>
                </c:pt>
                <c:pt idx="86">
                  <c:v>0.38387096774193546</c:v>
                </c:pt>
                <c:pt idx="87">
                  <c:v>3.8099999999999996</c:v>
                </c:pt>
                <c:pt idx="88">
                  <c:v>16.380645161290328</c:v>
                </c:pt>
                <c:pt idx="89">
                  <c:v>19.593333333333337</c:v>
                </c:pt>
                <c:pt idx="90">
                  <c:v>23.654838709677414</c:v>
                </c:pt>
                <c:pt idx="91">
                  <c:v>23.525806451612898</c:v>
                </c:pt>
                <c:pt idx="92">
                  <c:v>19.326666666666664</c:v>
                </c:pt>
                <c:pt idx="93">
                  <c:v>10.529032258064522</c:v>
                </c:pt>
                <c:pt idx="94">
                  <c:v>2.1866666666666665</c:v>
                </c:pt>
                <c:pt idx="95">
                  <c:v>0.57741935483870965</c:v>
                </c:pt>
                <c:pt idx="96">
                  <c:v>-5.3290322580645162</c:v>
                </c:pt>
                <c:pt idx="97">
                  <c:v>-2.8142857142857141</c:v>
                </c:pt>
                <c:pt idx="98">
                  <c:v>0.3225806451612902</c:v>
                </c:pt>
                <c:pt idx="99">
                  <c:v>6.6400000000000006</c:v>
                </c:pt>
                <c:pt idx="100">
                  <c:v>12.232258064516133</c:v>
                </c:pt>
                <c:pt idx="101">
                  <c:v>18.116666666666667</c:v>
                </c:pt>
                <c:pt idx="102">
                  <c:v>23.422580645161286</c:v>
                </c:pt>
                <c:pt idx="103">
                  <c:v>21.416129032258059</c:v>
                </c:pt>
                <c:pt idx="104">
                  <c:v>18.566666666666666</c:v>
                </c:pt>
                <c:pt idx="105">
                  <c:v>11.461290322580648</c:v>
                </c:pt>
                <c:pt idx="106">
                  <c:v>1.8266666666666667</c:v>
                </c:pt>
                <c:pt idx="107">
                  <c:v>7.4193548387096936E-2</c:v>
                </c:pt>
                <c:pt idx="108">
                  <c:v>-0.43548387096774183</c:v>
                </c:pt>
                <c:pt idx="109">
                  <c:v>-1.4551724137931032</c:v>
                </c:pt>
                <c:pt idx="110">
                  <c:v>3.7258064516129021</c:v>
                </c:pt>
                <c:pt idx="111">
                  <c:v>6.3566666666666682</c:v>
                </c:pt>
                <c:pt idx="112">
                  <c:v>12.483870967741939</c:v>
                </c:pt>
                <c:pt idx="113">
                  <c:v>20.48</c:v>
                </c:pt>
                <c:pt idx="114">
                  <c:v>24.954838709677418</c:v>
                </c:pt>
                <c:pt idx="115">
                  <c:v>22.603225806451611</c:v>
                </c:pt>
                <c:pt idx="116">
                  <c:v>17.706666666666667</c:v>
                </c:pt>
                <c:pt idx="117">
                  <c:v>10.632258064516131</c:v>
                </c:pt>
                <c:pt idx="118">
                  <c:v>7.7066666666666697</c:v>
                </c:pt>
                <c:pt idx="119">
                  <c:v>0.64838709677419371</c:v>
                </c:pt>
              </c:numCache>
            </c:numRef>
          </c:xVal>
          <c:yVal>
            <c:numRef>
              <c:f>Weather!$Q$122:$Q$241</c:f>
              <c:numCache>
                <c:formatCode>_(* #,##0_);_(* \(#,##0\);_(* "-"??_);_(@_)</c:formatCode>
                <c:ptCount val="120"/>
                <c:pt idx="0">
                  <c:v>16979172.514533948</c:v>
                </c:pt>
                <c:pt idx="1">
                  <c:v>15047589.912367899</c:v>
                </c:pt>
                <c:pt idx="2">
                  <c:v>15620163.862051852</c:v>
                </c:pt>
                <c:pt idx="3">
                  <c:v>13931869.7041358</c:v>
                </c:pt>
                <c:pt idx="4">
                  <c:v>13997474.84336975</c:v>
                </c:pt>
                <c:pt idx="5">
                  <c:v>15676013.3424537</c:v>
                </c:pt>
                <c:pt idx="6">
                  <c:v>20823144.013312649</c:v>
                </c:pt>
                <c:pt idx="7">
                  <c:v>18346250.653371599</c:v>
                </c:pt>
                <c:pt idx="8">
                  <c:v>15239386.713305552</c:v>
                </c:pt>
                <c:pt idx="9">
                  <c:v>14531682.366339501</c:v>
                </c:pt>
                <c:pt idx="10">
                  <c:v>14488945.211273452</c:v>
                </c:pt>
                <c:pt idx="11">
                  <c:v>16312195.0953074</c:v>
                </c:pt>
                <c:pt idx="12">
                  <c:v>16521541.606928099</c:v>
                </c:pt>
                <c:pt idx="13">
                  <c:v>15021222.700664848</c:v>
                </c:pt>
                <c:pt idx="14">
                  <c:v>14617779.875351597</c:v>
                </c:pt>
                <c:pt idx="15">
                  <c:v>13531898.019846346</c:v>
                </c:pt>
                <c:pt idx="16">
                  <c:v>14721669.931899093</c:v>
                </c:pt>
                <c:pt idx="17">
                  <c:v>17282421.461563841</c:v>
                </c:pt>
                <c:pt idx="18">
                  <c:v>21075817.01614859</c:v>
                </c:pt>
                <c:pt idx="19">
                  <c:v>18877057.147735339</c:v>
                </c:pt>
                <c:pt idx="20">
                  <c:v>15574211.126250088</c:v>
                </c:pt>
                <c:pt idx="21">
                  <c:v>14569117.846834837</c:v>
                </c:pt>
                <c:pt idx="22">
                  <c:v>14846539.203665584</c:v>
                </c:pt>
                <c:pt idx="23">
                  <c:v>16346259.166742332</c:v>
                </c:pt>
                <c:pt idx="24">
                  <c:v>16799318.155919474</c:v>
                </c:pt>
                <c:pt idx="25">
                  <c:v>15188659.921796532</c:v>
                </c:pt>
                <c:pt idx="26">
                  <c:v>15599002.238783589</c:v>
                </c:pt>
                <c:pt idx="27">
                  <c:v>14154340.188040646</c:v>
                </c:pt>
                <c:pt idx="28">
                  <c:v>14345251.058637705</c:v>
                </c:pt>
                <c:pt idx="29">
                  <c:v>16097520.220894763</c:v>
                </c:pt>
                <c:pt idx="30">
                  <c:v>19599082.005611818</c:v>
                </c:pt>
                <c:pt idx="31">
                  <c:v>17751860.164048877</c:v>
                </c:pt>
                <c:pt idx="32">
                  <c:v>15359661.633705935</c:v>
                </c:pt>
                <c:pt idx="33">
                  <c:v>14947329.771992994</c:v>
                </c:pt>
                <c:pt idx="34">
                  <c:v>15341764.92509005</c:v>
                </c:pt>
                <c:pt idx="35">
                  <c:v>17453527.877777111</c:v>
                </c:pt>
                <c:pt idx="36">
                  <c:v>18110591.944826521</c:v>
                </c:pt>
                <c:pt idx="37">
                  <c:v>15914959.373623915</c:v>
                </c:pt>
                <c:pt idx="38">
                  <c:v>16523960.662421307</c:v>
                </c:pt>
                <c:pt idx="39">
                  <c:v>14076712.2212187</c:v>
                </c:pt>
                <c:pt idx="40">
                  <c:v>14120153.400016092</c:v>
                </c:pt>
                <c:pt idx="41">
                  <c:v>16074243.668813486</c:v>
                </c:pt>
                <c:pt idx="42">
                  <c:v>17573409.757610876</c:v>
                </c:pt>
                <c:pt idx="43">
                  <c:v>17346387.716408271</c:v>
                </c:pt>
                <c:pt idx="44">
                  <c:v>15458570.535205664</c:v>
                </c:pt>
                <c:pt idx="45">
                  <c:v>14656248.124003055</c:v>
                </c:pt>
                <c:pt idx="46">
                  <c:v>15409794.682800449</c:v>
                </c:pt>
                <c:pt idx="47">
                  <c:v>16815698.731597841</c:v>
                </c:pt>
                <c:pt idx="48">
                  <c:v>17776501.36587267</c:v>
                </c:pt>
                <c:pt idx="49">
                  <c:v>16586638.093308568</c:v>
                </c:pt>
                <c:pt idx="50">
                  <c:v>16197667.250744466</c:v>
                </c:pt>
                <c:pt idx="51">
                  <c:v>14178019.948180361</c:v>
                </c:pt>
                <c:pt idx="52">
                  <c:v>14634774.36561626</c:v>
                </c:pt>
                <c:pt idx="53">
                  <c:v>15363243.533052159</c:v>
                </c:pt>
                <c:pt idx="54">
                  <c:v>19215810.310488056</c:v>
                </c:pt>
                <c:pt idx="55">
                  <c:v>17955367.007923953</c:v>
                </c:pt>
                <c:pt idx="56">
                  <c:v>17258803.265359849</c:v>
                </c:pt>
                <c:pt idx="57">
                  <c:v>14608896.192795746</c:v>
                </c:pt>
                <c:pt idx="58">
                  <c:v>14693283.140231643</c:v>
                </c:pt>
                <c:pt idx="59">
                  <c:v>16058716.967667542</c:v>
                </c:pt>
                <c:pt idx="60">
                  <c:v>16939376.199412331</c:v>
                </c:pt>
                <c:pt idx="61">
                  <c:v>15416417.774540534</c:v>
                </c:pt>
                <c:pt idx="62">
                  <c:v>15272049.369668743</c:v>
                </c:pt>
                <c:pt idx="63">
                  <c:v>14207371.904796947</c:v>
                </c:pt>
                <c:pt idx="64">
                  <c:v>15013563.993925152</c:v>
                </c:pt>
                <c:pt idx="65">
                  <c:v>16943325.46105336</c:v>
                </c:pt>
                <c:pt idx="66">
                  <c:v>20480258.260181557</c:v>
                </c:pt>
                <c:pt idx="67">
                  <c:v>21476180.805309765</c:v>
                </c:pt>
                <c:pt idx="68">
                  <c:v>16946826.49043797</c:v>
                </c:pt>
                <c:pt idx="69">
                  <c:v>14532502.75556618</c:v>
                </c:pt>
                <c:pt idx="70">
                  <c:v>14454504.990694383</c:v>
                </c:pt>
                <c:pt idx="71">
                  <c:v>16663570.695822585</c:v>
                </c:pt>
                <c:pt idx="72">
                  <c:v>16461122.712404348</c:v>
                </c:pt>
                <c:pt idx="73">
                  <c:v>14358849.953563245</c:v>
                </c:pt>
                <c:pt idx="74">
                  <c:v>15590701.678840145</c:v>
                </c:pt>
                <c:pt idx="75">
                  <c:v>13876736.012596153</c:v>
                </c:pt>
                <c:pt idx="76">
                  <c:v>14507053.598889221</c:v>
                </c:pt>
                <c:pt idx="77">
                  <c:v>16603531.118708437</c:v>
                </c:pt>
                <c:pt idx="78">
                  <c:v>18769029.761034757</c:v>
                </c:pt>
                <c:pt idx="79">
                  <c:v>18024259.602250282</c:v>
                </c:pt>
                <c:pt idx="80">
                  <c:v>16214042.156104552</c:v>
                </c:pt>
                <c:pt idx="81">
                  <c:v>14863074.54406726</c:v>
                </c:pt>
                <c:pt idx="82">
                  <c:v>15230410.808551352</c:v>
                </c:pt>
                <c:pt idx="83">
                  <c:v>17365688.731905557</c:v>
                </c:pt>
                <c:pt idx="84">
                  <c:v>18038356.804139033</c:v>
                </c:pt>
                <c:pt idx="85">
                  <c:v>15384114.566748679</c:v>
                </c:pt>
                <c:pt idx="86">
                  <c:v>16083390.228935946</c:v>
                </c:pt>
                <c:pt idx="87">
                  <c:v>15126771.74369522</c:v>
                </c:pt>
                <c:pt idx="88">
                  <c:v>15342535.193069376</c:v>
                </c:pt>
                <c:pt idx="89">
                  <c:v>17022894.145177811</c:v>
                </c:pt>
                <c:pt idx="90">
                  <c:v>21638269.176291507</c:v>
                </c:pt>
                <c:pt idx="91">
                  <c:v>21184937.913595378</c:v>
                </c:pt>
                <c:pt idx="92">
                  <c:v>17741776.780836895</c:v>
                </c:pt>
                <c:pt idx="93">
                  <c:v>15563028.704213254</c:v>
                </c:pt>
                <c:pt idx="94">
                  <c:v>16006417.306552835</c:v>
                </c:pt>
                <c:pt idx="95">
                  <c:v>17209752.122011255</c:v>
                </c:pt>
                <c:pt idx="96">
                  <c:v>18172352.816812448</c:v>
                </c:pt>
                <c:pt idx="97">
                  <c:v>16169434.931683503</c:v>
                </c:pt>
                <c:pt idx="98">
                  <c:v>16704349.149722897</c:v>
                </c:pt>
                <c:pt idx="99">
                  <c:v>14775139.845033761</c:v>
                </c:pt>
                <c:pt idx="100">
                  <c:v>14662602.785367284</c:v>
                </c:pt>
                <c:pt idx="101">
                  <c:v>15895741.398700908</c:v>
                </c:pt>
                <c:pt idx="102">
                  <c:v>21622935.524222266</c:v>
                </c:pt>
                <c:pt idx="103">
                  <c:v>19633135.176712491</c:v>
                </c:pt>
                <c:pt idx="104">
                  <c:v>16479245.574145515</c:v>
                </c:pt>
                <c:pt idx="105">
                  <c:v>15313996.618239906</c:v>
                </c:pt>
                <c:pt idx="106">
                  <c:v>16196589.67553002</c:v>
                </c:pt>
                <c:pt idx="107">
                  <c:v>17493596.699264191</c:v>
                </c:pt>
                <c:pt idx="108">
                  <c:v>17455151.705439299</c:v>
                </c:pt>
                <c:pt idx="109">
                  <c:v>16303220.275235683</c:v>
                </c:pt>
                <c:pt idx="110">
                  <c:v>16103704.051492725</c:v>
                </c:pt>
                <c:pt idx="111">
                  <c:v>14692912.555863744</c:v>
                </c:pt>
                <c:pt idx="112">
                  <c:v>15472363.445143897</c:v>
                </c:pt>
                <c:pt idx="113">
                  <c:v>18670855.650406882</c:v>
                </c:pt>
                <c:pt idx="114">
                  <c:v>23987865.72152622</c:v>
                </c:pt>
                <c:pt idx="115">
                  <c:v>21158532.285249781</c:v>
                </c:pt>
                <c:pt idx="116">
                  <c:v>16613583.00256744</c:v>
                </c:pt>
                <c:pt idx="117">
                  <c:v>15705432.054383285</c:v>
                </c:pt>
                <c:pt idx="118">
                  <c:v>16160635.854793523</c:v>
                </c:pt>
                <c:pt idx="119">
                  <c:v>18633558.70909328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B0E-4CC4-94F0-FEBB9534E094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Weather!$C$122:$C$241</c:f>
              <c:numCache>
                <c:formatCode>0</c:formatCode>
                <c:ptCount val="120"/>
                <c:pt idx="0">
                  <c:v>-5.9677419354838701</c:v>
                </c:pt>
                <c:pt idx="1">
                  <c:v>-3.8107142857142859</c:v>
                </c:pt>
                <c:pt idx="2">
                  <c:v>0.30322580645161273</c:v>
                </c:pt>
                <c:pt idx="3">
                  <c:v>6.8466666666666667</c:v>
                </c:pt>
                <c:pt idx="4">
                  <c:v>13.251612903225809</c:v>
                </c:pt>
                <c:pt idx="5">
                  <c:v>19.743333333333332</c:v>
                </c:pt>
                <c:pt idx="6">
                  <c:v>24.748387096774191</c:v>
                </c:pt>
                <c:pt idx="7">
                  <c:v>22.074193548387104</c:v>
                </c:pt>
                <c:pt idx="8">
                  <c:v>18.119999999999997</c:v>
                </c:pt>
                <c:pt idx="9">
                  <c:v>11.393548387096775</c:v>
                </c:pt>
                <c:pt idx="10">
                  <c:v>7.7799999999999994</c:v>
                </c:pt>
                <c:pt idx="11">
                  <c:v>1.6870967741935483</c:v>
                </c:pt>
                <c:pt idx="12">
                  <c:v>-0.79354838709677411</c:v>
                </c:pt>
                <c:pt idx="13">
                  <c:v>0.38275862068965522</c:v>
                </c:pt>
                <c:pt idx="14">
                  <c:v>6.9935483870967747</c:v>
                </c:pt>
                <c:pt idx="15">
                  <c:v>7.9733333333333354</c:v>
                </c:pt>
                <c:pt idx="16">
                  <c:v>16.677419354838712</c:v>
                </c:pt>
                <c:pt idx="17">
                  <c:v>21.043333333333333</c:v>
                </c:pt>
                <c:pt idx="18">
                  <c:v>24.616129032258058</c:v>
                </c:pt>
                <c:pt idx="19">
                  <c:v>22.248387096774191</c:v>
                </c:pt>
                <c:pt idx="20">
                  <c:v>17.213333333333335</c:v>
                </c:pt>
                <c:pt idx="21">
                  <c:v>10.916129032258064</c:v>
                </c:pt>
                <c:pt idx="22">
                  <c:v>4.3533333333333335</c:v>
                </c:pt>
                <c:pt idx="23">
                  <c:v>2.0774193548387103</c:v>
                </c:pt>
                <c:pt idx="24">
                  <c:v>-1.7516129032258065</c:v>
                </c:pt>
                <c:pt idx="25">
                  <c:v>-3.089285714285714</c:v>
                </c:pt>
                <c:pt idx="26">
                  <c:v>1.0580645161290323</c:v>
                </c:pt>
                <c:pt idx="27">
                  <c:v>6.666666666666667</c:v>
                </c:pt>
                <c:pt idx="28">
                  <c:v>15.122580645161291</c:v>
                </c:pt>
                <c:pt idx="29">
                  <c:v>19.133333333333336</c:v>
                </c:pt>
                <c:pt idx="30">
                  <c:v>22.548387096774199</c:v>
                </c:pt>
                <c:pt idx="31">
                  <c:v>20.977419354838705</c:v>
                </c:pt>
                <c:pt idx="32">
                  <c:v>16.673333333333336</c:v>
                </c:pt>
                <c:pt idx="33">
                  <c:v>11.903225806451612</c:v>
                </c:pt>
                <c:pt idx="34">
                  <c:v>3.26</c:v>
                </c:pt>
                <c:pt idx="35">
                  <c:v>-2.6354838709677422</c:v>
                </c:pt>
                <c:pt idx="36">
                  <c:v>-7.1451612903225783</c:v>
                </c:pt>
                <c:pt idx="37">
                  <c:v>-6.3964285714285722</c:v>
                </c:pt>
                <c:pt idx="38">
                  <c:v>-2.8999999999999995</c:v>
                </c:pt>
                <c:pt idx="39">
                  <c:v>6.943333333333336</c:v>
                </c:pt>
                <c:pt idx="40">
                  <c:v>14.203225806451613</c:v>
                </c:pt>
                <c:pt idx="41">
                  <c:v>19.976666666666667</c:v>
                </c:pt>
                <c:pt idx="42">
                  <c:v>20.835483870967746</c:v>
                </c:pt>
                <c:pt idx="43">
                  <c:v>20.732258064516131</c:v>
                </c:pt>
                <c:pt idx="44">
                  <c:v>17.43</c:v>
                </c:pt>
                <c:pt idx="45">
                  <c:v>11.725806451612906</c:v>
                </c:pt>
                <c:pt idx="46">
                  <c:v>2.9366666666666665</c:v>
                </c:pt>
                <c:pt idx="47">
                  <c:v>0.76129032258064544</c:v>
                </c:pt>
                <c:pt idx="48">
                  <c:v>-6.4806451612903224</c:v>
                </c:pt>
                <c:pt idx="49">
                  <c:v>-11.107142857142858</c:v>
                </c:pt>
                <c:pt idx="50">
                  <c:v>-0.75483870967741939</c:v>
                </c:pt>
                <c:pt idx="51">
                  <c:v>8.0066666666666659</c:v>
                </c:pt>
                <c:pt idx="52">
                  <c:v>16.56774193548387</c:v>
                </c:pt>
                <c:pt idx="53">
                  <c:v>17.95</c:v>
                </c:pt>
                <c:pt idx="54">
                  <c:v>22.048387096774196</c:v>
                </c:pt>
                <c:pt idx="55">
                  <c:v>21.21935483870968</c:v>
                </c:pt>
                <c:pt idx="56">
                  <c:v>20.309999999999999</c:v>
                </c:pt>
                <c:pt idx="57">
                  <c:v>11.338709677419354</c:v>
                </c:pt>
                <c:pt idx="58">
                  <c:v>7.8766666666666652</c:v>
                </c:pt>
                <c:pt idx="59">
                  <c:v>5.0709677419354833</c:v>
                </c:pt>
                <c:pt idx="60">
                  <c:v>-2.5677419354838702</c:v>
                </c:pt>
                <c:pt idx="61">
                  <c:v>-0.98620689655172389</c:v>
                </c:pt>
                <c:pt idx="62">
                  <c:v>4.0129032258064514</c:v>
                </c:pt>
                <c:pt idx="63">
                  <c:v>5.4000000000000012</c:v>
                </c:pt>
                <c:pt idx="64">
                  <c:v>15.135483870967743</c:v>
                </c:pt>
                <c:pt idx="65">
                  <c:v>19.956666666666667</c:v>
                </c:pt>
                <c:pt idx="66">
                  <c:v>23.838709677419349</c:v>
                </c:pt>
                <c:pt idx="67">
                  <c:v>24.412903225806449</c:v>
                </c:pt>
                <c:pt idx="68">
                  <c:v>19.709999999999997</c:v>
                </c:pt>
                <c:pt idx="69">
                  <c:v>12.945161290322584</c:v>
                </c:pt>
                <c:pt idx="70">
                  <c:v>7.6000000000000023</c:v>
                </c:pt>
                <c:pt idx="71">
                  <c:v>-1.0645161290322585</c:v>
                </c:pt>
                <c:pt idx="72">
                  <c:v>-0.90645161290322607</c:v>
                </c:pt>
                <c:pt idx="73">
                  <c:v>1.1678571428571429</c:v>
                </c:pt>
                <c:pt idx="74">
                  <c:v>0.56129032258064526</c:v>
                </c:pt>
                <c:pt idx="75">
                  <c:v>9.4666666666666703</c:v>
                </c:pt>
                <c:pt idx="76">
                  <c:v>12.745161290322583</c:v>
                </c:pt>
                <c:pt idx="77">
                  <c:v>19.77333333333333</c:v>
                </c:pt>
                <c:pt idx="78">
                  <c:v>21.87096774193548</c:v>
                </c:pt>
                <c:pt idx="79">
                  <c:v>20.816129032258058</c:v>
                </c:pt>
                <c:pt idx="80">
                  <c:v>18.726666666666667</c:v>
                </c:pt>
                <c:pt idx="81">
                  <c:v>14.403225806451617</c:v>
                </c:pt>
                <c:pt idx="82">
                  <c:v>4.3099999999999996</c:v>
                </c:pt>
                <c:pt idx="83">
                  <c:v>-3.7838709677419349</c:v>
                </c:pt>
                <c:pt idx="84">
                  <c:v>-4.5354838709677407</c:v>
                </c:pt>
                <c:pt idx="85">
                  <c:v>-0.49642857142857139</c:v>
                </c:pt>
                <c:pt idx="86">
                  <c:v>0.38387096774193546</c:v>
                </c:pt>
                <c:pt idx="87">
                  <c:v>3.8099999999999996</c:v>
                </c:pt>
                <c:pt idx="88">
                  <c:v>16.380645161290328</c:v>
                </c:pt>
                <c:pt idx="89">
                  <c:v>19.593333333333337</c:v>
                </c:pt>
                <c:pt idx="90">
                  <c:v>23.654838709677414</c:v>
                </c:pt>
                <c:pt idx="91">
                  <c:v>23.525806451612898</c:v>
                </c:pt>
                <c:pt idx="92">
                  <c:v>19.326666666666664</c:v>
                </c:pt>
                <c:pt idx="93">
                  <c:v>10.529032258064522</c:v>
                </c:pt>
                <c:pt idx="94">
                  <c:v>2.1866666666666665</c:v>
                </c:pt>
                <c:pt idx="95">
                  <c:v>0.57741935483870965</c:v>
                </c:pt>
                <c:pt idx="96">
                  <c:v>-5.3290322580645162</c:v>
                </c:pt>
                <c:pt idx="97">
                  <c:v>-2.8142857142857141</c:v>
                </c:pt>
                <c:pt idx="98">
                  <c:v>0.3225806451612902</c:v>
                </c:pt>
                <c:pt idx="99">
                  <c:v>6.6400000000000006</c:v>
                </c:pt>
                <c:pt idx="100">
                  <c:v>12.232258064516133</c:v>
                </c:pt>
                <c:pt idx="101">
                  <c:v>18.116666666666667</c:v>
                </c:pt>
                <c:pt idx="102">
                  <c:v>23.422580645161286</c:v>
                </c:pt>
                <c:pt idx="103">
                  <c:v>21.416129032258059</c:v>
                </c:pt>
                <c:pt idx="104">
                  <c:v>18.566666666666666</c:v>
                </c:pt>
                <c:pt idx="105">
                  <c:v>11.461290322580648</c:v>
                </c:pt>
                <c:pt idx="106">
                  <c:v>1.8266666666666667</c:v>
                </c:pt>
                <c:pt idx="107">
                  <c:v>7.4193548387096936E-2</c:v>
                </c:pt>
                <c:pt idx="108">
                  <c:v>-0.43548387096774183</c:v>
                </c:pt>
                <c:pt idx="109">
                  <c:v>-1.4551724137931032</c:v>
                </c:pt>
                <c:pt idx="110">
                  <c:v>3.7258064516129021</c:v>
                </c:pt>
                <c:pt idx="111">
                  <c:v>6.3566666666666682</c:v>
                </c:pt>
                <c:pt idx="112">
                  <c:v>12.483870967741939</c:v>
                </c:pt>
                <c:pt idx="113">
                  <c:v>20.48</c:v>
                </c:pt>
                <c:pt idx="114">
                  <c:v>24.954838709677418</c:v>
                </c:pt>
                <c:pt idx="115">
                  <c:v>22.603225806451611</c:v>
                </c:pt>
                <c:pt idx="116">
                  <c:v>17.706666666666667</c:v>
                </c:pt>
                <c:pt idx="117">
                  <c:v>10.632258064516131</c:v>
                </c:pt>
                <c:pt idx="118">
                  <c:v>7.7066666666666697</c:v>
                </c:pt>
                <c:pt idx="119">
                  <c:v>0.64838709677419371</c:v>
                </c:pt>
              </c:numCache>
            </c:numRef>
          </c:xVal>
          <c:yVal>
            <c:numRef>
              <c:f>Weather!$S$122:$S$241</c:f>
              <c:numCache>
                <c:formatCode>_(* #,##0_);_(* \(#,##0\);_(* "-"??_);_(@_)</c:formatCode>
                <c:ptCount val="120"/>
                <c:pt idx="0">
                  <c:v>17302907.445497576</c:v>
                </c:pt>
                <c:pt idx="1">
                  <c:v>16586721.384002376</c:v>
                </c:pt>
                <c:pt idx="2">
                  <c:v>16250552.416361773</c:v>
                </c:pt>
                <c:pt idx="3">
                  <c:v>15092095.748485938</c:v>
                </c:pt>
                <c:pt idx="4">
                  <c:v>14666472.060003022</c:v>
                </c:pt>
                <c:pt idx="5">
                  <c:v>16309884.230785683</c:v>
                </c:pt>
                <c:pt idx="6">
                  <c:v>22413723.967758998</c:v>
                </c:pt>
                <c:pt idx="7">
                  <c:v>18794602.11245703</c:v>
                </c:pt>
                <c:pt idx="8">
                  <c:v>15611745.75582646</c:v>
                </c:pt>
                <c:pt idx="9">
                  <c:v>14683862.008401873</c:v>
                </c:pt>
                <c:pt idx="10">
                  <c:v>14940521.978857324</c:v>
                </c:pt>
                <c:pt idx="11">
                  <c:v>16018319.747895075</c:v>
                </c:pt>
                <c:pt idx="12">
                  <c:v>16434606.279482232</c:v>
                </c:pt>
                <c:pt idx="13">
                  <c:v>16046469.162254674</c:v>
                </c:pt>
                <c:pt idx="14">
                  <c:v>15152358.763753872</c:v>
                </c:pt>
                <c:pt idx="15">
                  <c:v>15046520.064739211</c:v>
                </c:pt>
                <c:pt idx="16">
                  <c:v>15293785.114115732</c:v>
                </c:pt>
                <c:pt idx="17">
                  <c:v>18282370.829083294</c:v>
                </c:pt>
                <c:pt idx="18">
                  <c:v>22234732.416411132</c:v>
                </c:pt>
                <c:pt idx="19">
                  <c:v>19069602.942408003</c:v>
                </c:pt>
                <c:pt idx="20">
                  <c:v>15336988.35258005</c:v>
                </c:pt>
                <c:pt idx="21">
                  <c:v>14538258.378020894</c:v>
                </c:pt>
                <c:pt idx="22">
                  <c:v>15497014.24735095</c:v>
                </c:pt>
                <c:pt idx="23">
                  <c:v>15952818.226019852</c:v>
                </c:pt>
                <c:pt idx="24">
                  <c:v>16595382.742266867</c:v>
                </c:pt>
                <c:pt idx="25">
                  <c:v>16477371.735913163</c:v>
                </c:pt>
                <c:pt idx="26">
                  <c:v>16123880.051743574</c:v>
                </c:pt>
                <c:pt idx="27">
                  <c:v>15121327.832628598</c:v>
                </c:pt>
                <c:pt idx="28">
                  <c:v>15010033.475956254</c:v>
                </c:pt>
                <c:pt idx="29">
                  <c:v>16438390.4108481</c:v>
                </c:pt>
                <c:pt idx="30">
                  <c:v>19455980.23869456</c:v>
                </c:pt>
                <c:pt idx="31">
                  <c:v>17447677.440138571</c:v>
                </c:pt>
                <c:pt idx="32">
                  <c:v>15252940.218019694</c:v>
                </c:pt>
                <c:pt idx="33">
                  <c:v>14519819.375773916</c:v>
                </c:pt>
                <c:pt idx="34">
                  <c:v>15674572.091773039</c:v>
                </c:pt>
                <c:pt idx="35">
                  <c:v>16743708.502546299</c:v>
                </c:pt>
                <c:pt idx="36">
                  <c:v>17500494.680906307</c:v>
                </c:pt>
                <c:pt idx="37">
                  <c:v>16978647.845470648</c:v>
                </c:pt>
                <c:pt idx="38">
                  <c:v>16788097.963651821</c:v>
                </c:pt>
                <c:pt idx="39">
                  <c:v>15076397.036631545</c:v>
                </c:pt>
                <c:pt idx="40">
                  <c:v>14501871.284516066</c:v>
                </c:pt>
                <c:pt idx="41">
                  <c:v>16532060.86010373</c:v>
                </c:pt>
                <c:pt idx="42">
                  <c:v>17201612.138669964</c:v>
                </c:pt>
                <c:pt idx="43">
                  <c:v>17179678.995315898</c:v>
                </c:pt>
                <c:pt idx="44">
                  <c:v>15463732.006648129</c:v>
                </c:pt>
                <c:pt idx="45">
                  <c:v>14583941.672205774</c:v>
                </c:pt>
                <c:pt idx="46">
                  <c:v>15727081.576251522</c:v>
                </c:pt>
                <c:pt idx="47">
                  <c:v>16173682.861764403</c:v>
                </c:pt>
                <c:pt idx="48">
                  <c:v>17388979.693250969</c:v>
                </c:pt>
                <c:pt idx="49">
                  <c:v>17692668.567399725</c:v>
                </c:pt>
                <c:pt idx="50">
                  <c:v>16428110.260783862</c:v>
                </c:pt>
                <c:pt idx="51">
                  <c:v>14903711.206233231</c:v>
                </c:pt>
                <c:pt idx="52">
                  <c:v>15591888.502094503</c:v>
                </c:pt>
                <c:pt idx="53">
                  <c:v>15354748.851142423</c:v>
                </c:pt>
                <c:pt idx="54">
                  <c:v>18926514.336209185</c:v>
                </c:pt>
                <c:pt idx="55">
                  <c:v>17706403.254882015</c:v>
                </c:pt>
                <c:pt idx="56">
                  <c:v>17493672.74542455</c:v>
                </c:pt>
                <c:pt idx="57">
                  <c:v>14442808.594803458</c:v>
                </c:pt>
                <c:pt idx="58">
                  <c:v>14924823.267002931</c:v>
                </c:pt>
                <c:pt idx="59">
                  <c:v>15450459.446679302</c:v>
                </c:pt>
                <c:pt idx="60">
                  <c:v>16732340.46982415</c:v>
                </c:pt>
                <c:pt idx="61">
                  <c:v>16261379.114192387</c:v>
                </c:pt>
                <c:pt idx="62">
                  <c:v>15628017.291101392</c:v>
                </c:pt>
                <c:pt idx="63">
                  <c:v>15327035.091410289</c:v>
                </c:pt>
                <c:pt idx="64">
                  <c:v>16062869.370747076</c:v>
                </c:pt>
                <c:pt idx="65">
                  <c:v>16908239.538341884</c:v>
                </c:pt>
                <c:pt idx="66">
                  <c:v>21182611.346293189</c:v>
                </c:pt>
                <c:pt idx="67">
                  <c:v>21959696.617998555</c:v>
                </c:pt>
                <c:pt idx="68">
                  <c:v>16609716.528823858</c:v>
                </c:pt>
                <c:pt idx="69">
                  <c:v>14845480.419318356</c:v>
                </c:pt>
                <c:pt idx="70">
                  <c:v>14969754.062999984</c:v>
                </c:pt>
                <c:pt idx="71">
                  <c:v>16480078.410370816</c:v>
                </c:pt>
                <c:pt idx="72">
                  <c:v>16453553.000685807</c:v>
                </c:pt>
                <c:pt idx="73">
                  <c:v>15832100.545208491</c:v>
                </c:pt>
                <c:pt idx="74">
                  <c:v>16207245.625039311</c:v>
                </c:pt>
                <c:pt idx="75">
                  <c:v>14730397.296052711</c:v>
                </c:pt>
                <c:pt idx="76">
                  <c:v>14751461.637973351</c:v>
                </c:pt>
                <c:pt idx="77">
                  <c:v>16643594.008253206</c:v>
                </c:pt>
                <c:pt idx="78">
                  <c:v>18519566.314044453</c:v>
                </c:pt>
                <c:pt idx="79">
                  <c:v>17327534.710153677</c:v>
                </c:pt>
                <c:pt idx="80">
                  <c:v>16308153.968199607</c:v>
                </c:pt>
                <c:pt idx="81">
                  <c:v>14640052.908229498</c:v>
                </c:pt>
                <c:pt idx="82">
                  <c:v>15504051.600940848</c:v>
                </c:pt>
                <c:pt idx="83">
                  <c:v>16936423.723931249</c:v>
                </c:pt>
                <c:pt idx="84">
                  <c:v>17062554.753657918</c:v>
                </c:pt>
                <c:pt idx="85">
                  <c:v>16084362.604661828</c:v>
                </c:pt>
                <c:pt idx="86">
                  <c:v>16237019.044073503</c:v>
                </c:pt>
                <c:pt idx="87">
                  <c:v>15585251.834670462</c:v>
                </c:pt>
                <c:pt idx="88">
                  <c:v>15098238.799867505</c:v>
                </c:pt>
                <c:pt idx="89">
                  <c:v>16334244.300904568</c:v>
                </c:pt>
                <c:pt idx="90">
                  <c:v>20933769.433443718</c:v>
                </c:pt>
                <c:pt idx="91">
                  <c:v>20783678.442116607</c:v>
                </c:pt>
                <c:pt idx="92">
                  <c:v>17039993.727753483</c:v>
                </c:pt>
                <c:pt idx="93">
                  <c:v>15015405.093776602</c:v>
                </c:pt>
                <c:pt idx="94">
                  <c:v>15848881.926845945</c:v>
                </c:pt>
                <c:pt idx="95">
                  <c:v>16204538.950581657</c:v>
                </c:pt>
                <c:pt idx="96">
                  <c:v>17195723.136974484</c:v>
                </c:pt>
                <c:pt idx="97">
                  <c:v>16435688.949265294</c:v>
                </c:pt>
                <c:pt idx="98">
                  <c:v>16247304.407012587</c:v>
                </c:pt>
                <c:pt idx="99">
                  <c:v>15125658.511760844</c:v>
                </c:pt>
                <c:pt idx="100">
                  <c:v>14361556.584644772</c:v>
                </c:pt>
                <c:pt idx="101">
                  <c:v>15219728.491887501</c:v>
                </c:pt>
                <c:pt idx="102">
                  <c:v>20619442.806686491</c:v>
                </c:pt>
                <c:pt idx="103">
                  <c:v>17962893.793136127</c:v>
                </c:pt>
                <c:pt idx="104">
                  <c:v>15063229.579279369</c:v>
                </c:pt>
                <c:pt idx="105">
                  <c:v>14613610.185855154</c:v>
                </c:pt>
                <c:pt idx="106">
                  <c:v>15907346.095131267</c:v>
                </c:pt>
                <c:pt idx="107">
                  <c:v>16288987.193660457</c:v>
                </c:pt>
                <c:pt idx="108">
                  <c:v>16374518.106522316</c:v>
                </c:pt>
                <c:pt idx="109">
                  <c:v>16335000.659440571</c:v>
                </c:pt>
                <c:pt idx="110">
                  <c:v>15676196.096447632</c:v>
                </c:pt>
                <c:pt idx="111">
                  <c:v>15171671.977540959</c:v>
                </c:pt>
                <c:pt idx="112">
                  <c:v>15757078.33132205</c:v>
                </c:pt>
                <c:pt idx="113">
                  <c:v>17520041.473295674</c:v>
                </c:pt>
                <c:pt idx="114">
                  <c:v>22693125.413765423</c:v>
                </c:pt>
                <c:pt idx="115">
                  <c:v>19520382.282819256</c:v>
                </c:pt>
                <c:pt idx="116">
                  <c:v>15462964.053019507</c:v>
                </c:pt>
                <c:pt idx="117">
                  <c:v>14590802.830960983</c:v>
                </c:pt>
                <c:pt idx="118">
                  <c:v>14991687.206354048</c:v>
                </c:pt>
                <c:pt idx="119">
                  <c:v>16192629.58296798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B0E-4CC4-94F0-FEBB9534E0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99280136"/>
        <c:axId val="899274888"/>
      </c:scatterChart>
      <c:valAx>
        <c:axId val="899280136"/>
        <c:scaling>
          <c:orientation val="minMax"/>
          <c:max val="28"/>
          <c:min val="-14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99274888"/>
        <c:crosses val="autoZero"/>
        <c:crossBetween val="midCat"/>
        <c:majorUnit val="2"/>
      </c:valAx>
      <c:valAx>
        <c:axId val="899274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992801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'Rate Class Customer Model'!$B$2</c:f>
              <c:strCache>
                <c:ptCount val="1"/>
                <c:pt idx="0">
                  <c:v>Residential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'Rate Class Customer Model'!$A$20:$A$29</c:f>
              <c:numCache>
                <c:formatCode>General</c:formatCod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numCache>
            </c:numRef>
          </c:cat>
          <c:val>
            <c:numRef>
              <c:f>'Rate Class Customer Model'!$B$20:$B$29</c:f>
              <c:numCache>
                <c:formatCode>_(* #,##0_);_(* \(#,##0\);_(* "-"??_);_(@_)</c:formatCode>
                <c:ptCount val="10"/>
                <c:pt idx="0">
                  <c:v>9871.9037915008084</c:v>
                </c:pt>
                <c:pt idx="1">
                  <c:v>9738.508318987866</c:v>
                </c:pt>
                <c:pt idx="2">
                  <c:v>9488.0440979676569</c:v>
                </c:pt>
                <c:pt idx="3">
                  <c:v>9193.2302890105693</c:v>
                </c:pt>
                <c:pt idx="4">
                  <c:v>9119.0582679372437</c:v>
                </c:pt>
                <c:pt idx="5">
                  <c:v>9326.2885661472592</c:v>
                </c:pt>
                <c:pt idx="6">
                  <c:v>8615.6408015861198</c:v>
                </c:pt>
                <c:pt idx="7">
                  <c:v>9193.3580376535283</c:v>
                </c:pt>
                <c:pt idx="8">
                  <c:v>8814.638704478728</c:v>
                </c:pt>
                <c:pt idx="9">
                  <c:v>9493.8376799433408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961-477D-B4ED-DE32FC9BE9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9204848"/>
        <c:axId val="579205504"/>
      </c:lineChart>
      <c:catAx>
        <c:axId val="579204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9205504"/>
        <c:crosses val="autoZero"/>
        <c:auto val="1"/>
        <c:lblAlgn val="ctr"/>
        <c:lblOffset val="100"/>
        <c:noMultiLvlLbl val="0"/>
      </c:catAx>
      <c:valAx>
        <c:axId val="579205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92048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'Rate Class Customer Model'!$C$2</c:f>
              <c:strCache>
                <c:ptCount val="1"/>
                <c:pt idx="0">
                  <c:v>General Service &lt; 50 kW Adj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'Rate Class Customer Model'!$A$20:$A$29</c:f>
              <c:numCache>
                <c:formatCode>General</c:formatCod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numCache>
            </c:numRef>
          </c:cat>
          <c:val>
            <c:numRef>
              <c:f>'Rate Class Customer Model'!$C$20:$C$29</c:f>
              <c:numCache>
                <c:formatCode>_(* #,##0_);_(* \(#,##0\);_(* "-"??_);_(@_)</c:formatCode>
                <c:ptCount val="10"/>
                <c:pt idx="0">
                  <c:v>30046.071656471497</c:v>
                </c:pt>
                <c:pt idx="1">
                  <c:v>29093.424542059471</c:v>
                </c:pt>
                <c:pt idx="2">
                  <c:v>29536.426960767149</c:v>
                </c:pt>
                <c:pt idx="3">
                  <c:v>28319.962067037355</c:v>
                </c:pt>
                <c:pt idx="4">
                  <c:v>27563.494346324194</c:v>
                </c:pt>
                <c:pt idx="5">
                  <c:v>26872.744856376037</c:v>
                </c:pt>
                <c:pt idx="6">
                  <c:v>26123.326573849063</c:v>
                </c:pt>
                <c:pt idx="7">
                  <c:v>26580.721433529568</c:v>
                </c:pt>
                <c:pt idx="8">
                  <c:v>26960.330288905501</c:v>
                </c:pt>
                <c:pt idx="9">
                  <c:v>25457.316532355613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31-4347-B8FB-FB40A882FE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9204848"/>
        <c:axId val="579205504"/>
      </c:lineChart>
      <c:catAx>
        <c:axId val="579204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9205504"/>
        <c:crosses val="autoZero"/>
        <c:auto val="1"/>
        <c:lblAlgn val="ctr"/>
        <c:lblOffset val="100"/>
        <c:noMultiLvlLbl val="0"/>
      </c:catAx>
      <c:valAx>
        <c:axId val="579205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92048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'Rate Class Customer Model'!$D$2</c:f>
              <c:strCache>
                <c:ptCount val="1"/>
                <c:pt idx="0">
                  <c:v>General Service &gt; 50 to 4,999 kW Adj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'Rate Class Customer Model'!$A$20:$A$29</c:f>
              <c:numCache>
                <c:formatCode>General</c:formatCod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numCache>
            </c:numRef>
          </c:cat>
          <c:val>
            <c:numRef>
              <c:f>'Rate Class Customer Model'!$D$20:$D$29</c:f>
              <c:numCache>
                <c:formatCode>_(* #,##0_);_(* \(#,##0\);_(* "-"??_);_(@_)</c:formatCode>
                <c:ptCount val="10"/>
                <c:pt idx="0">
                  <c:v>722593.73321243643</c:v>
                </c:pt>
                <c:pt idx="1">
                  <c:v>756335.08368867589</c:v>
                </c:pt>
                <c:pt idx="2">
                  <c:v>747100.25410756422</c:v>
                </c:pt>
                <c:pt idx="3">
                  <c:v>732528.83525708842</c:v>
                </c:pt>
                <c:pt idx="4">
                  <c:v>730221.69837886852</c:v>
                </c:pt>
                <c:pt idx="5">
                  <c:v>651606.15409184794</c:v>
                </c:pt>
                <c:pt idx="6">
                  <c:v>617532.12036672316</c:v>
                </c:pt>
                <c:pt idx="7">
                  <c:v>627865.46728524414</c:v>
                </c:pt>
                <c:pt idx="8">
                  <c:v>653384.10323887982</c:v>
                </c:pt>
                <c:pt idx="9">
                  <c:v>677553.28829504398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C8-4D39-A607-D326B42376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9204848"/>
        <c:axId val="579205504"/>
      </c:lineChart>
      <c:catAx>
        <c:axId val="579204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9205504"/>
        <c:crosses val="autoZero"/>
        <c:auto val="1"/>
        <c:lblAlgn val="ctr"/>
        <c:lblOffset val="100"/>
        <c:noMultiLvlLbl val="0"/>
      </c:catAx>
      <c:valAx>
        <c:axId val="579205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92048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4.xml"/><Relationship Id="rId2" Type="http://schemas.openxmlformats.org/officeDocument/2006/relationships/chart" Target="../charts/chart13.xml"/><Relationship Id="rId1" Type="http://schemas.openxmlformats.org/officeDocument/2006/relationships/chart" Target="../charts/chart12.xml"/><Relationship Id="rId6" Type="http://schemas.openxmlformats.org/officeDocument/2006/relationships/chart" Target="../charts/chart17.xml"/><Relationship Id="rId5" Type="http://schemas.openxmlformats.org/officeDocument/2006/relationships/chart" Target="../charts/chart16.xml"/><Relationship Id="rId4" Type="http://schemas.openxmlformats.org/officeDocument/2006/relationships/chart" Target="../charts/chart1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95250</xdr:colOff>
      <xdr:row>125</xdr:row>
      <xdr:rowOff>152400</xdr:rowOff>
    </xdr:from>
    <xdr:to>
      <xdr:col>29</xdr:col>
      <xdr:colOff>171450</xdr:colOff>
      <xdr:row>142</xdr:row>
      <xdr:rowOff>142875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64CEAFDA-0AF5-4CA0-9FE7-63E75B0C6CD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180974</xdr:colOff>
      <xdr:row>145</xdr:row>
      <xdr:rowOff>152400</xdr:rowOff>
    </xdr:from>
    <xdr:to>
      <xdr:col>29</xdr:col>
      <xdr:colOff>247649</xdr:colOff>
      <xdr:row>162</xdr:row>
      <xdr:rowOff>142875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502CFDEE-EC1A-45CF-8ECA-9CBE32EC86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104774</xdr:colOff>
      <xdr:row>163</xdr:row>
      <xdr:rowOff>123825</xdr:rowOff>
    </xdr:from>
    <xdr:to>
      <xdr:col>29</xdr:col>
      <xdr:colOff>142875</xdr:colOff>
      <xdr:row>180</xdr:row>
      <xdr:rowOff>114300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113D7F66-F4E4-4C05-8DA2-77322860E9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85725</xdr:colOff>
      <xdr:row>106</xdr:row>
      <xdr:rowOff>123825</xdr:rowOff>
    </xdr:from>
    <xdr:to>
      <xdr:col>29</xdr:col>
      <xdr:colOff>161925</xdr:colOff>
      <xdr:row>123</xdr:row>
      <xdr:rowOff>114300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B39DE981-C9BD-40E0-9241-601496FBB9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37</xdr:col>
      <xdr:colOff>600074</xdr:colOff>
      <xdr:row>110</xdr:row>
      <xdr:rowOff>38100</xdr:rowOff>
    </xdr:from>
    <xdr:to>
      <xdr:col>47</xdr:col>
      <xdr:colOff>342899</xdr:colOff>
      <xdr:row>128</xdr:row>
      <xdr:rowOff>133350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73F7BBA6-39C4-4D4C-8523-1D35CDE466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37</xdr:col>
      <xdr:colOff>561975</xdr:colOff>
      <xdr:row>130</xdr:row>
      <xdr:rowOff>19050</xdr:rowOff>
    </xdr:from>
    <xdr:to>
      <xdr:col>47</xdr:col>
      <xdr:colOff>304800</xdr:colOff>
      <xdr:row>148</xdr:row>
      <xdr:rowOff>114300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1742F4A5-3F96-47C5-9F35-DC79F282CE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504825</xdr:colOff>
      <xdr:row>1</xdr:row>
      <xdr:rowOff>147637</xdr:rowOff>
    </xdr:from>
    <xdr:to>
      <xdr:col>15</xdr:col>
      <xdr:colOff>314325</xdr:colOff>
      <xdr:row>17</xdr:row>
      <xdr:rowOff>138112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7E6E66D-C97E-438F-91E7-0CB59D4825A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657225</xdr:colOff>
      <xdr:row>18</xdr:row>
      <xdr:rowOff>133350</xdr:rowOff>
    </xdr:from>
    <xdr:to>
      <xdr:col>15</xdr:col>
      <xdr:colOff>466725</xdr:colOff>
      <xdr:row>35</xdr:row>
      <xdr:rowOff>123825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A8FEFE4A-0A3C-4190-A9D2-78E578B3EB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47625</xdr:colOff>
      <xdr:row>10</xdr:row>
      <xdr:rowOff>76200</xdr:rowOff>
    </xdr:from>
    <xdr:to>
      <xdr:col>23</xdr:col>
      <xdr:colOff>352425</xdr:colOff>
      <xdr:row>27</xdr:row>
      <xdr:rowOff>66675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E78174D2-3F75-4BDB-BB5E-C9F6ADD118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619125</xdr:colOff>
      <xdr:row>1</xdr:row>
      <xdr:rowOff>52387</xdr:rowOff>
    </xdr:from>
    <xdr:to>
      <xdr:col>14</xdr:col>
      <xdr:colOff>190500</xdr:colOff>
      <xdr:row>18</xdr:row>
      <xdr:rowOff>42862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92F3D27-A8FF-4FFD-9AA8-D87A8705612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647699</xdr:colOff>
      <xdr:row>20</xdr:row>
      <xdr:rowOff>38100</xdr:rowOff>
    </xdr:from>
    <xdr:to>
      <xdr:col>15</xdr:col>
      <xdr:colOff>95249</xdr:colOff>
      <xdr:row>37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C7A96AE-F444-4C26-9C36-7DBB92658A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419100</xdr:colOff>
      <xdr:row>25</xdr:row>
      <xdr:rowOff>0</xdr:rowOff>
    </xdr:from>
    <xdr:to>
      <xdr:col>15</xdr:col>
      <xdr:colOff>66675</xdr:colOff>
      <xdr:row>26</xdr:row>
      <xdr:rowOff>133350</xdr:rowOff>
    </xdr:to>
    <xdr:sp macro="" textlink="">
      <xdr:nvSpPr>
        <xdr:cNvPr id="4" name="Oval 3">
          <a:extLst>
            <a:ext uri="{FF2B5EF4-FFF2-40B4-BE49-F238E27FC236}">
              <a16:creationId xmlns:a16="http://schemas.microsoft.com/office/drawing/2014/main" id="{FDAE295C-79AC-458B-AF74-50F14315BD82}"/>
            </a:ext>
          </a:extLst>
        </xdr:cNvPr>
        <xdr:cNvSpPr/>
      </xdr:nvSpPr>
      <xdr:spPr>
        <a:xfrm>
          <a:off x="10753725" y="4695825"/>
          <a:ext cx="866775" cy="295275"/>
        </a:xfrm>
        <a:prstGeom prst="ellipse">
          <a:avLst/>
        </a:prstGeom>
        <a:noFill/>
        <a:ln w="57150"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271462</xdr:colOff>
      <xdr:row>11</xdr:row>
      <xdr:rowOff>133350</xdr:rowOff>
    </xdr:from>
    <xdr:to>
      <xdr:col>16</xdr:col>
      <xdr:colOff>442912</xdr:colOff>
      <xdr:row>28</xdr:row>
      <xdr:rowOff>123825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466725</xdr:colOff>
      <xdr:row>29</xdr:row>
      <xdr:rowOff>142874</xdr:rowOff>
    </xdr:from>
    <xdr:to>
      <xdr:col>16</xdr:col>
      <xdr:colOff>133350</xdr:colOff>
      <xdr:row>47</xdr:row>
      <xdr:rowOff>19049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93D707C9-248B-406B-909F-EED3B5FC20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476250</xdr:colOff>
      <xdr:row>47</xdr:row>
      <xdr:rowOff>114299</xdr:rowOff>
    </xdr:from>
    <xdr:to>
      <xdr:col>16</xdr:col>
      <xdr:colOff>466725</xdr:colOff>
      <xdr:row>65</xdr:row>
      <xdr:rowOff>28574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FE01D9C4-E362-4CEF-A890-FB8556F3EF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419100</xdr:colOff>
      <xdr:row>66</xdr:row>
      <xdr:rowOff>47625</xdr:rowOff>
    </xdr:from>
    <xdr:to>
      <xdr:col>16</xdr:col>
      <xdr:colOff>485775</xdr:colOff>
      <xdr:row>84</xdr:row>
      <xdr:rowOff>123825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3787ECA7-534F-4DB8-9C4E-6882290772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28</xdr:col>
      <xdr:colOff>581025</xdr:colOff>
      <xdr:row>22</xdr:row>
      <xdr:rowOff>142875</xdr:rowOff>
    </xdr:from>
    <xdr:to>
      <xdr:col>35</xdr:col>
      <xdr:colOff>0</xdr:colOff>
      <xdr:row>40</xdr:row>
      <xdr:rowOff>57150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B9EBC915-B5C9-4496-9CE8-8A0548DE3F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28</xdr:col>
      <xdr:colOff>561975</xdr:colOff>
      <xdr:row>41</xdr:row>
      <xdr:rowOff>0</xdr:rowOff>
    </xdr:from>
    <xdr:to>
      <xdr:col>35</xdr:col>
      <xdr:colOff>0</xdr:colOff>
      <xdr:row>58</xdr:row>
      <xdr:rowOff>76200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BE90445A-89B7-4A7F-9D82-54ACFDEAEB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\Richmond%20Hill\Year%20End\RHH96YE_%20MEA%20Statistic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CCalhoun/Local%20Settings/Temporary%20Internet%20Files/Content.Outlook/EIW673TU/Documents%20and%20Settings/dferraro/Local%20Settings/Temporary%20Internet%20Files/OLKB/Dummy%20Fil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CTennant/Return%20on%20Equity%20and%20WC/RateMaker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LDC%20FTY%20-%20LF/CostAllocation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891282D\Exhibit%203%20Distribution%20Revenue%20Throughputs%20-%20Blank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1\amar$\My%20Documents\EXCEL\COSA\COSA_Unbundling%20(MEA)\Mea_UCA_test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bbacon/My%20Documents/Orillia/2010%20Rates/2010%20Rate%20File%20-%20July%202,%202009/Documents%20and%20Settings/phurley/Desktop/Lakeland%20Rate%20App/LPDL_2009%20Revenue%20Requirement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1\eichsteller$\My%20Documents\EXCEL\COSA\COSA_Unbundling%20(MEA)\Mea_UCA_tes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A Statistics"/>
      <sheetName val="North York Stat"/>
      <sheetName val="MEA Title Pge"/>
      <sheetName val="Old MEA Statistics"/>
    </sheetNames>
    <sheetDataSet>
      <sheetData sheetId="0" refreshError="1"/>
      <sheetData sheetId="1" refreshError="1"/>
      <sheetData sheetId="2" refreshError="1"/>
      <sheetData sheetId="3" refreshError="1">
        <row r="250">
          <cell r="B250" t="str">
            <v xml:space="preserve">   Average for medium size utilities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ummy File"/>
    </sheetNames>
    <sheetDataSet>
      <sheetData sheetId="0" refreshError="1"/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view"/>
      <sheetName val="A1.Admin"/>
      <sheetName val="A2.HistoricalBalances"/>
      <sheetName val="A3.CustomerClasses"/>
      <sheetName val="B1.GrossCapital"/>
      <sheetName val="B2.CapitalAmortization"/>
      <sheetName val="B3.NetCapital"/>
      <sheetName val="B4.OMA"/>
      <sheetName val="B5.DeferralBalances"/>
      <sheetName val="C1.LoadForecast"/>
      <sheetName val="C2.PassthruRates"/>
      <sheetName val="C3.DistRates"/>
      <sheetName val="C4.DistRevenue"/>
      <sheetName val="C5.ApprovedRecovery"/>
      <sheetName val="C6.ProposedRecoveries"/>
      <sheetName val="C7.RateRiders"/>
      <sheetName val="C8.ServiceRevenues"/>
      <sheetName val="C9.RevenueOffsets"/>
      <sheetName val="D1.RateBase"/>
      <sheetName val="D2.Debt"/>
      <sheetName val="D3.CapitalStructure"/>
      <sheetName val="E1.BridgeYrPL"/>
      <sheetName val="E2.TestYrPL"/>
      <sheetName val="E3.CapitalInfo"/>
      <sheetName val="E4.PILsResults"/>
      <sheetName val="F1.RevRequirement"/>
      <sheetName val="F2.DirectRevenues"/>
      <sheetName val="F3.CostAllocation"/>
      <sheetName val="F4.RevenueAllocation"/>
      <sheetName val="F5.RateDesign"/>
      <sheetName val="F6.RatesCheck"/>
      <sheetName val="F7.FinalRates"/>
      <sheetName val="F8.BillImpacts"/>
      <sheetName val="G1.BridgeYrProForma"/>
      <sheetName val="G2.TestYrProForma"/>
      <sheetName val="G3.TestYrNewRates"/>
      <sheetName val="G4.VarBS"/>
      <sheetName val="G5.VarPL"/>
      <sheetName val="G6.VarRateBase"/>
      <sheetName val="G7.VarSuffDef"/>
      <sheetName val="X11.RatesSched"/>
      <sheetName val="X12.PLtrend"/>
      <sheetName val="X13.PLvariances"/>
      <sheetName val="X14.BStrend"/>
      <sheetName val="X15.BSvariances"/>
      <sheetName val="X21.CapitalCont"/>
      <sheetName val="X22.RBtrend"/>
      <sheetName val="X23.RBvariances"/>
      <sheetName val="X71.RevSuffDef"/>
      <sheetName val="X72.RevenueReq"/>
      <sheetName val="Y1.PrescribedRates"/>
      <sheetName val="Y2.ChartOfAccts"/>
      <sheetName val="Y3.AmortAccts"/>
      <sheetName val="Y4.PassthruAccts"/>
      <sheetName val="Y5.DistRateAccts"/>
      <sheetName val="Y6.ServiceRevAccts"/>
      <sheetName val="Y7.RPPrates"/>
      <sheetName val="Y8.VarianceThresholds"/>
      <sheetName val="Z1.ModelVariables"/>
      <sheetName val="Z2.ModelTables"/>
      <sheetName val="Z0.Disclaimer"/>
    </sheetNames>
    <sheetDataSet>
      <sheetData sheetId="0" refreshError="1"/>
      <sheetData sheetId="1" refreshError="1">
        <row r="13">
          <cell r="C13">
            <v>2009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>
        <row r="10">
          <cell r="C10" t="str">
            <v xml:space="preserve">_x000D_
</v>
          </cell>
        </row>
        <row r="12">
          <cell r="C12" t="str">
            <v>2006 EDR Approved</v>
          </cell>
        </row>
        <row r="14">
          <cell r="C14" t="str">
            <v> </v>
          </cell>
        </row>
      </sheetData>
      <sheetData sheetId="59" refreshError="1"/>
      <sheetData sheetId="6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ClassRevenues"/>
      <sheetName val="ExistingRatesDetails"/>
      <sheetName val="ExistingRatesSummary"/>
      <sheetName val="LoadForecastDetails"/>
      <sheetName val="LoadForecastSummary"/>
      <sheetName val="Refs"/>
    </sheetNames>
    <sheetDataSet>
      <sheetData sheetId="0" refreshError="1">
        <row r="8">
          <cell r="C8" t="str">
            <v>C:\Documents and Settings\jcochrane.ERA-INC\My Documents\2008EDR\FTYv1.3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2">
          <cell r="B2" t="str">
            <v>Horizon_Utilities_Corporation_Detailed_CA_model_Run2.xls</v>
          </cell>
        </row>
        <row r="3">
          <cell r="B3" t="str">
            <v>'[Horizon_Utilities_Corporation_Detailed_CA_model_Run2.xls]I2 LDC class'!$C:$G</v>
          </cell>
        </row>
        <row r="4">
          <cell r="B4" t="str">
            <v>'[Horizon_Utilities_Corporation_Detailed_CA_model_Run2.xls]O1 Revenue to cost|RR'!$D$17:$W$17</v>
          </cell>
        </row>
        <row r="5">
          <cell r="B5" t="str">
            <v>Revenue Requirement (includes NI)</v>
          </cell>
        </row>
        <row r="6">
          <cell r="B6">
            <v>92033309.222477198</v>
          </cell>
        </row>
        <row r="7">
          <cell r="B7" t="str">
            <v>'[Horizon_Utilities_Corporation_Detailed_CA_model_Run2.xls]O1 Revenue to cost|RR'!$B:$W</v>
          </cell>
        </row>
        <row r="8">
          <cell r="B8">
            <v>498976676.05552793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roughput Revenue Analysis"/>
      <sheetName val="Distribution Revenue by Source"/>
      <sheetName val="Unit Revenues"/>
      <sheetName val="Dx. Revenue - Norm. Forecasts"/>
      <sheetName val="Forecast Data 2006 - 2008"/>
      <sheetName val="Distribution Rates 2006 - 200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LOBs"/>
      <sheetName val="Financials"/>
      <sheetName val="Loads"/>
      <sheetName val="Classify"/>
      <sheetName val="Allocate"/>
      <sheetName val="F&amp;C"/>
      <sheetName val="Summary"/>
      <sheetName val="Macros"/>
      <sheetName val="Module1"/>
    </sheetNames>
    <sheetDataSet>
      <sheetData sheetId="0"/>
      <sheetData sheetId="1"/>
      <sheetData sheetId="2" refreshError="1">
        <row r="1">
          <cell r="A1" t="str">
            <v>LDC Name</v>
          </cell>
        </row>
        <row r="76">
          <cell r="E76">
            <v>36161</v>
          </cell>
        </row>
      </sheetData>
      <sheetData sheetId="3"/>
      <sheetData sheetId="4"/>
      <sheetData sheetId="5"/>
      <sheetData sheetId="6"/>
      <sheetData sheetId="7"/>
      <sheetData sheetId="8" refreshError="1"/>
      <sheetData sheetId="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FA Continuity 2006"/>
      <sheetName val="FA Continuity 2007"/>
      <sheetName val="FA Continuity 2008"/>
      <sheetName val="FA Continuity 2009"/>
      <sheetName val="Trial Balance"/>
      <sheetName val="2006 Balance Sheet"/>
      <sheetName val="2006 Income Statement"/>
      <sheetName val="2007 Balance Sheet"/>
      <sheetName val="2007 Income Statement"/>
      <sheetName val="2008 Balance Sheet"/>
      <sheetName val="2008 Income Statement"/>
      <sheetName val="2009 Balance Sheet"/>
      <sheetName val="2009 Income Statement"/>
      <sheetName val="IS Comparison"/>
      <sheetName val="Debt &amp; Capital Structure"/>
      <sheetName val="Return on Capital"/>
      <sheetName val="Tax rates"/>
      <sheetName val="CCA Continuity 2008"/>
      <sheetName val="CCA Continuity 2009"/>
      <sheetName val="Reserves Continuity"/>
      <sheetName val="Corporation Loss Continuity"/>
      <sheetName val="Interest Schedule"/>
      <sheetName val="Tax Adjustments 2008"/>
      <sheetName val="Tax Adjustments 2009"/>
      <sheetName val="2009 Rev Deficiency"/>
      <sheetName val="Capital Tax &amp; Expense Schedules"/>
      <sheetName val="Revenue Requireme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>
        <row r="10">
          <cell r="B10" t="str">
            <v>Service Revenue Requirement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LOBs"/>
      <sheetName val="Financials"/>
      <sheetName val="Loads"/>
      <sheetName val="Classify"/>
      <sheetName val="Allocate"/>
      <sheetName val="F&amp;C"/>
      <sheetName val="Summary"/>
      <sheetName val="Macros"/>
      <sheetName val="Module1"/>
    </sheetNames>
    <sheetDataSet>
      <sheetData sheetId="0"/>
      <sheetData sheetId="1"/>
      <sheetData sheetId="2" refreshError="1">
        <row r="1">
          <cell r="A1" t="str">
            <v>LDC Name</v>
          </cell>
        </row>
      </sheetData>
      <sheetData sheetId="3"/>
      <sheetData sheetId="4"/>
      <sheetData sheetId="5"/>
      <sheetData sheetId="6"/>
      <sheetData sheetId="7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7" tint="0.79998168889431442"/>
    <pageSetUpPr fitToPage="1"/>
  </sheetPr>
  <dimension ref="A1:AA147"/>
  <sheetViews>
    <sheetView tabSelected="1" topLeftCell="A7" workbookViewId="0">
      <selection activeCell="M41" sqref="M41"/>
    </sheetView>
  </sheetViews>
  <sheetFormatPr defaultRowHeight="12.75" x14ac:dyDescent="0.2"/>
  <cols>
    <col min="1" max="1" width="42.5703125" customWidth="1"/>
    <col min="2" max="3" width="16.140625" style="28" bestFit="1" customWidth="1"/>
    <col min="4" max="4" width="14" bestFit="1" customWidth="1"/>
    <col min="5" max="7" width="12.5703125" style="28" bestFit="1" customWidth="1"/>
    <col min="8" max="8" width="12.5703125" bestFit="1" customWidth="1"/>
    <col min="9" max="9" width="13" bestFit="1" customWidth="1"/>
    <col min="10" max="10" width="12.5703125" customWidth="1"/>
    <col min="11" max="12" width="12.7109375" bestFit="1" customWidth="1"/>
    <col min="13" max="13" width="11.85546875" bestFit="1" customWidth="1"/>
    <col min="14" max="14" width="11.140625" customWidth="1"/>
    <col min="15" max="15" width="11.85546875" bestFit="1" customWidth="1"/>
    <col min="16" max="16" width="11.140625" bestFit="1" customWidth="1"/>
  </cols>
  <sheetData>
    <row r="1" spans="1:27" ht="15.75" x14ac:dyDescent="0.25">
      <c r="A1" s="34" t="s">
        <v>155</v>
      </c>
    </row>
    <row r="2" spans="1:27" x14ac:dyDescent="0.2">
      <c r="M2" s="49" t="s">
        <v>281</v>
      </c>
      <c r="O2" s="49" t="s">
        <v>280</v>
      </c>
      <c r="P2" s="315" t="s">
        <v>282</v>
      </c>
      <c r="S2" s="307" t="s">
        <v>283</v>
      </c>
      <c r="T2" s="308"/>
      <c r="U2" s="308"/>
      <c r="V2" s="308"/>
      <c r="W2" s="308"/>
      <c r="X2" s="308"/>
      <c r="Y2" s="308"/>
      <c r="Z2" s="308"/>
      <c r="AA2" s="308"/>
    </row>
    <row r="3" spans="1:27" x14ac:dyDescent="0.2">
      <c r="B3" s="56" t="s">
        <v>196</v>
      </c>
      <c r="C3" s="56" t="s">
        <v>66</v>
      </c>
      <c r="D3" s="36" t="s">
        <v>67</v>
      </c>
      <c r="E3" s="56" t="s">
        <v>55</v>
      </c>
      <c r="F3" s="36" t="s">
        <v>56</v>
      </c>
      <c r="G3" s="56" t="s">
        <v>57</v>
      </c>
      <c r="H3" s="36" t="s">
        <v>59</v>
      </c>
      <c r="I3" s="56" t="s">
        <v>68</v>
      </c>
      <c r="J3" s="36" t="s">
        <v>69</v>
      </c>
      <c r="K3" s="36" t="s">
        <v>83</v>
      </c>
      <c r="L3" s="36" t="s">
        <v>82</v>
      </c>
      <c r="M3" s="36" t="s">
        <v>81</v>
      </c>
      <c r="N3" s="36"/>
      <c r="O3" s="36" t="s">
        <v>81</v>
      </c>
      <c r="P3" s="315"/>
      <c r="S3" s="309" t="s">
        <v>284</v>
      </c>
      <c r="T3" s="308"/>
      <c r="U3" s="308"/>
      <c r="V3" s="308"/>
      <c r="W3" s="308"/>
      <c r="X3" s="308"/>
      <c r="Y3" s="308"/>
      <c r="Z3" s="308"/>
      <c r="AA3" s="308"/>
    </row>
    <row r="4" spans="1:27" x14ac:dyDescent="0.2">
      <c r="A4" s="15" t="s">
        <v>31</v>
      </c>
      <c r="B4" s="62">
        <f>'Purchased Power Model'!D165</f>
        <v>190473063.91087499</v>
      </c>
      <c r="C4" s="62">
        <f>'Purchased Power Model'!D166</f>
        <v>191452810.61006799</v>
      </c>
      <c r="D4" s="25">
        <f>'Purchased Power Model'!D167</f>
        <v>189981587.17494002</v>
      </c>
      <c r="E4" s="25">
        <f>'Purchased Power Model'!D168</f>
        <v>188316012.84</v>
      </c>
      <c r="F4" s="25">
        <f>'Purchased Power Model'!D169</f>
        <v>188795455.39999998</v>
      </c>
      <c r="G4" s="25">
        <f>'Purchased Power Model'!D170</f>
        <v>189916009.50999996</v>
      </c>
      <c r="H4" s="25">
        <f>'Purchased Power Model'!D171</f>
        <v>211070217.70538622</v>
      </c>
      <c r="I4" s="25">
        <f>'Purchased Power Model'!D172</f>
        <v>237650537.15783811</v>
      </c>
      <c r="J4" s="25">
        <f>'Purchased Power Model'!D173</f>
        <v>239547871.85641468</v>
      </c>
      <c r="K4" s="25">
        <f>'Purchased Power Model'!D174</f>
        <v>257550552.01565266</v>
      </c>
      <c r="S4" s="309" t="s">
        <v>285</v>
      </c>
      <c r="T4" s="308"/>
      <c r="U4" s="308"/>
      <c r="V4" s="308"/>
      <c r="W4" s="308"/>
      <c r="X4" s="308"/>
      <c r="Y4" s="308"/>
      <c r="Z4" s="308"/>
      <c r="AA4" s="308"/>
    </row>
    <row r="5" spans="1:27" x14ac:dyDescent="0.2">
      <c r="A5" s="15" t="s">
        <v>32</v>
      </c>
      <c r="B5" s="62">
        <f ca="1">'Purchased Power Model'!S165</f>
        <v>189571560.08430424</v>
      </c>
      <c r="C5" s="62">
        <f ca="1">'Purchased Power Model'!S166</f>
        <v>190452814.40292764</v>
      </c>
      <c r="D5" s="25">
        <f ca="1">'Purchased Power Model'!S167</f>
        <v>187762295.40186256</v>
      </c>
      <c r="E5" s="25">
        <f ca="1">'Purchased Power Model'!S168</f>
        <v>189349567.44724512</v>
      </c>
      <c r="F5" s="25">
        <f ca="1">'Purchased Power Model'!S169</f>
        <v>190817310.40168869</v>
      </c>
      <c r="G5" s="25">
        <f ca="1">'Purchased Power Model'!S170</f>
        <v>193441414.97893271</v>
      </c>
      <c r="H5" s="25">
        <f ca="1">'Purchased Power Model'!S171</f>
        <v>214860743.42812011</v>
      </c>
      <c r="I5" s="25">
        <f ca="1">'Purchased Power Model'!S172</f>
        <v>235649255.90789452</v>
      </c>
      <c r="J5" s="25">
        <f ca="1">'Purchased Power Model'!S173</f>
        <v>235411706.88317889</v>
      </c>
      <c r="K5" s="25">
        <f ca="1">'Purchased Power Model'!S174</f>
        <v>257804741.77142864</v>
      </c>
      <c r="L5" s="25">
        <f ca="1">'Purchased Power Model'!S175+'Rate Class Energy Model'!P55*'Rate Class Energy Model'!$H$16</f>
        <v>264811596.07481834</v>
      </c>
      <c r="M5" s="25">
        <f ca="1">'Purchased Power Model'!S176+'Rate Class Energy Model'!P56*'Rate Class Energy Model'!$H$16</f>
        <v>270430917.18352032</v>
      </c>
      <c r="N5" s="25"/>
      <c r="O5" s="25">
        <v>270403186.47677672</v>
      </c>
      <c r="P5" s="45">
        <f ca="1">M5-O5</f>
        <v>27730.706743597984</v>
      </c>
      <c r="Q5" s="47">
        <f ca="1">P5/O5</f>
        <v>1.0255318032644414E-4</v>
      </c>
      <c r="S5" s="309" t="s">
        <v>286</v>
      </c>
      <c r="T5" s="308"/>
      <c r="U5" s="308"/>
      <c r="V5" s="308"/>
      <c r="W5" s="308"/>
      <c r="X5" s="308"/>
      <c r="Y5" s="308"/>
      <c r="Z5" s="308"/>
      <c r="AA5" s="308"/>
    </row>
    <row r="6" spans="1:27" x14ac:dyDescent="0.2">
      <c r="A6" s="15" t="s">
        <v>11</v>
      </c>
      <c r="B6" s="63">
        <f t="shared" ref="B6:H6" ca="1" si="0">(B5-B4)/B4</f>
        <v>-4.7329727787262113E-3</v>
      </c>
      <c r="C6" s="63">
        <f t="shared" ca="1" si="0"/>
        <v>-5.2231994085323143E-3</v>
      </c>
      <c r="D6" s="35">
        <f t="shared" ca="1" si="0"/>
        <v>-1.1681615076906775E-2</v>
      </c>
      <c r="E6" s="35">
        <f t="shared" ca="1" si="0"/>
        <v>5.4884053228296753E-3</v>
      </c>
      <c r="F6" s="35">
        <f t="shared" ca="1" si="0"/>
        <v>1.0709235544918308E-2</v>
      </c>
      <c r="G6" s="35">
        <f t="shared" ca="1" si="0"/>
        <v>1.856297148422929E-2</v>
      </c>
      <c r="H6" s="35">
        <f t="shared" ca="1" si="0"/>
        <v>1.7958600526127928E-2</v>
      </c>
      <c r="I6" s="35">
        <f ca="1">(I5-I4)/I4</f>
        <v>-8.4211097263980194E-3</v>
      </c>
      <c r="J6" s="35">
        <f ca="1">(J5-J4)/J4</f>
        <v>-1.726654860751595E-2</v>
      </c>
      <c r="K6" s="35">
        <f ca="1">(K5-K4)/K4</f>
        <v>9.8695092589255913E-4</v>
      </c>
      <c r="L6" s="35"/>
      <c r="M6" s="35"/>
      <c r="N6" s="25"/>
      <c r="O6" s="35"/>
      <c r="S6" s="309" t="s">
        <v>287</v>
      </c>
      <c r="T6" s="308"/>
      <c r="U6" s="308"/>
      <c r="V6" s="308"/>
      <c r="W6" s="308"/>
      <c r="X6" s="308"/>
      <c r="Y6" s="308"/>
      <c r="Z6" s="308"/>
      <c r="AA6" s="308"/>
    </row>
    <row r="7" spans="1:27" x14ac:dyDescent="0.2">
      <c r="A7" s="15"/>
      <c r="B7" s="63"/>
      <c r="C7" s="63"/>
      <c r="D7" s="35"/>
      <c r="E7" s="35"/>
      <c r="F7" s="35"/>
      <c r="G7" s="35"/>
      <c r="H7" s="35"/>
      <c r="I7" s="35"/>
      <c r="J7" s="35"/>
      <c r="N7" s="25"/>
    </row>
    <row r="8" spans="1:27" x14ac:dyDescent="0.2">
      <c r="A8" s="15" t="s">
        <v>70</v>
      </c>
      <c r="B8" s="23">
        <f>'Rate Class Energy Model'!I3</f>
        <v>181291509.02000001</v>
      </c>
      <c r="C8" s="23">
        <f>'Rate Class Energy Model'!I4</f>
        <v>187279785.59276229</v>
      </c>
      <c r="D8" s="23">
        <f>'Rate Class Energy Model'!I5</f>
        <v>186747522.97503135</v>
      </c>
      <c r="E8" s="23">
        <f>'Rate Class Energy Model'!I6</f>
        <v>183850636.35158369</v>
      </c>
      <c r="F8" s="23">
        <f>'Rate Class Energy Model'!I7</f>
        <v>184213573.31433585</v>
      </c>
      <c r="G8" s="23">
        <f>'Rate Class Energy Model'!I8</f>
        <v>181150215.77000001</v>
      </c>
      <c r="H8" s="23">
        <f>'Rate Class Energy Model'!I9</f>
        <v>202886489.24857369</v>
      </c>
      <c r="I8" s="23">
        <f>'Rate Class Energy Model'!I10</f>
        <v>227326135.81918898</v>
      </c>
      <c r="J8" s="23">
        <f>'Rate Class Energy Model'!I11</f>
        <v>229447871.62621254</v>
      </c>
      <c r="K8" s="23">
        <f>'Rate Class Energy Model'!I12</f>
        <v>246794089.72724569</v>
      </c>
      <c r="L8" s="23">
        <f ca="1">'Rate Class Energy Model'!P42</f>
        <v>253262811.85426387</v>
      </c>
      <c r="M8" s="23">
        <f ca="1">'Rate Class Energy Model'!P43</f>
        <v>258637066.93144637</v>
      </c>
      <c r="N8" s="25"/>
      <c r="O8" s="6">
        <v>258920264.36716178</v>
      </c>
      <c r="P8" s="45">
        <f ca="1">M8-O8</f>
        <v>-283197.43571540713</v>
      </c>
      <c r="Q8" s="47">
        <f ca="1">P8/O8</f>
        <v>-1.0937631181845973E-3</v>
      </c>
    </row>
    <row r="9" spans="1:27" x14ac:dyDescent="0.2">
      <c r="A9" s="15" t="s">
        <v>258</v>
      </c>
      <c r="B9" s="6">
        <f>B8-B36</f>
        <v>181291509.02000001</v>
      </c>
      <c r="C9" s="6">
        <f t="shared" ref="C9:M9" si="1">C8-C36</f>
        <v>187279785.59276229</v>
      </c>
      <c r="D9" s="6">
        <f t="shared" si="1"/>
        <v>186747522.97503135</v>
      </c>
      <c r="E9" s="6">
        <f t="shared" si="1"/>
        <v>183850636.35158369</v>
      </c>
      <c r="F9" s="6">
        <f t="shared" si="1"/>
        <v>184213573.31433585</v>
      </c>
      <c r="G9" s="6">
        <f t="shared" si="1"/>
        <v>181150215.77000001</v>
      </c>
      <c r="H9" s="6">
        <f t="shared" si="1"/>
        <v>172903098.11676347</v>
      </c>
      <c r="I9" s="6">
        <f t="shared" si="1"/>
        <v>183945502.24506956</v>
      </c>
      <c r="J9" s="6">
        <f t="shared" si="1"/>
        <v>180379226.32483327</v>
      </c>
      <c r="K9" s="6">
        <f t="shared" si="1"/>
        <v>187611969.74308336</v>
      </c>
      <c r="L9" s="6">
        <f t="shared" ca="1" si="1"/>
        <v>194894309.97129846</v>
      </c>
      <c r="M9" s="6">
        <f t="shared" ca="1" si="1"/>
        <v>199976722.53906614</v>
      </c>
      <c r="N9" s="25"/>
      <c r="O9" s="6">
        <v>200259919.97478154</v>
      </c>
      <c r="P9" s="45">
        <f ca="1">M9-O9</f>
        <v>-283197.43571540713</v>
      </c>
      <c r="Q9" s="47">
        <f ca="1">P9/O9</f>
        <v>-1.4141493502597515E-3</v>
      </c>
    </row>
    <row r="10" spans="1:27" x14ac:dyDescent="0.2">
      <c r="A10" s="15"/>
      <c r="K10" s="23"/>
      <c r="L10" s="23"/>
      <c r="N10" s="25"/>
    </row>
    <row r="11" spans="1:27" ht="15.75" x14ac:dyDescent="0.25">
      <c r="A11" s="34" t="s">
        <v>33</v>
      </c>
      <c r="D11" s="60"/>
      <c r="F11" s="19"/>
      <c r="I11" s="45"/>
      <c r="N11" s="25"/>
    </row>
    <row r="12" spans="1:27" x14ac:dyDescent="0.2">
      <c r="A12" s="33" t="str">
        <f>'Rate Class Energy Model'!J2</f>
        <v xml:space="preserve">Residential </v>
      </c>
      <c r="D12" s="60"/>
      <c r="E12" s="19"/>
      <c r="F12" s="19"/>
      <c r="I12" s="6"/>
      <c r="J12" s="6"/>
      <c r="K12" s="6"/>
      <c r="L12" s="6"/>
      <c r="N12" s="25"/>
    </row>
    <row r="13" spans="1:27" x14ac:dyDescent="0.2">
      <c r="A13" t="s">
        <v>25</v>
      </c>
      <c r="B13" s="23">
        <f>'Rate Class Customer Model'!B3</f>
        <v>9368.5416666666697</v>
      </c>
      <c r="C13" s="23">
        <f>'Rate Class Customer Model'!B4</f>
        <v>9643</v>
      </c>
      <c r="D13" s="6">
        <f>'Rate Class Customer Model'!B5</f>
        <v>9715.7916666666661</v>
      </c>
      <c r="E13" s="23">
        <f>'Rate Class Customer Model'!B6</f>
        <v>9960.7083333333339</v>
      </c>
      <c r="F13" s="23">
        <f>'Rate Class Customer Model'!B7</f>
        <v>10227.208333333334</v>
      </c>
      <c r="G13" s="23">
        <f>'Rate Class Customer Model'!B8</f>
        <v>10278.833333333334</v>
      </c>
      <c r="H13" s="23">
        <f>'Rate Class Customer Model'!B9</f>
        <v>10360.708333333334</v>
      </c>
      <c r="I13" s="23">
        <f>'Rate Class Customer Model'!B10</f>
        <v>10543.5</v>
      </c>
      <c r="J13" s="23">
        <f>'Rate Class Customer Model'!B11</f>
        <v>10672.666666666666</v>
      </c>
      <c r="K13" s="23">
        <f>'Rate Class Customer Model'!B12</f>
        <v>10765.541666666666</v>
      </c>
      <c r="L13" s="23">
        <f>'Rate Class Customer Model'!B13</f>
        <v>10899.312075852176</v>
      </c>
      <c r="M13" s="23">
        <f>'Rate Class Customer Model'!B14</f>
        <v>11153.144057519341</v>
      </c>
      <c r="N13" s="25"/>
      <c r="O13" s="6">
        <v>11213.269057519341</v>
      </c>
      <c r="P13" s="45">
        <f>M13-O13</f>
        <v>-60.125</v>
      </c>
      <c r="Q13" s="47">
        <f>P13/O13</f>
        <v>-5.3619510681126182E-3</v>
      </c>
    </row>
    <row r="14" spans="1:27" x14ac:dyDescent="0.2">
      <c r="A14" t="s">
        <v>26</v>
      </c>
      <c r="B14" s="23">
        <f>'Rate Class Energy Model'!J3</f>
        <v>92485342</v>
      </c>
      <c r="C14" s="23">
        <f>'Rate Class Energy Model'!J4</f>
        <v>93908435.719999999</v>
      </c>
      <c r="D14" s="44">
        <f>'Rate Class Energy Model'!J5</f>
        <v>92183859.780000001</v>
      </c>
      <c r="E14" s="23">
        <f>'Rate Class Energy Model'!J6</f>
        <v>91571085.549999997</v>
      </c>
      <c r="F14" s="23">
        <f>'Rate Class Energy Model'!J7</f>
        <v>93262508.710000008</v>
      </c>
      <c r="G14" s="23">
        <f>'Rate Class Energy Model'!J8</f>
        <v>95863365.789999992</v>
      </c>
      <c r="H14" s="23">
        <f>'Rate Class Energy Model'!J9</f>
        <v>89264141.450000003</v>
      </c>
      <c r="I14" s="23">
        <f>'Rate Class Energy Model'!J10</f>
        <v>96930170.469999969</v>
      </c>
      <c r="J14" s="23">
        <f>'Rate Class Energy Model'!J11</f>
        <v>94075700.679999962</v>
      </c>
      <c r="K14" s="23">
        <f>'Rate Class Energy Model'!J12</f>
        <v>102206305.12000003</v>
      </c>
      <c r="L14" s="23">
        <f ca="1">'Rate Class Energy Model'!J42</f>
        <v>97422911.697065085</v>
      </c>
      <c r="M14" s="23">
        <f ca="1">'Rate Class Energy Model'!J43</f>
        <v>97410985.19667697</v>
      </c>
      <c r="N14" s="25"/>
      <c r="O14" s="6">
        <v>98116964.118607342</v>
      </c>
      <c r="P14" s="45">
        <f ca="1">M14-O14</f>
        <v>-705978.92193037271</v>
      </c>
      <c r="Q14" s="47">
        <f ca="1">P14/O14</f>
        <v>-7.1952789028099139E-3</v>
      </c>
    </row>
    <row r="15" spans="1:27" x14ac:dyDescent="0.2">
      <c r="D15" s="44"/>
      <c r="G15" s="45"/>
      <c r="H15" s="45"/>
      <c r="J15" s="45"/>
      <c r="K15" s="45"/>
      <c r="L15" s="45"/>
      <c r="N15" s="25"/>
    </row>
    <row r="16" spans="1:27" x14ac:dyDescent="0.2">
      <c r="A16" s="33" t="str">
        <f>'Rate Class Energy Model'!K2</f>
        <v>General Service &lt; 50 kW Adj</v>
      </c>
      <c r="D16" s="64"/>
      <c r="E16" s="19"/>
      <c r="F16" s="19"/>
      <c r="G16" s="19"/>
      <c r="H16" s="6"/>
      <c r="I16" s="6"/>
      <c r="J16" s="6"/>
      <c r="K16" s="6"/>
      <c r="L16" s="6"/>
      <c r="N16" s="25"/>
    </row>
    <row r="17" spans="1:17" ht="13.5" customHeight="1" x14ac:dyDescent="0.2">
      <c r="A17" t="s">
        <v>25</v>
      </c>
      <c r="B17" s="23">
        <f>'Rate Class Customer Model'!C3</f>
        <v>682.5</v>
      </c>
      <c r="C17" s="23">
        <f>'Rate Class Customer Model'!C4</f>
        <v>700.41666666666663</v>
      </c>
      <c r="D17" s="6">
        <f>'Rate Class Customer Model'!C5</f>
        <v>704.66666666666663</v>
      </c>
      <c r="E17" s="23">
        <f>'Rate Class Customer Model'!C6</f>
        <v>738.58333333333337</v>
      </c>
      <c r="F17" s="23">
        <f>'Rate Class Customer Model'!C7</f>
        <v>773.41666666666663</v>
      </c>
      <c r="G17" s="23">
        <f>'Rate Class Customer Model'!C8</f>
        <v>782.08333333333337</v>
      </c>
      <c r="H17" s="23">
        <f>'Rate Class Customer Model'!C9</f>
        <v>790.25</v>
      </c>
      <c r="I17" s="23">
        <f>'Rate Class Customer Model'!C10</f>
        <v>792.16666666666663</v>
      </c>
      <c r="J17" s="23">
        <f>'Rate Class Customer Model'!C11</f>
        <v>804.25</v>
      </c>
      <c r="K17" s="23">
        <f>'Rate Class Customer Model'!C12</f>
        <v>812.16666666666663</v>
      </c>
      <c r="L17" s="23">
        <f>'Rate Class Customer Model'!C13</f>
        <v>828.01608356198756</v>
      </c>
      <c r="M17" s="23">
        <f>'Rate Class Customer Model'!C14</f>
        <v>845.2581348568292</v>
      </c>
      <c r="N17" s="25"/>
      <c r="O17" s="6">
        <v>845.2581348568292</v>
      </c>
      <c r="P17" s="45">
        <f>M17-O17</f>
        <v>0</v>
      </c>
      <c r="Q17" s="47">
        <f>P17/O17</f>
        <v>0</v>
      </c>
    </row>
    <row r="18" spans="1:17" x14ac:dyDescent="0.2">
      <c r="A18" t="s">
        <v>26</v>
      </c>
      <c r="B18" s="23">
        <f>'Rate Class Energy Model'!K3</f>
        <v>20506443.905541796</v>
      </c>
      <c r="C18" s="23">
        <f>'Rate Class Energy Model'!K4</f>
        <v>20377519.439667486</v>
      </c>
      <c r="D18" s="6">
        <f>'Rate Class Energy Model'!K5</f>
        <v>20813335.531687248</v>
      </c>
      <c r="E18" s="23">
        <f>'Rate Class Energy Model'!K6</f>
        <v>20916651.983346008</v>
      </c>
      <c r="F18" s="23">
        <f>'Rate Class Energy Model'!K7</f>
        <v>21318065.919019569</v>
      </c>
      <c r="G18" s="23">
        <f>'Rate Class Energy Model'!K8</f>
        <v>21016725.873090759</v>
      </c>
      <c r="H18" s="23">
        <f>'Rate Class Energy Model'!K9</f>
        <v>20643958.824984223</v>
      </c>
      <c r="I18" s="23">
        <f>'Rate Class Energy Model'!K10</f>
        <v>21056361.495594338</v>
      </c>
      <c r="J18" s="23">
        <f>'Rate Class Energy Model'!K11</f>
        <v>21682845.634852249</v>
      </c>
      <c r="K18" s="23">
        <f>'Rate Class Energy Model'!K12</f>
        <v>20675583.910361484</v>
      </c>
      <c r="L18" s="23">
        <f ca="1">'Rate Class Energy Model'!K42</f>
        <v>22637791.967165269</v>
      </c>
      <c r="M18" s="23">
        <f ca="1">'Rate Class Energy Model'!K43</f>
        <v>22576980.50420215</v>
      </c>
      <c r="N18" s="25"/>
      <c r="O18" s="6">
        <v>22618334.293386329</v>
      </c>
      <c r="P18" s="45">
        <f ca="1">M18-O18</f>
        <v>-41353.789184179157</v>
      </c>
      <c r="Q18" s="47">
        <f ca="1">P18/O18</f>
        <v>-1.8283304441331532E-3</v>
      </c>
    </row>
    <row r="19" spans="1:17" x14ac:dyDescent="0.2">
      <c r="B19" s="23"/>
      <c r="C19" s="23"/>
      <c r="D19" s="60"/>
      <c r="H19" s="45"/>
      <c r="J19" s="45"/>
      <c r="K19" s="45"/>
      <c r="L19" s="45"/>
      <c r="N19" s="25"/>
    </row>
    <row r="20" spans="1:17" x14ac:dyDescent="0.2">
      <c r="A20" s="33" t="str">
        <f>'Rate Class Energy Model'!L2</f>
        <v>General Service &gt; 50 to 4,999 kW Adj</v>
      </c>
      <c r="B20" s="23"/>
      <c r="C20" s="23"/>
      <c r="D20" s="60"/>
      <c r="E20" s="19"/>
      <c r="F20" s="19"/>
      <c r="G20" s="19"/>
      <c r="N20" s="25"/>
    </row>
    <row r="21" spans="1:17" x14ac:dyDescent="0.2">
      <c r="A21" t="s">
        <v>25</v>
      </c>
      <c r="B21" s="23">
        <f>'Rate Class Customer Model'!D3</f>
        <v>91.791666666666629</v>
      </c>
      <c r="C21" s="23">
        <f>'Rate Class Customer Model'!D4</f>
        <v>93.916666666666671</v>
      </c>
      <c r="D21" s="6">
        <f>'Rate Class Customer Model'!D5</f>
        <v>96.166666666666671</v>
      </c>
      <c r="E21" s="23">
        <f>'Rate Class Customer Model'!D6</f>
        <v>95.25</v>
      </c>
      <c r="F21" s="23">
        <f>'Rate Class Customer Model'!D7</f>
        <v>93.875</v>
      </c>
      <c r="G21" s="23">
        <f>'Rate Class Customer Model'!D8</f>
        <v>97</v>
      </c>
      <c r="H21" s="23">
        <f>'Rate Class Customer Model'!D9</f>
        <v>100.29166666666667</v>
      </c>
      <c r="I21" s="23">
        <f>'Rate Class Customer Model'!D10</f>
        <v>103.33333333333333</v>
      </c>
      <c r="J21" s="23">
        <f>'Rate Class Customer Model'!D11</f>
        <v>97.25</v>
      </c>
      <c r="K21" s="23">
        <f>'Rate Class Customer Model'!D12</f>
        <v>93.958333333333329</v>
      </c>
      <c r="L21" s="23">
        <f>'Rate Class Customer Model'!D13</f>
        <v>94.202209174925187</v>
      </c>
      <c r="M21" s="23">
        <f>'Rate Class Customer Model'!D14</f>
        <v>95.530051347733661</v>
      </c>
      <c r="N21" s="25"/>
      <c r="O21" s="6">
        <v>95.530051347733661</v>
      </c>
      <c r="P21" s="45">
        <f>M21-O21</f>
        <v>0</v>
      </c>
      <c r="Q21" s="47">
        <f>P21/O21</f>
        <v>0</v>
      </c>
    </row>
    <row r="22" spans="1:17" x14ac:dyDescent="0.2">
      <c r="A22" t="s">
        <v>26</v>
      </c>
      <c r="B22" s="23">
        <f>'Rate Class Energy Model'!L3</f>
        <v>66328083.0944582</v>
      </c>
      <c r="C22" s="23">
        <f>'Rate Class Energy Model'!L4</f>
        <v>71032469.94309482</v>
      </c>
      <c r="D22" s="6">
        <f>'Rate Class Energy Model'!L5</f>
        <v>71846141.103344098</v>
      </c>
      <c r="E22" s="23">
        <f>'Rate Class Energy Model'!L6</f>
        <v>69773371.558237672</v>
      </c>
      <c r="F22" s="23">
        <f>'Rate Class Energy Model'!L7</f>
        <v>68549561.93531628</v>
      </c>
      <c r="G22" s="23">
        <f>'Rate Class Energy Model'!L8</f>
        <v>63205796.946909249</v>
      </c>
      <c r="H22" s="23">
        <f>'Rate Class Energy Model'!L9</f>
        <v>61933325.571779281</v>
      </c>
      <c r="I22" s="23">
        <f>'Rate Class Energy Model'!L10</f>
        <v>64879431.619475223</v>
      </c>
      <c r="J22" s="23">
        <f>'Rate Class Energy Model'!L11</f>
        <v>63541604.039981067</v>
      </c>
      <c r="K22" s="23">
        <f>'Rate Class Energy Model'!L12</f>
        <v>63661777.71272184</v>
      </c>
      <c r="L22" s="23">
        <f ca="1">'Rate Class Energy Model'!L42</f>
        <v>73768098.251562878</v>
      </c>
      <c r="M22" s="23">
        <f ca="1">'Rate Class Energy Model'!L43</f>
        <v>78925768.097103238</v>
      </c>
      <c r="N22" s="25"/>
      <c r="O22" s="6">
        <v>78461632.821704119</v>
      </c>
      <c r="P22" s="45">
        <f ca="1">M22-O22</f>
        <v>464135.27539911866</v>
      </c>
      <c r="Q22" s="47">
        <f ca="1">P22/O22</f>
        <v>5.9154424743341457E-3</v>
      </c>
    </row>
    <row r="23" spans="1:17" x14ac:dyDescent="0.2">
      <c r="A23" t="s">
        <v>27</v>
      </c>
      <c r="B23" s="23">
        <f>'Rate Class Load Model'!B2</f>
        <v>160027.73999999996</v>
      </c>
      <c r="C23" s="23">
        <f>'Rate Class Load Model'!B3</f>
        <v>183889.45000000004</v>
      </c>
      <c r="D23" s="6">
        <f>'Rate Class Load Model'!B4</f>
        <v>187635.84999999998</v>
      </c>
      <c r="E23" s="23">
        <f>'Rate Class Load Model'!B5</f>
        <v>181931.08000000002</v>
      </c>
      <c r="F23" s="23">
        <f>'Rate Class Load Model'!B6</f>
        <v>179412.25000000003</v>
      </c>
      <c r="G23" s="23">
        <f>'Rate Class Load Model'!B7</f>
        <v>175922.37</v>
      </c>
      <c r="H23" s="23">
        <f>'Rate Class Load Model'!B8</f>
        <v>173751.43</v>
      </c>
      <c r="I23" s="23">
        <f>'Rate Class Load Model'!B9</f>
        <v>181226.49000000002</v>
      </c>
      <c r="J23" s="23">
        <f>'Rate Class Load Model'!B10</f>
        <v>178260</v>
      </c>
      <c r="K23" s="23">
        <f>'Rate Class Load Model'!B11</f>
        <v>176076.94</v>
      </c>
      <c r="L23" s="23">
        <f ca="1">'Rate Class Load Model'!B12</f>
        <v>209396.59142372786</v>
      </c>
      <c r="M23" s="23">
        <f ca="1">'Rate Class Load Model'!B13</f>
        <v>223789.88591284349</v>
      </c>
      <c r="N23" s="25"/>
      <c r="O23" s="6">
        <v>223982.44608207929</v>
      </c>
      <c r="P23" s="45">
        <f ca="1">M23-O23</f>
        <v>-192.56016923580319</v>
      </c>
      <c r="Q23" s="47">
        <f ca="1">P23/O23</f>
        <v>-8.5971098451723636E-4</v>
      </c>
    </row>
    <row r="24" spans="1:17" x14ac:dyDescent="0.2">
      <c r="B24" s="23"/>
      <c r="C24" s="23"/>
      <c r="D24" s="6"/>
      <c r="E24" s="23"/>
      <c r="F24" s="23"/>
      <c r="G24" s="23"/>
      <c r="H24" s="23"/>
      <c r="J24" s="23"/>
      <c r="K24" s="23"/>
      <c r="L24" s="23"/>
      <c r="N24" s="25"/>
    </row>
    <row r="25" spans="1:17" x14ac:dyDescent="0.2">
      <c r="A25" s="33" t="str">
        <f>'Rate Class Energy Model'!M2</f>
        <v>Street Lights</v>
      </c>
      <c r="D25" s="60"/>
      <c r="E25" s="19"/>
      <c r="G25" s="19"/>
      <c r="J25" s="23"/>
      <c r="N25" s="25"/>
    </row>
    <row r="26" spans="1:17" x14ac:dyDescent="0.2">
      <c r="A26" t="s">
        <v>28</v>
      </c>
      <c r="B26" s="23">
        <f>'Rate Class Customer Model'!E3</f>
        <v>2502.6666666666665</v>
      </c>
      <c r="C26" s="23">
        <f>'Rate Class Customer Model'!E4</f>
        <v>2549.1666666666665</v>
      </c>
      <c r="D26" s="23">
        <f>'Rate Class Customer Model'!E5</f>
        <v>2609.25</v>
      </c>
      <c r="E26" s="23">
        <f>'Rate Class Customer Model'!E6</f>
        <v>2644</v>
      </c>
      <c r="F26" s="23">
        <f>'Rate Class Customer Model'!E7</f>
        <v>2633.7083333333335</v>
      </c>
      <c r="G26" s="23">
        <f>'Rate Class Customer Model'!E8</f>
        <v>2631</v>
      </c>
      <c r="H26" s="23">
        <f>'Rate Class Customer Model'!E9</f>
        <v>2635.25</v>
      </c>
      <c r="I26" s="23">
        <f>'Rate Class Customer Model'!E10</f>
        <v>2663.5833333333335</v>
      </c>
      <c r="J26" s="23">
        <f>'Rate Class Customer Model'!E11</f>
        <v>2676.6666666666665</v>
      </c>
      <c r="K26" s="23">
        <f>'Rate Class Customer Model'!E12</f>
        <v>2687.2916666666665</v>
      </c>
      <c r="L26" s="23">
        <f>'Rate Class Customer Model'!E13</f>
        <v>2708.6285350957678</v>
      </c>
      <c r="M26" s="23">
        <f>'Rate Class Customer Model'!E14</f>
        <v>2730.1348164546257</v>
      </c>
      <c r="N26" s="25"/>
      <c r="O26" s="6">
        <v>2730.1348164546257</v>
      </c>
      <c r="P26" s="45">
        <f>M26-O26</f>
        <v>0</v>
      </c>
      <c r="Q26" s="47">
        <f>P26/O26</f>
        <v>0</v>
      </c>
    </row>
    <row r="27" spans="1:17" x14ac:dyDescent="0.2">
      <c r="A27" t="s">
        <v>26</v>
      </c>
      <c r="B27" s="23">
        <f>'Rate Class Energy Model'!M3</f>
        <v>1585167</v>
      </c>
      <c r="C27" s="23">
        <f>'Rate Class Energy Model'!M4</f>
        <v>1581518.6</v>
      </c>
      <c r="D27" s="23">
        <f>'Rate Class Energy Model'!M5</f>
        <v>1528363</v>
      </c>
      <c r="E27" s="23">
        <f>'Rate Class Energy Model'!M6</f>
        <v>1218696.8</v>
      </c>
      <c r="F27" s="23">
        <f>'Rate Class Energy Model'!M7</f>
        <v>718341.4</v>
      </c>
      <c r="G27" s="23">
        <f>'Rate Class Energy Model'!M8</f>
        <v>719486.7</v>
      </c>
      <c r="H27" s="23">
        <f>'Rate Class Energy Model'!M9</f>
        <v>722926.2</v>
      </c>
      <c r="I27" s="23">
        <f>'Rate Class Energy Model'!M10</f>
        <v>741474.8</v>
      </c>
      <c r="J27" s="23">
        <f>'Rate Class Energy Model'!M11</f>
        <v>742609.6</v>
      </c>
      <c r="K27" s="23">
        <f>'Rate Class Energy Model'!M12</f>
        <v>739992.7</v>
      </c>
      <c r="L27" s="23">
        <f ca="1">'Rate Class Energy Model'!M42</f>
        <v>745868.17941827257</v>
      </c>
      <c r="M27" s="23">
        <f ca="1">'Rate Class Energy Model'!M43</f>
        <v>751790.30964593077</v>
      </c>
      <c r="N27" s="25"/>
      <c r="O27" s="6">
        <v>751790.30964593077</v>
      </c>
      <c r="P27" s="45">
        <f ca="1">M27-O27</f>
        <v>0</v>
      </c>
      <c r="Q27" s="47">
        <f ca="1">P27/O27</f>
        <v>0</v>
      </c>
    </row>
    <row r="28" spans="1:17" x14ac:dyDescent="0.2">
      <c r="A28" t="s">
        <v>27</v>
      </c>
      <c r="B28" s="23">
        <f>'Rate Class Load Model'!C2</f>
        <v>4413.2600000000011</v>
      </c>
      <c r="C28" s="23">
        <f>'Rate Class Load Model'!C3</f>
        <v>4350.33</v>
      </c>
      <c r="D28" s="23">
        <f>'Rate Class Load Model'!C4</f>
        <v>4232.37</v>
      </c>
      <c r="E28" s="23">
        <f>'Rate Class Load Model'!C5</f>
        <v>3460.0300000000007</v>
      </c>
      <c r="F28" s="23">
        <f>'Rate Class Load Model'!C6</f>
        <v>1989.5799999999997</v>
      </c>
      <c r="G28" s="23">
        <f>'Rate Class Load Model'!C7</f>
        <v>1986.9599999999998</v>
      </c>
      <c r="H28" s="23">
        <f>'Rate Class Load Model'!C8</f>
        <v>1999.69</v>
      </c>
      <c r="I28" s="23">
        <f>'Rate Class Load Model'!C9</f>
        <v>2048.2800000000002</v>
      </c>
      <c r="J28" s="23">
        <f>'Rate Class Load Model'!C10</f>
        <v>2065.2600000000002</v>
      </c>
      <c r="K28" s="23">
        <f>'Rate Class Load Model'!C11</f>
        <v>2054.8500000000004</v>
      </c>
      <c r="L28" s="23">
        <f ca="1">'Rate Class Load Model'!C12</f>
        <v>2070.6025164347384</v>
      </c>
      <c r="M28" s="23">
        <f ca="1">'Rate Class Load Model'!C13</f>
        <v>2087.0429251965211</v>
      </c>
      <c r="N28" s="25"/>
      <c r="O28" s="6">
        <v>2087.0429251965211</v>
      </c>
      <c r="P28" s="45">
        <f ca="1">M28-O28</f>
        <v>0</v>
      </c>
      <c r="Q28" s="47">
        <f ca="1">P28/O28</f>
        <v>0</v>
      </c>
    </row>
    <row r="29" spans="1:17" x14ac:dyDescent="0.2">
      <c r="G29" s="23"/>
      <c r="H29" s="23"/>
      <c r="J29" s="23"/>
      <c r="K29" s="23"/>
      <c r="L29" s="23"/>
      <c r="N29" s="25"/>
    </row>
    <row r="30" spans="1:17" x14ac:dyDescent="0.2">
      <c r="A30" s="33" t="str">
        <f>'Rate Class Energy Model'!N2</f>
        <v xml:space="preserve">Unmetered Loads </v>
      </c>
      <c r="D30" s="60"/>
      <c r="E30" s="19"/>
      <c r="F30" s="19"/>
      <c r="G30" s="19"/>
      <c r="N30" s="25"/>
    </row>
    <row r="31" spans="1:17" x14ac:dyDescent="0.2">
      <c r="A31" t="s">
        <v>28</v>
      </c>
      <c r="B31" s="23">
        <f>'Rate Class Customer Model'!F3</f>
        <v>80</v>
      </c>
      <c r="C31" s="23">
        <f>'Rate Class Customer Model'!F4</f>
        <v>77.583333333333329</v>
      </c>
      <c r="D31" s="23">
        <f>'Rate Class Customer Model'!F5</f>
        <v>75.666666666666671</v>
      </c>
      <c r="E31" s="23">
        <f>'Rate Class Customer Model'!F6</f>
        <v>73.666666666666671</v>
      </c>
      <c r="F31" s="23">
        <f>'Rate Class Customer Model'!F7</f>
        <v>71.125</v>
      </c>
      <c r="G31" s="23">
        <f>'Rate Class Customer Model'!F8</f>
        <v>68.5</v>
      </c>
      <c r="H31" s="23">
        <f>'Rate Class Customer Model'!F9</f>
        <v>67.208333333333329</v>
      </c>
      <c r="I31" s="23">
        <f>'Rate Class Customer Model'!F10</f>
        <v>66.291666666666671</v>
      </c>
      <c r="J31" s="23">
        <f>'Rate Class Customer Model'!F11</f>
        <v>65.791666666666671</v>
      </c>
      <c r="K31" s="23">
        <f>'Rate Class Customer Model'!F12</f>
        <v>62.875</v>
      </c>
      <c r="L31" s="23">
        <f>'Rate Class Customer Model'!F13</f>
        <v>61.214519340293997</v>
      </c>
      <c r="M31" s="23">
        <f>'Rate Class Customer Model'!F14</f>
        <v>59.59789070478292</v>
      </c>
      <c r="N31" s="25"/>
      <c r="O31" s="6">
        <v>59.59789070478292</v>
      </c>
      <c r="P31" s="45">
        <f>M31-O31</f>
        <v>0</v>
      </c>
      <c r="Q31" s="47">
        <f>P31/O31</f>
        <v>0</v>
      </c>
    </row>
    <row r="32" spans="1:17" x14ac:dyDescent="0.2">
      <c r="A32" t="s">
        <v>26</v>
      </c>
      <c r="B32" s="23">
        <f>'Rate Class Energy Model'!N3</f>
        <v>386473.02</v>
      </c>
      <c r="C32" s="23">
        <f>'Rate Class Energy Model'!N4</f>
        <v>379841.89</v>
      </c>
      <c r="D32" s="23">
        <f>'Rate Class Energy Model'!N5</f>
        <v>375823.56</v>
      </c>
      <c r="E32" s="23">
        <f>'Rate Class Energy Model'!N6</f>
        <v>370830.46</v>
      </c>
      <c r="F32" s="23">
        <f>'Rate Class Energy Model'!N7</f>
        <v>365095.35</v>
      </c>
      <c r="G32" s="23">
        <f>'Rate Class Energy Model'!N8</f>
        <v>344840.46</v>
      </c>
      <c r="H32" s="23">
        <f>'Rate Class Energy Model'!N9</f>
        <v>338746.07000000007</v>
      </c>
      <c r="I32" s="23">
        <f>'Rate Class Energy Model'!N10</f>
        <v>338063.86</v>
      </c>
      <c r="J32" s="23">
        <f>'Rate Class Energy Model'!N11</f>
        <v>336466.37000000005</v>
      </c>
      <c r="K32" s="23">
        <f>'Rate Class Energy Model'!N12</f>
        <v>328310.30000000005</v>
      </c>
      <c r="L32" s="23">
        <f ca="1">'Rate Class Energy Model'!N42</f>
        <v>319639.87608696189</v>
      </c>
      <c r="M32" s="23">
        <f ca="1">'Rate Class Energy Model'!N43</f>
        <v>311198.43143784488</v>
      </c>
      <c r="N32" s="25"/>
      <c r="O32" s="6">
        <v>311198.43143784488</v>
      </c>
      <c r="P32" s="45">
        <f ca="1">M32-O32</f>
        <v>0</v>
      </c>
      <c r="Q32" s="47">
        <f ca="1">P32/O32</f>
        <v>0</v>
      </c>
    </row>
    <row r="33" spans="1:17" x14ac:dyDescent="0.2">
      <c r="B33"/>
      <c r="C33"/>
      <c r="E33"/>
      <c r="F33"/>
      <c r="G33"/>
      <c r="N33" s="25"/>
    </row>
    <row r="34" spans="1:17" x14ac:dyDescent="0.2">
      <c r="A34" s="33" t="s">
        <v>58</v>
      </c>
      <c r="D34" s="233"/>
      <c r="E34" s="19"/>
      <c r="F34" s="19"/>
      <c r="G34" s="19"/>
      <c r="H34" s="23"/>
      <c r="I34" s="23"/>
      <c r="N34" s="25"/>
    </row>
    <row r="35" spans="1:17" x14ac:dyDescent="0.2">
      <c r="A35" s="55" t="s">
        <v>60</v>
      </c>
      <c r="B35" s="23">
        <f>'Rate Class Customer Model'!G3</f>
        <v>0</v>
      </c>
      <c r="C35" s="23">
        <f>'Rate Class Customer Model'!G4</f>
        <v>0</v>
      </c>
      <c r="D35" s="23">
        <f>'Rate Class Customer Model'!G5</f>
        <v>0</v>
      </c>
      <c r="E35" s="23">
        <f>'Rate Class Customer Model'!G6</f>
        <v>0</v>
      </c>
      <c r="F35" s="23">
        <f>'Rate Class Customer Model'!G7</f>
        <v>0</v>
      </c>
      <c r="G35" s="23">
        <f>'Rate Class Customer Model'!G8</f>
        <v>0.33333333333333331</v>
      </c>
      <c r="H35" s="23">
        <f>'Rate Class Customer Model'!G9</f>
        <v>1</v>
      </c>
      <c r="I35" s="23">
        <f>'Rate Class Customer Model'!G10</f>
        <v>1</v>
      </c>
      <c r="J35" s="23">
        <f>'Rate Class Customer Model'!G11</f>
        <v>1</v>
      </c>
      <c r="K35" s="23">
        <f>'Rate Class Customer Model'!G12</f>
        <v>1</v>
      </c>
      <c r="L35" s="23">
        <f>'Rate Class Customer Model'!G13</f>
        <v>1</v>
      </c>
      <c r="M35" s="23">
        <f>'Rate Class Customer Model'!G14</f>
        <v>1</v>
      </c>
      <c r="N35" s="25"/>
      <c r="O35" s="6">
        <v>1</v>
      </c>
      <c r="P35" s="45">
        <f>M35-O35</f>
        <v>0</v>
      </c>
      <c r="Q35" s="47">
        <f>P35/O35</f>
        <v>0</v>
      </c>
    </row>
    <row r="36" spans="1:17" x14ac:dyDescent="0.2">
      <c r="A36" s="55" t="s">
        <v>26</v>
      </c>
      <c r="B36" s="23">
        <f>'Rate Class Energy Model'!O3</f>
        <v>0</v>
      </c>
      <c r="C36" s="23">
        <f>'Rate Class Energy Model'!O4</f>
        <v>0</v>
      </c>
      <c r="D36" s="23">
        <f>'Rate Class Energy Model'!O5</f>
        <v>0</v>
      </c>
      <c r="E36" s="23">
        <f>'Rate Class Energy Model'!O6</f>
        <v>0</v>
      </c>
      <c r="F36" s="23">
        <f>'Rate Class Energy Model'!O7</f>
        <v>0</v>
      </c>
      <c r="G36" s="23">
        <f>'Rate Class Energy Model'!O8</f>
        <v>0</v>
      </c>
      <c r="H36" s="23">
        <f>'Rate Class Energy Model'!O9</f>
        <v>29983391.131810207</v>
      </c>
      <c r="I36" s="23">
        <f>'Rate Class Energy Model'!O10</f>
        <v>43380633.574119426</v>
      </c>
      <c r="J36" s="23">
        <f>'Rate Class Energy Model'!O11</f>
        <v>49068645.301379278</v>
      </c>
      <c r="K36" s="23">
        <f>'Rate Class Energy Model'!O12</f>
        <v>59182119.984162331</v>
      </c>
      <c r="L36" s="23">
        <f ca="1">'Rate Class Energy Model'!O42</f>
        <v>58368501.882965423</v>
      </c>
      <c r="M36" s="23">
        <f ca="1">'Rate Class Energy Model'!O43</f>
        <v>58660344.392380245</v>
      </c>
      <c r="N36" s="25"/>
      <c r="O36" s="6">
        <v>58660344.392380245</v>
      </c>
      <c r="P36" s="45">
        <f ca="1">M36-O36</f>
        <v>0</v>
      </c>
      <c r="Q36" s="47">
        <f ca="1">P36/O36</f>
        <v>0</v>
      </c>
    </row>
    <row r="37" spans="1:17" x14ac:dyDescent="0.2">
      <c r="A37" s="55" t="s">
        <v>27</v>
      </c>
      <c r="B37" s="23">
        <f>'Rate Class Load Model'!D2</f>
        <v>0</v>
      </c>
      <c r="C37" s="23">
        <f>'Rate Class Load Model'!D3</f>
        <v>0</v>
      </c>
      <c r="D37" s="23">
        <f>'Rate Class Load Model'!D4</f>
        <v>0</v>
      </c>
      <c r="E37" s="23">
        <f>'Rate Class Load Model'!D5</f>
        <v>0</v>
      </c>
      <c r="F37" s="23">
        <f>'Rate Class Load Model'!D6</f>
        <v>0</v>
      </c>
      <c r="G37" s="23">
        <f>'Rate Class Load Model'!D7</f>
        <v>0</v>
      </c>
      <c r="H37" s="23">
        <f>'Embedded Distributor'!M3</f>
        <v>134378.59375901797</v>
      </c>
      <c r="I37" s="23">
        <f>'Embedded Distributor'!M4</f>
        <v>170905.05999999997</v>
      </c>
      <c r="J37" s="23">
        <f>'Embedded Distributor'!M5</f>
        <v>164404.78920878115</v>
      </c>
      <c r="K37" s="23">
        <f>'Embedded Distributor'!M6</f>
        <v>185129.68805562533</v>
      </c>
      <c r="L37" s="23">
        <f ca="1">'Embedded Distributor'!M10</f>
        <v>189796.19988442984</v>
      </c>
      <c r="M37" s="23">
        <f ca="1">'Embedded Distributor'!M11</f>
        <v>190745.18088385198</v>
      </c>
      <c r="N37" s="25"/>
      <c r="O37" s="6">
        <v>190745.18088385198</v>
      </c>
      <c r="P37" s="45">
        <f ca="1">M37-O37</f>
        <v>0</v>
      </c>
      <c r="Q37" s="47">
        <f ca="1">P37/O37</f>
        <v>0</v>
      </c>
    </row>
    <row r="38" spans="1:17" x14ac:dyDescent="0.2">
      <c r="A38" s="55"/>
      <c r="I38" s="128"/>
      <c r="J38" s="128"/>
      <c r="K38" s="128"/>
      <c r="L38" s="128"/>
      <c r="M38" s="128"/>
      <c r="N38" s="25"/>
      <c r="O38" s="128"/>
    </row>
    <row r="39" spans="1:17" x14ac:dyDescent="0.2">
      <c r="A39" s="33" t="s">
        <v>12</v>
      </c>
      <c r="D39" s="19"/>
      <c r="F39" s="19"/>
      <c r="I39" s="57"/>
      <c r="N39" s="25"/>
    </row>
    <row r="40" spans="1:17" x14ac:dyDescent="0.2">
      <c r="A40" t="s">
        <v>30</v>
      </c>
      <c r="B40" s="23">
        <f>B35+B31+B26+B21+B17+B13</f>
        <v>12725.500000000004</v>
      </c>
      <c r="C40" s="23">
        <f t="shared" ref="C40:M40" si="2">C35+C31+C26+C21+C17+C13</f>
        <v>13064.083333333332</v>
      </c>
      <c r="D40" s="23">
        <f t="shared" si="2"/>
        <v>13201.541666666666</v>
      </c>
      <c r="E40" s="23">
        <f t="shared" si="2"/>
        <v>13512.208333333334</v>
      </c>
      <c r="F40" s="23">
        <f t="shared" si="2"/>
        <v>13799.333333333334</v>
      </c>
      <c r="G40" s="23">
        <f t="shared" si="2"/>
        <v>13857.75</v>
      </c>
      <c r="H40" s="23">
        <f t="shared" si="2"/>
        <v>13954.708333333334</v>
      </c>
      <c r="I40" s="23">
        <f t="shared" si="2"/>
        <v>14169.875</v>
      </c>
      <c r="J40" s="23">
        <f t="shared" si="2"/>
        <v>14317.625</v>
      </c>
      <c r="K40" s="23">
        <f t="shared" si="2"/>
        <v>14422.833333333332</v>
      </c>
      <c r="L40" s="23">
        <f t="shared" si="2"/>
        <v>14592.37342302515</v>
      </c>
      <c r="M40" s="23">
        <f t="shared" si="2"/>
        <v>14884.664950883312</v>
      </c>
      <c r="N40" s="25"/>
      <c r="O40" s="6">
        <v>14944.789950883312</v>
      </c>
      <c r="P40" s="45">
        <f>M40-O40</f>
        <v>-60.125</v>
      </c>
      <c r="Q40" s="47">
        <f>P40/O40</f>
        <v>-4.0231411881734951E-3</v>
      </c>
    </row>
    <row r="41" spans="1:17" x14ac:dyDescent="0.2">
      <c r="A41" t="s">
        <v>26</v>
      </c>
      <c r="B41" s="23">
        <f>B36+B32+B27+B22+B18+B14</f>
        <v>181291509.01999998</v>
      </c>
      <c r="C41" s="23">
        <f t="shared" ref="C41:M41" si="3">C36+C32+C27+C22+C18+C14</f>
        <v>187279785.59276229</v>
      </c>
      <c r="D41" s="23">
        <f t="shared" si="3"/>
        <v>186747522.97503135</v>
      </c>
      <c r="E41" s="23">
        <f t="shared" si="3"/>
        <v>183850636.35158366</v>
      </c>
      <c r="F41" s="23">
        <f t="shared" si="3"/>
        <v>184213573.31433585</v>
      </c>
      <c r="G41" s="23">
        <f t="shared" si="3"/>
        <v>181150215.76999998</v>
      </c>
      <c r="H41" s="23">
        <f>H36+H32+H27+H22+H18+H14</f>
        <v>202886489.24857372</v>
      </c>
      <c r="I41" s="23">
        <f t="shared" si="3"/>
        <v>227326135.81918895</v>
      </c>
      <c r="J41" s="23">
        <f t="shared" si="3"/>
        <v>229447871.62621254</v>
      </c>
      <c r="K41" s="23">
        <f t="shared" si="3"/>
        <v>246794089.72724569</v>
      </c>
      <c r="L41" s="23">
        <f t="shared" ca="1" si="3"/>
        <v>253262811.8542639</v>
      </c>
      <c r="M41" s="23">
        <f t="shared" ca="1" si="3"/>
        <v>258637066.93144637</v>
      </c>
      <c r="N41" s="25"/>
      <c r="O41" s="6">
        <v>258920264.36716181</v>
      </c>
      <c r="P41" s="45">
        <f ca="1">M41-O41</f>
        <v>-283197.43571543694</v>
      </c>
      <c r="Q41" s="47">
        <f ca="1">P41/O41</f>
        <v>-1.0937631181847122E-3</v>
      </c>
    </row>
    <row r="42" spans="1:17" x14ac:dyDescent="0.2">
      <c r="A42" t="s">
        <v>29</v>
      </c>
      <c r="B42" s="23">
        <f>B37+B28+B23</f>
        <v>164440.99999999997</v>
      </c>
      <c r="C42" s="23">
        <f t="shared" ref="C42:M42" si="4">C37+C28+C23</f>
        <v>188239.78000000003</v>
      </c>
      <c r="D42" s="23">
        <f t="shared" si="4"/>
        <v>191868.21999999997</v>
      </c>
      <c r="E42" s="23">
        <f t="shared" si="4"/>
        <v>185391.11000000002</v>
      </c>
      <c r="F42" s="23">
        <f t="shared" si="4"/>
        <v>181401.83000000002</v>
      </c>
      <c r="G42" s="23">
        <f t="shared" si="4"/>
        <v>177909.33</v>
      </c>
      <c r="H42" s="23">
        <f>H37+H28+H23</f>
        <v>310129.71375901799</v>
      </c>
      <c r="I42" s="23">
        <f t="shared" si="4"/>
        <v>354179.82999999996</v>
      </c>
      <c r="J42" s="23">
        <f t="shared" si="4"/>
        <v>344730.04920878116</v>
      </c>
      <c r="K42" s="23">
        <f t="shared" si="4"/>
        <v>363261.47805562534</v>
      </c>
      <c r="L42" s="23">
        <f t="shared" ca="1" si="4"/>
        <v>401263.39382459247</v>
      </c>
      <c r="M42" s="23">
        <f t="shared" ca="1" si="4"/>
        <v>416622.10972189199</v>
      </c>
      <c r="N42" s="25"/>
      <c r="O42" s="6">
        <v>416814.66989112779</v>
      </c>
      <c r="P42" s="45">
        <f ca="1">M42-O42</f>
        <v>-192.56016923580319</v>
      </c>
      <c r="Q42" s="47">
        <f ca="1">P42/O42</f>
        <v>-4.6198030718568522E-4</v>
      </c>
    </row>
    <row r="43" spans="1:17" x14ac:dyDescent="0.2">
      <c r="D43" s="57"/>
      <c r="E43" s="19"/>
      <c r="F43" s="19"/>
      <c r="G43" s="19"/>
      <c r="N43" s="25"/>
    </row>
    <row r="44" spans="1:17" x14ac:dyDescent="0.2">
      <c r="A44" t="s">
        <v>30</v>
      </c>
      <c r="B44" s="23">
        <f>'Rate Class Customer Model'!H3</f>
        <v>12725.500000000002</v>
      </c>
      <c r="C44" s="23">
        <f>'Rate Class Customer Model'!H4</f>
        <v>13064.083333333332</v>
      </c>
      <c r="D44" s="23">
        <f>'Rate Class Customer Model'!H5</f>
        <v>13201.541666666664</v>
      </c>
      <c r="E44" s="23">
        <f>'Rate Class Customer Model'!H6</f>
        <v>13512.208333333334</v>
      </c>
      <c r="F44" s="23">
        <f>'Rate Class Customer Model'!H7</f>
        <v>13799.333333333334</v>
      </c>
      <c r="G44" s="23">
        <f>'Rate Class Customer Model'!H8</f>
        <v>13857.750000000002</v>
      </c>
      <c r="H44" s="23">
        <f>'Rate Class Customer Model'!H9</f>
        <v>13954.708333333334</v>
      </c>
      <c r="I44" s="23">
        <f>'Rate Class Customer Model'!H10</f>
        <v>14169.875</v>
      </c>
      <c r="J44" s="23">
        <f>'Rate Class Customer Model'!H11</f>
        <v>14317.624999999998</v>
      </c>
      <c r="K44" s="23">
        <f>'Rate Class Customer Model'!H12</f>
        <v>14422.833333333332</v>
      </c>
      <c r="L44" s="23">
        <f>'Rate Class Customer Model'!H13</f>
        <v>14592.373423025152</v>
      </c>
      <c r="M44" s="23">
        <f>'Rate Class Customer Model'!H14</f>
        <v>14884.664950883312</v>
      </c>
      <c r="N44" s="25"/>
      <c r="O44" s="6">
        <v>14944.789950883312</v>
      </c>
      <c r="P44" s="45">
        <f>M44-O44</f>
        <v>-60.125</v>
      </c>
      <c r="Q44" s="47">
        <f>P44/O44</f>
        <v>-4.0231411881734951E-3</v>
      </c>
    </row>
    <row r="45" spans="1:17" x14ac:dyDescent="0.2">
      <c r="A45" t="s">
        <v>26</v>
      </c>
      <c r="B45" s="23">
        <f>'Rate Class Energy Model'!I3</f>
        <v>181291509.02000001</v>
      </c>
      <c r="C45" s="23">
        <f>'Rate Class Energy Model'!I4</f>
        <v>187279785.59276229</v>
      </c>
      <c r="D45" s="23">
        <f>'Rate Class Energy Model'!I5</f>
        <v>186747522.97503135</v>
      </c>
      <c r="E45" s="23">
        <f>'Rate Class Energy Model'!I6</f>
        <v>183850636.35158369</v>
      </c>
      <c r="F45" s="23">
        <f>'Rate Class Energy Model'!I7</f>
        <v>184213573.31433585</v>
      </c>
      <c r="G45" s="23">
        <f>'Rate Class Energy Model'!I8</f>
        <v>181150215.77000001</v>
      </c>
      <c r="H45" s="23">
        <f>'Rate Class Energy Model'!I9</f>
        <v>202886489.24857369</v>
      </c>
      <c r="I45" s="23">
        <f>'Rate Class Energy Model'!I10</f>
        <v>227326135.81918898</v>
      </c>
      <c r="J45" s="23">
        <f>'Rate Class Energy Model'!I11</f>
        <v>229447871.62621254</v>
      </c>
      <c r="K45" s="23">
        <f>'Rate Class Energy Model'!I12</f>
        <v>246794089.72724569</v>
      </c>
      <c r="L45" s="23">
        <f ca="1">'Rate Class Energy Model'!P42</f>
        <v>253262811.85426387</v>
      </c>
      <c r="M45" s="23">
        <f ca="1">'Rate Class Energy Model'!P43</f>
        <v>258637066.93144637</v>
      </c>
      <c r="N45" s="25"/>
      <c r="O45" s="6">
        <v>258920264.36716178</v>
      </c>
      <c r="P45" s="45">
        <f ca="1">M45-O45</f>
        <v>-283197.43571540713</v>
      </c>
      <c r="Q45" s="47">
        <f ca="1">P45/O45</f>
        <v>-1.0937631181845973E-3</v>
      </c>
    </row>
    <row r="46" spans="1:17" x14ac:dyDescent="0.2">
      <c r="A46" t="s">
        <v>29</v>
      </c>
      <c r="B46" s="23">
        <f>'Rate Class Load Model'!E2</f>
        <v>164440.99999999997</v>
      </c>
      <c r="C46" s="23">
        <f>'Rate Class Load Model'!E3</f>
        <v>188239.78000000003</v>
      </c>
      <c r="D46" s="23">
        <f>'Rate Class Load Model'!E4</f>
        <v>191868.21999999997</v>
      </c>
      <c r="E46" s="23">
        <f>'Rate Class Load Model'!E5</f>
        <v>185391.11000000002</v>
      </c>
      <c r="F46" s="23">
        <f>'Rate Class Load Model'!E6</f>
        <v>181401.83000000002</v>
      </c>
      <c r="G46" s="23">
        <f>'Rate Class Load Model'!E7</f>
        <v>177909.33</v>
      </c>
      <c r="H46" s="23">
        <f>'Rate Class Load Model'!E8</f>
        <v>291479.64390788926</v>
      </c>
      <c r="I46" s="23">
        <f>'Rate Class Load Model'!E9</f>
        <v>327696.07411257341</v>
      </c>
      <c r="J46" s="23">
        <f>'Rate Class Load Model'!E10</f>
        <v>324033.59256318636</v>
      </c>
      <c r="K46" s="23">
        <f>'Rate Class Load Model'!E11</f>
        <v>345719.40572212974</v>
      </c>
      <c r="L46" s="23">
        <f ca="1">'Rate Class Load Model'!E12</f>
        <v>376750.86519858532</v>
      </c>
      <c r="M46" s="23">
        <f ca="1">'Rate Class Load Model'!E13</f>
        <v>391987.01845275483</v>
      </c>
      <c r="N46" s="25"/>
      <c r="O46" s="6">
        <v>392179.57862199063</v>
      </c>
      <c r="P46" s="45">
        <f ca="1">M46-O46</f>
        <v>-192.56016923580319</v>
      </c>
      <c r="Q46" s="47">
        <f ca="1">P46/O46</f>
        <v>-4.9099999013820601E-4</v>
      </c>
    </row>
    <row r="47" spans="1:17" x14ac:dyDescent="0.2">
      <c r="N47" s="25"/>
    </row>
    <row r="48" spans="1:17" x14ac:dyDescent="0.2">
      <c r="D48" s="28"/>
      <c r="I48" s="23"/>
      <c r="N48" s="25"/>
    </row>
    <row r="49" spans="1:17" x14ac:dyDescent="0.2">
      <c r="A49" s="55" t="s">
        <v>18</v>
      </c>
      <c r="I49" s="23"/>
      <c r="N49" s="25"/>
    </row>
    <row r="50" spans="1:17" x14ac:dyDescent="0.2">
      <c r="A50" t="s">
        <v>30</v>
      </c>
      <c r="B50" s="23">
        <f>B40-B44</f>
        <v>0</v>
      </c>
      <c r="C50" s="23">
        <f t="shared" ref="B50:C52" si="5">C40-C44</f>
        <v>0</v>
      </c>
      <c r="D50" s="23">
        <f t="shared" ref="D50:L50" si="6">D40-D44</f>
        <v>0</v>
      </c>
      <c r="E50" s="23">
        <f t="shared" si="6"/>
        <v>0</v>
      </c>
      <c r="F50" s="23">
        <f t="shared" si="6"/>
        <v>0</v>
      </c>
      <c r="G50" s="23">
        <f t="shared" si="6"/>
        <v>0</v>
      </c>
      <c r="H50" s="23">
        <f t="shared" si="6"/>
        <v>0</v>
      </c>
      <c r="I50" s="23">
        <f t="shared" si="6"/>
        <v>0</v>
      </c>
      <c r="J50" s="23">
        <f t="shared" si="6"/>
        <v>0</v>
      </c>
      <c r="K50" s="23">
        <f t="shared" si="6"/>
        <v>0</v>
      </c>
      <c r="L50" s="23">
        <f t="shared" si="6"/>
        <v>0</v>
      </c>
      <c r="M50" s="23">
        <f>M40-M44</f>
        <v>0</v>
      </c>
      <c r="N50" s="25"/>
      <c r="O50" s="6">
        <v>0</v>
      </c>
      <c r="P50" s="23">
        <f>P40-P44</f>
        <v>0</v>
      </c>
      <c r="Q50" s="47"/>
    </row>
    <row r="51" spans="1:17" x14ac:dyDescent="0.2">
      <c r="A51" t="s">
        <v>26</v>
      </c>
      <c r="B51" s="23">
        <f t="shared" si="5"/>
        <v>0</v>
      </c>
      <c r="C51" s="23">
        <f t="shared" si="5"/>
        <v>0</v>
      </c>
      <c r="D51" s="23">
        <f t="shared" ref="D51:L51" si="7">D41-D45</f>
        <v>0</v>
      </c>
      <c r="E51" s="23">
        <f t="shared" si="7"/>
        <v>0</v>
      </c>
      <c r="F51" s="23">
        <f t="shared" si="7"/>
        <v>0</v>
      </c>
      <c r="G51" s="23">
        <f t="shared" si="7"/>
        <v>0</v>
      </c>
      <c r="H51" s="23">
        <f t="shared" si="7"/>
        <v>0</v>
      </c>
      <c r="I51" s="23">
        <f t="shared" si="7"/>
        <v>0</v>
      </c>
      <c r="J51" s="23">
        <f t="shared" si="7"/>
        <v>0</v>
      </c>
      <c r="K51" s="23">
        <f t="shared" si="7"/>
        <v>0</v>
      </c>
      <c r="L51" s="23">
        <f t="shared" ca="1" si="7"/>
        <v>0</v>
      </c>
      <c r="M51" s="23">
        <f ca="1">M41-M45</f>
        <v>0</v>
      </c>
      <c r="N51" s="25"/>
      <c r="O51" s="6">
        <v>0</v>
      </c>
      <c r="P51" s="23">
        <f ca="1">P41-P45</f>
        <v>-2.9802322387695313E-8</v>
      </c>
      <c r="Q51" s="47"/>
    </row>
    <row r="52" spans="1:17" x14ac:dyDescent="0.2">
      <c r="A52" t="s">
        <v>29</v>
      </c>
      <c r="B52" s="23">
        <f t="shared" si="5"/>
        <v>0</v>
      </c>
      <c r="C52" s="23">
        <f t="shared" si="5"/>
        <v>0</v>
      </c>
      <c r="D52" s="23">
        <f>D42-D46</f>
        <v>0</v>
      </c>
      <c r="E52" s="23">
        <f>E42-E46</f>
        <v>0</v>
      </c>
      <c r="F52" s="23">
        <f>F42-F46</f>
        <v>0</v>
      </c>
      <c r="G52" s="23">
        <f>G42-G46</f>
        <v>0</v>
      </c>
      <c r="H52" s="23">
        <f>H42-H46-'Embedded Distributor'!N3</f>
        <v>7.6397554948925972E-11</v>
      </c>
      <c r="I52" s="23">
        <f>I42-I46-'Embedded Distributor'!N4</f>
        <v>-4.1125734496745281E-3</v>
      </c>
      <c r="J52" s="23">
        <f>J42-J46-'Embedded Distributor'!N5</f>
        <v>-2.9103830456733704E-11</v>
      </c>
      <c r="K52" s="23">
        <f>K42-K46-'Embedded Distributor'!N6</f>
        <v>0</v>
      </c>
      <c r="L52" s="23">
        <f ca="1">L42-L46-'Embedded Distributor'!N10</f>
        <v>5.8207660913467407E-11</v>
      </c>
      <c r="M52" s="23">
        <f ca="1">M42-M46-'Embedded Distributor'!N11</f>
        <v>2.9103830456733704E-11</v>
      </c>
      <c r="N52" s="25"/>
      <c r="O52" s="6">
        <v>2.9103830456733704E-11</v>
      </c>
      <c r="P52" s="23">
        <f ca="1">P42-P46-'Embedded Distributor'!Q11</f>
        <v>0</v>
      </c>
    </row>
    <row r="53" spans="1:17" x14ac:dyDescent="0.2">
      <c r="J53" s="45"/>
      <c r="K53" s="45"/>
      <c r="L53" s="45"/>
      <c r="M53" s="45"/>
      <c r="N53" s="25"/>
      <c r="O53" s="45"/>
    </row>
    <row r="54" spans="1:17" x14ac:dyDescent="0.2">
      <c r="B54"/>
      <c r="C54"/>
      <c r="E54"/>
      <c r="F54"/>
      <c r="G54"/>
      <c r="N54" s="25"/>
    </row>
    <row r="55" spans="1:17" x14ac:dyDescent="0.2">
      <c r="A55" s="33" t="s">
        <v>270</v>
      </c>
      <c r="D55" s="64"/>
      <c r="E55" s="19"/>
      <c r="F55" s="19"/>
      <c r="G55" s="19"/>
      <c r="H55" s="6"/>
      <c r="I55" s="6"/>
      <c r="J55" s="6"/>
      <c r="K55" s="6"/>
      <c r="N55" s="25"/>
    </row>
    <row r="56" spans="1:17" x14ac:dyDescent="0.2">
      <c r="A56" t="s">
        <v>25</v>
      </c>
      <c r="B56" s="23">
        <f ca="1">OFFSET('Customer Count'!$AN$3,COLUMN()-COLUMN($C$56),0)</f>
        <v>668.5</v>
      </c>
      <c r="C56" s="23">
        <f ca="1">OFFSET('Customer Count'!$AN$3,COLUMN()-COLUMN($C$56),0)</f>
        <v>686.41666666666663</v>
      </c>
      <c r="D56" s="23">
        <f ca="1">OFFSET('Customer Count'!$AN$3,COLUMN()-COLUMN($C$56),0)</f>
        <v>690.66666666666663</v>
      </c>
      <c r="E56" s="23">
        <f ca="1">OFFSET('Customer Count'!$AN$3,COLUMN()-COLUMN($C$56),0)</f>
        <v>724.58333333333337</v>
      </c>
      <c r="F56" s="23">
        <f ca="1">OFFSET('Customer Count'!$AN$3,COLUMN()-COLUMN($C$56),0)</f>
        <v>759.41666666666663</v>
      </c>
      <c r="G56" s="23">
        <f ca="1">OFFSET('Customer Count'!$AN$3,COLUMN()-COLUMN($C$56),0)</f>
        <v>768.08333333333337</v>
      </c>
      <c r="H56" s="23">
        <f ca="1">OFFSET('Customer Count'!$AN$3,COLUMN()-COLUMN($C$56),0)</f>
        <v>776.25</v>
      </c>
      <c r="I56" s="23">
        <f ca="1">OFFSET('Customer Count'!$AN$3,COLUMN()-COLUMN($C$56),0)</f>
        <v>778.16666666666663</v>
      </c>
      <c r="J56" s="23">
        <f ca="1">OFFSET('Customer Count'!$AN$3,COLUMN()-COLUMN($C$56),0)</f>
        <v>790.25</v>
      </c>
      <c r="K56" s="23">
        <f ca="1">OFFSET('Customer Count'!$AN$3,COLUMN()-COLUMN($C$56),0)</f>
        <v>798.16666666666663</v>
      </c>
      <c r="L56" s="23"/>
      <c r="M56" s="23"/>
      <c r="N56" s="25"/>
      <c r="O56" s="6"/>
    </row>
    <row r="57" spans="1:17" x14ac:dyDescent="0.2">
      <c r="A57" t="s">
        <v>26</v>
      </c>
      <c r="B57" s="23">
        <f ca="1">OFFSET('Rate Class Energy Model'!$Q$4,COLUMN()-COLUMN($C$57),0)</f>
        <v>17886498</v>
      </c>
      <c r="C57" s="23">
        <f ca="1">OFFSET('Rate Class Energy Model'!$Q$4,COLUMN()-COLUMN($C$57),0)</f>
        <v>17958297.190000001</v>
      </c>
      <c r="D57" s="23">
        <f ca="1">OFFSET('Rate Class Energy Model'!$Q$4,COLUMN()-COLUMN($C$57),0)</f>
        <v>18436579.289999999</v>
      </c>
      <c r="E57" s="23">
        <f ca="1">OFFSET('Rate Class Energy Model'!$Q$4,COLUMN()-COLUMN($C$57),0)</f>
        <v>18767140.449999999</v>
      </c>
      <c r="F57" s="23">
        <f ca="1">OFFSET('Rate Class Energy Model'!$Q$4,COLUMN()-COLUMN($C$57),0)</f>
        <v>19253148.599999998</v>
      </c>
      <c r="G57" s="23">
        <f ca="1">OFFSET('Rate Class Energy Model'!$Q$4,COLUMN()-COLUMN($C$57),0)</f>
        <v>18967931.630000003</v>
      </c>
      <c r="H57" s="23">
        <f ca="1">OFFSET('Rate Class Energy Model'!$Q$4,COLUMN()-COLUMN($C$57),0)</f>
        <v>18815505.98</v>
      </c>
      <c r="I57" s="23">
        <f ca="1">OFFSET('Rate Class Energy Model'!$Q$4,COLUMN()-COLUMN($C$57),0)</f>
        <v>19250751.989999998</v>
      </c>
      <c r="J57" s="23">
        <f ca="1">OFFSET('Rate Class Energy Model'!$Q$4,COLUMN()-COLUMN($C$57),0)</f>
        <v>19815114.449999999</v>
      </c>
      <c r="K57" s="23">
        <f ca="1">OFFSET('Rate Class Energy Model'!$Q$4,COLUMN()-COLUMN($C$57),0)</f>
        <v>19109685.450000007</v>
      </c>
      <c r="L57" s="23"/>
      <c r="M57" s="23"/>
      <c r="N57" s="25"/>
      <c r="O57" s="6"/>
    </row>
    <row r="58" spans="1:17" x14ac:dyDescent="0.2">
      <c r="B58" s="23"/>
      <c r="C58" s="23"/>
      <c r="D58" s="60"/>
      <c r="H58" s="45"/>
      <c r="J58" s="45"/>
      <c r="K58" s="45"/>
      <c r="L58" s="45"/>
      <c r="M58" s="45"/>
      <c r="N58" s="25"/>
      <c r="O58" s="45"/>
    </row>
    <row r="59" spans="1:17" x14ac:dyDescent="0.2">
      <c r="A59" s="33" t="s">
        <v>271</v>
      </c>
      <c r="B59" s="23"/>
      <c r="C59" s="23"/>
      <c r="D59" s="60"/>
      <c r="E59" s="19"/>
      <c r="F59" s="19"/>
      <c r="G59" s="19"/>
      <c r="N59" s="25"/>
    </row>
    <row r="60" spans="1:17" x14ac:dyDescent="0.2">
      <c r="A60" t="s">
        <v>25</v>
      </c>
      <c r="B60" s="23">
        <f ca="1">OFFSET('Customer Count'!$AO$3,COLUMN()-COLUMN($C$56),0)</f>
        <v>105.79166666666664</v>
      </c>
      <c r="C60" s="23">
        <f ca="1">OFFSET('Customer Count'!$AO$3,COLUMN()-COLUMN($C$56),0)</f>
        <v>107.91666666666667</v>
      </c>
      <c r="D60" s="23">
        <f ca="1">OFFSET('Customer Count'!$AO$3,COLUMN()-COLUMN($C$56),0)</f>
        <v>110.16666666666667</v>
      </c>
      <c r="E60" s="23">
        <f ca="1">OFFSET('Customer Count'!$AO$3,COLUMN()-COLUMN($C$56),0)</f>
        <v>109.25</v>
      </c>
      <c r="F60" s="23">
        <f ca="1">OFFSET('Customer Count'!$AO$3,COLUMN()-COLUMN($C$56),0)</f>
        <v>107.875</v>
      </c>
      <c r="G60" s="23">
        <f ca="1">OFFSET('Customer Count'!$AO$3,COLUMN()-COLUMN($C$56),0)</f>
        <v>111</v>
      </c>
      <c r="H60" s="23">
        <f ca="1">OFFSET('Customer Count'!$AO$3,COLUMN()-COLUMN($C$56),0)</f>
        <v>114.29166666666667</v>
      </c>
      <c r="I60" s="23">
        <f ca="1">OFFSET('Customer Count'!$AO$3,COLUMN()-COLUMN($C$56),0)</f>
        <v>117.33333333333333</v>
      </c>
      <c r="J60" s="23">
        <f ca="1">OFFSET('Customer Count'!$AO$3,COLUMN()-COLUMN($C$56),0)</f>
        <v>111.25</v>
      </c>
      <c r="K60" s="23">
        <f ca="1">OFFSET('Customer Count'!$AO$3,COLUMN()-COLUMN($C$56),0)</f>
        <v>107.95833333333333</v>
      </c>
      <c r="L60" s="23"/>
      <c r="M60" s="23"/>
      <c r="N60" s="25"/>
      <c r="O60" s="6"/>
    </row>
    <row r="61" spans="1:17" x14ac:dyDescent="0.2">
      <c r="A61" t="s">
        <v>26</v>
      </c>
      <c r="B61" s="23">
        <f ca="1">OFFSET('Rate Class Energy Model'!$R$4,COLUMN()-COLUMN($C$57),0)</f>
        <v>68948029</v>
      </c>
      <c r="C61" s="23">
        <f ca="1">OFFSET('Rate Class Energy Model'!$R$4,COLUMN()-COLUMN($C$57),0)</f>
        <v>73451692.1927623</v>
      </c>
      <c r="D61" s="23">
        <f ca="1">OFFSET('Rate Class Energy Model'!$R$4,COLUMN()-COLUMN($C$57),0)</f>
        <v>74222897.345031351</v>
      </c>
      <c r="E61" s="23">
        <f ca="1">OFFSET('Rate Class Energy Model'!$R$4,COLUMN()-COLUMN($C$57),0)</f>
        <v>71922883.091583684</v>
      </c>
      <c r="F61" s="23">
        <f ca="1">OFFSET('Rate Class Energy Model'!$R$4,COLUMN()-COLUMN($C$57),0)</f>
        <v>70614479.25433585</v>
      </c>
      <c r="G61" s="23">
        <f ca="1">OFFSET('Rate Class Energy Model'!$R$4,COLUMN()-COLUMN($C$57),0)</f>
        <v>65254591.190000005</v>
      </c>
      <c r="H61" s="23">
        <f ca="1">OFFSET('Rate Class Energy Model'!$R$4,COLUMN()-COLUMN($C$57),0)</f>
        <v>63761778.416763499</v>
      </c>
      <c r="I61" s="23">
        <f ca="1">OFFSET('Rate Class Energy Model'!$R$4,COLUMN()-COLUMN($C$57),0)</f>
        <v>66685041.125069566</v>
      </c>
      <c r="J61" s="23">
        <f ca="1">OFFSET('Rate Class Energy Model'!$R$4,COLUMN()-COLUMN($C$57),0)</f>
        <v>65409335.224833317</v>
      </c>
      <c r="K61" s="23">
        <f ca="1">OFFSET('Rate Class Energy Model'!$R$4,COLUMN()-COLUMN($C$57),0)</f>
        <v>65227676.17308332</v>
      </c>
      <c r="L61" s="23"/>
      <c r="M61" s="23"/>
      <c r="N61" s="25"/>
      <c r="O61" s="6"/>
    </row>
    <row r="62" spans="1:17" x14ac:dyDescent="0.2">
      <c r="A62" t="s">
        <v>27</v>
      </c>
      <c r="B62" s="23">
        <f ca="1">OFFSET('Rate Class Load Model'!$G$3,COLUMN()-COLUMN($C$57),0)</f>
        <v>165747.14999999997</v>
      </c>
      <c r="C62" s="23">
        <f ca="1">OFFSET('Rate Class Load Model'!$G$3,COLUMN()-COLUMN($C$57),0)</f>
        <v>189762.67000000004</v>
      </c>
      <c r="D62" s="23">
        <f ca="1">OFFSET('Rate Class Load Model'!$G$3,COLUMN()-COLUMN($C$57),0)</f>
        <v>193464.64999999997</v>
      </c>
      <c r="E62" s="23">
        <f ca="1">OFFSET('Rate Class Load Model'!$G$3,COLUMN()-COLUMN($C$57),0)</f>
        <v>187933.93000000002</v>
      </c>
      <c r="F62" s="23">
        <f ca="1">OFFSET('Rate Class Load Model'!$G$3,COLUMN()-COLUMN($C$57),0)</f>
        <v>185369.81000000003</v>
      </c>
      <c r="G62" s="23">
        <f ca="1">OFFSET('Rate Class Load Model'!$G$3,COLUMN()-COLUMN($C$57),0)</f>
        <v>181813.94</v>
      </c>
      <c r="H62" s="23">
        <f ca="1">OFFSET('Rate Class Load Model'!$G$3,COLUMN()-COLUMN($C$57),0)</f>
        <v>179353.91</v>
      </c>
      <c r="I62" s="23">
        <f ca="1">OFFSET('Rate Class Load Model'!$G$3,COLUMN()-COLUMN($C$57),0)</f>
        <v>186544.53000000003</v>
      </c>
      <c r="J62" s="23">
        <f ca="1">OFFSET('Rate Class Load Model'!$G$3,COLUMN()-COLUMN($C$57),0)</f>
        <v>183660.33</v>
      </c>
      <c r="K62" s="23">
        <f ca="1">OFFSET('Rate Class Load Model'!$G$3,COLUMN()-COLUMN($C$57),0)</f>
        <v>180462.39</v>
      </c>
      <c r="L62" s="23"/>
      <c r="M62" s="23"/>
      <c r="N62" s="25"/>
      <c r="O62" s="6"/>
    </row>
    <row r="63" spans="1:17" x14ac:dyDescent="0.2">
      <c r="B63"/>
      <c r="C63"/>
      <c r="E63"/>
      <c r="F63"/>
      <c r="G63"/>
      <c r="N63" s="25"/>
    </row>
    <row r="64" spans="1:17" x14ac:dyDescent="0.2">
      <c r="A64" s="33" t="s">
        <v>239</v>
      </c>
      <c r="D64" s="60"/>
      <c r="E64" s="19"/>
      <c r="F64" s="19"/>
      <c r="G64" s="19"/>
      <c r="H64" s="23"/>
      <c r="I64" s="23"/>
      <c r="N64" s="25"/>
    </row>
    <row r="65" spans="1:16" x14ac:dyDescent="0.2">
      <c r="A65" s="55" t="s">
        <v>60</v>
      </c>
      <c r="B65" s="23">
        <f>'Rate Class Customer Model'!G3</f>
        <v>0</v>
      </c>
      <c r="C65" s="23">
        <f>'Rate Class Customer Model'!G4</f>
        <v>0</v>
      </c>
      <c r="D65" s="23">
        <f>'Rate Class Customer Model'!G5</f>
        <v>0</v>
      </c>
      <c r="E65" s="23">
        <f>'Rate Class Customer Model'!G6</f>
        <v>0</v>
      </c>
      <c r="F65" s="23">
        <f>'Rate Class Customer Model'!G7</f>
        <v>0</v>
      </c>
      <c r="G65" s="23">
        <f>'Rate Class Customer Model'!G8</f>
        <v>0.33333333333333331</v>
      </c>
      <c r="H65" s="23">
        <f>'Rate Class Customer Model'!G9</f>
        <v>1</v>
      </c>
      <c r="I65" s="23">
        <f>'Rate Class Customer Model'!G10</f>
        <v>1</v>
      </c>
      <c r="J65" s="23">
        <f>'Rate Class Customer Model'!G11</f>
        <v>1</v>
      </c>
      <c r="K65" s="23">
        <f>'Rate Class Customer Model'!G12</f>
        <v>1</v>
      </c>
      <c r="L65" s="23">
        <f>'Rate Class Customer Model'!G13</f>
        <v>1</v>
      </c>
      <c r="M65" s="23">
        <f>'Rate Class Customer Model'!G14</f>
        <v>1</v>
      </c>
      <c r="N65" s="25"/>
      <c r="O65" s="6">
        <v>1</v>
      </c>
      <c r="P65" s="45">
        <f>M65-O65</f>
        <v>0</v>
      </c>
    </row>
    <row r="66" spans="1:16" x14ac:dyDescent="0.2">
      <c r="A66" s="55" t="s">
        <v>26</v>
      </c>
      <c r="B66" s="23">
        <f>'Rate Class Energy Model'!O3</f>
        <v>0</v>
      </c>
      <c r="C66" s="23">
        <f>'Rate Class Energy Model'!O4</f>
        <v>0</v>
      </c>
      <c r="D66" s="23">
        <f>'Rate Class Energy Model'!O5</f>
        <v>0</v>
      </c>
      <c r="E66" s="23">
        <f>'Rate Class Energy Model'!O6</f>
        <v>0</v>
      </c>
      <c r="F66" s="23">
        <f>'Rate Class Energy Model'!O7</f>
        <v>0</v>
      </c>
      <c r="G66" s="23">
        <f>'Rate Class Energy Model'!O8</f>
        <v>0</v>
      </c>
      <c r="H66" s="23">
        <f>'Rate Class Energy Model'!O9</f>
        <v>29983391.131810207</v>
      </c>
      <c r="I66" s="23">
        <f>'Rate Class Energy Model'!O10</f>
        <v>43380633.574119426</v>
      </c>
      <c r="J66" s="23">
        <f>'Rate Class Energy Model'!O11</f>
        <v>49068645.301379278</v>
      </c>
      <c r="K66" s="23">
        <f>'Rate Class Energy Model'!O12</f>
        <v>59182119.984162331</v>
      </c>
      <c r="L66" s="23">
        <f ca="1">'Rate Class Energy Model'!O42</f>
        <v>58368501.882965423</v>
      </c>
      <c r="M66" s="23">
        <f ca="1">'Rate Class Energy Model'!O43</f>
        <v>58660344.392380245</v>
      </c>
      <c r="N66" s="25"/>
      <c r="O66" s="6">
        <v>58660344.392380245</v>
      </c>
      <c r="P66" s="45">
        <f ca="1">M66-O66</f>
        <v>0</v>
      </c>
    </row>
    <row r="67" spans="1:16" x14ac:dyDescent="0.2">
      <c r="A67" s="55" t="s">
        <v>27</v>
      </c>
      <c r="B67" s="23">
        <f>'Rate Class Load Model'!D2</f>
        <v>0</v>
      </c>
      <c r="C67" s="23">
        <f>'Rate Class Load Model'!D3</f>
        <v>0</v>
      </c>
      <c r="D67" s="23">
        <f>'Rate Class Load Model'!D4</f>
        <v>0</v>
      </c>
      <c r="E67" s="23">
        <f>'Rate Class Load Model'!D5</f>
        <v>0</v>
      </c>
      <c r="F67" s="23">
        <f>'Rate Class Load Model'!D6</f>
        <v>0</v>
      </c>
      <c r="G67" s="23">
        <f>'Rate Class Load Model'!D7</f>
        <v>0</v>
      </c>
      <c r="H67" s="23">
        <f>'Rate Class Load Model'!D8</f>
        <v>115728.52390788929</v>
      </c>
      <c r="I67" s="23">
        <f>'Rate Class Load Model'!D9</f>
        <v>144421.30411257336</v>
      </c>
      <c r="J67" s="23">
        <f>'Rate Class Load Model'!D10</f>
        <v>143708.33256318636</v>
      </c>
      <c r="K67" s="23">
        <f>'Rate Class Load Model'!D11</f>
        <v>167587.61572212976</v>
      </c>
      <c r="L67" s="23">
        <f ca="1">'Rate Class Load Model'!D12</f>
        <v>165283.67125842275</v>
      </c>
      <c r="M67" s="23">
        <f ca="1">'Rate Class Load Model'!D13</f>
        <v>166110.08961471485</v>
      </c>
      <c r="N67" s="25"/>
      <c r="O67" s="6">
        <v>166110.08961471485</v>
      </c>
      <c r="P67" s="45">
        <f ca="1">M67-O67</f>
        <v>0</v>
      </c>
    </row>
    <row r="68" spans="1:16" x14ac:dyDescent="0.2">
      <c r="A68" s="55"/>
      <c r="I68" s="128"/>
      <c r="J68" s="128"/>
      <c r="K68" s="128"/>
      <c r="L68" s="128"/>
      <c r="M68" s="128"/>
      <c r="N68" s="25"/>
      <c r="O68" s="128"/>
    </row>
    <row r="71" spans="1:16" x14ac:dyDescent="0.2">
      <c r="A71" s="45"/>
      <c r="D71" s="28"/>
      <c r="H71" s="28"/>
      <c r="I71" s="28"/>
      <c r="J71" s="28"/>
      <c r="K71" s="28"/>
      <c r="L71" s="28"/>
      <c r="M71" s="28"/>
    </row>
    <row r="72" spans="1:16" x14ac:dyDescent="0.2">
      <c r="A72" s="45"/>
      <c r="C72" s="294"/>
      <c r="D72" s="294"/>
      <c r="E72" s="294"/>
      <c r="F72" s="294"/>
      <c r="G72" s="294"/>
      <c r="H72" s="294"/>
      <c r="I72" s="294"/>
      <c r="J72" s="294"/>
      <c r="K72" s="294"/>
      <c r="L72" s="294"/>
      <c r="M72" s="294"/>
      <c r="N72" s="294"/>
      <c r="O72" s="294"/>
    </row>
    <row r="73" spans="1:16" x14ac:dyDescent="0.2">
      <c r="A73" s="45"/>
      <c r="C73" s="294"/>
      <c r="D73" s="294"/>
      <c r="E73" s="294"/>
      <c r="F73" s="294"/>
      <c r="G73" s="294"/>
      <c r="H73" s="294"/>
      <c r="I73" s="294"/>
      <c r="J73" s="294"/>
      <c r="K73" s="294"/>
      <c r="L73" s="294"/>
      <c r="M73" s="294"/>
      <c r="N73" s="294"/>
      <c r="O73" s="294"/>
    </row>
    <row r="74" spans="1:16" x14ac:dyDescent="0.2">
      <c r="A74" s="45"/>
      <c r="C74" s="294"/>
      <c r="D74" s="294"/>
      <c r="E74" s="294"/>
      <c r="F74" s="294"/>
      <c r="G74" s="294"/>
      <c r="H74" s="294"/>
      <c r="I74" s="294"/>
      <c r="J74" s="294"/>
      <c r="K74" s="294"/>
      <c r="L74" s="294"/>
      <c r="M74" s="294"/>
      <c r="N74" s="294"/>
      <c r="O74" s="294"/>
    </row>
    <row r="75" spans="1:16" x14ac:dyDescent="0.2">
      <c r="A75" s="45"/>
      <c r="C75" s="294"/>
      <c r="D75" s="294"/>
      <c r="E75" s="294"/>
      <c r="F75" s="294"/>
      <c r="G75" s="294"/>
      <c r="H75" s="294"/>
      <c r="I75" s="294"/>
      <c r="J75" s="294"/>
      <c r="K75" s="294"/>
      <c r="L75" s="294"/>
      <c r="M75" s="294"/>
      <c r="N75" s="294"/>
      <c r="O75" s="294"/>
    </row>
    <row r="76" spans="1:16" x14ac:dyDescent="0.2">
      <c r="A76" s="45"/>
      <c r="C76" s="294"/>
      <c r="D76" s="294"/>
      <c r="E76" s="294"/>
      <c r="F76" s="294"/>
      <c r="G76" s="294"/>
      <c r="H76" s="294"/>
      <c r="I76" s="294"/>
      <c r="J76" s="294"/>
      <c r="K76" s="294"/>
      <c r="L76" s="294"/>
      <c r="M76" s="294"/>
      <c r="N76" s="294"/>
      <c r="O76" s="294"/>
    </row>
    <row r="77" spans="1:16" x14ac:dyDescent="0.2">
      <c r="A77" s="45"/>
      <c r="C77" s="294"/>
      <c r="D77" s="294"/>
      <c r="E77" s="294"/>
      <c r="F77" s="294"/>
      <c r="G77" s="294"/>
      <c r="H77" s="294"/>
      <c r="I77" s="294"/>
      <c r="J77" s="294"/>
      <c r="K77" s="294"/>
      <c r="L77" s="294"/>
      <c r="M77" s="294"/>
      <c r="N77" s="294"/>
      <c r="O77" s="294"/>
    </row>
    <row r="78" spans="1:16" x14ac:dyDescent="0.2">
      <c r="A78" s="45"/>
      <c r="C78" s="294"/>
      <c r="D78" s="294"/>
      <c r="E78" s="294"/>
      <c r="F78" s="294"/>
      <c r="G78" s="294"/>
      <c r="H78" s="294"/>
      <c r="I78" s="294"/>
      <c r="J78" s="294"/>
      <c r="K78" s="294"/>
      <c r="L78" s="294"/>
      <c r="M78" s="294"/>
      <c r="N78" s="294"/>
      <c r="O78" s="294"/>
    </row>
    <row r="79" spans="1:16" x14ac:dyDescent="0.2">
      <c r="A79" s="45"/>
      <c r="C79" s="294"/>
      <c r="D79" s="294"/>
      <c r="E79" s="294"/>
      <c r="F79" s="294"/>
      <c r="G79" s="294"/>
      <c r="H79" s="294"/>
      <c r="I79" s="294"/>
      <c r="J79" s="294"/>
      <c r="K79" s="294"/>
      <c r="L79" s="294"/>
      <c r="M79" s="294"/>
      <c r="N79" s="294"/>
      <c r="O79" s="294"/>
    </row>
    <row r="80" spans="1:16" x14ac:dyDescent="0.2">
      <c r="A80" s="45"/>
      <c r="C80" s="294"/>
      <c r="D80" s="294"/>
      <c r="E80" s="294"/>
      <c r="F80" s="294"/>
      <c r="G80" s="294"/>
      <c r="H80" s="294"/>
      <c r="I80" s="294"/>
      <c r="J80" s="294"/>
      <c r="K80" s="294"/>
      <c r="L80" s="294"/>
      <c r="M80" s="294"/>
      <c r="N80" s="294"/>
      <c r="O80" s="294"/>
    </row>
    <row r="81" spans="1:15" x14ac:dyDescent="0.2">
      <c r="A81" s="45"/>
      <c r="C81" s="294"/>
      <c r="D81" s="294"/>
      <c r="E81" s="294"/>
      <c r="F81" s="294"/>
      <c r="G81" s="294"/>
      <c r="H81" s="294"/>
      <c r="I81" s="294"/>
      <c r="J81" s="294"/>
      <c r="K81" s="294"/>
      <c r="L81" s="294"/>
      <c r="M81" s="294"/>
      <c r="N81" s="294"/>
      <c r="O81" s="294"/>
    </row>
    <row r="82" spans="1:15" x14ac:dyDescent="0.2">
      <c r="A82" s="45"/>
      <c r="C82" s="294"/>
      <c r="D82" s="294"/>
      <c r="E82" s="294"/>
      <c r="F82" s="294"/>
      <c r="G82" s="294"/>
      <c r="H82" s="294"/>
      <c r="I82" s="294"/>
      <c r="J82" s="294"/>
      <c r="K82" s="294"/>
      <c r="L82" s="294"/>
      <c r="M82" s="294"/>
      <c r="N82" s="294"/>
      <c r="O82" s="294"/>
    </row>
    <row r="83" spans="1:15" x14ac:dyDescent="0.2">
      <c r="A83" s="45"/>
      <c r="C83" s="294"/>
      <c r="D83" s="294"/>
      <c r="E83" s="294"/>
      <c r="F83" s="294"/>
      <c r="G83" s="294"/>
      <c r="H83" s="294"/>
      <c r="I83" s="294"/>
      <c r="J83" s="294"/>
      <c r="K83" s="294"/>
      <c r="L83" s="294"/>
      <c r="M83" s="294"/>
      <c r="N83" s="294"/>
      <c r="O83" s="294"/>
    </row>
    <row r="84" spans="1:15" x14ac:dyDescent="0.2">
      <c r="A84" s="45"/>
      <c r="C84" s="294"/>
      <c r="D84" s="294"/>
      <c r="E84" s="294"/>
      <c r="F84" s="294"/>
      <c r="G84" s="294"/>
      <c r="H84" s="294"/>
      <c r="I84" s="294"/>
      <c r="J84" s="294"/>
      <c r="K84" s="294"/>
      <c r="L84" s="294"/>
      <c r="M84" s="294"/>
      <c r="N84" s="294"/>
      <c r="O84" s="294"/>
    </row>
    <row r="85" spans="1:15" x14ac:dyDescent="0.2">
      <c r="A85" s="45"/>
      <c r="C85" s="294"/>
      <c r="D85" s="294"/>
      <c r="E85" s="294"/>
      <c r="F85" s="294"/>
      <c r="G85" s="294"/>
      <c r="H85" s="294"/>
      <c r="I85" s="294"/>
      <c r="J85" s="294"/>
      <c r="K85" s="294"/>
      <c r="L85" s="294"/>
      <c r="M85" s="294"/>
      <c r="N85" s="294"/>
      <c r="O85" s="294"/>
    </row>
    <row r="86" spans="1:15" x14ac:dyDescent="0.2">
      <c r="A86" s="45"/>
      <c r="C86" s="294"/>
      <c r="D86" s="294"/>
      <c r="E86" s="294"/>
      <c r="F86" s="294"/>
      <c r="G86" s="294"/>
      <c r="H86" s="294"/>
      <c r="I86" s="294"/>
      <c r="J86" s="294"/>
      <c r="K86" s="294"/>
      <c r="L86" s="294"/>
      <c r="M86" s="294"/>
      <c r="N86" s="294"/>
      <c r="O86" s="294"/>
    </row>
    <row r="87" spans="1:15" x14ac:dyDescent="0.2">
      <c r="A87" s="45"/>
      <c r="C87" s="294"/>
      <c r="D87" s="294"/>
      <c r="E87" s="294"/>
      <c r="F87" s="294"/>
      <c r="G87" s="294"/>
      <c r="H87" s="294"/>
      <c r="I87" s="294"/>
      <c r="J87" s="294"/>
      <c r="K87" s="294"/>
      <c r="L87" s="294"/>
      <c r="M87" s="294"/>
      <c r="N87" s="294"/>
      <c r="O87" s="294"/>
    </row>
    <row r="88" spans="1:15" x14ac:dyDescent="0.2">
      <c r="A88" s="45"/>
      <c r="C88" s="294"/>
      <c r="D88" s="294"/>
      <c r="E88" s="294"/>
      <c r="F88" s="294"/>
      <c r="G88" s="294"/>
      <c r="H88" s="294"/>
      <c r="I88" s="294"/>
      <c r="J88" s="294"/>
      <c r="K88" s="294"/>
      <c r="L88" s="294"/>
      <c r="M88" s="294"/>
      <c r="N88" s="294"/>
      <c r="O88" s="294"/>
    </row>
    <row r="89" spans="1:15" x14ac:dyDescent="0.2">
      <c r="A89" s="45"/>
      <c r="C89" s="294"/>
      <c r="D89" s="294"/>
      <c r="E89" s="294"/>
      <c r="F89" s="294"/>
      <c r="G89" s="294"/>
      <c r="H89" s="294"/>
      <c r="I89" s="294"/>
      <c r="J89" s="294"/>
      <c r="K89" s="294"/>
      <c r="L89" s="294"/>
      <c r="M89" s="294"/>
      <c r="N89" s="294"/>
      <c r="O89" s="294"/>
    </row>
    <row r="90" spans="1:15" x14ac:dyDescent="0.2">
      <c r="A90" s="45"/>
      <c r="C90" s="294"/>
      <c r="D90" s="294"/>
      <c r="E90" s="294"/>
      <c r="F90" s="294"/>
      <c r="G90" s="294"/>
      <c r="H90" s="294"/>
      <c r="I90" s="294"/>
      <c r="J90" s="294"/>
      <c r="K90" s="294"/>
      <c r="L90" s="294"/>
      <c r="M90" s="294"/>
      <c r="N90" s="294"/>
      <c r="O90" s="294"/>
    </row>
    <row r="91" spans="1:15" x14ac:dyDescent="0.2">
      <c r="A91" s="45"/>
      <c r="C91" s="294"/>
      <c r="D91" s="294"/>
      <c r="E91" s="294"/>
      <c r="F91" s="294"/>
      <c r="G91" s="294"/>
      <c r="H91" s="294"/>
      <c r="I91" s="294"/>
      <c r="J91" s="294"/>
      <c r="K91" s="294"/>
      <c r="L91" s="294"/>
      <c r="M91" s="294"/>
      <c r="N91" s="294"/>
      <c r="O91" s="294"/>
    </row>
    <row r="92" spans="1:15" x14ac:dyDescent="0.2">
      <c r="A92" s="45"/>
      <c r="C92" s="294"/>
      <c r="D92" s="294"/>
      <c r="E92" s="294"/>
      <c r="F92" s="294"/>
      <c r="G92" s="294"/>
      <c r="H92" s="294"/>
      <c r="I92" s="294"/>
      <c r="J92" s="294"/>
      <c r="K92" s="294"/>
      <c r="L92" s="294"/>
      <c r="M92" s="294"/>
      <c r="N92" s="294"/>
      <c r="O92" s="294"/>
    </row>
    <row r="93" spans="1:15" x14ac:dyDescent="0.2">
      <c r="A93" s="45"/>
      <c r="C93" s="294"/>
      <c r="D93" s="294"/>
      <c r="E93" s="294"/>
      <c r="F93" s="294"/>
      <c r="G93" s="294"/>
      <c r="H93" s="294"/>
      <c r="I93" s="294"/>
      <c r="J93" s="294"/>
      <c r="K93" s="294"/>
      <c r="L93" s="294"/>
      <c r="M93" s="294"/>
      <c r="N93" s="294"/>
      <c r="O93" s="294"/>
    </row>
    <row r="94" spans="1:15" x14ac:dyDescent="0.2">
      <c r="A94" s="45"/>
      <c r="C94" s="294"/>
      <c r="D94" s="294"/>
      <c r="E94" s="294"/>
      <c r="F94" s="294"/>
      <c r="G94" s="294"/>
      <c r="H94" s="294"/>
      <c r="I94" s="294"/>
      <c r="J94" s="294"/>
      <c r="K94" s="294"/>
      <c r="L94" s="294"/>
      <c r="M94" s="294"/>
      <c r="N94" s="294"/>
      <c r="O94" s="294"/>
    </row>
    <row r="95" spans="1:15" x14ac:dyDescent="0.2">
      <c r="A95" s="45"/>
      <c r="C95" s="294"/>
      <c r="D95" s="294"/>
      <c r="E95" s="294"/>
      <c r="F95" s="294"/>
      <c r="G95" s="294"/>
      <c r="H95" s="294"/>
      <c r="I95" s="294"/>
      <c r="J95" s="294"/>
      <c r="K95" s="294"/>
      <c r="L95" s="294"/>
      <c r="M95" s="294"/>
      <c r="N95" s="294"/>
      <c r="O95" s="294"/>
    </row>
    <row r="96" spans="1:15" x14ac:dyDescent="0.2">
      <c r="A96" s="45"/>
      <c r="C96" s="294"/>
      <c r="D96" s="294"/>
      <c r="E96" s="294"/>
      <c r="F96" s="294"/>
      <c r="G96" s="294"/>
      <c r="H96" s="294"/>
      <c r="I96" s="294"/>
      <c r="J96" s="294"/>
      <c r="K96" s="294"/>
      <c r="L96" s="294"/>
      <c r="M96" s="294"/>
      <c r="N96" s="294"/>
      <c r="O96" s="294"/>
    </row>
    <row r="97" spans="1:15" x14ac:dyDescent="0.2">
      <c r="A97" s="45"/>
      <c r="C97" s="294"/>
      <c r="D97" s="294"/>
      <c r="E97" s="294"/>
      <c r="F97" s="294"/>
      <c r="G97" s="294"/>
      <c r="H97" s="294"/>
      <c r="I97" s="294"/>
      <c r="J97" s="294"/>
      <c r="K97" s="294"/>
      <c r="L97" s="294"/>
      <c r="M97" s="294"/>
      <c r="N97" s="294"/>
      <c r="O97" s="294"/>
    </row>
    <row r="98" spans="1:15" x14ac:dyDescent="0.2">
      <c r="A98" s="45"/>
      <c r="C98" s="294"/>
      <c r="D98" s="294"/>
      <c r="E98" s="294"/>
      <c r="F98" s="294"/>
      <c r="G98" s="294"/>
      <c r="H98" s="294"/>
      <c r="I98" s="294"/>
      <c r="J98" s="294"/>
      <c r="K98" s="294"/>
      <c r="L98" s="294"/>
      <c r="M98" s="294"/>
      <c r="N98" s="294"/>
      <c r="O98" s="294"/>
    </row>
    <row r="99" spans="1:15" x14ac:dyDescent="0.2">
      <c r="A99" s="45"/>
      <c r="C99" s="294"/>
      <c r="D99" s="294"/>
      <c r="E99" s="294"/>
      <c r="F99" s="294"/>
      <c r="G99" s="294"/>
      <c r="H99" s="294"/>
      <c r="I99" s="294"/>
      <c r="J99" s="294"/>
      <c r="K99" s="294"/>
      <c r="L99" s="294"/>
      <c r="M99" s="294"/>
      <c r="N99" s="294"/>
      <c r="O99" s="294"/>
    </row>
    <row r="100" spans="1:15" x14ac:dyDescent="0.2">
      <c r="A100" s="45"/>
      <c r="C100" s="294"/>
      <c r="D100" s="294"/>
      <c r="E100" s="294"/>
      <c r="F100" s="294"/>
      <c r="G100" s="294"/>
      <c r="H100" s="294"/>
      <c r="I100" s="294"/>
      <c r="J100" s="294"/>
      <c r="K100" s="294"/>
      <c r="L100" s="294"/>
      <c r="M100" s="294"/>
      <c r="N100" s="294"/>
      <c r="O100" s="294"/>
    </row>
    <row r="101" spans="1:15" x14ac:dyDescent="0.2">
      <c r="A101" s="45"/>
      <c r="C101" s="294"/>
      <c r="D101" s="294"/>
      <c r="E101" s="294"/>
      <c r="F101" s="294"/>
      <c r="G101" s="294"/>
      <c r="H101" s="294"/>
      <c r="I101" s="294"/>
      <c r="J101" s="294"/>
      <c r="K101" s="294"/>
      <c r="L101" s="294"/>
      <c r="M101" s="294"/>
      <c r="N101" s="294"/>
      <c r="O101" s="294"/>
    </row>
    <row r="102" spans="1:15" x14ac:dyDescent="0.2">
      <c r="A102" s="45"/>
      <c r="C102" s="294"/>
      <c r="D102" s="294"/>
      <c r="E102" s="294"/>
      <c r="F102" s="294"/>
      <c r="G102" s="294"/>
      <c r="H102" s="294"/>
      <c r="I102" s="294"/>
      <c r="J102" s="294"/>
      <c r="K102" s="294"/>
      <c r="L102" s="294"/>
      <c r="M102" s="294"/>
      <c r="N102" s="294"/>
      <c r="O102" s="294"/>
    </row>
    <row r="103" spans="1:15" x14ac:dyDescent="0.2">
      <c r="A103" s="45"/>
      <c r="C103" s="294"/>
      <c r="D103" s="294"/>
      <c r="E103" s="294"/>
      <c r="F103" s="294"/>
      <c r="G103" s="294"/>
      <c r="H103" s="294"/>
      <c r="I103" s="294"/>
      <c r="J103" s="294"/>
      <c r="K103" s="294"/>
      <c r="L103" s="294"/>
      <c r="M103" s="294"/>
      <c r="N103" s="294"/>
      <c r="O103" s="294"/>
    </row>
    <row r="104" spans="1:15" x14ac:dyDescent="0.2">
      <c r="A104" s="45"/>
      <c r="C104" s="294"/>
      <c r="D104" s="294"/>
      <c r="E104" s="294"/>
      <c r="F104" s="294"/>
      <c r="G104" s="294"/>
      <c r="H104" s="294"/>
      <c r="I104" s="294"/>
      <c r="J104" s="294"/>
      <c r="K104" s="294"/>
      <c r="L104" s="294"/>
      <c r="M104" s="294"/>
      <c r="N104" s="294"/>
      <c r="O104" s="294"/>
    </row>
    <row r="105" spans="1:15" x14ac:dyDescent="0.2">
      <c r="A105" s="45"/>
      <c r="C105" s="294"/>
      <c r="D105" s="294"/>
      <c r="E105" s="294"/>
      <c r="F105" s="294"/>
      <c r="G105" s="294"/>
      <c r="H105" s="294"/>
      <c r="I105" s="294"/>
      <c r="J105" s="294"/>
      <c r="K105" s="294"/>
      <c r="L105" s="294"/>
      <c r="M105" s="294"/>
      <c r="N105" s="294"/>
      <c r="O105" s="294"/>
    </row>
    <row r="106" spans="1:15" x14ac:dyDescent="0.2">
      <c r="A106" s="45"/>
      <c r="C106" s="294"/>
      <c r="D106" s="294"/>
      <c r="E106" s="294"/>
      <c r="F106" s="294"/>
      <c r="G106" s="294"/>
      <c r="H106" s="294"/>
      <c r="I106" s="294"/>
      <c r="J106" s="294"/>
      <c r="K106" s="294"/>
      <c r="L106" s="294"/>
      <c r="M106" s="294"/>
      <c r="N106" s="294"/>
      <c r="O106" s="294"/>
    </row>
    <row r="107" spans="1:15" x14ac:dyDescent="0.2">
      <c r="A107" s="45"/>
      <c r="C107" s="294"/>
      <c r="D107" s="294"/>
      <c r="E107" s="294"/>
      <c r="F107" s="294"/>
      <c r="G107" s="294"/>
      <c r="H107" s="294"/>
      <c r="I107" s="294"/>
      <c r="J107" s="294"/>
      <c r="K107" s="294"/>
      <c r="L107" s="294"/>
      <c r="M107" s="294"/>
      <c r="N107" s="294"/>
      <c r="O107" s="294"/>
    </row>
    <row r="108" spans="1:15" x14ac:dyDescent="0.2">
      <c r="A108" s="45"/>
      <c r="C108" s="294"/>
      <c r="D108" s="294"/>
      <c r="E108" s="294"/>
      <c r="F108" s="294"/>
      <c r="G108" s="294"/>
      <c r="H108" s="294"/>
      <c r="I108" s="294"/>
      <c r="J108" s="294"/>
      <c r="K108" s="294"/>
      <c r="L108" s="294"/>
      <c r="M108" s="294"/>
      <c r="N108" s="294"/>
      <c r="O108" s="294"/>
    </row>
    <row r="109" spans="1:15" x14ac:dyDescent="0.2">
      <c r="A109" s="45"/>
      <c r="C109" s="294"/>
      <c r="D109" s="294"/>
      <c r="E109" s="294"/>
      <c r="F109" s="294"/>
      <c r="G109" s="294"/>
      <c r="H109" s="294"/>
      <c r="I109" s="294"/>
      <c r="J109" s="294"/>
      <c r="K109" s="294"/>
      <c r="L109" s="294"/>
      <c r="M109" s="294"/>
      <c r="N109" s="294"/>
      <c r="O109" s="294"/>
    </row>
    <row r="110" spans="1:15" x14ac:dyDescent="0.2">
      <c r="A110" s="45"/>
      <c r="C110" s="294"/>
      <c r="D110" s="294"/>
      <c r="E110" s="294"/>
      <c r="F110" s="294"/>
      <c r="G110" s="294"/>
      <c r="H110" s="294"/>
      <c r="I110" s="294"/>
      <c r="J110" s="294"/>
      <c r="K110" s="294"/>
      <c r="L110" s="294"/>
      <c r="M110" s="294"/>
      <c r="N110" s="294"/>
      <c r="O110" s="294"/>
    </row>
    <row r="111" spans="1:15" x14ac:dyDescent="0.2">
      <c r="A111" s="45"/>
      <c r="C111" s="294"/>
      <c r="D111" s="294"/>
      <c r="E111" s="294"/>
      <c r="F111" s="294"/>
      <c r="G111" s="294"/>
      <c r="H111" s="294"/>
      <c r="I111" s="294"/>
      <c r="J111" s="294"/>
      <c r="K111" s="294"/>
      <c r="L111" s="294"/>
      <c r="M111" s="294"/>
      <c r="N111" s="294"/>
      <c r="O111" s="294"/>
    </row>
    <row r="112" spans="1:15" x14ac:dyDescent="0.2">
      <c r="A112" s="45"/>
      <c r="C112" s="294"/>
      <c r="D112" s="294"/>
      <c r="E112" s="294"/>
      <c r="F112" s="294"/>
      <c r="G112" s="294"/>
      <c r="H112" s="294"/>
      <c r="I112" s="294"/>
      <c r="J112" s="294"/>
      <c r="K112" s="294"/>
      <c r="L112" s="294"/>
      <c r="M112" s="294"/>
      <c r="N112" s="294"/>
      <c r="O112" s="294"/>
    </row>
    <row r="113" spans="1:15" x14ac:dyDescent="0.2">
      <c r="A113" s="45"/>
      <c r="C113" s="294"/>
      <c r="D113" s="294"/>
      <c r="E113" s="294"/>
      <c r="F113" s="294"/>
      <c r="G113" s="294"/>
      <c r="H113" s="294"/>
      <c r="I113" s="294"/>
      <c r="J113" s="294"/>
      <c r="K113" s="294"/>
      <c r="L113" s="294"/>
      <c r="M113" s="294"/>
      <c r="N113" s="294"/>
      <c r="O113" s="294"/>
    </row>
    <row r="114" spans="1:15" x14ac:dyDescent="0.2">
      <c r="A114" s="45"/>
      <c r="C114" s="294"/>
      <c r="D114" s="294"/>
      <c r="E114" s="294"/>
      <c r="F114" s="294"/>
      <c r="G114" s="294"/>
      <c r="H114" s="294"/>
      <c r="I114" s="294"/>
      <c r="J114" s="294"/>
      <c r="K114" s="294"/>
      <c r="L114" s="294"/>
      <c r="M114" s="294"/>
      <c r="N114" s="294"/>
      <c r="O114" s="294"/>
    </row>
    <row r="115" spans="1:15" x14ac:dyDescent="0.2">
      <c r="A115" s="45"/>
      <c r="C115" s="294"/>
      <c r="D115" s="294"/>
      <c r="E115" s="294"/>
      <c r="F115" s="294"/>
      <c r="G115" s="294"/>
      <c r="H115" s="294"/>
      <c r="I115" s="294"/>
      <c r="J115" s="294"/>
      <c r="K115" s="294"/>
      <c r="L115" s="294"/>
      <c r="M115" s="294"/>
      <c r="N115" s="294"/>
      <c r="O115" s="294"/>
    </row>
    <row r="116" spans="1:15" x14ac:dyDescent="0.2">
      <c r="A116" s="45"/>
      <c r="C116" s="294"/>
      <c r="D116" s="294"/>
      <c r="E116" s="294"/>
      <c r="F116" s="294"/>
      <c r="G116" s="294"/>
      <c r="H116" s="294"/>
      <c r="I116" s="294"/>
      <c r="J116" s="294"/>
      <c r="K116" s="294"/>
      <c r="L116" s="294"/>
      <c r="M116" s="294"/>
      <c r="N116" s="294"/>
      <c r="O116" s="294"/>
    </row>
    <row r="117" spans="1:15" x14ac:dyDescent="0.2">
      <c r="A117" s="45"/>
      <c r="C117" s="294"/>
      <c r="D117" s="294"/>
      <c r="E117" s="294"/>
      <c r="F117" s="294"/>
      <c r="G117" s="294"/>
      <c r="H117" s="294"/>
      <c r="I117" s="294"/>
      <c r="J117" s="294"/>
      <c r="K117" s="294"/>
      <c r="L117" s="294"/>
      <c r="M117" s="294"/>
      <c r="N117" s="294"/>
      <c r="O117" s="294"/>
    </row>
    <row r="118" spans="1:15" x14ac:dyDescent="0.2">
      <c r="A118" s="45"/>
      <c r="C118" s="294"/>
      <c r="D118" s="294"/>
      <c r="E118" s="294"/>
      <c r="F118" s="294"/>
      <c r="G118" s="294"/>
      <c r="H118" s="294"/>
      <c r="I118" s="294"/>
      <c r="J118" s="294"/>
      <c r="K118" s="294"/>
      <c r="L118" s="294"/>
      <c r="M118" s="294"/>
      <c r="N118" s="294"/>
      <c r="O118" s="294"/>
    </row>
    <row r="119" spans="1:15" x14ac:dyDescent="0.2">
      <c r="A119" s="45"/>
      <c r="C119" s="294"/>
      <c r="D119" s="294"/>
      <c r="E119" s="294"/>
      <c r="F119" s="294"/>
      <c r="G119" s="294"/>
      <c r="H119" s="294"/>
      <c r="I119" s="294"/>
      <c r="J119" s="294"/>
      <c r="K119" s="294"/>
      <c r="L119" s="294"/>
      <c r="M119" s="294"/>
      <c r="N119" s="294"/>
      <c r="O119" s="294"/>
    </row>
    <row r="120" spans="1:15" x14ac:dyDescent="0.2">
      <c r="A120" s="45"/>
      <c r="C120" s="294"/>
      <c r="D120" s="294"/>
      <c r="E120" s="294"/>
      <c r="F120" s="294"/>
      <c r="G120" s="294"/>
      <c r="H120" s="294"/>
      <c r="I120" s="294"/>
      <c r="J120" s="294"/>
      <c r="K120" s="294"/>
      <c r="L120" s="294"/>
      <c r="M120" s="294"/>
      <c r="N120" s="294"/>
      <c r="O120" s="294"/>
    </row>
    <row r="121" spans="1:15" x14ac:dyDescent="0.2">
      <c r="A121" s="45"/>
      <c r="C121" s="294"/>
      <c r="D121" s="294"/>
      <c r="E121" s="294"/>
      <c r="F121" s="294"/>
      <c r="G121" s="294"/>
      <c r="H121" s="294"/>
      <c r="I121" s="294"/>
      <c r="J121" s="294"/>
      <c r="K121" s="294"/>
      <c r="L121" s="294"/>
      <c r="M121" s="294"/>
      <c r="N121" s="294"/>
      <c r="O121" s="294"/>
    </row>
    <row r="122" spans="1:15" x14ac:dyDescent="0.2">
      <c r="A122" s="45"/>
      <c r="C122" s="294"/>
      <c r="D122" s="294"/>
      <c r="E122" s="294"/>
      <c r="F122" s="294"/>
      <c r="G122" s="294"/>
      <c r="H122" s="294"/>
      <c r="I122" s="294"/>
      <c r="J122" s="294"/>
      <c r="K122" s="294"/>
      <c r="L122" s="294"/>
      <c r="M122" s="294"/>
      <c r="N122" s="294"/>
      <c r="O122" s="294"/>
    </row>
    <row r="123" spans="1:15" x14ac:dyDescent="0.2">
      <c r="A123" s="45"/>
      <c r="C123" s="294"/>
      <c r="D123" s="294"/>
      <c r="E123" s="294"/>
      <c r="F123" s="294"/>
      <c r="G123" s="294"/>
      <c r="H123" s="294"/>
      <c r="I123" s="294"/>
      <c r="J123" s="294"/>
      <c r="K123" s="294"/>
      <c r="L123" s="294"/>
      <c r="M123" s="294"/>
      <c r="N123" s="294"/>
      <c r="O123" s="294"/>
    </row>
    <row r="124" spans="1:15" x14ac:dyDescent="0.2">
      <c r="A124" s="45"/>
      <c r="C124" s="294"/>
      <c r="D124" s="294"/>
      <c r="E124" s="294"/>
      <c r="F124" s="294"/>
      <c r="G124" s="294"/>
      <c r="H124" s="294"/>
      <c r="I124" s="294"/>
      <c r="J124" s="294"/>
      <c r="K124" s="294"/>
      <c r="L124" s="294"/>
      <c r="M124" s="294"/>
      <c r="N124" s="294"/>
      <c r="O124" s="294"/>
    </row>
    <row r="125" spans="1:15" x14ac:dyDescent="0.2">
      <c r="A125" s="45"/>
      <c r="C125" s="294"/>
      <c r="D125" s="294"/>
      <c r="E125" s="294"/>
      <c r="F125" s="294"/>
      <c r="G125" s="294"/>
      <c r="H125" s="294"/>
      <c r="I125" s="294"/>
      <c r="J125" s="294"/>
      <c r="K125" s="294"/>
      <c r="L125" s="294"/>
      <c r="M125" s="294"/>
      <c r="N125" s="294"/>
      <c r="O125" s="294"/>
    </row>
    <row r="126" spans="1:15" x14ac:dyDescent="0.2">
      <c r="A126" s="45"/>
      <c r="C126" s="294"/>
      <c r="D126" s="294"/>
      <c r="E126" s="294"/>
      <c r="F126" s="294"/>
      <c r="G126" s="294"/>
      <c r="H126" s="294"/>
      <c r="I126" s="294"/>
      <c r="J126" s="294"/>
      <c r="K126" s="294"/>
      <c r="L126" s="294"/>
      <c r="M126" s="294"/>
      <c r="N126" s="294"/>
      <c r="O126" s="294"/>
    </row>
    <row r="127" spans="1:15" x14ac:dyDescent="0.2">
      <c r="A127" s="45"/>
    </row>
    <row r="128" spans="1:15" x14ac:dyDescent="0.2">
      <c r="A128" s="45"/>
    </row>
    <row r="129" spans="1:1" x14ac:dyDescent="0.2">
      <c r="A129" s="45"/>
    </row>
    <row r="130" spans="1:1" x14ac:dyDescent="0.2">
      <c r="A130" s="45"/>
    </row>
    <row r="131" spans="1:1" x14ac:dyDescent="0.2">
      <c r="A131" s="45"/>
    </row>
    <row r="132" spans="1:1" x14ac:dyDescent="0.2">
      <c r="A132" s="45"/>
    </row>
    <row r="133" spans="1:1" x14ac:dyDescent="0.2">
      <c r="A133" s="45"/>
    </row>
    <row r="134" spans="1:1" x14ac:dyDescent="0.2">
      <c r="A134" s="45"/>
    </row>
    <row r="135" spans="1:1" x14ac:dyDescent="0.2">
      <c r="A135" s="45"/>
    </row>
    <row r="136" spans="1:1" x14ac:dyDescent="0.2">
      <c r="A136" s="45"/>
    </row>
    <row r="137" spans="1:1" x14ac:dyDescent="0.2">
      <c r="A137" s="45"/>
    </row>
    <row r="138" spans="1:1" x14ac:dyDescent="0.2">
      <c r="A138" s="45"/>
    </row>
    <row r="139" spans="1:1" x14ac:dyDescent="0.2">
      <c r="A139" s="45"/>
    </row>
    <row r="140" spans="1:1" x14ac:dyDescent="0.2">
      <c r="A140" s="45"/>
    </row>
    <row r="141" spans="1:1" x14ac:dyDescent="0.2">
      <c r="A141" s="45"/>
    </row>
    <row r="142" spans="1:1" x14ac:dyDescent="0.2">
      <c r="A142" s="45"/>
    </row>
    <row r="143" spans="1:1" x14ac:dyDescent="0.2">
      <c r="A143" s="45"/>
    </row>
    <row r="144" spans="1:1" x14ac:dyDescent="0.2">
      <c r="A144" s="45"/>
    </row>
    <row r="145" spans="1:1" x14ac:dyDescent="0.2">
      <c r="A145" s="45"/>
    </row>
    <row r="146" spans="1:1" x14ac:dyDescent="0.2">
      <c r="A146" s="45"/>
    </row>
    <row r="147" spans="1:1" x14ac:dyDescent="0.2">
      <c r="A147" s="45"/>
    </row>
  </sheetData>
  <mergeCells count="1">
    <mergeCell ref="P2:P3"/>
  </mergeCells>
  <phoneticPr fontId="0" type="noConversion"/>
  <pageMargins left="0.38" right="0.75" top="0.73" bottom="0.74" header="0.5" footer="0.5"/>
  <pageSetup scale="74" fitToHeight="2" orientation="landscape" r:id="rId1"/>
  <headerFooter alignWithMargins="0">
    <oddFooter>&amp;L&amp;Z&amp;F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0"/>
  <sheetViews>
    <sheetView workbookViewId="0">
      <pane ySplit="1" topLeftCell="A14" activePane="bottomLeft" state="frozen"/>
      <selection pane="bottomLeft" activeCell="O36" sqref="O36"/>
    </sheetView>
  </sheetViews>
  <sheetFormatPr defaultRowHeight="12.75" x14ac:dyDescent="0.2"/>
  <cols>
    <col min="1" max="1" width="10.5703125" bestFit="1" customWidth="1"/>
    <col min="2" max="2" width="7.140625" customWidth="1"/>
    <col min="3" max="3" width="12.42578125" bestFit="1" customWidth="1"/>
    <col min="4" max="4" width="12.42578125" customWidth="1"/>
    <col min="5" max="5" width="12.7109375" customWidth="1"/>
    <col min="6" max="6" width="9.28515625" bestFit="1" customWidth="1"/>
    <col min="7" max="7" width="10.5703125" bestFit="1" customWidth="1"/>
    <col min="8" max="8" width="14.28515625" bestFit="1" customWidth="1"/>
    <col min="9" max="9" width="9.85546875" bestFit="1" customWidth="1"/>
    <col min="11" max="11" width="11.28515625" bestFit="1" customWidth="1"/>
    <col min="12" max="12" width="13.7109375" bestFit="1" customWidth="1"/>
    <col min="13" max="13" width="12.42578125" bestFit="1" customWidth="1"/>
    <col min="14" max="16" width="12.42578125" customWidth="1"/>
    <col min="17" max="17" width="11.5703125" customWidth="1"/>
    <col min="18" max="18" width="5" bestFit="1" customWidth="1"/>
    <col min="19" max="19" width="12.85546875" customWidth="1"/>
    <col min="20" max="20" width="8.42578125" customWidth="1"/>
    <col min="21" max="21" width="2.140625" customWidth="1"/>
    <col min="22" max="22" width="12.85546875" customWidth="1"/>
    <col min="23" max="23" width="8.85546875" customWidth="1"/>
    <col min="24" max="24" width="2.140625" customWidth="1"/>
    <col min="25" max="25" width="12.85546875" customWidth="1"/>
    <col min="26" max="26" width="9.140625" customWidth="1"/>
    <col min="27" max="27" width="2.140625" customWidth="1"/>
    <col min="28" max="28" width="12.85546875" customWidth="1"/>
    <col min="29" max="29" width="9.140625" customWidth="1"/>
    <col min="30" max="30" width="2.140625" customWidth="1"/>
    <col min="31" max="31" width="12.85546875" customWidth="1"/>
    <col min="32" max="32" width="9.140625" customWidth="1"/>
    <col min="33" max="33" width="2.140625" customWidth="1"/>
    <col min="34" max="34" width="15" customWidth="1"/>
    <col min="37" max="38" width="9.28515625" bestFit="1" customWidth="1"/>
  </cols>
  <sheetData>
    <row r="1" spans="1:41" x14ac:dyDescent="0.2">
      <c r="A1" s="86" t="s">
        <v>73</v>
      </c>
      <c r="B1" s="86" t="s">
        <v>84</v>
      </c>
      <c r="C1" s="86" t="s">
        <v>74</v>
      </c>
      <c r="D1" s="188" t="s">
        <v>192</v>
      </c>
      <c r="E1" s="188" t="s">
        <v>198</v>
      </c>
      <c r="F1" s="87" t="s">
        <v>77</v>
      </c>
      <c r="G1" s="87" t="s">
        <v>78</v>
      </c>
      <c r="H1" s="87" t="s">
        <v>72</v>
      </c>
      <c r="I1" s="85" t="s">
        <v>12</v>
      </c>
      <c r="S1" t="str">
        <f>C1</f>
        <v>Residential</v>
      </c>
      <c r="V1" t="str">
        <f>D1</f>
        <v>GS &lt; 50 (Adj)</v>
      </c>
      <c r="Y1" t="str">
        <f>E1</f>
        <v>GS&gt;50 (Adj)</v>
      </c>
      <c r="AB1" t="str">
        <f>F1</f>
        <v xml:space="preserve">USL </v>
      </c>
      <c r="AE1" t="str">
        <f>G1</f>
        <v>Streetlights</v>
      </c>
      <c r="AH1" t="str">
        <f>H1</f>
        <v>Embedded Dist</v>
      </c>
      <c r="AK1" s="86" t="s">
        <v>75</v>
      </c>
      <c r="AL1" s="87" t="s">
        <v>76</v>
      </c>
      <c r="AN1" t="s">
        <v>75</v>
      </c>
      <c r="AO1" t="s">
        <v>76</v>
      </c>
    </row>
    <row r="2" spans="1:41" x14ac:dyDescent="0.2">
      <c r="A2" s="66">
        <v>40574</v>
      </c>
      <c r="B2" s="114">
        <f t="shared" ref="B2:B54" si="0">YEAR(A2)</f>
        <v>2011</v>
      </c>
      <c r="C2" s="88">
        <v>9302.0833333333339</v>
      </c>
      <c r="D2" s="88">
        <f>AK2+VLOOKUP(B2,'GS Reclassification Adjustment'!$B$3:$E$12,4,FALSE)</f>
        <v>683</v>
      </c>
      <c r="E2" s="88">
        <f>AL2-VLOOKUP(B2,'GS Reclassification Adjustment'!$B$3:$E$12,4,FALSE)</f>
        <v>88.583333333333329</v>
      </c>
      <c r="F2" s="88">
        <v>80</v>
      </c>
      <c r="G2" s="88">
        <v>2524</v>
      </c>
      <c r="H2" s="88">
        <v>0</v>
      </c>
      <c r="I2" s="89">
        <f t="shared" ref="I2:I25" si="1">SUM(C2:H2)</f>
        <v>12677.666666666668</v>
      </c>
      <c r="R2" s="115">
        <f>2011</f>
        <v>2011</v>
      </c>
      <c r="S2" s="127">
        <f t="shared" ref="S2:S11" si="2">AVERAGEIF($B:$B,$R2,C:C)</f>
        <v>9368.5416666666697</v>
      </c>
      <c r="T2" s="117"/>
      <c r="U2" s="116"/>
      <c r="V2" s="116">
        <f t="shared" ref="V2:V11" si="3">AVERAGEIF($B:$B,$R2,D:D)</f>
        <v>682.5</v>
      </c>
      <c r="W2" s="117"/>
      <c r="X2" s="116"/>
      <c r="Y2" s="116">
        <f t="shared" ref="Y2:Y11" si="4">AVERAGEIF($B:$B,$R2,E:E)</f>
        <v>91.791666666666629</v>
      </c>
      <c r="Z2" s="117"/>
      <c r="AA2" s="116"/>
      <c r="AB2" s="116">
        <f t="shared" ref="AB2:AB11" si="5">AVERAGEIF($B:$B,$R2,F:F)</f>
        <v>80</v>
      </c>
      <c r="AC2" s="117"/>
      <c r="AD2" s="116"/>
      <c r="AE2" s="116">
        <f t="shared" ref="AE2:AE11" si="6">AVERAGEIF($B:$B,$R2,G:G)</f>
        <v>2502.6666666666665</v>
      </c>
      <c r="AF2" s="117"/>
      <c r="AG2" s="116"/>
      <c r="AH2" s="116">
        <f t="shared" ref="AH2:AH11" si="7">AVERAGEIF($B:$B,$R2,H:H)</f>
        <v>0</v>
      </c>
      <c r="AK2" s="88">
        <v>669</v>
      </c>
      <c r="AL2" s="88">
        <v>102.58333333333333</v>
      </c>
      <c r="AN2" s="116">
        <f t="shared" ref="AN2:AN11" si="8">AVERAGEIF($B:$B,$R2,AK:AK)</f>
        <v>668.5</v>
      </c>
      <c r="AO2" s="116">
        <f t="shared" ref="AO2:AO11" si="9">AVERAGEIF($B:$B,$R2,AL:AL)</f>
        <v>105.79166666666664</v>
      </c>
    </row>
    <row r="3" spans="1:41" x14ac:dyDescent="0.2">
      <c r="A3" s="66">
        <v>40602</v>
      </c>
      <c r="B3" s="114">
        <f t="shared" si="0"/>
        <v>2011</v>
      </c>
      <c r="C3" s="88">
        <v>9314.1666666666679</v>
      </c>
      <c r="D3" s="88">
        <f>AK3+VLOOKUP(B3,'GS Reclassification Adjustment'!$B$3:$E$12,4,FALSE)</f>
        <v>683</v>
      </c>
      <c r="E3" s="88">
        <f>AL3-VLOOKUP(B3,'GS Reclassification Adjustment'!$B$3:$E$12,4,FALSE)</f>
        <v>89.166666666666657</v>
      </c>
      <c r="F3" s="88">
        <v>80</v>
      </c>
      <c r="G3" s="88">
        <v>2524</v>
      </c>
      <c r="H3" s="88">
        <v>0</v>
      </c>
      <c r="I3" s="89">
        <f t="shared" si="1"/>
        <v>12690.333333333334</v>
      </c>
      <c r="R3" s="115">
        <f t="shared" ref="R3:R13" si="10">1+R2</f>
        <v>2012</v>
      </c>
      <c r="S3" s="127">
        <f t="shared" si="2"/>
        <v>9643</v>
      </c>
      <c r="T3" s="117">
        <f>S3/S2</f>
        <v>1.02929573706331</v>
      </c>
      <c r="U3" s="116"/>
      <c r="V3" s="116">
        <f t="shared" si="3"/>
        <v>700.41666666666663</v>
      </c>
      <c r="W3" s="117">
        <f t="shared" ref="W3:W11" si="11">V3/V2</f>
        <v>1.0262515262515262</v>
      </c>
      <c r="X3" s="116"/>
      <c r="Y3" s="116">
        <f t="shared" si="4"/>
        <v>93.916666666666671</v>
      </c>
      <c r="Z3" s="117">
        <f t="shared" ref="Z3:Z11" si="12">Y3/Y2</f>
        <v>1.0231502496595557</v>
      </c>
      <c r="AA3" s="116"/>
      <c r="AB3" s="116">
        <f t="shared" si="5"/>
        <v>77.583333333333329</v>
      </c>
      <c r="AC3" s="117">
        <f t="shared" ref="AC3:AC11" si="13">AB3/AB2</f>
        <v>0.96979166666666661</v>
      </c>
      <c r="AD3" s="116"/>
      <c r="AE3" s="116">
        <f t="shared" si="6"/>
        <v>2549.1666666666665</v>
      </c>
      <c r="AF3" s="117">
        <f t="shared" ref="AF3:AF11" si="14">AE3/AE2</f>
        <v>1.0185801811401172</v>
      </c>
      <c r="AG3" s="116"/>
      <c r="AH3" s="116">
        <f t="shared" si="7"/>
        <v>0</v>
      </c>
      <c r="AK3" s="88">
        <v>669</v>
      </c>
      <c r="AL3" s="88">
        <v>103.16666666666666</v>
      </c>
      <c r="AN3" s="116">
        <f t="shared" si="8"/>
        <v>686.41666666666663</v>
      </c>
      <c r="AO3" s="116">
        <f t="shared" si="9"/>
        <v>107.91666666666667</v>
      </c>
    </row>
    <row r="4" spans="1:41" x14ac:dyDescent="0.2">
      <c r="A4" s="66">
        <v>40633</v>
      </c>
      <c r="B4" s="114">
        <f t="shared" si="0"/>
        <v>2011</v>
      </c>
      <c r="C4" s="88">
        <v>9326.2500000000018</v>
      </c>
      <c r="D4" s="88">
        <f>AK4+VLOOKUP(B4,'GS Reclassification Adjustment'!$B$3:$E$12,4,FALSE)</f>
        <v>683</v>
      </c>
      <c r="E4" s="88">
        <f>AL4-VLOOKUP(B4,'GS Reclassification Adjustment'!$B$3:$E$12,4,FALSE)</f>
        <v>89.749999999999986</v>
      </c>
      <c r="F4" s="88">
        <v>80</v>
      </c>
      <c r="G4" s="88">
        <v>2543</v>
      </c>
      <c r="H4" s="88">
        <v>0</v>
      </c>
      <c r="I4" s="89">
        <f t="shared" si="1"/>
        <v>12722.000000000002</v>
      </c>
      <c r="R4" s="115">
        <f t="shared" si="10"/>
        <v>2013</v>
      </c>
      <c r="S4" s="127">
        <f t="shared" si="2"/>
        <v>9715.7916666666661</v>
      </c>
      <c r="T4" s="117">
        <f t="shared" ref="T4:T11" si="15">S4/S3</f>
        <v>1.0075486536001934</v>
      </c>
      <c r="U4" s="116"/>
      <c r="V4" s="116">
        <f t="shared" si="3"/>
        <v>704.66666666666663</v>
      </c>
      <c r="W4" s="117">
        <f t="shared" si="11"/>
        <v>1.0060678167757287</v>
      </c>
      <c r="X4" s="116"/>
      <c r="Y4" s="116">
        <f t="shared" si="4"/>
        <v>96.166666666666671</v>
      </c>
      <c r="Z4" s="117">
        <f t="shared" si="12"/>
        <v>1.0239574090505768</v>
      </c>
      <c r="AA4" s="116"/>
      <c r="AB4" s="116">
        <f t="shared" si="5"/>
        <v>75.666666666666671</v>
      </c>
      <c r="AC4" s="117">
        <f t="shared" si="13"/>
        <v>0.97529538131041904</v>
      </c>
      <c r="AD4" s="116"/>
      <c r="AE4" s="116">
        <f t="shared" si="6"/>
        <v>2609.25</v>
      </c>
      <c r="AF4" s="117">
        <f t="shared" si="14"/>
        <v>1.0235697940503432</v>
      </c>
      <c r="AG4" s="116"/>
      <c r="AH4" s="116">
        <f t="shared" si="7"/>
        <v>0</v>
      </c>
      <c r="AK4" s="88">
        <v>669</v>
      </c>
      <c r="AL4" s="88">
        <v>103.74999999999999</v>
      </c>
      <c r="AN4" s="116">
        <f t="shared" si="8"/>
        <v>690.66666666666663</v>
      </c>
      <c r="AO4" s="116">
        <f t="shared" si="9"/>
        <v>110.16666666666667</v>
      </c>
    </row>
    <row r="5" spans="1:41" x14ac:dyDescent="0.2">
      <c r="A5" s="66">
        <v>40663</v>
      </c>
      <c r="B5" s="114">
        <f t="shared" si="0"/>
        <v>2011</v>
      </c>
      <c r="C5" s="88">
        <v>9338.3333333333358</v>
      </c>
      <c r="D5" s="88">
        <f>AK5+VLOOKUP(B5,'GS Reclassification Adjustment'!$B$3:$E$12,4,FALSE)</f>
        <v>683</v>
      </c>
      <c r="E5" s="88">
        <f>AL5-VLOOKUP(B5,'GS Reclassification Adjustment'!$B$3:$E$12,4,FALSE)</f>
        <v>90.333333333333314</v>
      </c>
      <c r="F5" s="88">
        <v>80</v>
      </c>
      <c r="G5" s="88">
        <v>2453</v>
      </c>
      <c r="H5" s="88">
        <v>0</v>
      </c>
      <c r="I5" s="89">
        <f t="shared" si="1"/>
        <v>12644.66666666667</v>
      </c>
      <c r="R5" s="115">
        <f t="shared" si="10"/>
        <v>2014</v>
      </c>
      <c r="S5" s="127">
        <f t="shared" si="2"/>
        <v>9960.7083333333339</v>
      </c>
      <c r="T5" s="117">
        <f t="shared" si="15"/>
        <v>1.0252081019302768</v>
      </c>
      <c r="U5" s="116"/>
      <c r="V5" s="116">
        <f t="shared" si="3"/>
        <v>738.58333333333337</v>
      </c>
      <c r="W5" s="117">
        <f t="shared" si="11"/>
        <v>1.0481315042573323</v>
      </c>
      <c r="X5" s="116"/>
      <c r="Y5" s="116">
        <f t="shared" si="4"/>
        <v>95.25</v>
      </c>
      <c r="Z5" s="117">
        <f t="shared" si="12"/>
        <v>0.99046793760831886</v>
      </c>
      <c r="AA5" s="116"/>
      <c r="AB5" s="116">
        <f t="shared" si="5"/>
        <v>73.666666666666671</v>
      </c>
      <c r="AC5" s="117">
        <f t="shared" si="13"/>
        <v>0.97356828193832601</v>
      </c>
      <c r="AD5" s="116"/>
      <c r="AE5" s="116">
        <f t="shared" si="6"/>
        <v>2644</v>
      </c>
      <c r="AF5" s="117">
        <f t="shared" si="14"/>
        <v>1.013318003257641</v>
      </c>
      <c r="AG5" s="116"/>
      <c r="AH5" s="116">
        <f t="shared" si="7"/>
        <v>0</v>
      </c>
      <c r="AK5" s="88">
        <v>669</v>
      </c>
      <c r="AL5" s="88">
        <v>104.33333333333331</v>
      </c>
      <c r="AN5" s="116">
        <f t="shared" si="8"/>
        <v>724.58333333333337</v>
      </c>
      <c r="AO5" s="116">
        <f t="shared" si="9"/>
        <v>109.25</v>
      </c>
    </row>
    <row r="6" spans="1:41" x14ac:dyDescent="0.2">
      <c r="A6" s="66">
        <v>40694</v>
      </c>
      <c r="B6" s="114">
        <f t="shared" si="0"/>
        <v>2011</v>
      </c>
      <c r="C6" s="88">
        <v>9350.4166666666697</v>
      </c>
      <c r="D6" s="88">
        <f>AK6+VLOOKUP(B6,'GS Reclassification Adjustment'!$B$3:$E$12,4,FALSE)</f>
        <v>683</v>
      </c>
      <c r="E6" s="88">
        <f>AL6-VLOOKUP(B6,'GS Reclassification Adjustment'!$B$3:$E$12,4,FALSE)</f>
        <v>90.916666666666643</v>
      </c>
      <c r="F6" s="88">
        <v>80</v>
      </c>
      <c r="G6" s="88">
        <v>2453</v>
      </c>
      <c r="H6" s="88">
        <v>0</v>
      </c>
      <c r="I6" s="89">
        <f t="shared" si="1"/>
        <v>12657.333333333336</v>
      </c>
      <c r="R6" s="115">
        <f t="shared" si="10"/>
        <v>2015</v>
      </c>
      <c r="S6" s="127">
        <f t="shared" si="2"/>
        <v>10227.208333333334</v>
      </c>
      <c r="T6" s="117">
        <f t="shared" si="15"/>
        <v>1.0267551253466747</v>
      </c>
      <c r="U6" s="116"/>
      <c r="V6" s="116">
        <f t="shared" si="3"/>
        <v>773.41666666666663</v>
      </c>
      <c r="W6" s="117">
        <f t="shared" si="11"/>
        <v>1.047162360374591</v>
      </c>
      <c r="X6" s="116"/>
      <c r="Y6" s="116">
        <f t="shared" si="4"/>
        <v>93.875</v>
      </c>
      <c r="Z6" s="117">
        <f t="shared" si="12"/>
        <v>0.98556430446194221</v>
      </c>
      <c r="AA6" s="116"/>
      <c r="AB6" s="116">
        <f t="shared" si="5"/>
        <v>71.125</v>
      </c>
      <c r="AC6" s="117">
        <f t="shared" si="13"/>
        <v>0.96549773755656099</v>
      </c>
      <c r="AD6" s="116"/>
      <c r="AE6" s="116">
        <f t="shared" si="6"/>
        <v>2633.7083333333335</v>
      </c>
      <c r="AF6" s="117">
        <f t="shared" si="14"/>
        <v>0.99610753908219873</v>
      </c>
      <c r="AG6" s="116"/>
      <c r="AH6" s="116">
        <f t="shared" si="7"/>
        <v>0</v>
      </c>
      <c r="AK6" s="88">
        <v>669</v>
      </c>
      <c r="AL6" s="88">
        <v>104.91666666666664</v>
      </c>
      <c r="AN6" s="116">
        <f t="shared" si="8"/>
        <v>759.41666666666663</v>
      </c>
      <c r="AO6" s="116">
        <f t="shared" si="9"/>
        <v>107.875</v>
      </c>
    </row>
    <row r="7" spans="1:41" x14ac:dyDescent="0.2">
      <c r="A7" s="66">
        <v>40724</v>
      </c>
      <c r="B7" s="114">
        <f t="shared" si="0"/>
        <v>2011</v>
      </c>
      <c r="C7" s="88">
        <v>9362.5000000000036</v>
      </c>
      <c r="D7" s="88">
        <f>AK7+VLOOKUP(B7,'GS Reclassification Adjustment'!$B$3:$E$12,4,FALSE)</f>
        <v>683</v>
      </c>
      <c r="E7" s="88">
        <f>AL7-VLOOKUP(B7,'GS Reclassification Adjustment'!$B$3:$E$12,4,FALSE)</f>
        <v>91.499999999999972</v>
      </c>
      <c r="F7" s="88">
        <v>80</v>
      </c>
      <c r="G7" s="88">
        <v>2453</v>
      </c>
      <c r="H7" s="88">
        <v>0</v>
      </c>
      <c r="I7" s="89">
        <f t="shared" si="1"/>
        <v>12670.000000000004</v>
      </c>
      <c r="Q7" s="55" t="s">
        <v>16</v>
      </c>
      <c r="R7" s="115">
        <f t="shared" si="10"/>
        <v>2016</v>
      </c>
      <c r="S7" s="127">
        <f t="shared" si="2"/>
        <v>10278.833333333334</v>
      </c>
      <c r="T7" s="117">
        <f t="shared" si="15"/>
        <v>1.0050478095602824</v>
      </c>
      <c r="U7" s="116"/>
      <c r="V7" s="116">
        <f t="shared" si="3"/>
        <v>782.08333333333337</v>
      </c>
      <c r="W7" s="117">
        <f t="shared" si="11"/>
        <v>1.0112056890421293</v>
      </c>
      <c r="X7" s="116"/>
      <c r="Y7" s="116">
        <f t="shared" si="4"/>
        <v>97</v>
      </c>
      <c r="Z7" s="117">
        <f t="shared" si="12"/>
        <v>1.0332889480692411</v>
      </c>
      <c r="AA7" s="116"/>
      <c r="AB7" s="116">
        <f t="shared" si="5"/>
        <v>68.5</v>
      </c>
      <c r="AC7" s="117">
        <f t="shared" si="13"/>
        <v>0.96309314586994732</v>
      </c>
      <c r="AD7" s="116"/>
      <c r="AE7" s="116">
        <f t="shared" si="6"/>
        <v>2631</v>
      </c>
      <c r="AF7" s="117">
        <f t="shared" si="14"/>
        <v>0.99897166542739158</v>
      </c>
      <c r="AG7" s="116"/>
      <c r="AH7" s="116">
        <f t="shared" si="7"/>
        <v>0.33333333333333331</v>
      </c>
      <c r="AK7" s="88">
        <v>669</v>
      </c>
      <c r="AL7" s="88">
        <v>105.49999999999997</v>
      </c>
      <c r="AN7" s="116">
        <f t="shared" si="8"/>
        <v>768.08333333333337</v>
      </c>
      <c r="AO7" s="116">
        <f t="shared" si="9"/>
        <v>111</v>
      </c>
    </row>
    <row r="8" spans="1:41" x14ac:dyDescent="0.2">
      <c r="A8" s="66">
        <v>40755</v>
      </c>
      <c r="B8" s="114">
        <f t="shared" si="0"/>
        <v>2011</v>
      </c>
      <c r="C8" s="88">
        <v>9374.5833333333376</v>
      </c>
      <c r="D8" s="88">
        <f>AK8+VLOOKUP(B8,'GS Reclassification Adjustment'!$B$3:$E$12,4,FALSE)</f>
        <v>682</v>
      </c>
      <c r="E8" s="88">
        <f>AL8-VLOOKUP(B8,'GS Reclassification Adjustment'!$B$3:$E$12,4,FALSE)</f>
        <v>92.0833333333333</v>
      </c>
      <c r="F8" s="88">
        <v>80</v>
      </c>
      <c r="G8" s="88">
        <v>2453</v>
      </c>
      <c r="H8" s="88">
        <v>0</v>
      </c>
      <c r="I8" s="89">
        <f t="shared" si="1"/>
        <v>12681.666666666672</v>
      </c>
      <c r="Q8" s="55" t="s">
        <v>86</v>
      </c>
      <c r="R8" s="115">
        <f t="shared" si="10"/>
        <v>2017</v>
      </c>
      <c r="S8" s="127">
        <f t="shared" si="2"/>
        <v>10360.708333333334</v>
      </c>
      <c r="T8" s="117">
        <f t="shared" si="15"/>
        <v>1.0079653981482983</v>
      </c>
      <c r="U8" s="116"/>
      <c r="V8" s="116">
        <f t="shared" si="3"/>
        <v>790.25</v>
      </c>
      <c r="W8" s="117">
        <f t="shared" si="11"/>
        <v>1.0104421949920084</v>
      </c>
      <c r="X8" s="116"/>
      <c r="Y8" s="116">
        <f t="shared" si="4"/>
        <v>100.29166666666667</v>
      </c>
      <c r="Z8" s="117">
        <f t="shared" si="12"/>
        <v>1.0339347079037802</v>
      </c>
      <c r="AA8" s="116"/>
      <c r="AB8" s="116">
        <f t="shared" si="5"/>
        <v>67.208333333333329</v>
      </c>
      <c r="AC8" s="117">
        <f t="shared" si="13"/>
        <v>0.98114355231143546</v>
      </c>
      <c r="AD8" s="116"/>
      <c r="AE8" s="116">
        <f t="shared" si="6"/>
        <v>2635.25</v>
      </c>
      <c r="AF8" s="117">
        <f t="shared" si="14"/>
        <v>1.0016153553781832</v>
      </c>
      <c r="AG8" s="116"/>
      <c r="AH8" s="116">
        <f t="shared" si="7"/>
        <v>1</v>
      </c>
      <c r="AK8" s="88">
        <v>668</v>
      </c>
      <c r="AL8" s="88">
        <v>106.0833333333333</v>
      </c>
      <c r="AN8" s="116">
        <f t="shared" si="8"/>
        <v>776.25</v>
      </c>
      <c r="AO8" s="116">
        <f t="shared" si="9"/>
        <v>114.29166666666667</v>
      </c>
    </row>
    <row r="9" spans="1:41" x14ac:dyDescent="0.2">
      <c r="A9" s="66">
        <v>40786</v>
      </c>
      <c r="B9" s="114">
        <f t="shared" si="0"/>
        <v>2011</v>
      </c>
      <c r="C9" s="88">
        <v>9386.6666666666715</v>
      </c>
      <c r="D9" s="88">
        <f>AK9+VLOOKUP(B9,'GS Reclassification Adjustment'!$B$3:$E$12,4,FALSE)</f>
        <v>682</v>
      </c>
      <c r="E9" s="88">
        <f>AL9-VLOOKUP(B9,'GS Reclassification Adjustment'!$B$3:$E$12,4,FALSE)</f>
        <v>92.666666666666629</v>
      </c>
      <c r="F9" s="88">
        <v>80</v>
      </c>
      <c r="G9" s="88">
        <v>2453</v>
      </c>
      <c r="H9" s="88">
        <v>0</v>
      </c>
      <c r="I9" s="89">
        <f t="shared" si="1"/>
        <v>12694.333333333338</v>
      </c>
      <c r="R9" s="115">
        <f t="shared" si="10"/>
        <v>2018</v>
      </c>
      <c r="S9" s="127">
        <f t="shared" si="2"/>
        <v>10543.5</v>
      </c>
      <c r="T9" s="117">
        <f t="shared" si="15"/>
        <v>1.0176427769980334</v>
      </c>
      <c r="U9" s="116"/>
      <c r="V9" s="116">
        <f t="shared" si="3"/>
        <v>792.16666666666663</v>
      </c>
      <c r="W9" s="117">
        <f t="shared" si="11"/>
        <v>1.002425392808183</v>
      </c>
      <c r="X9" s="116"/>
      <c r="Y9" s="116">
        <f t="shared" si="4"/>
        <v>103.33333333333333</v>
      </c>
      <c r="Z9" s="117">
        <f t="shared" si="12"/>
        <v>1.0303282093892812</v>
      </c>
      <c r="AA9" s="116"/>
      <c r="AB9" s="116">
        <f t="shared" si="5"/>
        <v>66.291666666666671</v>
      </c>
      <c r="AC9" s="117">
        <f t="shared" si="13"/>
        <v>0.98636081835089906</v>
      </c>
      <c r="AD9" s="116"/>
      <c r="AE9" s="116">
        <f t="shared" si="6"/>
        <v>2663.5833333333335</v>
      </c>
      <c r="AF9" s="117">
        <f t="shared" si="14"/>
        <v>1.0107516680896815</v>
      </c>
      <c r="AG9" s="116"/>
      <c r="AH9" s="116">
        <f t="shared" si="7"/>
        <v>1</v>
      </c>
      <c r="AK9" s="88">
        <v>668</v>
      </c>
      <c r="AL9" s="88">
        <v>106.66666666666663</v>
      </c>
      <c r="AN9" s="116">
        <f t="shared" si="8"/>
        <v>778.16666666666663</v>
      </c>
      <c r="AO9" s="116">
        <f t="shared" si="9"/>
        <v>117.33333333333333</v>
      </c>
    </row>
    <row r="10" spans="1:41" x14ac:dyDescent="0.2">
      <c r="A10" s="66">
        <v>40816</v>
      </c>
      <c r="B10" s="114">
        <f t="shared" si="0"/>
        <v>2011</v>
      </c>
      <c r="C10" s="88">
        <v>9398.7500000000055</v>
      </c>
      <c r="D10" s="88">
        <f>AK10+VLOOKUP(B10,'GS Reclassification Adjustment'!$B$3:$E$12,4,FALSE)</f>
        <v>682</v>
      </c>
      <c r="E10" s="88">
        <f>AL10-VLOOKUP(B10,'GS Reclassification Adjustment'!$B$3:$E$12,4,FALSE)</f>
        <v>93.249999999999957</v>
      </c>
      <c r="F10" s="88">
        <v>80</v>
      </c>
      <c r="G10" s="88">
        <v>2544</v>
      </c>
      <c r="H10" s="88">
        <v>0</v>
      </c>
      <c r="I10" s="89">
        <f t="shared" si="1"/>
        <v>12798.000000000005</v>
      </c>
      <c r="R10" s="115">
        <f t="shared" si="10"/>
        <v>2019</v>
      </c>
      <c r="S10" s="127">
        <f t="shared" si="2"/>
        <v>10672.666666666666</v>
      </c>
      <c r="T10" s="117">
        <f t="shared" si="15"/>
        <v>1.0122508338470779</v>
      </c>
      <c r="U10" s="116"/>
      <c r="V10" s="116">
        <f t="shared" si="3"/>
        <v>804.25</v>
      </c>
      <c r="W10" s="117">
        <f t="shared" si="11"/>
        <v>1.0152535240900484</v>
      </c>
      <c r="X10" s="116"/>
      <c r="Y10" s="116">
        <f t="shared" si="4"/>
        <v>97.25</v>
      </c>
      <c r="Z10" s="117">
        <f>Y10/Y9</f>
        <v>0.94112903225806455</v>
      </c>
      <c r="AA10" s="116"/>
      <c r="AB10" s="116">
        <f t="shared" si="5"/>
        <v>65.791666666666671</v>
      </c>
      <c r="AC10" s="117">
        <f t="shared" si="13"/>
        <v>0.99245757385292266</v>
      </c>
      <c r="AD10" s="116"/>
      <c r="AE10" s="116">
        <f t="shared" si="6"/>
        <v>2676.6666666666665</v>
      </c>
      <c r="AF10" s="117">
        <f t="shared" si="14"/>
        <v>1.0049119294183899</v>
      </c>
      <c r="AG10" s="116"/>
      <c r="AH10" s="116">
        <f t="shared" si="7"/>
        <v>1</v>
      </c>
      <c r="AK10" s="88">
        <v>668</v>
      </c>
      <c r="AL10" s="88">
        <v>107.24999999999996</v>
      </c>
      <c r="AN10" s="116">
        <f t="shared" si="8"/>
        <v>790.25</v>
      </c>
      <c r="AO10" s="116">
        <f t="shared" si="9"/>
        <v>111.25</v>
      </c>
    </row>
    <row r="11" spans="1:41" x14ac:dyDescent="0.2">
      <c r="A11" s="66">
        <v>40847</v>
      </c>
      <c r="B11" s="114">
        <f t="shared" si="0"/>
        <v>2011</v>
      </c>
      <c r="C11" s="88">
        <v>9410.8333333333394</v>
      </c>
      <c r="D11" s="88">
        <f>AK11+VLOOKUP(B11,'GS Reclassification Adjustment'!$B$3:$E$12,4,FALSE)</f>
        <v>682</v>
      </c>
      <c r="E11" s="88">
        <f>AL11-VLOOKUP(B11,'GS Reclassification Adjustment'!$B$3:$E$12,4,FALSE)</f>
        <v>93.833333333333286</v>
      </c>
      <c r="F11" s="88">
        <v>80</v>
      </c>
      <c r="G11" s="88">
        <v>2544</v>
      </c>
      <c r="H11" s="88">
        <v>0</v>
      </c>
      <c r="I11" s="89">
        <f t="shared" si="1"/>
        <v>12810.666666666673</v>
      </c>
      <c r="R11" s="115">
        <f t="shared" si="10"/>
        <v>2020</v>
      </c>
      <c r="S11" s="127">
        <f t="shared" si="2"/>
        <v>10765.541666666666</v>
      </c>
      <c r="T11" s="117">
        <f t="shared" si="15"/>
        <v>1.0087021362983322</v>
      </c>
      <c r="U11" s="116"/>
      <c r="V11" s="116">
        <f t="shared" si="3"/>
        <v>812.16666666666663</v>
      </c>
      <c r="W11" s="117">
        <f t="shared" si="11"/>
        <v>1.0098435395295824</v>
      </c>
      <c r="X11" s="116"/>
      <c r="Y11" s="116">
        <f t="shared" si="4"/>
        <v>93.958333333333329</v>
      </c>
      <c r="Z11" s="117">
        <f t="shared" si="12"/>
        <v>0.96615252784918593</v>
      </c>
      <c r="AA11" s="116"/>
      <c r="AB11" s="116">
        <f t="shared" si="5"/>
        <v>62.875</v>
      </c>
      <c r="AC11" s="117">
        <f t="shared" si="13"/>
        <v>0.95566814439518677</v>
      </c>
      <c r="AD11" s="116"/>
      <c r="AE11" s="116">
        <f t="shared" si="6"/>
        <v>2687.2916666666665</v>
      </c>
      <c r="AF11" s="117">
        <f t="shared" si="14"/>
        <v>1.0039694894146949</v>
      </c>
      <c r="AG11" s="116"/>
      <c r="AH11" s="116">
        <f t="shared" si="7"/>
        <v>1</v>
      </c>
      <c r="AK11" s="88">
        <v>668</v>
      </c>
      <c r="AL11" s="88">
        <v>107.83333333333329</v>
      </c>
      <c r="AN11" s="116">
        <f t="shared" si="8"/>
        <v>798.16666666666663</v>
      </c>
      <c r="AO11" s="116">
        <f t="shared" si="9"/>
        <v>107.95833333333333</v>
      </c>
    </row>
    <row r="12" spans="1:41" x14ac:dyDescent="0.2">
      <c r="A12" s="66">
        <v>40877</v>
      </c>
      <c r="B12" s="114">
        <f t="shared" si="0"/>
        <v>2011</v>
      </c>
      <c r="C12" s="88">
        <v>9422.9166666666733</v>
      </c>
      <c r="D12" s="88">
        <f>AK12+VLOOKUP(B12,'GS Reclassification Adjustment'!$B$3:$E$12,4,FALSE)</f>
        <v>682</v>
      </c>
      <c r="E12" s="88">
        <f>AL12-VLOOKUP(B12,'GS Reclassification Adjustment'!$B$3:$E$12,4,FALSE)</f>
        <v>94.416666666666615</v>
      </c>
      <c r="F12" s="88">
        <v>80</v>
      </c>
      <c r="G12" s="88">
        <v>2544</v>
      </c>
      <c r="H12" s="88">
        <v>0</v>
      </c>
      <c r="I12" s="89">
        <f t="shared" si="1"/>
        <v>12823.333333333339</v>
      </c>
      <c r="R12" s="118">
        <f t="shared" si="10"/>
        <v>2021</v>
      </c>
      <c r="S12" s="126">
        <f>S11*T12</f>
        <v>10876.562075852176</v>
      </c>
      <c r="T12" s="130">
        <f>GEOMEAN(T7:T11)</f>
        <v>1.0103125706650937</v>
      </c>
      <c r="U12" s="119"/>
      <c r="V12" s="119">
        <f>V11*W12</f>
        <v>828.01608356198767</v>
      </c>
      <c r="W12" s="122">
        <f>GEOMEAN(W3:W11)</f>
        <v>1.0195149807863588</v>
      </c>
      <c r="X12" s="119"/>
      <c r="Y12" s="119">
        <f>Y11*Z12</f>
        <v>94.202209174925201</v>
      </c>
      <c r="Z12" s="122">
        <f>GEOMEAN(Z3:Z11)</f>
        <v>1.002595574367275</v>
      </c>
      <c r="AA12" s="119"/>
      <c r="AB12" s="119">
        <f>AB11*AC12</f>
        <v>61.214519340293982</v>
      </c>
      <c r="AC12" s="122">
        <f>GEOMEAN(AC3:AC11)</f>
        <v>0.97359076485557028</v>
      </c>
      <c r="AD12" s="119"/>
      <c r="AE12" s="119">
        <f>AE11*AF12</f>
        <v>2708.6285350957673</v>
      </c>
      <c r="AF12" s="122">
        <f>GEOMEAN(AF3:AF11)</f>
        <v>1.0079399153779118</v>
      </c>
      <c r="AG12" s="119"/>
      <c r="AH12" s="119">
        <v>1</v>
      </c>
      <c r="AK12" s="88">
        <v>668</v>
      </c>
      <c r="AL12" s="88">
        <v>108.41666666666661</v>
      </c>
    </row>
    <row r="13" spans="1:41" x14ac:dyDescent="0.2">
      <c r="A13" s="66">
        <v>40908</v>
      </c>
      <c r="B13" s="114">
        <f t="shared" si="0"/>
        <v>2011</v>
      </c>
      <c r="C13" s="88">
        <v>9435</v>
      </c>
      <c r="D13" s="88">
        <f>AK13+VLOOKUP(B13,'GS Reclassification Adjustment'!$B$3:$E$12,4,FALSE)</f>
        <v>682</v>
      </c>
      <c r="E13" s="88">
        <f>AL13-VLOOKUP(B13,'GS Reclassification Adjustment'!$B$3:$E$12,4,FALSE)</f>
        <v>95</v>
      </c>
      <c r="F13" s="88">
        <v>80</v>
      </c>
      <c r="G13" s="88">
        <v>2544</v>
      </c>
      <c r="H13" s="88">
        <v>0</v>
      </c>
      <c r="I13" s="89">
        <f t="shared" si="1"/>
        <v>12836</v>
      </c>
      <c r="R13" s="118">
        <f t="shared" si="10"/>
        <v>2022</v>
      </c>
      <c r="S13" s="126">
        <f>S12*T13</f>
        <v>10988.72739085268</v>
      </c>
      <c r="T13" s="122">
        <f>T12</f>
        <v>1.0103125706650937</v>
      </c>
      <c r="U13" s="120"/>
      <c r="V13" s="119">
        <f>V12*W13</f>
        <v>844.17480152349594</v>
      </c>
      <c r="W13" s="122">
        <f>W12</f>
        <v>1.0195149807863588</v>
      </c>
      <c r="X13" s="120"/>
      <c r="Y13" s="119">
        <f>Y12*Z13</f>
        <v>94.446718014400318</v>
      </c>
      <c r="Z13" s="122">
        <f>Z12</f>
        <v>1.002595574367275</v>
      </c>
      <c r="AA13" s="120"/>
      <c r="AB13" s="119">
        <f>AB12*AC13</f>
        <v>59.59789070478292</v>
      </c>
      <c r="AC13" s="122">
        <f>AC12</f>
        <v>0.97359076485557028</v>
      </c>
      <c r="AD13" s="120"/>
      <c r="AE13" s="119">
        <f>AE12*AF13</f>
        <v>2730.1348164546253</v>
      </c>
      <c r="AF13" s="122">
        <f>AF12</f>
        <v>1.0079399153779118</v>
      </c>
      <c r="AG13" s="120"/>
      <c r="AH13" s="119">
        <v>1</v>
      </c>
      <c r="AK13" s="88">
        <v>668</v>
      </c>
      <c r="AL13" s="88">
        <v>109</v>
      </c>
    </row>
    <row r="14" spans="1:41" x14ac:dyDescent="0.2">
      <c r="A14" s="66">
        <v>40939</v>
      </c>
      <c r="B14" s="114">
        <f t="shared" si="0"/>
        <v>2012</v>
      </c>
      <c r="C14" s="88">
        <v>9568</v>
      </c>
      <c r="D14" s="88">
        <f>AK14+VLOOKUP(B14,'GS Reclassification Adjustment'!$B$3:$E$12,4,FALSE)</f>
        <v>698</v>
      </c>
      <c r="E14" s="88">
        <f>AL14-VLOOKUP(B14,'GS Reclassification Adjustment'!$B$3:$E$12,4,FALSE)</f>
        <v>93</v>
      </c>
      <c r="F14" s="88">
        <v>79</v>
      </c>
      <c r="G14" s="88">
        <v>2544</v>
      </c>
      <c r="H14" s="88">
        <v>0</v>
      </c>
      <c r="I14" s="89">
        <f t="shared" si="1"/>
        <v>12982</v>
      </c>
      <c r="S14" s="71"/>
      <c r="AK14" s="88">
        <v>684</v>
      </c>
      <c r="AL14" s="88">
        <v>107</v>
      </c>
    </row>
    <row r="15" spans="1:41" x14ac:dyDescent="0.2">
      <c r="A15" s="66">
        <v>40968</v>
      </c>
      <c r="B15" s="114">
        <f t="shared" si="0"/>
        <v>2012</v>
      </c>
      <c r="C15" s="88">
        <v>9582</v>
      </c>
      <c r="D15" s="88">
        <f>AK15+VLOOKUP(B15,'GS Reclassification Adjustment'!$B$3:$E$12,4,FALSE)</f>
        <v>700</v>
      </c>
      <c r="E15" s="88">
        <f>AL15-VLOOKUP(B15,'GS Reclassification Adjustment'!$B$3:$E$12,4,FALSE)</f>
        <v>93</v>
      </c>
      <c r="F15" s="88">
        <v>79</v>
      </c>
      <c r="G15" s="88">
        <v>2544</v>
      </c>
      <c r="H15" s="88">
        <v>0</v>
      </c>
      <c r="I15" s="89">
        <f t="shared" si="1"/>
        <v>12998</v>
      </c>
      <c r="S15" s="116"/>
      <c r="AK15" s="88">
        <v>686</v>
      </c>
      <c r="AL15" s="88">
        <v>107</v>
      </c>
    </row>
    <row r="16" spans="1:41" x14ac:dyDescent="0.2">
      <c r="A16" s="66">
        <v>40999</v>
      </c>
      <c r="B16" s="114">
        <f t="shared" si="0"/>
        <v>2012</v>
      </c>
      <c r="C16" s="88">
        <v>9603</v>
      </c>
      <c r="D16" s="88">
        <f>AK16+VLOOKUP(B16,'GS Reclassification Adjustment'!$B$3:$E$12,4,FALSE)</f>
        <v>702</v>
      </c>
      <c r="E16" s="88">
        <f>AL16-VLOOKUP(B16,'GS Reclassification Adjustment'!$B$3:$E$12,4,FALSE)</f>
        <v>93</v>
      </c>
      <c r="F16" s="88">
        <v>80</v>
      </c>
      <c r="G16" s="88">
        <v>2544</v>
      </c>
      <c r="H16" s="88">
        <v>0</v>
      </c>
      <c r="I16" s="89">
        <f t="shared" si="1"/>
        <v>13022</v>
      </c>
      <c r="Q16" s="55" t="s">
        <v>87</v>
      </c>
      <c r="R16">
        <v>2021</v>
      </c>
      <c r="S16" s="126"/>
      <c r="T16" s="47">
        <f>T12^(1/12)</f>
        <v>1.0008553455062907</v>
      </c>
      <c r="U16" s="47"/>
      <c r="V16" s="129"/>
      <c r="W16" s="47">
        <f>W12^(1/12)</f>
        <v>1.0016118814510258</v>
      </c>
      <c r="X16" s="47"/>
      <c r="Y16" s="129"/>
      <c r="Z16" s="47">
        <f>Z12^(1/12)</f>
        <v>1.0002160409736243</v>
      </c>
      <c r="AA16" s="47"/>
      <c r="AB16" s="129"/>
      <c r="AC16" s="47">
        <f>AC12^(1/12)</f>
        <v>0.99777213347695592</v>
      </c>
      <c r="AD16" s="47"/>
      <c r="AE16" s="129"/>
      <c r="AF16" s="47">
        <f>AF12^(1/12)</f>
        <v>1.0006592638950234</v>
      </c>
      <c r="AH16" s="47">
        <f>AH12^(1/12)</f>
        <v>1</v>
      </c>
      <c r="AK16" s="88">
        <v>688</v>
      </c>
      <c r="AL16" s="88">
        <v>107</v>
      </c>
    </row>
    <row r="17" spans="1:38" x14ac:dyDescent="0.2">
      <c r="A17" s="66">
        <v>41029</v>
      </c>
      <c r="B17" s="114">
        <f t="shared" si="0"/>
        <v>2012</v>
      </c>
      <c r="C17" s="88">
        <v>9616</v>
      </c>
      <c r="D17" s="88">
        <f>AK17+VLOOKUP(B17,'GS Reclassification Adjustment'!$B$3:$E$12,4,FALSE)</f>
        <v>705</v>
      </c>
      <c r="E17" s="88">
        <f>AL17-VLOOKUP(B17,'GS Reclassification Adjustment'!$B$3:$E$12,4,FALSE)</f>
        <v>93</v>
      </c>
      <c r="F17" s="88">
        <v>77</v>
      </c>
      <c r="G17" s="88">
        <v>2544</v>
      </c>
      <c r="H17" s="88">
        <v>0</v>
      </c>
      <c r="I17" s="89">
        <f t="shared" si="1"/>
        <v>13035</v>
      </c>
      <c r="Q17" s="55" t="s">
        <v>88</v>
      </c>
      <c r="R17">
        <v>2022</v>
      </c>
      <c r="S17" s="126"/>
      <c r="T17" s="47">
        <f>T13^(1/12)</f>
        <v>1.0008553455062907</v>
      </c>
      <c r="U17" s="47"/>
      <c r="V17" s="129"/>
      <c r="W17" s="47">
        <f>W13^(1/12)</f>
        <v>1.0016118814510258</v>
      </c>
      <c r="X17" s="47"/>
      <c r="Y17" s="129"/>
      <c r="Z17" s="47">
        <f>Z13^(1/12)</f>
        <v>1.0002160409736243</v>
      </c>
      <c r="AA17" s="47"/>
      <c r="AB17" s="129"/>
      <c r="AC17" s="47">
        <f>AC13^(1/12)</f>
        <v>0.99777213347695592</v>
      </c>
      <c r="AD17" s="47"/>
      <c r="AE17" s="129"/>
      <c r="AF17" s="47">
        <f>AF13^(1/12)</f>
        <v>1.0006592638950234</v>
      </c>
      <c r="AH17" s="47">
        <f>AH13^(1/12)</f>
        <v>1</v>
      </c>
      <c r="AK17" s="88">
        <v>691</v>
      </c>
      <c r="AL17" s="88">
        <v>107</v>
      </c>
    </row>
    <row r="18" spans="1:38" x14ac:dyDescent="0.2">
      <c r="A18" s="66">
        <v>41060</v>
      </c>
      <c r="B18" s="114">
        <f t="shared" si="0"/>
        <v>2012</v>
      </c>
      <c r="C18" s="88">
        <v>9634</v>
      </c>
      <c r="D18" s="88">
        <f>AK18+VLOOKUP(B18,'GS Reclassification Adjustment'!$B$3:$E$12,4,FALSE)</f>
        <v>699</v>
      </c>
      <c r="E18" s="88">
        <f>AL18-VLOOKUP(B18,'GS Reclassification Adjustment'!$B$3:$E$12,4,FALSE)</f>
        <v>93</v>
      </c>
      <c r="F18" s="88">
        <v>77</v>
      </c>
      <c r="G18" s="88">
        <v>2544</v>
      </c>
      <c r="H18" s="88">
        <v>0</v>
      </c>
      <c r="I18" s="89">
        <f t="shared" si="1"/>
        <v>13047</v>
      </c>
      <c r="Q18" s="55" t="s">
        <v>89</v>
      </c>
      <c r="S18" s="127"/>
      <c r="AK18" s="88">
        <v>685</v>
      </c>
      <c r="AL18" s="88">
        <v>107</v>
      </c>
    </row>
    <row r="19" spans="1:38" x14ac:dyDescent="0.2">
      <c r="A19" s="66">
        <v>41090</v>
      </c>
      <c r="B19" s="114">
        <f t="shared" si="0"/>
        <v>2012</v>
      </c>
      <c r="C19" s="88">
        <v>9642</v>
      </c>
      <c r="D19" s="88">
        <f>AK19+VLOOKUP(B19,'GS Reclassification Adjustment'!$B$3:$E$12,4,FALSE)</f>
        <v>699</v>
      </c>
      <c r="E19" s="88">
        <f>AL19-VLOOKUP(B19,'GS Reclassification Adjustment'!$B$3:$E$12,4,FALSE)</f>
        <v>93</v>
      </c>
      <c r="F19" s="88">
        <v>77</v>
      </c>
      <c r="G19" s="88">
        <v>2544</v>
      </c>
      <c r="H19" s="88">
        <v>0</v>
      </c>
      <c r="I19" s="89">
        <f t="shared" si="1"/>
        <v>13055</v>
      </c>
      <c r="AK19" s="88">
        <v>685</v>
      </c>
      <c r="AL19" s="88">
        <v>107</v>
      </c>
    </row>
    <row r="20" spans="1:38" x14ac:dyDescent="0.2">
      <c r="A20" s="66">
        <v>41121</v>
      </c>
      <c r="B20" s="114">
        <f t="shared" si="0"/>
        <v>2012</v>
      </c>
      <c r="C20" s="88">
        <v>9654</v>
      </c>
      <c r="D20" s="88">
        <f>AK20+VLOOKUP(B20,'GS Reclassification Adjustment'!$B$3:$E$12,4,FALSE)</f>
        <v>699</v>
      </c>
      <c r="E20" s="88">
        <f>AL20-VLOOKUP(B20,'GS Reclassification Adjustment'!$B$3:$E$12,4,FALSE)</f>
        <v>94</v>
      </c>
      <c r="F20" s="88">
        <v>77</v>
      </c>
      <c r="G20" s="88">
        <v>2544</v>
      </c>
      <c r="H20" s="88">
        <v>0</v>
      </c>
      <c r="I20" s="89">
        <f t="shared" si="1"/>
        <v>13068</v>
      </c>
      <c r="R20">
        <v>2021</v>
      </c>
      <c r="S20" s="97">
        <f>AVERAGEIF($B:$B,$R20,C:C)-S12</f>
        <v>0</v>
      </c>
      <c r="T20" s="194"/>
      <c r="U20" s="97"/>
      <c r="V20" s="97">
        <f>AVERAGEIF($B:$B,$R20,D:D)-V12</f>
        <v>0</v>
      </c>
      <c r="W20" s="194"/>
      <c r="X20" s="97"/>
      <c r="Y20" s="97">
        <f>AVERAGEIF($B:$B,$R20,E:E)-Y12</f>
        <v>0</v>
      </c>
      <c r="Z20" s="194"/>
      <c r="AA20" s="97"/>
      <c r="AB20" s="97">
        <f>AVERAGEIF($B:$B,$R20,F:F)-AB12</f>
        <v>0</v>
      </c>
      <c r="AC20" s="194"/>
      <c r="AD20" s="97"/>
      <c r="AE20" s="97">
        <f>AVERAGEIF($B:$B,$R20,G:G)-AE12</f>
        <v>0</v>
      </c>
      <c r="AF20" s="194"/>
      <c r="AG20" s="116"/>
      <c r="AH20" s="116">
        <f>AVERAGEIF($B:$B,$R20,H:H)-AH12</f>
        <v>0</v>
      </c>
      <c r="AK20" s="88">
        <v>685</v>
      </c>
      <c r="AL20" s="88">
        <v>108</v>
      </c>
    </row>
    <row r="21" spans="1:38" x14ac:dyDescent="0.2">
      <c r="A21" s="66">
        <v>41152</v>
      </c>
      <c r="B21" s="114">
        <f t="shared" si="0"/>
        <v>2012</v>
      </c>
      <c r="C21" s="88">
        <v>9672</v>
      </c>
      <c r="D21" s="88">
        <f>AK21+VLOOKUP(B21,'GS Reclassification Adjustment'!$B$3:$E$12,4,FALSE)</f>
        <v>699</v>
      </c>
      <c r="E21" s="88">
        <f>AL21-VLOOKUP(B21,'GS Reclassification Adjustment'!$B$3:$E$12,4,FALSE)</f>
        <v>95</v>
      </c>
      <c r="F21" s="88">
        <v>77</v>
      </c>
      <c r="G21" s="88">
        <v>2544</v>
      </c>
      <c r="H21" s="88">
        <v>0</v>
      </c>
      <c r="I21" s="89">
        <f t="shared" si="1"/>
        <v>13087</v>
      </c>
      <c r="Q21" s="55" t="s">
        <v>18</v>
      </c>
      <c r="R21">
        <v>2022</v>
      </c>
      <c r="S21" s="97">
        <f>AVERAGEIF($B:$B,$R21,C:C)-S13</f>
        <v>0</v>
      </c>
      <c r="T21" s="194"/>
      <c r="U21" s="97"/>
      <c r="V21" s="97">
        <f>AVERAGEIF($B:$B,$R21,D:D)-V13</f>
        <v>0</v>
      </c>
      <c r="W21" s="194"/>
      <c r="X21" s="97"/>
      <c r="Y21" s="97">
        <f>AVERAGEIF($B:$B,$R21,E:E)-Y13</f>
        <v>0</v>
      </c>
      <c r="Z21" s="194"/>
      <c r="AA21" s="97"/>
      <c r="AB21" s="97">
        <f>AVERAGEIF($B:$B,$R21,F:F)-AB13</f>
        <v>0</v>
      </c>
      <c r="AC21" s="194"/>
      <c r="AD21" s="97"/>
      <c r="AE21" s="97">
        <f>AVERAGEIF($B:$B,$R21,G:G)-AE13</f>
        <v>0</v>
      </c>
      <c r="AF21" s="194"/>
      <c r="AG21" s="116"/>
      <c r="AH21" s="116">
        <f>AVERAGEIF($B:$B,$R21,H:H)-AH13</f>
        <v>0</v>
      </c>
      <c r="AK21" s="88">
        <v>685</v>
      </c>
      <c r="AL21" s="88">
        <v>109</v>
      </c>
    </row>
    <row r="22" spans="1:38" x14ac:dyDescent="0.2">
      <c r="A22" s="66">
        <v>41182</v>
      </c>
      <c r="B22" s="114">
        <f t="shared" si="0"/>
        <v>2012</v>
      </c>
      <c r="C22" s="88">
        <v>9687</v>
      </c>
      <c r="D22" s="88">
        <f>AK22+VLOOKUP(B22,'GS Reclassification Adjustment'!$B$3:$E$12,4,FALSE)</f>
        <v>701</v>
      </c>
      <c r="E22" s="88">
        <f>AL22-VLOOKUP(B22,'GS Reclassification Adjustment'!$B$3:$E$12,4,FALSE)</f>
        <v>95</v>
      </c>
      <c r="F22" s="88">
        <v>77</v>
      </c>
      <c r="G22" s="88">
        <v>2546</v>
      </c>
      <c r="H22" s="88">
        <v>0</v>
      </c>
      <c r="I22" s="89">
        <f t="shared" si="1"/>
        <v>13106</v>
      </c>
      <c r="AK22" s="88">
        <v>687</v>
      </c>
      <c r="AL22" s="88">
        <v>109</v>
      </c>
    </row>
    <row r="23" spans="1:38" x14ac:dyDescent="0.2">
      <c r="A23" s="66">
        <v>41213</v>
      </c>
      <c r="B23" s="114">
        <f t="shared" si="0"/>
        <v>2012</v>
      </c>
      <c r="C23" s="88">
        <v>9684</v>
      </c>
      <c r="D23" s="88">
        <f>AK23+VLOOKUP(B23,'GS Reclassification Adjustment'!$B$3:$E$12,4,FALSE)</f>
        <v>700</v>
      </c>
      <c r="E23" s="88">
        <f>AL23-VLOOKUP(B23,'GS Reclassification Adjustment'!$B$3:$E$12,4,FALSE)</f>
        <v>95</v>
      </c>
      <c r="F23" s="88">
        <v>77</v>
      </c>
      <c r="G23" s="88">
        <v>2546</v>
      </c>
      <c r="H23" s="88">
        <v>0</v>
      </c>
      <c r="I23" s="89">
        <f t="shared" si="1"/>
        <v>13102</v>
      </c>
      <c r="AK23" s="88">
        <v>686</v>
      </c>
      <c r="AL23" s="88">
        <v>109</v>
      </c>
    </row>
    <row r="24" spans="1:38" x14ac:dyDescent="0.2">
      <c r="A24" s="66">
        <v>41243</v>
      </c>
      <c r="B24" s="114">
        <f t="shared" si="0"/>
        <v>2012</v>
      </c>
      <c r="C24" s="88">
        <v>9682</v>
      </c>
      <c r="D24" s="88">
        <f>AK24+VLOOKUP(B24,'GS Reclassification Adjustment'!$B$3:$E$12,4,FALSE)</f>
        <v>702</v>
      </c>
      <c r="E24" s="88">
        <f>AL24-VLOOKUP(B24,'GS Reclassification Adjustment'!$B$3:$E$12,4,FALSE)</f>
        <v>95</v>
      </c>
      <c r="F24" s="88">
        <v>77</v>
      </c>
      <c r="G24" s="88">
        <v>2546</v>
      </c>
      <c r="H24" s="88">
        <v>0</v>
      </c>
      <c r="I24" s="89">
        <f t="shared" si="1"/>
        <v>13102</v>
      </c>
      <c r="Q24" s="55" t="s">
        <v>85</v>
      </c>
      <c r="R24">
        <v>2021</v>
      </c>
      <c r="S24" s="116">
        <v>42</v>
      </c>
      <c r="V24" s="116"/>
      <c r="Y24" s="116"/>
      <c r="AK24" s="88">
        <v>688</v>
      </c>
      <c r="AL24" s="88">
        <v>109</v>
      </c>
    </row>
    <row r="25" spans="1:38" x14ac:dyDescent="0.2">
      <c r="A25" s="66">
        <v>41274</v>
      </c>
      <c r="B25" s="114">
        <f t="shared" si="0"/>
        <v>2012</v>
      </c>
      <c r="C25" s="88">
        <v>9692</v>
      </c>
      <c r="D25" s="88">
        <f>AK25+VLOOKUP(B25,'GS Reclassification Adjustment'!$B$3:$E$12,4,FALSE)</f>
        <v>701</v>
      </c>
      <c r="E25" s="88">
        <f>AL25-VLOOKUP(B25,'GS Reclassification Adjustment'!$B$3:$E$12,4,FALSE)</f>
        <v>95</v>
      </c>
      <c r="F25" s="88">
        <v>77</v>
      </c>
      <c r="G25" s="88">
        <v>2600</v>
      </c>
      <c r="H25" s="88">
        <v>0</v>
      </c>
      <c r="I25" s="89">
        <f t="shared" si="1"/>
        <v>13165</v>
      </c>
      <c r="Q25" s="55" t="s">
        <v>197</v>
      </c>
      <c r="R25">
        <v>2022</v>
      </c>
      <c r="S25" s="313">
        <v>226</v>
      </c>
      <c r="V25" s="116">
        <v>2</v>
      </c>
      <c r="Y25" s="116">
        <v>2</v>
      </c>
      <c r="AK25" s="88">
        <v>687</v>
      </c>
      <c r="AL25" s="88">
        <v>109</v>
      </c>
    </row>
    <row r="26" spans="1:38" x14ac:dyDescent="0.2">
      <c r="A26" s="66">
        <v>41305</v>
      </c>
      <c r="B26" s="114">
        <f t="shared" si="0"/>
        <v>2013</v>
      </c>
      <c r="C26" s="88">
        <v>9694</v>
      </c>
      <c r="D26" s="88">
        <f>AK26+VLOOKUP(B26,'GS Reclassification Adjustment'!$B$3:$E$12,4,FALSE)</f>
        <v>702</v>
      </c>
      <c r="E26" s="88">
        <f>AL26-VLOOKUP(B26,'GS Reclassification Adjustment'!$B$3:$E$12,4,FALSE)</f>
        <v>95</v>
      </c>
      <c r="F26" s="88">
        <v>77</v>
      </c>
      <c r="G26" s="88">
        <v>2600</v>
      </c>
      <c r="H26" s="88">
        <v>0</v>
      </c>
      <c r="I26" s="89">
        <f t="shared" ref="I26:I37" si="16">SUM(C26:H26)</f>
        <v>13168</v>
      </c>
      <c r="AK26" s="88">
        <v>688</v>
      </c>
      <c r="AL26" s="88">
        <v>109</v>
      </c>
    </row>
    <row r="27" spans="1:38" x14ac:dyDescent="0.2">
      <c r="A27" s="66">
        <v>41333</v>
      </c>
      <c r="B27" s="114">
        <f t="shared" si="0"/>
        <v>2013</v>
      </c>
      <c r="C27" s="88">
        <v>9698</v>
      </c>
      <c r="D27" s="88">
        <f>AK27+VLOOKUP(B27,'GS Reclassification Adjustment'!$B$3:$E$12,4,FALSE)</f>
        <v>702.5</v>
      </c>
      <c r="E27" s="88">
        <f>AL27-VLOOKUP(B27,'GS Reclassification Adjustment'!$B$3:$E$12,4,FALSE)</f>
        <v>95.5</v>
      </c>
      <c r="F27" s="88">
        <v>77</v>
      </c>
      <c r="G27" s="88">
        <v>2602.5</v>
      </c>
      <c r="H27" s="88">
        <v>0</v>
      </c>
      <c r="I27" s="89">
        <f t="shared" si="16"/>
        <v>13175.5</v>
      </c>
      <c r="AK27" s="88">
        <v>688.5</v>
      </c>
      <c r="AL27" s="88">
        <v>109.5</v>
      </c>
    </row>
    <row r="28" spans="1:38" x14ac:dyDescent="0.2">
      <c r="A28" s="66">
        <v>41364</v>
      </c>
      <c r="B28" s="114">
        <f t="shared" si="0"/>
        <v>2013</v>
      </c>
      <c r="C28" s="88">
        <v>9701</v>
      </c>
      <c r="D28" s="88">
        <f>AK28+VLOOKUP(B28,'GS Reclassification Adjustment'!$B$3:$E$12,4,FALSE)</f>
        <v>702.5</v>
      </c>
      <c r="E28" s="88">
        <f>AL28-VLOOKUP(B28,'GS Reclassification Adjustment'!$B$3:$E$12,4,FALSE)</f>
        <v>96</v>
      </c>
      <c r="F28" s="88">
        <v>77</v>
      </c>
      <c r="G28" s="88">
        <v>2605</v>
      </c>
      <c r="H28" s="88">
        <v>0</v>
      </c>
      <c r="I28" s="89">
        <f t="shared" si="16"/>
        <v>13181.5</v>
      </c>
      <c r="Q28" s="55" t="s">
        <v>12</v>
      </c>
      <c r="V28" s="97"/>
      <c r="AK28" s="88">
        <v>688.5</v>
      </c>
      <c r="AL28" s="88">
        <v>110</v>
      </c>
    </row>
    <row r="29" spans="1:38" x14ac:dyDescent="0.2">
      <c r="A29" s="66">
        <v>41394</v>
      </c>
      <c r="B29" s="114">
        <f t="shared" si="0"/>
        <v>2013</v>
      </c>
      <c r="C29" s="88">
        <v>9702.5</v>
      </c>
      <c r="D29" s="88">
        <f>AK29+VLOOKUP(B29,'GS Reclassification Adjustment'!$B$3:$E$12,4,FALSE)</f>
        <v>703</v>
      </c>
      <c r="E29" s="88">
        <f>AL29-VLOOKUP(B29,'GS Reclassification Adjustment'!$B$3:$E$12,4,FALSE)</f>
        <v>96</v>
      </c>
      <c r="F29" s="88">
        <v>77</v>
      </c>
      <c r="G29" s="88">
        <v>2605</v>
      </c>
      <c r="H29" s="88">
        <v>0</v>
      </c>
      <c r="I29" s="89">
        <f t="shared" si="16"/>
        <v>13183.5</v>
      </c>
      <c r="Q29" s="55" t="s">
        <v>200</v>
      </c>
      <c r="R29" s="118">
        <v>2021</v>
      </c>
      <c r="S29" s="126">
        <f>AVERAGEIF($B:$B,$R29,K:K)</f>
        <v>10899.312075852176</v>
      </c>
      <c r="T29" s="121">
        <f>S29/S11</f>
        <v>1.0124257945700683</v>
      </c>
      <c r="U29" s="120"/>
      <c r="V29" s="119">
        <f>AVERAGEIF($B:$B,$R29,L:L)</f>
        <v>828.01608356198756</v>
      </c>
      <c r="W29" s="121">
        <f>V29/V11</f>
        <v>1.0195149807863586</v>
      </c>
      <c r="X29" s="120"/>
      <c r="Y29" s="119">
        <f>AVERAGEIF($B:$B,$R29,M:M)</f>
        <v>94.202209174925187</v>
      </c>
      <c r="Z29" s="121">
        <f>Y29/Y11</f>
        <v>1.0025955743672748</v>
      </c>
      <c r="AA29" s="120"/>
      <c r="AB29" s="119">
        <f>AVERAGEIF($B:$B,$R29,F:F)</f>
        <v>61.214519340293997</v>
      </c>
      <c r="AC29" s="121">
        <f>AB29/AB11</f>
        <v>0.9735907648555705</v>
      </c>
      <c r="AD29" s="120"/>
      <c r="AE29" s="119">
        <f>AVERAGEIF($B:$B,$R29,G:G)</f>
        <v>2708.6285350957678</v>
      </c>
      <c r="AF29" s="121">
        <f>AE29/AE11</f>
        <v>1.0079399153779121</v>
      </c>
      <c r="AG29" s="120"/>
      <c r="AH29" s="119">
        <f>AVERAGEIF($B:$B,$R29,H:H)</f>
        <v>1</v>
      </c>
      <c r="AK29" s="88">
        <v>689</v>
      </c>
      <c r="AL29" s="88">
        <v>110</v>
      </c>
    </row>
    <row r="30" spans="1:38" x14ac:dyDescent="0.2">
      <c r="A30" s="66">
        <v>41425</v>
      </c>
      <c r="B30" s="114">
        <f t="shared" si="0"/>
        <v>2013</v>
      </c>
      <c r="C30" s="88">
        <v>9706</v>
      </c>
      <c r="D30" s="88">
        <f>AK30+VLOOKUP(B30,'GS Reclassification Adjustment'!$B$3:$E$12,4,FALSE)</f>
        <v>702.5</v>
      </c>
      <c r="E30" s="88">
        <f>AL30-VLOOKUP(B30,'GS Reclassification Adjustment'!$B$3:$E$12,4,FALSE)</f>
        <v>96</v>
      </c>
      <c r="F30" s="88">
        <v>77</v>
      </c>
      <c r="G30" s="88">
        <v>2605</v>
      </c>
      <c r="H30" s="88">
        <v>0</v>
      </c>
      <c r="I30" s="89">
        <f t="shared" si="16"/>
        <v>13186.5</v>
      </c>
      <c r="Q30" s="55" t="s">
        <v>201</v>
      </c>
      <c r="R30" s="118">
        <v>2022</v>
      </c>
      <c r="S30" s="311">
        <f>AVERAGEIF($B:$B,$R30,K:K)</f>
        <v>11153.144057519341</v>
      </c>
      <c r="T30" s="312">
        <f>S30/S29</f>
        <v>1.0232888075780067</v>
      </c>
      <c r="U30" s="120"/>
      <c r="V30" s="119">
        <f>AVERAGEIF($B:$B,$R30,L:L)</f>
        <v>845.2581348568292</v>
      </c>
      <c r="W30" s="121">
        <f>V30/V29</f>
        <v>1.020823328963212</v>
      </c>
      <c r="X30" s="120"/>
      <c r="Y30" s="119">
        <f>AVERAGEIF($B:$B,$R30,M:M)</f>
        <v>95.530051347733661</v>
      </c>
      <c r="Z30" s="121">
        <f>Y30/Y29</f>
        <v>1.0140956585247676</v>
      </c>
      <c r="AA30" s="120"/>
      <c r="AB30" s="119">
        <f>AVERAGEIF($B:$B,$R30,F:F)</f>
        <v>59.59789070478292</v>
      </c>
      <c r="AC30" s="121">
        <f>AB30/AB29</f>
        <v>0.97359076485557006</v>
      </c>
      <c r="AD30" s="120"/>
      <c r="AE30" s="119">
        <f>AVERAGEIF($B:$B,$R30,G:G)</f>
        <v>2730.1348164546257</v>
      </c>
      <c r="AF30" s="121">
        <f>AE30/AE29</f>
        <v>1.0079399153779118</v>
      </c>
      <c r="AG30" s="120"/>
      <c r="AH30" s="119">
        <f>AVERAGEIF($B:$B,$R30,H:H)</f>
        <v>1</v>
      </c>
      <c r="AK30" s="88">
        <v>688.5</v>
      </c>
      <c r="AL30" s="88">
        <v>110</v>
      </c>
    </row>
    <row r="31" spans="1:38" x14ac:dyDescent="0.2">
      <c r="A31" s="66">
        <v>41455</v>
      </c>
      <c r="B31" s="114">
        <f t="shared" si="0"/>
        <v>2013</v>
      </c>
      <c r="C31" s="88">
        <v>9712.5</v>
      </c>
      <c r="D31" s="88">
        <f>AK31+VLOOKUP(B31,'GS Reclassification Adjustment'!$B$3:$E$12,4,FALSE)</f>
        <v>702.5</v>
      </c>
      <c r="E31" s="88">
        <f>AL31-VLOOKUP(B31,'GS Reclassification Adjustment'!$B$3:$E$12,4,FALSE)</f>
        <v>96</v>
      </c>
      <c r="F31" s="88">
        <v>77</v>
      </c>
      <c r="G31" s="88">
        <v>2605</v>
      </c>
      <c r="H31" s="88">
        <v>0</v>
      </c>
      <c r="I31" s="89">
        <f t="shared" si="16"/>
        <v>13193</v>
      </c>
      <c r="AK31" s="88">
        <v>688.5</v>
      </c>
      <c r="AL31" s="88">
        <v>110</v>
      </c>
    </row>
    <row r="32" spans="1:38" x14ac:dyDescent="0.2">
      <c r="A32" s="66">
        <v>41486</v>
      </c>
      <c r="B32" s="114">
        <f t="shared" si="0"/>
        <v>2013</v>
      </c>
      <c r="C32" s="88">
        <v>9717</v>
      </c>
      <c r="D32" s="88">
        <f>AK32+VLOOKUP(B32,'GS Reclassification Adjustment'!$B$3:$E$12,4,FALSE)</f>
        <v>702</v>
      </c>
      <c r="E32" s="88">
        <f>AL32-VLOOKUP(B32,'GS Reclassification Adjustment'!$B$3:$E$12,4,FALSE)</f>
        <v>96</v>
      </c>
      <c r="F32" s="88">
        <v>77</v>
      </c>
      <c r="G32" s="88">
        <v>2605</v>
      </c>
      <c r="H32" s="88">
        <v>0</v>
      </c>
      <c r="I32" s="89">
        <f t="shared" si="16"/>
        <v>13197</v>
      </c>
      <c r="AK32" s="88">
        <v>688</v>
      </c>
      <c r="AL32" s="88">
        <v>110</v>
      </c>
    </row>
    <row r="33" spans="1:38" x14ac:dyDescent="0.2">
      <c r="A33" s="66">
        <v>41517</v>
      </c>
      <c r="B33" s="114">
        <f t="shared" si="0"/>
        <v>2013</v>
      </c>
      <c r="C33" s="88">
        <v>9717.5</v>
      </c>
      <c r="D33" s="88">
        <f>AK33+VLOOKUP(B33,'GS Reclassification Adjustment'!$B$3:$E$12,4,FALSE)</f>
        <v>701.5</v>
      </c>
      <c r="E33" s="88">
        <f>AL33-VLOOKUP(B33,'GS Reclassification Adjustment'!$B$3:$E$12,4,FALSE)</f>
        <v>96</v>
      </c>
      <c r="F33" s="88">
        <v>75.5</v>
      </c>
      <c r="G33" s="88">
        <v>2605</v>
      </c>
      <c r="H33" s="88">
        <v>0</v>
      </c>
      <c r="I33" s="89">
        <f t="shared" si="16"/>
        <v>13195.5</v>
      </c>
      <c r="AK33" s="88">
        <v>687.5</v>
      </c>
      <c r="AL33" s="88">
        <v>110</v>
      </c>
    </row>
    <row r="34" spans="1:38" x14ac:dyDescent="0.2">
      <c r="A34" s="66">
        <v>41547</v>
      </c>
      <c r="B34" s="114">
        <f t="shared" si="0"/>
        <v>2013</v>
      </c>
      <c r="C34" s="88">
        <v>9718.5</v>
      </c>
      <c r="D34" s="88">
        <f>AK34+VLOOKUP(B34,'GS Reclassification Adjustment'!$B$3:$E$12,4,FALSE)</f>
        <v>705</v>
      </c>
      <c r="E34" s="88">
        <f>AL34-VLOOKUP(B34,'GS Reclassification Adjustment'!$B$3:$E$12,4,FALSE)</f>
        <v>96.5</v>
      </c>
      <c r="F34" s="88">
        <v>74</v>
      </c>
      <c r="G34" s="88">
        <v>2605</v>
      </c>
      <c r="H34" s="88">
        <v>0</v>
      </c>
      <c r="I34" s="89">
        <f t="shared" si="16"/>
        <v>13199</v>
      </c>
      <c r="AK34" s="88">
        <v>691</v>
      </c>
      <c r="AL34" s="88">
        <v>110.5</v>
      </c>
    </row>
    <row r="35" spans="1:38" x14ac:dyDescent="0.2">
      <c r="A35" s="66">
        <v>41578</v>
      </c>
      <c r="B35" s="114">
        <f t="shared" si="0"/>
        <v>2013</v>
      </c>
      <c r="C35" s="88">
        <v>9724.5</v>
      </c>
      <c r="D35" s="88">
        <f>AK35+VLOOKUP(B35,'GS Reclassification Adjustment'!$B$3:$E$12,4,FALSE)</f>
        <v>709.5</v>
      </c>
      <c r="E35" s="88">
        <f>AL35-VLOOKUP(B35,'GS Reclassification Adjustment'!$B$3:$E$12,4,FALSE)</f>
        <v>97</v>
      </c>
      <c r="F35" s="88">
        <v>73.5</v>
      </c>
      <c r="G35" s="88">
        <v>2605</v>
      </c>
      <c r="H35" s="88">
        <v>0</v>
      </c>
      <c r="I35" s="89">
        <f t="shared" si="16"/>
        <v>13209.5</v>
      </c>
      <c r="R35" s="115"/>
      <c r="S35" s="127"/>
      <c r="T35" s="117"/>
      <c r="U35" s="116"/>
      <c r="V35" s="116"/>
      <c r="W35" s="117"/>
      <c r="X35" s="116"/>
      <c r="Y35" s="116"/>
      <c r="Z35" s="117"/>
      <c r="AA35" s="116"/>
      <c r="AB35" s="116"/>
      <c r="AC35" s="117"/>
      <c r="AD35" s="116"/>
      <c r="AE35" s="116"/>
      <c r="AF35" s="117"/>
      <c r="AG35" s="116"/>
      <c r="AH35" s="116"/>
      <c r="AK35" s="88">
        <v>695.5</v>
      </c>
      <c r="AL35" s="88">
        <v>111</v>
      </c>
    </row>
    <row r="36" spans="1:38" x14ac:dyDescent="0.2">
      <c r="A36" s="66">
        <v>41608</v>
      </c>
      <c r="B36" s="114">
        <f t="shared" si="0"/>
        <v>2013</v>
      </c>
      <c r="C36" s="88">
        <v>9735.5</v>
      </c>
      <c r="D36" s="88">
        <f>AK36+VLOOKUP(B36,'GS Reclassification Adjustment'!$B$3:$E$12,4,FALSE)</f>
        <v>710.5</v>
      </c>
      <c r="E36" s="88">
        <f>AL36-VLOOKUP(B36,'GS Reclassification Adjustment'!$B$3:$E$12,4,FALSE)</f>
        <v>97</v>
      </c>
      <c r="F36" s="88">
        <v>73</v>
      </c>
      <c r="G36" s="88">
        <v>2624.5</v>
      </c>
      <c r="H36" s="88">
        <v>0</v>
      </c>
      <c r="I36" s="89">
        <f t="shared" si="16"/>
        <v>13240.5</v>
      </c>
      <c r="R36" s="115"/>
      <c r="S36" s="127"/>
      <c r="T36" s="117"/>
      <c r="U36" s="116"/>
      <c r="V36" s="116"/>
      <c r="W36" s="117"/>
      <c r="X36" s="116"/>
      <c r="Y36" s="116"/>
      <c r="Z36" s="117"/>
      <c r="AA36" s="116"/>
      <c r="AB36" s="116"/>
      <c r="AC36" s="117"/>
      <c r="AD36" s="116"/>
      <c r="AE36" s="116"/>
      <c r="AF36" s="117"/>
      <c r="AG36" s="116"/>
      <c r="AH36" s="116"/>
      <c r="AK36" s="88">
        <v>696.5</v>
      </c>
      <c r="AL36" s="88">
        <v>111</v>
      </c>
    </row>
    <row r="37" spans="1:38" x14ac:dyDescent="0.2">
      <c r="A37" s="66">
        <v>41639</v>
      </c>
      <c r="B37" s="114">
        <f t="shared" si="0"/>
        <v>2013</v>
      </c>
      <c r="C37" s="88">
        <v>9762.5</v>
      </c>
      <c r="D37" s="88">
        <f>AK37+VLOOKUP(B37,'GS Reclassification Adjustment'!$B$3:$E$12,4,FALSE)</f>
        <v>712.5</v>
      </c>
      <c r="E37" s="88">
        <f>AL37-VLOOKUP(B37,'GS Reclassification Adjustment'!$B$3:$E$12,4,FALSE)</f>
        <v>97</v>
      </c>
      <c r="F37" s="88">
        <v>73</v>
      </c>
      <c r="G37" s="88">
        <v>2644</v>
      </c>
      <c r="H37" s="88">
        <v>0</v>
      </c>
      <c r="I37" s="89">
        <f t="shared" si="16"/>
        <v>13289</v>
      </c>
      <c r="R37" s="115"/>
      <c r="S37" s="127"/>
      <c r="T37" s="117"/>
      <c r="U37" s="116"/>
      <c r="V37" s="116"/>
      <c r="W37" s="117"/>
      <c r="X37" s="116"/>
      <c r="Y37" s="116"/>
      <c r="Z37" s="117"/>
      <c r="AA37" s="116"/>
      <c r="AB37" s="116"/>
      <c r="AC37" s="117"/>
      <c r="AD37" s="116"/>
      <c r="AE37" s="116"/>
      <c r="AF37" s="117"/>
      <c r="AG37" s="116"/>
      <c r="AH37" s="116"/>
      <c r="AK37" s="88">
        <v>698.5</v>
      </c>
      <c r="AL37" s="88">
        <v>111</v>
      </c>
    </row>
    <row r="38" spans="1:38" x14ac:dyDescent="0.2">
      <c r="A38" s="66">
        <v>41670</v>
      </c>
      <c r="B38" s="114">
        <f t="shared" si="0"/>
        <v>2014</v>
      </c>
      <c r="C38" s="88">
        <v>9783.5</v>
      </c>
      <c r="D38" s="88">
        <f>AK38+VLOOKUP(B38,'GS Reclassification Adjustment'!$B$3:$E$12,4,FALSE)</f>
        <v>719</v>
      </c>
      <c r="E38" s="88">
        <f>AL38-VLOOKUP(B38,'GS Reclassification Adjustment'!$B$3:$E$12,4,FALSE)</f>
        <v>97.5</v>
      </c>
      <c r="F38" s="88">
        <v>73</v>
      </c>
      <c r="G38" s="88">
        <v>2644</v>
      </c>
      <c r="H38" s="88">
        <v>0</v>
      </c>
      <c r="I38" s="89">
        <f t="shared" ref="I38:I49" si="17">SUM(C38:H38)</f>
        <v>13317</v>
      </c>
      <c r="R38" s="115"/>
      <c r="S38" s="127"/>
      <c r="T38" s="117"/>
      <c r="U38" s="116"/>
      <c r="V38" s="116"/>
      <c r="W38" s="117"/>
      <c r="X38" s="116"/>
      <c r="Y38" s="116"/>
      <c r="Z38" s="117"/>
      <c r="AA38" s="116"/>
      <c r="AB38" s="116"/>
      <c r="AC38" s="117"/>
      <c r="AD38" s="116"/>
      <c r="AE38" s="116"/>
      <c r="AF38" s="117"/>
      <c r="AG38" s="116"/>
      <c r="AH38" s="116"/>
      <c r="AK38" s="88">
        <v>705</v>
      </c>
      <c r="AL38" s="88">
        <v>111.5</v>
      </c>
    </row>
    <row r="39" spans="1:38" x14ac:dyDescent="0.2">
      <c r="A39" s="66">
        <v>41698</v>
      </c>
      <c r="B39" s="114">
        <f t="shared" si="0"/>
        <v>2014</v>
      </c>
      <c r="C39" s="88">
        <v>9808.5</v>
      </c>
      <c r="D39" s="88">
        <f>AK39+VLOOKUP(B39,'GS Reclassification Adjustment'!$B$3:$E$12,4,FALSE)</f>
        <v>725.5</v>
      </c>
      <c r="E39" s="88">
        <f>AL39-VLOOKUP(B39,'GS Reclassification Adjustment'!$B$3:$E$12,4,FALSE)</f>
        <v>97</v>
      </c>
      <c r="F39" s="88">
        <v>73</v>
      </c>
      <c r="G39" s="88">
        <v>2644</v>
      </c>
      <c r="H39" s="88">
        <v>0</v>
      </c>
      <c r="I39" s="89">
        <f t="shared" si="17"/>
        <v>13348</v>
      </c>
      <c r="Q39" s="55"/>
      <c r="R39" s="115"/>
      <c r="S39" s="127"/>
      <c r="T39" s="117"/>
      <c r="U39" s="116"/>
      <c r="V39" s="116"/>
      <c r="W39" s="117"/>
      <c r="X39" s="116"/>
      <c r="Y39" s="116"/>
      <c r="Z39" s="117"/>
      <c r="AA39" s="116"/>
      <c r="AB39" s="116"/>
      <c r="AC39" s="117"/>
      <c r="AD39" s="116"/>
      <c r="AE39" s="116"/>
      <c r="AF39" s="117"/>
      <c r="AG39" s="116"/>
      <c r="AH39" s="116"/>
      <c r="AK39" s="88">
        <v>711.5</v>
      </c>
      <c r="AL39" s="88">
        <v>111</v>
      </c>
    </row>
    <row r="40" spans="1:38" x14ac:dyDescent="0.2">
      <c r="A40" s="66">
        <v>41729</v>
      </c>
      <c r="B40" s="114">
        <f t="shared" si="0"/>
        <v>2014</v>
      </c>
      <c r="C40" s="88">
        <v>9841</v>
      </c>
      <c r="D40" s="88">
        <f>AK40+VLOOKUP(B40,'GS Reclassification Adjustment'!$B$3:$E$12,4,FALSE)</f>
        <v>729.5</v>
      </c>
      <c r="E40" s="88">
        <f>AL40-VLOOKUP(B40,'GS Reclassification Adjustment'!$B$3:$E$12,4,FALSE)</f>
        <v>96.5</v>
      </c>
      <c r="F40" s="88">
        <v>73.5</v>
      </c>
      <c r="G40" s="88">
        <v>2644</v>
      </c>
      <c r="H40" s="88">
        <v>0</v>
      </c>
      <c r="I40" s="89">
        <f t="shared" si="17"/>
        <v>13384.5</v>
      </c>
      <c r="Q40" s="55"/>
      <c r="R40" s="115"/>
      <c r="S40" s="127"/>
      <c r="T40" s="117"/>
      <c r="U40" s="116"/>
      <c r="V40" s="116"/>
      <c r="W40" s="117"/>
      <c r="X40" s="116"/>
      <c r="Y40" s="116"/>
      <c r="Z40" s="117"/>
      <c r="AA40" s="116"/>
      <c r="AB40" s="116"/>
      <c r="AC40" s="117"/>
      <c r="AD40" s="116"/>
      <c r="AE40" s="116"/>
      <c r="AF40" s="117"/>
      <c r="AG40" s="116"/>
      <c r="AH40" s="116"/>
      <c r="AK40" s="88">
        <v>715.5</v>
      </c>
      <c r="AL40" s="88">
        <v>110.5</v>
      </c>
    </row>
    <row r="41" spans="1:38" x14ac:dyDescent="0.2">
      <c r="A41" s="66">
        <v>41759</v>
      </c>
      <c r="B41" s="114">
        <f t="shared" si="0"/>
        <v>2014</v>
      </c>
      <c r="C41" s="88">
        <v>9868</v>
      </c>
      <c r="D41" s="88">
        <f>AK41+VLOOKUP(B41,'GS Reclassification Adjustment'!$B$3:$E$12,4,FALSE)</f>
        <v>731.5</v>
      </c>
      <c r="E41" s="88">
        <f>AL41-VLOOKUP(B41,'GS Reclassification Adjustment'!$B$3:$E$12,4,FALSE)</f>
        <v>95.5</v>
      </c>
      <c r="F41" s="88">
        <v>74</v>
      </c>
      <c r="G41" s="88">
        <v>2644</v>
      </c>
      <c r="H41" s="88">
        <v>0</v>
      </c>
      <c r="I41" s="89">
        <f t="shared" si="17"/>
        <v>13413</v>
      </c>
      <c r="R41" s="115"/>
      <c r="S41" s="127"/>
      <c r="T41" s="117"/>
      <c r="U41" s="116"/>
      <c r="V41" s="116"/>
      <c r="W41" s="117"/>
      <c r="X41" s="116"/>
      <c r="Y41" s="116"/>
      <c r="Z41" s="117"/>
      <c r="AA41" s="116"/>
      <c r="AB41" s="116"/>
      <c r="AC41" s="117"/>
      <c r="AD41" s="116"/>
      <c r="AE41" s="116"/>
      <c r="AF41" s="117"/>
      <c r="AG41" s="116"/>
      <c r="AH41" s="116"/>
      <c r="AK41" s="88">
        <v>717.5</v>
      </c>
      <c r="AL41" s="88">
        <v>109.5</v>
      </c>
    </row>
    <row r="42" spans="1:38" x14ac:dyDescent="0.2">
      <c r="A42" s="66">
        <v>41790</v>
      </c>
      <c r="B42" s="114">
        <f t="shared" si="0"/>
        <v>2014</v>
      </c>
      <c r="C42" s="88">
        <v>9901</v>
      </c>
      <c r="D42" s="88">
        <f>AK42+VLOOKUP(B42,'GS Reclassification Adjustment'!$B$3:$E$12,4,FALSE)</f>
        <v>732</v>
      </c>
      <c r="E42" s="88">
        <f>AL42-VLOOKUP(B42,'GS Reclassification Adjustment'!$B$3:$E$12,4,FALSE)</f>
        <v>95</v>
      </c>
      <c r="F42" s="88">
        <v>74</v>
      </c>
      <c r="G42" s="88">
        <v>2644</v>
      </c>
      <c r="H42" s="88">
        <v>0</v>
      </c>
      <c r="I42" s="89">
        <f t="shared" si="17"/>
        <v>13446</v>
      </c>
      <c r="R42" s="115"/>
      <c r="S42" s="127"/>
      <c r="T42" s="117"/>
      <c r="U42" s="116"/>
      <c r="V42" s="116"/>
      <c r="W42" s="117"/>
      <c r="X42" s="116"/>
      <c r="Y42" s="116"/>
      <c r="Z42" s="117"/>
      <c r="AA42" s="116"/>
      <c r="AB42" s="116"/>
      <c r="AC42" s="117"/>
      <c r="AD42" s="116"/>
      <c r="AE42" s="116"/>
      <c r="AF42" s="117"/>
      <c r="AG42" s="116"/>
      <c r="AH42" s="116"/>
      <c r="AK42" s="88">
        <v>718</v>
      </c>
      <c r="AL42" s="88">
        <v>109</v>
      </c>
    </row>
    <row r="43" spans="1:38" x14ac:dyDescent="0.2">
      <c r="A43" s="66">
        <v>41820</v>
      </c>
      <c r="B43" s="114">
        <f t="shared" si="0"/>
        <v>2014</v>
      </c>
      <c r="C43" s="88">
        <v>9926.5</v>
      </c>
      <c r="D43" s="88">
        <f>AK43+VLOOKUP(B43,'GS Reclassification Adjustment'!$B$3:$E$12,4,FALSE)</f>
        <v>732.5</v>
      </c>
      <c r="E43" s="88">
        <f>AL43-VLOOKUP(B43,'GS Reclassification Adjustment'!$B$3:$E$12,4,FALSE)</f>
        <v>94.5</v>
      </c>
      <c r="F43" s="88">
        <v>74</v>
      </c>
      <c r="G43" s="88">
        <v>2644</v>
      </c>
      <c r="H43" s="88">
        <v>0</v>
      </c>
      <c r="I43" s="89">
        <f t="shared" si="17"/>
        <v>13471.5</v>
      </c>
      <c r="R43" s="115"/>
      <c r="S43" s="127"/>
      <c r="T43" s="117"/>
      <c r="U43" s="116"/>
      <c r="V43" s="116"/>
      <c r="W43" s="117"/>
      <c r="X43" s="116"/>
      <c r="Y43" s="116"/>
      <c r="Z43" s="117"/>
      <c r="AA43" s="116"/>
      <c r="AB43" s="116"/>
      <c r="AC43" s="117"/>
      <c r="AD43" s="116"/>
      <c r="AE43" s="116"/>
      <c r="AF43" s="117"/>
      <c r="AG43" s="116"/>
      <c r="AH43" s="116"/>
      <c r="AK43" s="88">
        <v>718.5</v>
      </c>
      <c r="AL43" s="88">
        <v>108.5</v>
      </c>
    </row>
    <row r="44" spans="1:38" x14ac:dyDescent="0.2">
      <c r="A44" s="66">
        <v>41851</v>
      </c>
      <c r="B44" s="114">
        <f t="shared" si="0"/>
        <v>2014</v>
      </c>
      <c r="C44" s="88">
        <v>9958</v>
      </c>
      <c r="D44" s="88">
        <f>AK44+VLOOKUP(B44,'GS Reclassification Adjustment'!$B$3:$E$12,4,FALSE)</f>
        <v>733</v>
      </c>
      <c r="E44" s="88">
        <f>AL44-VLOOKUP(B44,'GS Reclassification Adjustment'!$B$3:$E$12,4,FALSE)</f>
        <v>94</v>
      </c>
      <c r="F44" s="88">
        <v>74</v>
      </c>
      <c r="G44" s="88">
        <v>2644</v>
      </c>
      <c r="H44" s="88">
        <v>0</v>
      </c>
      <c r="I44" s="89">
        <f t="shared" si="17"/>
        <v>13503</v>
      </c>
      <c r="R44" s="118"/>
      <c r="S44" s="126"/>
      <c r="T44" s="117"/>
      <c r="U44" s="119"/>
      <c r="V44" s="119"/>
      <c r="W44" s="122"/>
      <c r="X44" s="119"/>
      <c r="Y44" s="119"/>
      <c r="Z44" s="122"/>
      <c r="AA44" s="119"/>
      <c r="AB44" s="119"/>
      <c r="AC44" s="122"/>
      <c r="AD44" s="119"/>
      <c r="AE44" s="119"/>
      <c r="AF44" s="122"/>
      <c r="AG44" s="119"/>
      <c r="AH44" s="119"/>
      <c r="AK44" s="88">
        <v>719</v>
      </c>
      <c r="AL44" s="88">
        <v>108</v>
      </c>
    </row>
    <row r="45" spans="1:38" x14ac:dyDescent="0.2">
      <c r="A45" s="66">
        <v>41882</v>
      </c>
      <c r="B45" s="114">
        <f t="shared" si="0"/>
        <v>2014</v>
      </c>
      <c r="C45" s="88">
        <v>9992</v>
      </c>
      <c r="D45" s="88">
        <f>AK45+VLOOKUP(B45,'GS Reclassification Adjustment'!$B$3:$E$12,4,FALSE)</f>
        <v>737.5</v>
      </c>
      <c r="E45" s="88">
        <f>AL45-VLOOKUP(B45,'GS Reclassification Adjustment'!$B$3:$E$12,4,FALSE)</f>
        <v>94</v>
      </c>
      <c r="F45" s="88">
        <v>74</v>
      </c>
      <c r="G45" s="88">
        <v>2644</v>
      </c>
      <c r="H45" s="88">
        <v>0</v>
      </c>
      <c r="I45" s="89">
        <f t="shared" si="17"/>
        <v>13541.5</v>
      </c>
      <c r="R45" s="118"/>
      <c r="S45" s="126"/>
      <c r="T45" s="122"/>
      <c r="U45" s="120"/>
      <c r="V45" s="119"/>
      <c r="W45" s="122"/>
      <c r="X45" s="120"/>
      <c r="Y45" s="119"/>
      <c r="Z45" s="122"/>
      <c r="AA45" s="120"/>
      <c r="AB45" s="119"/>
      <c r="AC45" s="122"/>
      <c r="AD45" s="120"/>
      <c r="AE45" s="119"/>
      <c r="AF45" s="122"/>
      <c r="AG45" s="120"/>
      <c r="AH45" s="119"/>
      <c r="AK45" s="88">
        <v>723.5</v>
      </c>
      <c r="AL45" s="88">
        <v>108</v>
      </c>
    </row>
    <row r="46" spans="1:38" x14ac:dyDescent="0.2">
      <c r="A46" s="66">
        <v>41912</v>
      </c>
      <c r="B46" s="114">
        <f t="shared" si="0"/>
        <v>2014</v>
      </c>
      <c r="C46" s="88">
        <v>10049</v>
      </c>
      <c r="D46" s="88">
        <f>AK46+VLOOKUP(B46,'GS Reclassification Adjustment'!$B$3:$E$12,4,FALSE)</f>
        <v>745</v>
      </c>
      <c r="E46" s="88">
        <f>AL46-VLOOKUP(B46,'GS Reclassification Adjustment'!$B$3:$E$12,4,FALSE)</f>
        <v>93.5</v>
      </c>
      <c r="F46" s="88">
        <v>74</v>
      </c>
      <c r="G46" s="88">
        <v>2644</v>
      </c>
      <c r="H46" s="88">
        <v>0</v>
      </c>
      <c r="I46" s="89">
        <f t="shared" si="17"/>
        <v>13605.5</v>
      </c>
      <c r="AK46" s="88">
        <v>731</v>
      </c>
      <c r="AL46" s="88">
        <v>107.5</v>
      </c>
    </row>
    <row r="47" spans="1:38" x14ac:dyDescent="0.2">
      <c r="A47" s="66">
        <v>41943</v>
      </c>
      <c r="B47" s="114">
        <f t="shared" si="0"/>
        <v>2014</v>
      </c>
      <c r="C47" s="88">
        <v>10111</v>
      </c>
      <c r="D47" s="88">
        <f>AK47+VLOOKUP(B47,'GS Reclassification Adjustment'!$B$3:$E$12,4,FALSE)</f>
        <v>755</v>
      </c>
      <c r="E47" s="88">
        <f>AL47-VLOOKUP(B47,'GS Reclassification Adjustment'!$B$3:$E$12,4,FALSE)</f>
        <v>93.5</v>
      </c>
      <c r="F47" s="88">
        <v>74</v>
      </c>
      <c r="G47" s="88">
        <v>2644</v>
      </c>
      <c r="H47" s="88">
        <v>0</v>
      </c>
      <c r="I47" s="89">
        <f t="shared" si="17"/>
        <v>13677.5</v>
      </c>
      <c r="S47" s="55"/>
      <c r="V47" s="55"/>
      <c r="Y47" s="55"/>
      <c r="AK47" s="88">
        <v>741</v>
      </c>
      <c r="AL47" s="88">
        <v>107.5</v>
      </c>
    </row>
    <row r="48" spans="1:38" x14ac:dyDescent="0.2">
      <c r="A48" s="66">
        <v>41973</v>
      </c>
      <c r="B48" s="114">
        <f t="shared" si="0"/>
        <v>2014</v>
      </c>
      <c r="C48" s="88">
        <v>10132.5</v>
      </c>
      <c r="D48" s="88">
        <f>AK48+VLOOKUP(B48,'GS Reclassification Adjustment'!$B$3:$E$12,4,FALSE)</f>
        <v>761</v>
      </c>
      <c r="E48" s="88">
        <f>AL48-VLOOKUP(B48,'GS Reclassification Adjustment'!$B$3:$E$12,4,FALSE)</f>
        <v>95.5</v>
      </c>
      <c r="F48" s="88">
        <v>73.5</v>
      </c>
      <c r="G48" s="88">
        <v>2644</v>
      </c>
      <c r="H48" s="88">
        <v>0</v>
      </c>
      <c r="I48" s="89">
        <f t="shared" si="17"/>
        <v>13706.5</v>
      </c>
      <c r="Q48" s="55"/>
      <c r="R48" s="118"/>
      <c r="S48" s="116"/>
      <c r="V48" s="116"/>
      <c r="Y48" s="116"/>
      <c r="AK48" s="88">
        <v>747</v>
      </c>
      <c r="AL48" s="88">
        <v>109.5</v>
      </c>
    </row>
    <row r="49" spans="1:38" x14ac:dyDescent="0.2">
      <c r="A49" s="66">
        <v>42004</v>
      </c>
      <c r="B49" s="114">
        <f t="shared" si="0"/>
        <v>2014</v>
      </c>
      <c r="C49" s="88">
        <v>10157.5</v>
      </c>
      <c r="D49" s="88">
        <f>AK49+VLOOKUP(B49,'GS Reclassification Adjustment'!$B$3:$E$12,4,FALSE)</f>
        <v>761.5</v>
      </c>
      <c r="E49" s="88">
        <f>AL49-VLOOKUP(B49,'GS Reclassification Adjustment'!$B$3:$E$12,4,FALSE)</f>
        <v>96.5</v>
      </c>
      <c r="F49" s="88">
        <v>73</v>
      </c>
      <c r="G49" s="88">
        <v>2644</v>
      </c>
      <c r="H49" s="88">
        <v>0</v>
      </c>
      <c r="I49" s="89">
        <f t="shared" si="17"/>
        <v>13732.5</v>
      </c>
      <c r="Q49" s="55"/>
      <c r="R49" s="118"/>
      <c r="S49" s="116"/>
      <c r="V49" s="116"/>
      <c r="Y49" s="116"/>
      <c r="AK49" s="88">
        <v>747.5</v>
      </c>
      <c r="AL49" s="88">
        <v>110.5</v>
      </c>
    </row>
    <row r="50" spans="1:38" x14ac:dyDescent="0.2">
      <c r="A50" s="66">
        <v>42035</v>
      </c>
      <c r="B50" s="114">
        <f t="shared" si="0"/>
        <v>2015</v>
      </c>
      <c r="C50" s="88">
        <v>10183</v>
      </c>
      <c r="D50" s="88">
        <f>AK50+VLOOKUP(B50,'GS Reclassification Adjustment'!$B$3:$E$12,4,FALSE)</f>
        <v>766.5</v>
      </c>
      <c r="E50" s="88">
        <f>AL50-VLOOKUP(B50,'GS Reclassification Adjustment'!$B$3:$E$12,4,FALSE)</f>
        <v>94.5</v>
      </c>
      <c r="F50" s="88">
        <v>72.5</v>
      </c>
      <c r="G50" s="88">
        <v>2644</v>
      </c>
      <c r="H50" s="88">
        <v>0</v>
      </c>
      <c r="I50" s="89">
        <f t="shared" ref="I50:I61" si="18">SUM(C50:H50)</f>
        <v>13760.5</v>
      </c>
      <c r="AK50" s="88">
        <v>752.5</v>
      </c>
      <c r="AL50" s="88">
        <v>108.5</v>
      </c>
    </row>
    <row r="51" spans="1:38" x14ac:dyDescent="0.2">
      <c r="A51" s="66">
        <v>42063</v>
      </c>
      <c r="B51" s="114">
        <f t="shared" si="0"/>
        <v>2015</v>
      </c>
      <c r="C51" s="88">
        <v>10187.5</v>
      </c>
      <c r="D51" s="88">
        <f>AK51+VLOOKUP(B51,'GS Reclassification Adjustment'!$B$3:$E$12,4,FALSE)</f>
        <v>769.5</v>
      </c>
      <c r="E51" s="88">
        <f>AL51-VLOOKUP(B51,'GS Reclassification Adjustment'!$B$3:$E$12,4,FALSE)</f>
        <v>94.5</v>
      </c>
      <c r="F51" s="88">
        <v>72</v>
      </c>
      <c r="G51" s="88">
        <v>2644</v>
      </c>
      <c r="H51" s="88">
        <v>0</v>
      </c>
      <c r="I51" s="89">
        <f t="shared" si="18"/>
        <v>13767.5</v>
      </c>
      <c r="AK51" s="88">
        <v>755.5</v>
      </c>
      <c r="AL51" s="88">
        <v>108.5</v>
      </c>
    </row>
    <row r="52" spans="1:38" x14ac:dyDescent="0.2">
      <c r="A52" s="66">
        <v>42094</v>
      </c>
      <c r="B52" s="114">
        <f t="shared" si="0"/>
        <v>2015</v>
      </c>
      <c r="C52" s="88">
        <v>10200.5</v>
      </c>
      <c r="D52" s="88">
        <f>AK52+VLOOKUP(B52,'GS Reclassification Adjustment'!$B$3:$E$12,4,FALSE)</f>
        <v>770.5</v>
      </c>
      <c r="E52" s="88">
        <f>AL52-VLOOKUP(B52,'GS Reclassification Adjustment'!$B$3:$E$12,4,FALSE)</f>
        <v>95.5</v>
      </c>
      <c r="F52" s="88">
        <v>72</v>
      </c>
      <c r="G52" s="88">
        <v>2637.5</v>
      </c>
      <c r="H52" s="88">
        <v>0</v>
      </c>
      <c r="I52" s="89">
        <f t="shared" si="18"/>
        <v>13776</v>
      </c>
      <c r="AK52" s="88">
        <v>756.5</v>
      </c>
      <c r="AL52" s="88">
        <v>109.5</v>
      </c>
    </row>
    <row r="53" spans="1:38" x14ac:dyDescent="0.2">
      <c r="A53" s="66">
        <v>42124</v>
      </c>
      <c r="B53" s="114">
        <f t="shared" si="0"/>
        <v>2015</v>
      </c>
      <c r="C53" s="88">
        <v>10217.5</v>
      </c>
      <c r="D53" s="88">
        <f>AK53+VLOOKUP(B53,'GS Reclassification Adjustment'!$B$3:$E$12,4,FALSE)</f>
        <v>773</v>
      </c>
      <c r="E53" s="88">
        <f>AL53-VLOOKUP(B53,'GS Reclassification Adjustment'!$B$3:$E$12,4,FALSE)</f>
        <v>94</v>
      </c>
      <c r="F53" s="88">
        <v>72</v>
      </c>
      <c r="G53" s="88">
        <v>2631</v>
      </c>
      <c r="H53" s="88">
        <v>0</v>
      </c>
      <c r="I53" s="89">
        <f t="shared" si="18"/>
        <v>13787.5</v>
      </c>
      <c r="Q53" s="55"/>
      <c r="R53" s="118"/>
      <c r="S53" s="126"/>
      <c r="T53" s="121"/>
      <c r="U53" s="120"/>
      <c r="V53" s="119"/>
      <c r="W53" s="121"/>
      <c r="X53" s="120"/>
      <c r="Y53" s="119"/>
      <c r="Z53" s="121"/>
      <c r="AA53" s="120"/>
      <c r="AB53" s="119"/>
      <c r="AC53" s="121"/>
      <c r="AD53" s="120"/>
      <c r="AE53" s="119"/>
      <c r="AF53" s="121"/>
      <c r="AG53" s="120"/>
      <c r="AH53" s="119"/>
      <c r="AK53" s="88">
        <v>759</v>
      </c>
      <c r="AL53" s="88">
        <v>108</v>
      </c>
    </row>
    <row r="54" spans="1:38" x14ac:dyDescent="0.2">
      <c r="A54" s="66">
        <v>42155</v>
      </c>
      <c r="B54" s="114">
        <f t="shared" si="0"/>
        <v>2015</v>
      </c>
      <c r="C54" s="88">
        <v>10223.5</v>
      </c>
      <c r="D54" s="88">
        <f>AK54+VLOOKUP(B54,'GS Reclassification Adjustment'!$B$3:$E$12,4,FALSE)</f>
        <v>774</v>
      </c>
      <c r="E54" s="88">
        <f>AL54-VLOOKUP(B54,'GS Reclassification Adjustment'!$B$3:$E$12,4,FALSE)</f>
        <v>92</v>
      </c>
      <c r="F54" s="88">
        <v>72</v>
      </c>
      <c r="G54" s="88">
        <v>2631</v>
      </c>
      <c r="H54" s="88">
        <v>0</v>
      </c>
      <c r="I54" s="89">
        <f t="shared" si="18"/>
        <v>13792.5</v>
      </c>
      <c r="R54" s="118"/>
      <c r="S54" s="126"/>
      <c r="T54" s="121"/>
      <c r="U54" s="120"/>
      <c r="V54" s="119"/>
      <c r="W54" s="121"/>
      <c r="X54" s="120"/>
      <c r="Y54" s="119"/>
      <c r="Z54" s="121"/>
      <c r="AA54" s="120"/>
      <c r="AB54" s="119"/>
      <c r="AC54" s="121"/>
      <c r="AD54" s="120"/>
      <c r="AE54" s="119"/>
      <c r="AF54" s="121"/>
      <c r="AG54" s="120"/>
      <c r="AH54" s="119"/>
      <c r="AK54" s="88">
        <v>760</v>
      </c>
      <c r="AL54" s="88">
        <v>106</v>
      </c>
    </row>
    <row r="55" spans="1:38" x14ac:dyDescent="0.2">
      <c r="A55" s="66">
        <v>42185</v>
      </c>
      <c r="B55" s="114">
        <f t="shared" ref="B55:B118" si="19">YEAR(A55)</f>
        <v>2015</v>
      </c>
      <c r="C55" s="88">
        <v>10224.5</v>
      </c>
      <c r="D55" s="88">
        <f>AK55+VLOOKUP(B55,'GS Reclassification Adjustment'!$B$3:$E$12,4,FALSE)</f>
        <v>773.5</v>
      </c>
      <c r="E55" s="88">
        <f>AL55-VLOOKUP(B55,'GS Reclassification Adjustment'!$B$3:$E$12,4,FALSE)</f>
        <v>92.5</v>
      </c>
      <c r="F55" s="88">
        <v>72</v>
      </c>
      <c r="G55" s="88">
        <v>2631</v>
      </c>
      <c r="H55" s="88">
        <v>0</v>
      </c>
      <c r="I55" s="89">
        <f t="shared" si="18"/>
        <v>13793.5</v>
      </c>
      <c r="S55" s="127"/>
      <c r="AK55" s="88">
        <v>759.5</v>
      </c>
      <c r="AL55" s="88">
        <v>106.5</v>
      </c>
    </row>
    <row r="56" spans="1:38" x14ac:dyDescent="0.2">
      <c r="A56" s="66">
        <v>42216</v>
      </c>
      <c r="B56" s="114">
        <f t="shared" si="19"/>
        <v>2015</v>
      </c>
      <c r="C56" s="88">
        <v>10227</v>
      </c>
      <c r="D56" s="88">
        <f>AK56+VLOOKUP(B56,'GS Reclassification Adjustment'!$B$3:$E$12,4,FALSE)</f>
        <v>772</v>
      </c>
      <c r="E56" s="88">
        <f>AL56-VLOOKUP(B56,'GS Reclassification Adjustment'!$B$3:$E$12,4,FALSE)</f>
        <v>93.5</v>
      </c>
      <c r="F56" s="88">
        <v>71</v>
      </c>
      <c r="G56" s="88">
        <v>2631</v>
      </c>
      <c r="H56" s="88">
        <v>0</v>
      </c>
      <c r="I56" s="89">
        <f t="shared" si="18"/>
        <v>13794.5</v>
      </c>
      <c r="S56" s="116"/>
      <c r="AK56" s="88">
        <v>758</v>
      </c>
      <c r="AL56" s="88">
        <v>107.5</v>
      </c>
    </row>
    <row r="57" spans="1:38" x14ac:dyDescent="0.2">
      <c r="A57" s="66">
        <v>42247</v>
      </c>
      <c r="B57" s="114">
        <f t="shared" si="19"/>
        <v>2015</v>
      </c>
      <c r="C57" s="88">
        <v>10235</v>
      </c>
      <c r="D57" s="88">
        <f>AK57+VLOOKUP(B57,'GS Reclassification Adjustment'!$B$3:$E$12,4,FALSE)</f>
        <v>771.5</v>
      </c>
      <c r="E57" s="88">
        <f>AL57-VLOOKUP(B57,'GS Reclassification Adjustment'!$B$3:$E$12,4,FALSE)</f>
        <v>93</v>
      </c>
      <c r="F57" s="88">
        <v>70</v>
      </c>
      <c r="G57" s="88">
        <v>2631</v>
      </c>
      <c r="H57" s="88">
        <v>0</v>
      </c>
      <c r="I57" s="89">
        <f t="shared" si="18"/>
        <v>13800.5</v>
      </c>
      <c r="Q57" s="55"/>
      <c r="S57" s="126"/>
      <c r="T57" s="47"/>
      <c r="U57" s="47"/>
      <c r="V57" s="129"/>
      <c r="W57" s="47"/>
      <c r="X57" s="47"/>
      <c r="Y57" s="129"/>
      <c r="Z57" s="47"/>
      <c r="AA57" s="47"/>
      <c r="AB57" s="129"/>
      <c r="AC57" s="47"/>
      <c r="AD57" s="47"/>
      <c r="AE57" s="129"/>
      <c r="AF57" s="47"/>
      <c r="AH57" s="126"/>
      <c r="AK57" s="88">
        <v>757.5</v>
      </c>
      <c r="AL57" s="88">
        <v>107</v>
      </c>
    </row>
    <row r="58" spans="1:38" x14ac:dyDescent="0.2">
      <c r="A58" s="66">
        <v>42277</v>
      </c>
      <c r="B58" s="114">
        <f t="shared" si="19"/>
        <v>2015</v>
      </c>
      <c r="C58" s="88">
        <v>10247.5</v>
      </c>
      <c r="D58" s="88">
        <f>AK58+VLOOKUP(B58,'GS Reclassification Adjustment'!$B$3:$E$12,4,FALSE)</f>
        <v>774</v>
      </c>
      <c r="E58" s="88">
        <f>AL58-VLOOKUP(B58,'GS Reclassification Adjustment'!$B$3:$E$12,4,FALSE)</f>
        <v>93</v>
      </c>
      <c r="F58" s="88">
        <v>70</v>
      </c>
      <c r="G58" s="88">
        <v>2631</v>
      </c>
      <c r="H58" s="88">
        <v>0</v>
      </c>
      <c r="I58" s="89">
        <f t="shared" si="18"/>
        <v>13815.5</v>
      </c>
      <c r="Q58" s="55"/>
      <c r="S58" s="126"/>
      <c r="T58" s="47"/>
      <c r="U58" s="47"/>
      <c r="V58" s="129"/>
      <c r="W58" s="47"/>
      <c r="X58" s="47"/>
      <c r="Y58" s="129"/>
      <c r="Z58" s="47"/>
      <c r="AA58" s="47"/>
      <c r="AB58" s="129"/>
      <c r="AC58" s="47"/>
      <c r="AD58" s="47"/>
      <c r="AE58" s="129"/>
      <c r="AF58" s="47"/>
      <c r="AH58" s="126"/>
      <c r="AK58" s="88">
        <v>760</v>
      </c>
      <c r="AL58" s="88">
        <v>107</v>
      </c>
    </row>
    <row r="59" spans="1:38" x14ac:dyDescent="0.2">
      <c r="A59" s="66">
        <v>42308</v>
      </c>
      <c r="B59" s="114">
        <f t="shared" si="19"/>
        <v>2015</v>
      </c>
      <c r="C59" s="88">
        <v>10256</v>
      </c>
      <c r="D59" s="88">
        <f>AK59+VLOOKUP(B59,'GS Reclassification Adjustment'!$B$3:$E$12,4,FALSE)</f>
        <v>776</v>
      </c>
      <c r="E59" s="88">
        <f>AL59-VLOOKUP(B59,'GS Reclassification Adjustment'!$B$3:$E$12,4,FALSE)</f>
        <v>93.5</v>
      </c>
      <c r="F59" s="88">
        <v>70</v>
      </c>
      <c r="G59" s="88">
        <v>2631</v>
      </c>
      <c r="H59" s="88">
        <v>0</v>
      </c>
      <c r="I59" s="89">
        <f t="shared" si="18"/>
        <v>13826.5</v>
      </c>
      <c r="Q59" s="55"/>
      <c r="S59" s="127"/>
      <c r="AK59" s="88">
        <v>762</v>
      </c>
      <c r="AL59" s="88">
        <v>107.5</v>
      </c>
    </row>
    <row r="60" spans="1:38" x14ac:dyDescent="0.2">
      <c r="A60" s="66">
        <v>42338</v>
      </c>
      <c r="B60" s="114">
        <f t="shared" si="19"/>
        <v>2015</v>
      </c>
      <c r="C60" s="88">
        <v>10260</v>
      </c>
      <c r="D60" s="88">
        <f>AK60+VLOOKUP(B60,'GS Reclassification Adjustment'!$B$3:$E$12,4,FALSE)</f>
        <v>779</v>
      </c>
      <c r="E60" s="88">
        <f>AL60-VLOOKUP(B60,'GS Reclassification Adjustment'!$B$3:$E$12,4,FALSE)</f>
        <v>94.5</v>
      </c>
      <c r="F60" s="88">
        <v>70</v>
      </c>
      <c r="G60" s="88">
        <v>2631</v>
      </c>
      <c r="H60" s="88">
        <v>0</v>
      </c>
      <c r="I60" s="89">
        <f t="shared" si="18"/>
        <v>13834.5</v>
      </c>
      <c r="AK60" s="88">
        <v>765</v>
      </c>
      <c r="AL60" s="88">
        <v>108.5</v>
      </c>
    </row>
    <row r="61" spans="1:38" x14ac:dyDescent="0.2">
      <c r="A61" s="66">
        <v>42369</v>
      </c>
      <c r="B61" s="114">
        <f t="shared" si="19"/>
        <v>2015</v>
      </c>
      <c r="C61" s="88">
        <v>10264.5</v>
      </c>
      <c r="D61" s="88">
        <f>AK61+VLOOKUP(B61,'GS Reclassification Adjustment'!$B$3:$E$12,4,FALSE)</f>
        <v>781.5</v>
      </c>
      <c r="E61" s="88">
        <f>AL61-VLOOKUP(B61,'GS Reclassification Adjustment'!$B$3:$E$12,4,FALSE)</f>
        <v>96</v>
      </c>
      <c r="F61" s="88">
        <v>70</v>
      </c>
      <c r="G61" s="88">
        <v>2631</v>
      </c>
      <c r="H61" s="88">
        <v>0</v>
      </c>
      <c r="I61" s="89">
        <f t="shared" si="18"/>
        <v>13843</v>
      </c>
      <c r="S61" s="116"/>
      <c r="T61" s="117"/>
      <c r="U61" s="116"/>
      <c r="V61" s="116"/>
      <c r="W61" s="117"/>
      <c r="X61" s="116"/>
      <c r="Y61" s="116"/>
      <c r="Z61" s="117"/>
      <c r="AA61" s="116"/>
      <c r="AB61" s="116"/>
      <c r="AC61" s="117"/>
      <c r="AD61" s="116"/>
      <c r="AE61" s="116"/>
      <c r="AF61" s="117"/>
      <c r="AG61" s="116"/>
      <c r="AH61" s="116"/>
      <c r="AK61" s="88">
        <v>767.5</v>
      </c>
      <c r="AL61" s="88">
        <v>110</v>
      </c>
    </row>
    <row r="62" spans="1:38" x14ac:dyDescent="0.2">
      <c r="A62" s="66">
        <v>42400</v>
      </c>
      <c r="B62" s="114">
        <f t="shared" si="19"/>
        <v>2016</v>
      </c>
      <c r="C62" s="88">
        <v>10268</v>
      </c>
      <c r="D62" s="88">
        <f>AK62+VLOOKUP(B62,'GS Reclassification Adjustment'!$B$3:$E$12,4,FALSE)</f>
        <v>781.5</v>
      </c>
      <c r="E62" s="88">
        <f>AL62-VLOOKUP(B62,'GS Reclassification Adjustment'!$B$3:$E$12,4,FALSE)</f>
        <v>97</v>
      </c>
      <c r="F62" s="88">
        <v>69.5</v>
      </c>
      <c r="G62" s="88">
        <v>2631</v>
      </c>
      <c r="H62" s="88">
        <v>0</v>
      </c>
      <c r="I62" s="89">
        <f t="shared" ref="I62:I73" si="20">SUM(C62:H62)</f>
        <v>13847</v>
      </c>
      <c r="Q62" s="55"/>
      <c r="S62" s="116"/>
      <c r="T62" s="117"/>
      <c r="U62" s="116"/>
      <c r="V62" s="116"/>
      <c r="W62" s="117"/>
      <c r="X62" s="116"/>
      <c r="Y62" s="116"/>
      <c r="Z62" s="117"/>
      <c r="AA62" s="116"/>
      <c r="AB62" s="116"/>
      <c r="AC62" s="117"/>
      <c r="AD62" s="116"/>
      <c r="AE62" s="116"/>
      <c r="AF62" s="117"/>
      <c r="AG62" s="116"/>
      <c r="AH62" s="116"/>
      <c r="AK62" s="88">
        <v>767.5</v>
      </c>
      <c r="AL62" s="88">
        <v>111</v>
      </c>
    </row>
    <row r="63" spans="1:38" x14ac:dyDescent="0.2">
      <c r="A63" s="66">
        <v>42429</v>
      </c>
      <c r="B63" s="114">
        <f t="shared" si="19"/>
        <v>2016</v>
      </c>
      <c r="C63" s="88">
        <v>10270.5</v>
      </c>
      <c r="D63" s="88">
        <f>AK63+VLOOKUP(B63,'GS Reclassification Adjustment'!$B$3:$E$12,4,FALSE)</f>
        <v>782</v>
      </c>
      <c r="E63" s="88">
        <f>AL63-VLOOKUP(B63,'GS Reclassification Adjustment'!$B$3:$E$12,4,FALSE)</f>
        <v>97</v>
      </c>
      <c r="F63" s="88">
        <v>69</v>
      </c>
      <c r="G63" s="88">
        <v>2631</v>
      </c>
      <c r="H63" s="88">
        <v>0</v>
      </c>
      <c r="I63" s="89">
        <f t="shared" si="20"/>
        <v>13849.5</v>
      </c>
      <c r="AK63" s="88">
        <v>768</v>
      </c>
      <c r="AL63" s="88">
        <v>111</v>
      </c>
    </row>
    <row r="64" spans="1:38" x14ac:dyDescent="0.2">
      <c r="A64" s="66">
        <v>42460</v>
      </c>
      <c r="B64" s="114">
        <f t="shared" si="19"/>
        <v>2016</v>
      </c>
      <c r="C64" s="88">
        <v>10275</v>
      </c>
      <c r="D64" s="88">
        <f>AK64+VLOOKUP(B64,'GS Reclassification Adjustment'!$B$3:$E$12,4,FALSE)</f>
        <v>781.5</v>
      </c>
      <c r="E64" s="88">
        <f>AL64-VLOOKUP(B64,'GS Reclassification Adjustment'!$B$3:$E$12,4,FALSE)</f>
        <v>97</v>
      </c>
      <c r="F64" s="88">
        <v>69</v>
      </c>
      <c r="G64" s="88">
        <v>2631</v>
      </c>
      <c r="H64" s="88">
        <v>0</v>
      </c>
      <c r="I64" s="89">
        <f t="shared" si="20"/>
        <v>13853.5</v>
      </c>
      <c r="AK64" s="88">
        <v>767.5</v>
      </c>
      <c r="AL64" s="88">
        <v>111</v>
      </c>
    </row>
    <row r="65" spans="1:38" x14ac:dyDescent="0.2">
      <c r="A65" s="66">
        <v>42490</v>
      </c>
      <c r="B65" s="114">
        <f t="shared" si="19"/>
        <v>2016</v>
      </c>
      <c r="C65" s="88">
        <v>10277.5</v>
      </c>
      <c r="D65" s="88">
        <f>AK65+VLOOKUP(B65,'GS Reclassification Adjustment'!$B$3:$E$12,4,FALSE)</f>
        <v>781</v>
      </c>
      <c r="E65" s="88">
        <f>AL65-VLOOKUP(B65,'GS Reclassification Adjustment'!$B$3:$E$12,4,FALSE)</f>
        <v>97</v>
      </c>
      <c r="F65" s="88">
        <v>69</v>
      </c>
      <c r="G65" s="88">
        <v>2631</v>
      </c>
      <c r="H65" s="88">
        <v>0</v>
      </c>
      <c r="I65" s="89">
        <f t="shared" si="20"/>
        <v>13855.5</v>
      </c>
      <c r="AK65" s="88">
        <v>767</v>
      </c>
      <c r="AL65" s="88">
        <v>111</v>
      </c>
    </row>
    <row r="66" spans="1:38" x14ac:dyDescent="0.2">
      <c r="A66" s="66">
        <v>42521</v>
      </c>
      <c r="B66" s="114">
        <f t="shared" si="19"/>
        <v>2016</v>
      </c>
      <c r="C66" s="88">
        <v>10278.5</v>
      </c>
      <c r="D66" s="88">
        <f>AK66+VLOOKUP(B66,'GS Reclassification Adjustment'!$B$3:$E$12,4,FALSE)</f>
        <v>781.5</v>
      </c>
      <c r="E66" s="88">
        <f>AL66-VLOOKUP(B66,'GS Reclassification Adjustment'!$B$3:$E$12,4,FALSE)</f>
        <v>97</v>
      </c>
      <c r="F66" s="88">
        <v>69</v>
      </c>
      <c r="G66" s="88">
        <v>2631</v>
      </c>
      <c r="H66" s="88">
        <v>0</v>
      </c>
      <c r="I66" s="89">
        <f t="shared" si="20"/>
        <v>13857</v>
      </c>
      <c r="AK66" s="88">
        <v>767.5</v>
      </c>
      <c r="AL66" s="88">
        <v>111</v>
      </c>
    </row>
    <row r="67" spans="1:38" x14ac:dyDescent="0.2">
      <c r="A67" s="66">
        <v>42551</v>
      </c>
      <c r="B67" s="114">
        <f t="shared" si="19"/>
        <v>2016</v>
      </c>
      <c r="C67" s="88">
        <v>10279.5</v>
      </c>
      <c r="D67" s="88">
        <f>AK67+VLOOKUP(B67,'GS Reclassification Adjustment'!$B$3:$E$12,4,FALSE)</f>
        <v>782</v>
      </c>
      <c r="E67" s="88">
        <f>AL67-VLOOKUP(B67,'GS Reclassification Adjustment'!$B$3:$E$12,4,FALSE)</f>
        <v>97</v>
      </c>
      <c r="F67" s="88">
        <v>68.5</v>
      </c>
      <c r="G67" s="88">
        <v>2631</v>
      </c>
      <c r="H67" s="88">
        <v>0</v>
      </c>
      <c r="I67" s="89">
        <f t="shared" si="20"/>
        <v>13858</v>
      </c>
      <c r="AK67" s="88">
        <v>768</v>
      </c>
      <c r="AL67" s="88">
        <v>111</v>
      </c>
    </row>
    <row r="68" spans="1:38" x14ac:dyDescent="0.2">
      <c r="A68" s="66">
        <v>42582</v>
      </c>
      <c r="B68" s="114">
        <f t="shared" si="19"/>
        <v>2016</v>
      </c>
      <c r="C68" s="88">
        <v>10279</v>
      </c>
      <c r="D68" s="88">
        <f>AK68+VLOOKUP(B68,'GS Reclassification Adjustment'!$B$3:$E$12,4,FALSE)</f>
        <v>782</v>
      </c>
      <c r="E68" s="88">
        <f>AL68-VLOOKUP(B68,'GS Reclassification Adjustment'!$B$3:$E$12,4,FALSE)</f>
        <v>97</v>
      </c>
      <c r="F68" s="88">
        <v>68</v>
      </c>
      <c r="G68" s="88">
        <v>2631</v>
      </c>
      <c r="H68" s="88">
        <v>0</v>
      </c>
      <c r="I68" s="89">
        <f t="shared" si="20"/>
        <v>13857</v>
      </c>
      <c r="AK68" s="88">
        <v>768</v>
      </c>
      <c r="AL68" s="88">
        <v>111</v>
      </c>
    </row>
    <row r="69" spans="1:38" x14ac:dyDescent="0.2">
      <c r="A69" s="66">
        <v>42613</v>
      </c>
      <c r="B69" s="114">
        <f t="shared" si="19"/>
        <v>2016</v>
      </c>
      <c r="C69" s="88">
        <v>10280.5</v>
      </c>
      <c r="D69" s="88">
        <f>AK69+VLOOKUP(B69,'GS Reclassification Adjustment'!$B$3:$E$12,4,FALSE)</f>
        <v>782</v>
      </c>
      <c r="E69" s="88">
        <f>AL69-VLOOKUP(B69,'GS Reclassification Adjustment'!$B$3:$E$12,4,FALSE)</f>
        <v>97</v>
      </c>
      <c r="F69" s="88">
        <v>68</v>
      </c>
      <c r="G69" s="88">
        <v>2631</v>
      </c>
      <c r="H69" s="88">
        <v>0</v>
      </c>
      <c r="I69" s="89">
        <f t="shared" si="20"/>
        <v>13858.5</v>
      </c>
      <c r="AK69" s="88">
        <v>768</v>
      </c>
      <c r="AL69" s="88">
        <v>111</v>
      </c>
    </row>
    <row r="70" spans="1:38" x14ac:dyDescent="0.2">
      <c r="A70" s="66">
        <v>42643</v>
      </c>
      <c r="B70" s="114">
        <f t="shared" si="19"/>
        <v>2016</v>
      </c>
      <c r="C70" s="88">
        <v>10282</v>
      </c>
      <c r="D70" s="88">
        <f>AK70+VLOOKUP(B70,'GS Reclassification Adjustment'!$B$3:$E$12,4,FALSE)</f>
        <v>782.5</v>
      </c>
      <c r="E70" s="88">
        <f>AL70-VLOOKUP(B70,'GS Reclassification Adjustment'!$B$3:$E$12,4,FALSE)</f>
        <v>97</v>
      </c>
      <c r="F70" s="88">
        <v>68</v>
      </c>
      <c r="G70" s="88">
        <v>2631</v>
      </c>
      <c r="H70" s="88">
        <v>1</v>
      </c>
      <c r="I70" s="89">
        <f t="shared" si="20"/>
        <v>13861.5</v>
      </c>
      <c r="AK70" s="88">
        <v>768.5</v>
      </c>
      <c r="AL70" s="88">
        <v>111</v>
      </c>
    </row>
    <row r="71" spans="1:38" x14ac:dyDescent="0.2">
      <c r="A71" s="66">
        <v>42674</v>
      </c>
      <c r="B71" s="114">
        <f t="shared" si="19"/>
        <v>2016</v>
      </c>
      <c r="C71" s="88">
        <v>10284</v>
      </c>
      <c r="D71" s="88">
        <f>AK71+VLOOKUP(B71,'GS Reclassification Adjustment'!$B$3:$E$12,4,FALSE)</f>
        <v>782.5</v>
      </c>
      <c r="E71" s="88">
        <f>AL71-VLOOKUP(B71,'GS Reclassification Adjustment'!$B$3:$E$12,4,FALSE)</f>
        <v>97</v>
      </c>
      <c r="F71" s="88">
        <v>68</v>
      </c>
      <c r="G71" s="88">
        <v>2631</v>
      </c>
      <c r="H71" s="88">
        <v>1</v>
      </c>
      <c r="I71" s="89">
        <f t="shared" si="20"/>
        <v>13863.5</v>
      </c>
      <c r="AK71" s="88">
        <v>768.5</v>
      </c>
      <c r="AL71" s="88">
        <v>111</v>
      </c>
    </row>
    <row r="72" spans="1:38" x14ac:dyDescent="0.2">
      <c r="A72" s="66">
        <v>42704</v>
      </c>
      <c r="B72" s="114">
        <f t="shared" si="19"/>
        <v>2016</v>
      </c>
      <c r="C72" s="88">
        <v>10286</v>
      </c>
      <c r="D72" s="88">
        <f>AK72+VLOOKUP(B72,'GS Reclassification Adjustment'!$B$3:$E$12,4,FALSE)</f>
        <v>782</v>
      </c>
      <c r="E72" s="88">
        <f>AL72-VLOOKUP(B72,'GS Reclassification Adjustment'!$B$3:$E$12,4,FALSE)</f>
        <v>97</v>
      </c>
      <c r="F72" s="88">
        <v>68</v>
      </c>
      <c r="G72" s="88">
        <v>2631</v>
      </c>
      <c r="H72" s="88">
        <v>1</v>
      </c>
      <c r="I72" s="89">
        <f t="shared" si="20"/>
        <v>13865</v>
      </c>
      <c r="AK72" s="88">
        <v>768</v>
      </c>
      <c r="AL72" s="88">
        <v>111</v>
      </c>
    </row>
    <row r="73" spans="1:38" x14ac:dyDescent="0.2">
      <c r="A73" s="66">
        <v>42735</v>
      </c>
      <c r="B73" s="114">
        <f t="shared" si="19"/>
        <v>2016</v>
      </c>
      <c r="C73" s="88">
        <v>10285.5</v>
      </c>
      <c r="D73" s="88">
        <f>AK73+VLOOKUP(B73,'GS Reclassification Adjustment'!$B$3:$E$12,4,FALSE)</f>
        <v>784.5</v>
      </c>
      <c r="E73" s="88">
        <f>AL73-VLOOKUP(B73,'GS Reclassification Adjustment'!$B$3:$E$12,4,FALSE)</f>
        <v>97</v>
      </c>
      <c r="F73" s="88">
        <v>68</v>
      </c>
      <c r="G73" s="88">
        <v>2631</v>
      </c>
      <c r="H73" s="88">
        <v>1</v>
      </c>
      <c r="I73" s="89">
        <f t="shared" si="20"/>
        <v>13867</v>
      </c>
      <c r="AK73" s="88">
        <v>770.5</v>
      </c>
      <c r="AL73" s="88">
        <v>111</v>
      </c>
    </row>
    <row r="74" spans="1:38" x14ac:dyDescent="0.2">
      <c r="A74" s="66">
        <v>42766</v>
      </c>
      <c r="B74" s="114">
        <f t="shared" si="19"/>
        <v>2017</v>
      </c>
      <c r="C74" s="88">
        <v>10284</v>
      </c>
      <c r="D74" s="88">
        <f>AK74+VLOOKUP(B74,'GS Reclassification Adjustment'!$B$3:$E$12,4,FALSE)</f>
        <v>787.5</v>
      </c>
      <c r="E74" s="88">
        <f>AL74-VLOOKUP(B74,'GS Reclassification Adjustment'!$B$3:$E$12,4,FALSE)</f>
        <v>98.5</v>
      </c>
      <c r="F74" s="88">
        <v>68</v>
      </c>
      <c r="G74" s="88">
        <v>2631</v>
      </c>
      <c r="H74" s="88">
        <v>1</v>
      </c>
      <c r="I74" s="89">
        <f t="shared" ref="I74:I85" si="21">SUM(C74:H74)</f>
        <v>13870</v>
      </c>
      <c r="AK74" s="88">
        <v>773.5</v>
      </c>
      <c r="AL74" s="88">
        <v>112.5</v>
      </c>
    </row>
    <row r="75" spans="1:38" x14ac:dyDescent="0.2">
      <c r="A75" s="66">
        <v>42794</v>
      </c>
      <c r="B75" s="114">
        <f t="shared" si="19"/>
        <v>2017</v>
      </c>
      <c r="C75" s="88">
        <v>10287.5</v>
      </c>
      <c r="D75" s="88">
        <f>AK75+VLOOKUP(B75,'GS Reclassification Adjustment'!$B$3:$E$12,4,FALSE)</f>
        <v>788.5</v>
      </c>
      <c r="E75" s="88">
        <f>AL75-VLOOKUP(B75,'GS Reclassification Adjustment'!$B$3:$E$12,4,FALSE)</f>
        <v>99.5</v>
      </c>
      <c r="F75" s="88">
        <v>68</v>
      </c>
      <c r="G75" s="88">
        <v>2631</v>
      </c>
      <c r="H75" s="88">
        <v>1</v>
      </c>
      <c r="I75" s="89">
        <f t="shared" si="21"/>
        <v>13875.5</v>
      </c>
      <c r="AK75" s="88">
        <v>774.5</v>
      </c>
      <c r="AL75" s="88">
        <v>113.5</v>
      </c>
    </row>
    <row r="76" spans="1:38" x14ac:dyDescent="0.2">
      <c r="A76" s="66">
        <v>42825</v>
      </c>
      <c r="B76" s="114">
        <f t="shared" si="19"/>
        <v>2017</v>
      </c>
      <c r="C76" s="88">
        <v>10308</v>
      </c>
      <c r="D76" s="88">
        <f>AK76+VLOOKUP(B76,'GS Reclassification Adjustment'!$B$3:$E$12,4,FALSE)</f>
        <v>790.5</v>
      </c>
      <c r="E76" s="88">
        <f>AL76-VLOOKUP(B76,'GS Reclassification Adjustment'!$B$3:$E$12,4,FALSE)</f>
        <v>99</v>
      </c>
      <c r="F76" s="88">
        <v>67.5</v>
      </c>
      <c r="G76" s="88">
        <v>2631</v>
      </c>
      <c r="H76" s="88">
        <v>1</v>
      </c>
      <c r="I76" s="89">
        <f t="shared" si="21"/>
        <v>13897</v>
      </c>
      <c r="AK76" s="88">
        <v>776.5</v>
      </c>
      <c r="AL76" s="88">
        <v>113</v>
      </c>
    </row>
    <row r="77" spans="1:38" x14ac:dyDescent="0.2">
      <c r="A77" s="66">
        <v>42855</v>
      </c>
      <c r="B77" s="114">
        <f t="shared" si="19"/>
        <v>2017</v>
      </c>
      <c r="C77" s="88">
        <v>10330.5</v>
      </c>
      <c r="D77" s="88">
        <f>AK77+VLOOKUP(B77,'GS Reclassification Adjustment'!$B$3:$E$12,4,FALSE)</f>
        <v>792</v>
      </c>
      <c r="E77" s="88">
        <f>AL77-VLOOKUP(B77,'GS Reclassification Adjustment'!$B$3:$E$12,4,FALSE)</f>
        <v>99.5</v>
      </c>
      <c r="F77" s="88">
        <v>67</v>
      </c>
      <c r="G77" s="88">
        <v>2631</v>
      </c>
      <c r="H77" s="88">
        <v>1</v>
      </c>
      <c r="I77" s="89">
        <f t="shared" si="21"/>
        <v>13921</v>
      </c>
      <c r="AK77" s="88">
        <v>778</v>
      </c>
      <c r="AL77" s="88">
        <v>113.5</v>
      </c>
    </row>
    <row r="78" spans="1:38" x14ac:dyDescent="0.2">
      <c r="A78" s="66">
        <v>42886</v>
      </c>
      <c r="B78" s="114">
        <f t="shared" si="19"/>
        <v>2017</v>
      </c>
      <c r="C78" s="88">
        <v>10346</v>
      </c>
      <c r="D78" s="88">
        <f>AK78+VLOOKUP(B78,'GS Reclassification Adjustment'!$B$3:$E$12,4,FALSE)</f>
        <v>792</v>
      </c>
      <c r="E78" s="88">
        <f>AL78-VLOOKUP(B78,'GS Reclassification Adjustment'!$B$3:$E$12,4,FALSE)</f>
        <v>100.5</v>
      </c>
      <c r="F78" s="88">
        <v>67</v>
      </c>
      <c r="G78" s="88">
        <v>2631</v>
      </c>
      <c r="H78" s="88">
        <v>1</v>
      </c>
      <c r="I78" s="89">
        <f t="shared" si="21"/>
        <v>13937.5</v>
      </c>
      <c r="AK78" s="88">
        <v>778</v>
      </c>
      <c r="AL78" s="88">
        <v>114.5</v>
      </c>
    </row>
    <row r="79" spans="1:38" x14ac:dyDescent="0.2">
      <c r="A79" s="66">
        <v>42916</v>
      </c>
      <c r="B79" s="114">
        <f t="shared" si="19"/>
        <v>2017</v>
      </c>
      <c r="C79" s="88">
        <v>10357.5</v>
      </c>
      <c r="D79" s="88">
        <f>AK79+VLOOKUP(B79,'GS Reclassification Adjustment'!$B$3:$E$12,4,FALSE)</f>
        <v>793.5</v>
      </c>
      <c r="E79" s="88">
        <f>AL79-VLOOKUP(B79,'GS Reclassification Adjustment'!$B$3:$E$12,4,FALSE)</f>
        <v>100.5</v>
      </c>
      <c r="F79" s="88">
        <v>67</v>
      </c>
      <c r="G79" s="88">
        <v>2631</v>
      </c>
      <c r="H79" s="88">
        <v>1</v>
      </c>
      <c r="I79" s="89">
        <f t="shared" si="21"/>
        <v>13950.5</v>
      </c>
      <c r="AK79" s="88">
        <v>779.5</v>
      </c>
      <c r="AL79" s="88">
        <v>114.5</v>
      </c>
    </row>
    <row r="80" spans="1:38" x14ac:dyDescent="0.2">
      <c r="A80" s="66">
        <v>42947</v>
      </c>
      <c r="B80" s="114">
        <f t="shared" si="19"/>
        <v>2017</v>
      </c>
      <c r="C80" s="88">
        <v>10370</v>
      </c>
      <c r="D80" s="88">
        <f>AK80+VLOOKUP(B80,'GS Reclassification Adjustment'!$B$3:$E$12,4,FALSE)</f>
        <v>791.5</v>
      </c>
      <c r="E80" s="88">
        <f>AL80-VLOOKUP(B80,'GS Reclassification Adjustment'!$B$3:$E$12,4,FALSE)</f>
        <v>100</v>
      </c>
      <c r="F80" s="88">
        <v>67</v>
      </c>
      <c r="G80" s="88">
        <v>2631</v>
      </c>
      <c r="H80" s="88">
        <v>1</v>
      </c>
      <c r="I80" s="89">
        <f t="shared" si="21"/>
        <v>13960.5</v>
      </c>
      <c r="AK80" s="88">
        <v>777.5</v>
      </c>
      <c r="AL80" s="88">
        <v>114</v>
      </c>
    </row>
    <row r="81" spans="1:38" x14ac:dyDescent="0.2">
      <c r="A81" s="66">
        <v>42978</v>
      </c>
      <c r="B81" s="114">
        <f t="shared" si="19"/>
        <v>2017</v>
      </c>
      <c r="C81" s="88">
        <v>10384</v>
      </c>
      <c r="D81" s="88">
        <f>AK81+VLOOKUP(B81,'GS Reclassification Adjustment'!$B$3:$E$12,4,FALSE)</f>
        <v>788</v>
      </c>
      <c r="E81" s="88">
        <f>AL81-VLOOKUP(B81,'GS Reclassification Adjustment'!$B$3:$E$12,4,FALSE)</f>
        <v>100</v>
      </c>
      <c r="F81" s="88">
        <v>67</v>
      </c>
      <c r="G81" s="88">
        <v>2631</v>
      </c>
      <c r="H81" s="88">
        <v>1</v>
      </c>
      <c r="I81" s="89">
        <f t="shared" si="21"/>
        <v>13971</v>
      </c>
      <c r="AK81" s="88">
        <v>774</v>
      </c>
      <c r="AL81" s="88">
        <v>114</v>
      </c>
    </row>
    <row r="82" spans="1:38" x14ac:dyDescent="0.2">
      <c r="A82" s="66">
        <v>43008</v>
      </c>
      <c r="B82" s="114">
        <f t="shared" si="19"/>
        <v>2017</v>
      </c>
      <c r="C82" s="88">
        <v>10389</v>
      </c>
      <c r="D82" s="88">
        <f>AK82+VLOOKUP(B82,'GS Reclassification Adjustment'!$B$3:$E$12,4,FALSE)</f>
        <v>789</v>
      </c>
      <c r="E82" s="88">
        <f>AL82-VLOOKUP(B82,'GS Reclassification Adjustment'!$B$3:$E$12,4,FALSE)</f>
        <v>100.5</v>
      </c>
      <c r="F82" s="88">
        <v>67</v>
      </c>
      <c r="G82" s="88">
        <v>2631</v>
      </c>
      <c r="H82" s="88">
        <v>1</v>
      </c>
      <c r="I82" s="89">
        <f t="shared" si="21"/>
        <v>13977.5</v>
      </c>
      <c r="AK82" s="88">
        <v>775</v>
      </c>
      <c r="AL82" s="88">
        <v>114.5</v>
      </c>
    </row>
    <row r="83" spans="1:38" x14ac:dyDescent="0.2">
      <c r="A83" s="66">
        <v>43039</v>
      </c>
      <c r="B83" s="114">
        <f t="shared" si="19"/>
        <v>2017</v>
      </c>
      <c r="C83" s="88">
        <v>10405</v>
      </c>
      <c r="D83" s="88">
        <f>AK83+VLOOKUP(B83,'GS Reclassification Adjustment'!$B$3:$E$12,4,FALSE)</f>
        <v>790.5</v>
      </c>
      <c r="E83" s="88">
        <f>AL83-VLOOKUP(B83,'GS Reclassification Adjustment'!$B$3:$E$12,4,FALSE)</f>
        <v>101.5</v>
      </c>
      <c r="F83" s="88">
        <v>67</v>
      </c>
      <c r="G83" s="88">
        <v>2631</v>
      </c>
      <c r="H83" s="88">
        <v>1</v>
      </c>
      <c r="I83" s="89">
        <f t="shared" si="21"/>
        <v>13996</v>
      </c>
      <c r="AK83" s="88">
        <v>776.5</v>
      </c>
      <c r="AL83" s="88">
        <v>115.5</v>
      </c>
    </row>
    <row r="84" spans="1:38" x14ac:dyDescent="0.2">
      <c r="A84" s="66">
        <v>43069</v>
      </c>
      <c r="B84" s="114">
        <f t="shared" si="19"/>
        <v>2017</v>
      </c>
      <c r="C84" s="88">
        <v>10423</v>
      </c>
      <c r="D84" s="88">
        <f>AK84+VLOOKUP(B84,'GS Reclassification Adjustment'!$B$3:$E$12,4,FALSE)</f>
        <v>790.5</v>
      </c>
      <c r="E84" s="88">
        <f>AL84-VLOOKUP(B84,'GS Reclassification Adjustment'!$B$3:$E$12,4,FALSE)</f>
        <v>102</v>
      </c>
      <c r="F84" s="88">
        <v>67</v>
      </c>
      <c r="G84" s="88">
        <v>2648</v>
      </c>
      <c r="H84" s="88">
        <v>1</v>
      </c>
      <c r="I84" s="89">
        <f t="shared" si="21"/>
        <v>14031.5</v>
      </c>
      <c r="AK84" s="88">
        <v>776.5</v>
      </c>
      <c r="AL84" s="88">
        <v>116</v>
      </c>
    </row>
    <row r="85" spans="1:38" x14ac:dyDescent="0.2">
      <c r="A85" s="66">
        <v>43100</v>
      </c>
      <c r="B85" s="114">
        <f t="shared" si="19"/>
        <v>2017</v>
      </c>
      <c r="C85" s="88">
        <v>10444</v>
      </c>
      <c r="D85" s="88">
        <f>AK85+VLOOKUP(B85,'GS Reclassification Adjustment'!$B$3:$E$12,4,FALSE)</f>
        <v>789.5</v>
      </c>
      <c r="E85" s="88">
        <f>AL85-VLOOKUP(B85,'GS Reclassification Adjustment'!$B$3:$E$12,4,FALSE)</f>
        <v>102</v>
      </c>
      <c r="F85" s="88">
        <v>67</v>
      </c>
      <c r="G85" s="88">
        <v>2665</v>
      </c>
      <c r="H85" s="88">
        <v>1</v>
      </c>
      <c r="I85" s="89">
        <f t="shared" si="21"/>
        <v>14068.5</v>
      </c>
      <c r="AK85" s="88">
        <v>775.5</v>
      </c>
      <c r="AL85" s="88">
        <v>116</v>
      </c>
    </row>
    <row r="86" spans="1:38" x14ac:dyDescent="0.2">
      <c r="A86" s="66">
        <v>43131</v>
      </c>
      <c r="B86" s="114">
        <f t="shared" si="19"/>
        <v>2018</v>
      </c>
      <c r="C86" s="88">
        <v>10461</v>
      </c>
      <c r="D86" s="88">
        <f>AK86+VLOOKUP(B86,'GS Reclassification Adjustment'!$B$3:$E$12,4,FALSE)</f>
        <v>790.5</v>
      </c>
      <c r="E86" s="88">
        <f>AL86-VLOOKUP(B86,'GS Reclassification Adjustment'!$B$3:$E$12,4,FALSE)</f>
        <v>102</v>
      </c>
      <c r="F86" s="88">
        <v>67</v>
      </c>
      <c r="G86" s="88">
        <v>2648</v>
      </c>
      <c r="H86" s="88">
        <v>1</v>
      </c>
      <c r="I86" s="89">
        <f t="shared" ref="I86:I97" si="22">SUM(C86:H86)</f>
        <v>14069.5</v>
      </c>
      <c r="AK86" s="88">
        <v>776.5</v>
      </c>
      <c r="AL86" s="88">
        <v>116</v>
      </c>
    </row>
    <row r="87" spans="1:38" x14ac:dyDescent="0.2">
      <c r="A87" s="66">
        <v>43159</v>
      </c>
      <c r="B87" s="114">
        <f t="shared" si="19"/>
        <v>2018</v>
      </c>
      <c r="C87" s="88">
        <v>10464.5</v>
      </c>
      <c r="D87" s="88">
        <f>AK87+VLOOKUP(B87,'GS Reclassification Adjustment'!$B$3:$E$12,4,FALSE)</f>
        <v>792.5</v>
      </c>
      <c r="E87" s="88">
        <f>AL87-VLOOKUP(B87,'GS Reclassification Adjustment'!$B$3:$E$12,4,FALSE)</f>
        <v>102</v>
      </c>
      <c r="F87" s="88">
        <v>67</v>
      </c>
      <c r="G87" s="88">
        <v>2665</v>
      </c>
      <c r="H87" s="88">
        <v>1</v>
      </c>
      <c r="I87" s="89">
        <f t="shared" si="22"/>
        <v>14092</v>
      </c>
      <c r="AK87" s="88">
        <v>778.5</v>
      </c>
      <c r="AL87" s="88">
        <v>116</v>
      </c>
    </row>
    <row r="88" spans="1:38" x14ac:dyDescent="0.2">
      <c r="A88" s="66">
        <v>43190</v>
      </c>
      <c r="B88" s="114">
        <f t="shared" si="19"/>
        <v>2018</v>
      </c>
      <c r="C88" s="88">
        <v>10471.5</v>
      </c>
      <c r="D88" s="88">
        <f>AK88+VLOOKUP(B88,'GS Reclassification Adjustment'!$B$3:$E$12,4,FALSE)</f>
        <v>793</v>
      </c>
      <c r="E88" s="88">
        <f>AL88-VLOOKUP(B88,'GS Reclassification Adjustment'!$B$3:$E$12,4,FALSE)</f>
        <v>102</v>
      </c>
      <c r="F88" s="88">
        <v>67</v>
      </c>
      <c r="G88" s="88">
        <v>2665</v>
      </c>
      <c r="H88" s="88">
        <v>1</v>
      </c>
      <c r="I88" s="89">
        <f t="shared" si="22"/>
        <v>14099.5</v>
      </c>
      <c r="AK88" s="88">
        <v>779</v>
      </c>
      <c r="AL88" s="88">
        <v>116</v>
      </c>
    </row>
    <row r="89" spans="1:38" x14ac:dyDescent="0.2">
      <c r="A89" s="66">
        <v>43220</v>
      </c>
      <c r="B89" s="114">
        <f t="shared" si="19"/>
        <v>2018</v>
      </c>
      <c r="C89" s="88">
        <v>10491</v>
      </c>
      <c r="D89" s="88">
        <f>AK89+VLOOKUP(B89,'GS Reclassification Adjustment'!$B$3:$E$12,4,FALSE)</f>
        <v>793.5</v>
      </c>
      <c r="E89" s="88">
        <f>AL89-VLOOKUP(B89,'GS Reclassification Adjustment'!$B$3:$E$12,4,FALSE)</f>
        <v>102</v>
      </c>
      <c r="F89" s="88">
        <v>66.5</v>
      </c>
      <c r="G89" s="88">
        <v>2665</v>
      </c>
      <c r="H89" s="88">
        <v>1</v>
      </c>
      <c r="I89" s="89">
        <f t="shared" si="22"/>
        <v>14119</v>
      </c>
      <c r="AK89" s="88">
        <v>779.5</v>
      </c>
      <c r="AL89" s="88">
        <v>116</v>
      </c>
    </row>
    <row r="90" spans="1:38" x14ac:dyDescent="0.2">
      <c r="A90" s="66">
        <v>43251</v>
      </c>
      <c r="B90" s="114">
        <f t="shared" si="19"/>
        <v>2018</v>
      </c>
      <c r="C90" s="88">
        <v>10514.5</v>
      </c>
      <c r="D90" s="88">
        <f>AK90+VLOOKUP(B90,'GS Reclassification Adjustment'!$B$3:$E$12,4,FALSE)</f>
        <v>793</v>
      </c>
      <c r="E90" s="88">
        <f>AL90-VLOOKUP(B90,'GS Reclassification Adjustment'!$B$3:$E$12,4,FALSE)</f>
        <v>102.5</v>
      </c>
      <c r="F90" s="88">
        <v>66</v>
      </c>
      <c r="G90" s="88">
        <v>2665</v>
      </c>
      <c r="H90" s="88">
        <v>1</v>
      </c>
      <c r="I90" s="89">
        <f t="shared" si="22"/>
        <v>14142</v>
      </c>
      <c r="AK90" s="88">
        <v>779</v>
      </c>
      <c r="AL90" s="88">
        <v>116.5</v>
      </c>
    </row>
    <row r="91" spans="1:38" x14ac:dyDescent="0.2">
      <c r="A91" s="66">
        <v>43281</v>
      </c>
      <c r="B91" s="114">
        <f t="shared" si="19"/>
        <v>2018</v>
      </c>
      <c r="C91" s="88">
        <v>10527.5</v>
      </c>
      <c r="D91" s="88">
        <f>AK91+VLOOKUP(B91,'GS Reclassification Adjustment'!$B$3:$E$12,4,FALSE)</f>
        <v>792</v>
      </c>
      <c r="E91" s="88">
        <f>AL91-VLOOKUP(B91,'GS Reclassification Adjustment'!$B$3:$E$12,4,FALSE)</f>
        <v>103.5</v>
      </c>
      <c r="F91" s="88">
        <v>66</v>
      </c>
      <c r="G91" s="88">
        <v>2665</v>
      </c>
      <c r="H91" s="88">
        <v>1</v>
      </c>
      <c r="I91" s="89">
        <f t="shared" si="22"/>
        <v>14155</v>
      </c>
      <c r="AK91" s="88">
        <v>778</v>
      </c>
      <c r="AL91" s="88">
        <v>117.5</v>
      </c>
    </row>
    <row r="92" spans="1:38" x14ac:dyDescent="0.2">
      <c r="A92" s="66">
        <v>43312</v>
      </c>
      <c r="B92" s="114">
        <f t="shared" si="19"/>
        <v>2018</v>
      </c>
      <c r="C92" s="88">
        <v>10537.5</v>
      </c>
      <c r="D92" s="88">
        <f>AK92+VLOOKUP(B92,'GS Reclassification Adjustment'!$B$3:$E$12,4,FALSE)</f>
        <v>791.5</v>
      </c>
      <c r="E92" s="88">
        <f>AL92-VLOOKUP(B92,'GS Reclassification Adjustment'!$B$3:$E$12,4,FALSE)</f>
        <v>104</v>
      </c>
      <c r="F92" s="88">
        <v>66</v>
      </c>
      <c r="G92" s="88">
        <v>2665</v>
      </c>
      <c r="H92" s="88">
        <v>1</v>
      </c>
      <c r="I92" s="89">
        <f t="shared" si="22"/>
        <v>14165</v>
      </c>
      <c r="AK92" s="88">
        <v>777.5</v>
      </c>
      <c r="AL92" s="88">
        <v>118</v>
      </c>
    </row>
    <row r="93" spans="1:38" x14ac:dyDescent="0.2">
      <c r="A93" s="66">
        <v>43343</v>
      </c>
      <c r="B93" s="114">
        <f t="shared" si="19"/>
        <v>2018</v>
      </c>
      <c r="C93" s="88">
        <v>10543</v>
      </c>
      <c r="D93" s="88">
        <f>AK93+VLOOKUP(B93,'GS Reclassification Adjustment'!$B$3:$E$12,4,FALSE)</f>
        <v>790.5</v>
      </c>
      <c r="E93" s="88">
        <f>AL93-VLOOKUP(B93,'GS Reclassification Adjustment'!$B$3:$E$12,4,FALSE)</f>
        <v>104.5</v>
      </c>
      <c r="F93" s="88">
        <v>66</v>
      </c>
      <c r="G93" s="88">
        <v>2665</v>
      </c>
      <c r="H93" s="88">
        <v>1</v>
      </c>
      <c r="I93" s="89">
        <f t="shared" si="22"/>
        <v>14170</v>
      </c>
      <c r="AK93" s="88">
        <v>776.5</v>
      </c>
      <c r="AL93" s="88">
        <v>118.5</v>
      </c>
    </row>
    <row r="94" spans="1:38" x14ac:dyDescent="0.2">
      <c r="A94" s="66">
        <v>43373</v>
      </c>
      <c r="B94" s="114">
        <f t="shared" si="19"/>
        <v>2018</v>
      </c>
      <c r="C94" s="88">
        <v>10587.5</v>
      </c>
      <c r="D94" s="88">
        <f>AK94+VLOOKUP(B94,'GS Reclassification Adjustment'!$B$3:$E$12,4,FALSE)</f>
        <v>792</v>
      </c>
      <c r="E94" s="88">
        <f>AL94-VLOOKUP(B94,'GS Reclassification Adjustment'!$B$3:$E$12,4,FALSE)</f>
        <v>105</v>
      </c>
      <c r="F94" s="88">
        <v>66</v>
      </c>
      <c r="G94" s="88">
        <v>2665</v>
      </c>
      <c r="H94" s="88">
        <v>1</v>
      </c>
      <c r="I94" s="89">
        <f t="shared" si="22"/>
        <v>14216.5</v>
      </c>
      <c r="AK94" s="88">
        <v>778</v>
      </c>
      <c r="AL94" s="88">
        <v>119</v>
      </c>
    </row>
    <row r="95" spans="1:38" x14ac:dyDescent="0.2">
      <c r="A95" s="66">
        <v>43404</v>
      </c>
      <c r="B95" s="114">
        <f t="shared" si="19"/>
        <v>2018</v>
      </c>
      <c r="C95" s="88">
        <v>10634.5</v>
      </c>
      <c r="D95" s="88">
        <f>AK95+VLOOKUP(B95,'GS Reclassification Adjustment'!$B$3:$E$12,4,FALSE)</f>
        <v>794</v>
      </c>
      <c r="E95" s="88">
        <f>AL95-VLOOKUP(B95,'GS Reclassification Adjustment'!$B$3:$E$12,4,FALSE)</f>
        <v>104</v>
      </c>
      <c r="F95" s="88">
        <v>66</v>
      </c>
      <c r="G95" s="88">
        <v>2665</v>
      </c>
      <c r="H95" s="88">
        <v>1</v>
      </c>
      <c r="I95" s="89">
        <f t="shared" si="22"/>
        <v>14264.5</v>
      </c>
      <c r="AK95" s="88">
        <v>780</v>
      </c>
      <c r="AL95" s="88">
        <v>118</v>
      </c>
    </row>
    <row r="96" spans="1:38" x14ac:dyDescent="0.2">
      <c r="A96" s="66">
        <v>43434</v>
      </c>
      <c r="B96" s="114">
        <f t="shared" si="19"/>
        <v>2018</v>
      </c>
      <c r="C96" s="88">
        <v>10641.5</v>
      </c>
      <c r="D96" s="88">
        <f>AK96+VLOOKUP(B96,'GS Reclassification Adjustment'!$B$3:$E$12,4,FALSE)</f>
        <v>792</v>
      </c>
      <c r="E96" s="88">
        <f>AL96-VLOOKUP(B96,'GS Reclassification Adjustment'!$B$3:$E$12,4,FALSE)</f>
        <v>103.5</v>
      </c>
      <c r="F96" s="88">
        <v>66</v>
      </c>
      <c r="G96" s="88">
        <v>2665</v>
      </c>
      <c r="H96" s="88">
        <v>1</v>
      </c>
      <c r="I96" s="89">
        <f t="shared" si="22"/>
        <v>14269</v>
      </c>
      <c r="AK96" s="88">
        <v>778</v>
      </c>
      <c r="AL96" s="88">
        <v>117.5</v>
      </c>
    </row>
    <row r="97" spans="1:38" x14ac:dyDescent="0.2">
      <c r="A97" s="66">
        <v>43465</v>
      </c>
      <c r="B97" s="114">
        <f t="shared" si="19"/>
        <v>2018</v>
      </c>
      <c r="C97" s="88">
        <v>10648</v>
      </c>
      <c r="D97" s="88">
        <f>AK97+VLOOKUP(B97,'GS Reclassification Adjustment'!$B$3:$E$12,4,FALSE)</f>
        <v>791.5</v>
      </c>
      <c r="E97" s="88">
        <f>AL97-VLOOKUP(B97,'GS Reclassification Adjustment'!$B$3:$E$12,4,FALSE)</f>
        <v>105</v>
      </c>
      <c r="F97" s="88">
        <v>66</v>
      </c>
      <c r="G97" s="88">
        <v>2665</v>
      </c>
      <c r="H97" s="88">
        <v>1</v>
      </c>
      <c r="I97" s="89">
        <f t="shared" si="22"/>
        <v>14276.5</v>
      </c>
      <c r="AK97" s="88">
        <v>777.5</v>
      </c>
      <c r="AL97" s="88">
        <v>119</v>
      </c>
    </row>
    <row r="98" spans="1:38" x14ac:dyDescent="0.2">
      <c r="A98" s="66">
        <v>43496</v>
      </c>
      <c r="B98" s="114">
        <f t="shared" si="19"/>
        <v>2019</v>
      </c>
      <c r="C98" s="88">
        <v>10653</v>
      </c>
      <c r="D98" s="88">
        <f>AK98+VLOOKUP(B98,'GS Reclassification Adjustment'!$B$3:$E$12,4,FALSE)</f>
        <v>794</v>
      </c>
      <c r="E98" s="88">
        <f>AL98-VLOOKUP(B98,'GS Reclassification Adjustment'!$B$3:$E$12,4,FALSE)</f>
        <v>105.5</v>
      </c>
      <c r="F98" s="88">
        <v>66</v>
      </c>
      <c r="G98" s="88">
        <v>2665</v>
      </c>
      <c r="H98" s="88">
        <v>1</v>
      </c>
      <c r="I98" s="89">
        <f>SUM(C98:H98)</f>
        <v>14284.5</v>
      </c>
      <c r="AK98" s="88">
        <v>780</v>
      </c>
      <c r="AL98" s="88">
        <v>119.5</v>
      </c>
    </row>
    <row r="99" spans="1:38" x14ac:dyDescent="0.2">
      <c r="A99" s="66">
        <v>43524</v>
      </c>
      <c r="B99" s="114">
        <f t="shared" si="19"/>
        <v>2019</v>
      </c>
      <c r="C99" s="88">
        <v>10653</v>
      </c>
      <c r="D99" s="88">
        <f>AK99+VLOOKUP(B99,'GS Reclassification Adjustment'!$B$3:$E$12,4,FALSE)</f>
        <v>795</v>
      </c>
      <c r="E99" s="88">
        <f>AL99-VLOOKUP(B99,'GS Reclassification Adjustment'!$B$3:$E$12,4,FALSE)</f>
        <v>105</v>
      </c>
      <c r="F99" s="88">
        <v>66</v>
      </c>
      <c r="G99" s="88">
        <v>2665</v>
      </c>
      <c r="H99" s="88">
        <v>1</v>
      </c>
      <c r="I99" s="89">
        <f t="shared" ref="I99:I118" si="23">SUM(C99:H99)</f>
        <v>14285</v>
      </c>
      <c r="AK99" s="88">
        <v>781</v>
      </c>
      <c r="AL99" s="88">
        <v>119</v>
      </c>
    </row>
    <row r="100" spans="1:38" x14ac:dyDescent="0.2">
      <c r="A100" s="66">
        <v>43555</v>
      </c>
      <c r="B100" s="114">
        <f t="shared" si="19"/>
        <v>2019</v>
      </c>
      <c r="C100" s="88">
        <v>10652.5</v>
      </c>
      <c r="D100" s="88">
        <f>AK100+VLOOKUP(B100,'GS Reclassification Adjustment'!$B$3:$E$12,4,FALSE)</f>
        <v>795</v>
      </c>
      <c r="E100" s="88">
        <f>AL100-VLOOKUP(B100,'GS Reclassification Adjustment'!$B$3:$E$12,4,FALSE)</f>
        <v>105</v>
      </c>
      <c r="F100" s="88">
        <v>66</v>
      </c>
      <c r="G100" s="88">
        <v>2665</v>
      </c>
      <c r="H100" s="88">
        <v>1</v>
      </c>
      <c r="I100" s="89">
        <f t="shared" si="23"/>
        <v>14284.5</v>
      </c>
      <c r="AK100" s="88">
        <v>781</v>
      </c>
      <c r="AL100" s="88">
        <v>119</v>
      </c>
    </row>
    <row r="101" spans="1:38" x14ac:dyDescent="0.2">
      <c r="A101" s="66">
        <v>43585</v>
      </c>
      <c r="B101" s="114">
        <f t="shared" si="19"/>
        <v>2019</v>
      </c>
      <c r="C101" s="88">
        <v>10653.5</v>
      </c>
      <c r="D101" s="88">
        <f>AK101+VLOOKUP(B101,'GS Reclassification Adjustment'!$B$3:$E$12,4,FALSE)</f>
        <v>797.5</v>
      </c>
      <c r="E101" s="88">
        <f>AL101-VLOOKUP(B101,'GS Reclassification Adjustment'!$B$3:$E$12,4,FALSE)</f>
        <v>102.5</v>
      </c>
      <c r="F101" s="88">
        <v>66</v>
      </c>
      <c r="G101" s="88">
        <v>2665</v>
      </c>
      <c r="H101" s="88">
        <v>1</v>
      </c>
      <c r="I101" s="89">
        <f t="shared" si="23"/>
        <v>14285.5</v>
      </c>
      <c r="AK101" s="88">
        <v>783.5</v>
      </c>
      <c r="AL101" s="88">
        <v>116.5</v>
      </c>
    </row>
    <row r="102" spans="1:38" x14ac:dyDescent="0.2">
      <c r="A102" s="66">
        <v>43616</v>
      </c>
      <c r="B102" s="114">
        <f t="shared" si="19"/>
        <v>2019</v>
      </c>
      <c r="C102" s="88">
        <v>10654</v>
      </c>
      <c r="D102" s="88">
        <f>AK102+VLOOKUP(B102,'GS Reclassification Adjustment'!$B$3:$E$12,4,FALSE)</f>
        <v>802.5</v>
      </c>
      <c r="E102" s="88">
        <f>AL102-VLOOKUP(B102,'GS Reclassification Adjustment'!$B$3:$E$12,4,FALSE)</f>
        <v>97.5</v>
      </c>
      <c r="F102" s="88">
        <v>66</v>
      </c>
      <c r="G102" s="88">
        <v>2665</v>
      </c>
      <c r="H102" s="88">
        <v>1</v>
      </c>
      <c r="I102" s="89">
        <f t="shared" si="23"/>
        <v>14286</v>
      </c>
      <c r="AK102" s="88">
        <v>788.5</v>
      </c>
      <c r="AL102" s="88">
        <v>111.5</v>
      </c>
    </row>
    <row r="103" spans="1:38" x14ac:dyDescent="0.2">
      <c r="A103" s="66">
        <v>43646</v>
      </c>
      <c r="B103" s="114">
        <f t="shared" si="19"/>
        <v>2019</v>
      </c>
      <c r="C103" s="88">
        <v>10654.5</v>
      </c>
      <c r="D103" s="88">
        <f>AK103+VLOOKUP(B103,'GS Reclassification Adjustment'!$B$3:$E$12,4,FALSE)</f>
        <v>806</v>
      </c>
      <c r="E103" s="88">
        <f>AL103-VLOOKUP(B103,'GS Reclassification Adjustment'!$B$3:$E$12,4,FALSE)</f>
        <v>94</v>
      </c>
      <c r="F103" s="88">
        <v>66</v>
      </c>
      <c r="G103" s="88">
        <v>2665</v>
      </c>
      <c r="H103" s="88">
        <v>1</v>
      </c>
      <c r="I103" s="89">
        <f t="shared" si="23"/>
        <v>14286.5</v>
      </c>
      <c r="AK103" s="88">
        <v>792</v>
      </c>
      <c r="AL103" s="88">
        <v>108</v>
      </c>
    </row>
    <row r="104" spans="1:38" x14ac:dyDescent="0.2">
      <c r="A104" s="66">
        <v>43677</v>
      </c>
      <c r="B104" s="114">
        <f t="shared" si="19"/>
        <v>2019</v>
      </c>
      <c r="C104" s="88">
        <v>10659.5</v>
      </c>
      <c r="D104" s="88">
        <f>AK104+VLOOKUP(B104,'GS Reclassification Adjustment'!$B$3:$E$12,4,FALSE)</f>
        <v>807</v>
      </c>
      <c r="E104" s="88">
        <f>AL104-VLOOKUP(B104,'GS Reclassification Adjustment'!$B$3:$E$12,4,FALSE)</f>
        <v>93</v>
      </c>
      <c r="F104" s="88">
        <v>66</v>
      </c>
      <c r="G104" s="88">
        <v>2665</v>
      </c>
      <c r="H104" s="88">
        <v>1</v>
      </c>
      <c r="I104" s="89">
        <f t="shared" si="23"/>
        <v>14291.5</v>
      </c>
      <c r="AK104" s="88">
        <v>793</v>
      </c>
      <c r="AL104" s="88">
        <v>107</v>
      </c>
    </row>
    <row r="105" spans="1:38" x14ac:dyDescent="0.2">
      <c r="A105" s="66">
        <v>43708</v>
      </c>
      <c r="B105" s="114">
        <f t="shared" si="19"/>
        <v>2019</v>
      </c>
      <c r="C105" s="88">
        <v>10669.5</v>
      </c>
      <c r="D105" s="88">
        <f>AK105+VLOOKUP(B105,'GS Reclassification Adjustment'!$B$3:$E$12,4,FALSE)</f>
        <v>807.5</v>
      </c>
      <c r="E105" s="88">
        <f>AL105-VLOOKUP(B105,'GS Reclassification Adjustment'!$B$3:$E$12,4,FALSE)</f>
        <v>93</v>
      </c>
      <c r="F105" s="88">
        <v>66</v>
      </c>
      <c r="G105" s="88">
        <v>2665</v>
      </c>
      <c r="H105" s="88">
        <v>1</v>
      </c>
      <c r="I105" s="89">
        <f t="shared" si="23"/>
        <v>14302</v>
      </c>
      <c r="AK105" s="88">
        <v>793.5</v>
      </c>
      <c r="AL105" s="88">
        <v>107</v>
      </c>
    </row>
    <row r="106" spans="1:38" x14ac:dyDescent="0.2">
      <c r="A106" s="66">
        <v>43738</v>
      </c>
      <c r="B106" s="114">
        <f t="shared" si="19"/>
        <v>2019</v>
      </c>
      <c r="C106" s="88">
        <v>10685.5</v>
      </c>
      <c r="D106" s="88">
        <f>AK106+VLOOKUP(B106,'GS Reclassification Adjustment'!$B$3:$E$12,4,FALSE)</f>
        <v>810</v>
      </c>
      <c r="E106" s="88">
        <f>AL106-VLOOKUP(B106,'GS Reclassification Adjustment'!$B$3:$E$12,4,FALSE)</f>
        <v>93</v>
      </c>
      <c r="F106" s="88">
        <v>66</v>
      </c>
      <c r="G106" s="88">
        <v>2685</v>
      </c>
      <c r="H106" s="88">
        <v>1</v>
      </c>
      <c r="I106" s="89">
        <f t="shared" si="23"/>
        <v>14340.5</v>
      </c>
      <c r="AK106" s="88">
        <v>796</v>
      </c>
      <c r="AL106" s="88">
        <v>107</v>
      </c>
    </row>
    <row r="107" spans="1:38" x14ac:dyDescent="0.2">
      <c r="A107" s="66">
        <v>43769</v>
      </c>
      <c r="B107" s="114">
        <f t="shared" si="19"/>
        <v>2019</v>
      </c>
      <c r="C107" s="88">
        <v>10702.5</v>
      </c>
      <c r="D107" s="88">
        <f>AK107+VLOOKUP(B107,'GS Reclassification Adjustment'!$B$3:$E$12,4,FALSE)</f>
        <v>812</v>
      </c>
      <c r="E107" s="88">
        <f>AL107-VLOOKUP(B107,'GS Reclassification Adjustment'!$B$3:$E$12,4,FALSE)</f>
        <v>93</v>
      </c>
      <c r="F107" s="88">
        <v>65.5</v>
      </c>
      <c r="G107" s="88">
        <v>2705</v>
      </c>
      <c r="H107" s="88">
        <v>1</v>
      </c>
      <c r="I107" s="89">
        <f t="shared" si="23"/>
        <v>14379</v>
      </c>
      <c r="AK107" s="88">
        <v>798</v>
      </c>
      <c r="AL107" s="88">
        <v>107</v>
      </c>
    </row>
    <row r="108" spans="1:38" x14ac:dyDescent="0.2">
      <c r="A108" s="66">
        <v>43799</v>
      </c>
      <c r="B108" s="114">
        <f t="shared" si="19"/>
        <v>2019</v>
      </c>
      <c r="C108" s="88">
        <v>10713</v>
      </c>
      <c r="D108" s="88">
        <f>AK108+VLOOKUP(B108,'GS Reclassification Adjustment'!$B$3:$E$12,4,FALSE)</f>
        <v>812</v>
      </c>
      <c r="E108" s="88">
        <f>AL108-VLOOKUP(B108,'GS Reclassification Adjustment'!$B$3:$E$12,4,FALSE)</f>
        <v>93</v>
      </c>
      <c r="F108" s="88">
        <v>65</v>
      </c>
      <c r="G108" s="88">
        <v>2705</v>
      </c>
      <c r="H108" s="88">
        <v>1</v>
      </c>
      <c r="I108" s="89">
        <f t="shared" si="23"/>
        <v>14389</v>
      </c>
      <c r="AK108" s="88">
        <v>798</v>
      </c>
      <c r="AL108" s="88">
        <v>107</v>
      </c>
    </row>
    <row r="109" spans="1:38" x14ac:dyDescent="0.2">
      <c r="A109" s="66">
        <v>43830</v>
      </c>
      <c r="B109" s="114">
        <f t="shared" si="19"/>
        <v>2019</v>
      </c>
      <c r="C109" s="88">
        <v>10721.5</v>
      </c>
      <c r="D109" s="88">
        <f>AK109+VLOOKUP(B109,'GS Reclassification Adjustment'!$B$3:$E$12,4,FALSE)</f>
        <v>812.5</v>
      </c>
      <c r="E109" s="88">
        <f>AL109-VLOOKUP(B109,'GS Reclassification Adjustment'!$B$3:$E$12,4,FALSE)</f>
        <v>92.5</v>
      </c>
      <c r="F109" s="88">
        <v>65</v>
      </c>
      <c r="G109" s="88">
        <v>2705</v>
      </c>
      <c r="H109" s="88">
        <v>1</v>
      </c>
      <c r="I109" s="89">
        <f t="shared" si="23"/>
        <v>14397.5</v>
      </c>
      <c r="AK109" s="88">
        <v>798.5</v>
      </c>
      <c r="AL109" s="88">
        <v>106.5</v>
      </c>
    </row>
    <row r="110" spans="1:38" x14ac:dyDescent="0.2">
      <c r="A110" s="66">
        <v>43861</v>
      </c>
      <c r="B110" s="114">
        <f t="shared" si="19"/>
        <v>2020</v>
      </c>
      <c r="C110" s="88">
        <v>10737.5</v>
      </c>
      <c r="D110" s="88">
        <f>AK110+VLOOKUP(B110,'GS Reclassification Adjustment'!$B$3:$E$12,4,FALSE)</f>
        <v>813</v>
      </c>
      <c r="E110" s="88">
        <f>AL110-VLOOKUP(B110,'GS Reclassification Adjustment'!$B$3:$E$12,4,FALSE)</f>
        <v>92</v>
      </c>
      <c r="F110" s="88">
        <v>65</v>
      </c>
      <c r="G110" s="88">
        <v>2705</v>
      </c>
      <c r="H110" s="88">
        <v>1</v>
      </c>
      <c r="I110" s="89">
        <f t="shared" si="23"/>
        <v>14413.5</v>
      </c>
      <c r="AK110" s="88">
        <v>799</v>
      </c>
      <c r="AL110" s="88">
        <v>106</v>
      </c>
    </row>
    <row r="111" spans="1:38" x14ac:dyDescent="0.2">
      <c r="A111" s="66">
        <v>43890</v>
      </c>
      <c r="B111" s="114">
        <f t="shared" si="19"/>
        <v>2020</v>
      </c>
      <c r="C111" s="88">
        <v>10749</v>
      </c>
      <c r="D111" s="88">
        <f>AK111+VLOOKUP(B111,'GS Reclassification Adjustment'!$B$3:$E$12,4,FALSE)</f>
        <v>814</v>
      </c>
      <c r="E111" s="88">
        <f>AL111-VLOOKUP(B111,'GS Reclassification Adjustment'!$B$3:$E$12,4,FALSE)</f>
        <v>93.5</v>
      </c>
      <c r="F111" s="88">
        <v>65</v>
      </c>
      <c r="G111" s="88">
        <v>2705</v>
      </c>
      <c r="H111" s="88">
        <v>1</v>
      </c>
      <c r="I111" s="89">
        <f t="shared" si="23"/>
        <v>14427.5</v>
      </c>
      <c r="AK111" s="88">
        <v>800</v>
      </c>
      <c r="AL111" s="88">
        <v>107.5</v>
      </c>
    </row>
    <row r="112" spans="1:38" x14ac:dyDescent="0.2">
      <c r="A112" s="66">
        <v>43921</v>
      </c>
      <c r="B112" s="114">
        <f t="shared" si="19"/>
        <v>2020</v>
      </c>
      <c r="C112" s="88">
        <v>10755.5</v>
      </c>
      <c r="D112" s="88">
        <f>AK112+VLOOKUP(B112,'GS Reclassification Adjustment'!$B$3:$E$12,4,FALSE)</f>
        <v>813.5</v>
      </c>
      <c r="E112" s="88">
        <f>AL112-VLOOKUP(B112,'GS Reclassification Adjustment'!$B$3:$E$12,4,FALSE)</f>
        <v>94.5</v>
      </c>
      <c r="F112" s="88">
        <v>64</v>
      </c>
      <c r="G112" s="88">
        <v>2705</v>
      </c>
      <c r="H112" s="88">
        <v>1</v>
      </c>
      <c r="I112" s="89">
        <f t="shared" si="23"/>
        <v>14433.5</v>
      </c>
      <c r="AK112" s="88">
        <v>799.5</v>
      </c>
      <c r="AL112" s="88">
        <v>108.5</v>
      </c>
    </row>
    <row r="113" spans="1:38" x14ac:dyDescent="0.2">
      <c r="A113" s="66">
        <v>43951</v>
      </c>
      <c r="B113" s="114">
        <f t="shared" si="19"/>
        <v>2020</v>
      </c>
      <c r="C113" s="88">
        <v>10763</v>
      </c>
      <c r="D113" s="88">
        <f>AK113+VLOOKUP(B113,'GS Reclassification Adjustment'!$B$3:$E$12,4,FALSE)</f>
        <v>812.5</v>
      </c>
      <c r="E113" s="88">
        <f>AL113-VLOOKUP(B113,'GS Reclassification Adjustment'!$B$3:$E$12,4,FALSE)</f>
        <v>94.5</v>
      </c>
      <c r="F113" s="88">
        <v>63</v>
      </c>
      <c r="G113" s="88">
        <v>2692.5</v>
      </c>
      <c r="H113" s="88">
        <v>1</v>
      </c>
      <c r="I113" s="89">
        <f t="shared" si="23"/>
        <v>14426.5</v>
      </c>
      <c r="AK113" s="88">
        <v>798.5</v>
      </c>
      <c r="AL113" s="88">
        <v>108.5</v>
      </c>
    </row>
    <row r="114" spans="1:38" x14ac:dyDescent="0.2">
      <c r="A114" s="66">
        <v>43982</v>
      </c>
      <c r="B114" s="114">
        <f t="shared" si="19"/>
        <v>2020</v>
      </c>
      <c r="C114" s="88">
        <v>10767.5</v>
      </c>
      <c r="D114" s="88">
        <f>AK114+VLOOKUP(B114,'GS Reclassification Adjustment'!$B$3:$E$12,4,FALSE)</f>
        <v>812.5</v>
      </c>
      <c r="E114" s="88">
        <f>AL114-VLOOKUP(B114,'GS Reclassification Adjustment'!$B$3:$E$12,4,FALSE)</f>
        <v>94</v>
      </c>
      <c r="F114" s="88">
        <v>63</v>
      </c>
      <c r="G114" s="88">
        <v>2680</v>
      </c>
      <c r="H114" s="88">
        <v>1</v>
      </c>
      <c r="I114" s="89">
        <f t="shared" si="23"/>
        <v>14418</v>
      </c>
      <c r="AK114" s="88">
        <v>798.5</v>
      </c>
      <c r="AL114" s="88">
        <v>108</v>
      </c>
    </row>
    <row r="115" spans="1:38" x14ac:dyDescent="0.2">
      <c r="A115" s="66">
        <v>44012</v>
      </c>
      <c r="B115" s="114">
        <f t="shared" si="19"/>
        <v>2020</v>
      </c>
      <c r="C115" s="88">
        <v>10771</v>
      </c>
      <c r="D115" s="88">
        <f>AK115+VLOOKUP(B115,'GS Reclassification Adjustment'!$B$3:$E$12,4,FALSE)</f>
        <v>811</v>
      </c>
      <c r="E115" s="88">
        <f>AL115-VLOOKUP(B115,'GS Reclassification Adjustment'!$B$3:$E$12,4,FALSE)</f>
        <v>94</v>
      </c>
      <c r="F115" s="88">
        <v>62.5</v>
      </c>
      <c r="G115" s="88">
        <v>2680</v>
      </c>
      <c r="H115" s="88">
        <v>1</v>
      </c>
      <c r="I115" s="89">
        <f t="shared" si="23"/>
        <v>14419.5</v>
      </c>
      <c r="AK115" s="88">
        <v>797</v>
      </c>
      <c r="AL115" s="88">
        <v>108</v>
      </c>
    </row>
    <row r="116" spans="1:38" x14ac:dyDescent="0.2">
      <c r="A116" s="66">
        <v>44043</v>
      </c>
      <c r="B116" s="114">
        <f t="shared" si="19"/>
        <v>2020</v>
      </c>
      <c r="C116" s="88">
        <v>10771.5</v>
      </c>
      <c r="D116" s="88">
        <f>AK116+VLOOKUP(B116,'GS Reclassification Adjustment'!$B$3:$E$12,4,FALSE)</f>
        <v>811</v>
      </c>
      <c r="E116" s="88">
        <f>AL116-VLOOKUP(B116,'GS Reclassification Adjustment'!$B$3:$E$12,4,FALSE)</f>
        <v>93.5</v>
      </c>
      <c r="F116" s="88">
        <v>62</v>
      </c>
      <c r="G116" s="88">
        <v>2680</v>
      </c>
      <c r="H116" s="88">
        <v>1</v>
      </c>
      <c r="I116" s="89">
        <f t="shared" si="23"/>
        <v>14419</v>
      </c>
      <c r="AK116" s="88">
        <v>797</v>
      </c>
      <c r="AL116" s="88">
        <v>107.5</v>
      </c>
    </row>
    <row r="117" spans="1:38" x14ac:dyDescent="0.2">
      <c r="A117" s="66">
        <v>44074</v>
      </c>
      <c r="B117" s="114">
        <f t="shared" si="19"/>
        <v>2020</v>
      </c>
      <c r="C117" s="88">
        <v>10772.5</v>
      </c>
      <c r="D117" s="88">
        <f>AK117+VLOOKUP(B117,'GS Reclassification Adjustment'!$B$3:$E$12,4,FALSE)</f>
        <v>812.5</v>
      </c>
      <c r="E117" s="88">
        <f>AL117-VLOOKUP(B117,'GS Reclassification Adjustment'!$B$3:$E$12,4,FALSE)</f>
        <v>93</v>
      </c>
      <c r="F117" s="88">
        <v>62</v>
      </c>
      <c r="G117" s="88">
        <v>2680</v>
      </c>
      <c r="H117" s="88">
        <v>1</v>
      </c>
      <c r="I117" s="89">
        <f t="shared" si="23"/>
        <v>14421</v>
      </c>
      <c r="AK117" s="88">
        <v>798.5</v>
      </c>
      <c r="AL117" s="88">
        <v>107</v>
      </c>
    </row>
    <row r="118" spans="1:38" x14ac:dyDescent="0.2">
      <c r="A118" s="66">
        <v>44104</v>
      </c>
      <c r="B118" s="114">
        <f t="shared" si="19"/>
        <v>2020</v>
      </c>
      <c r="C118" s="110">
        <v>10775</v>
      </c>
      <c r="D118" s="88">
        <f>AK118+VLOOKUP(B118,'GS Reclassification Adjustment'!$B$3:$E$12,4,FALSE)</f>
        <v>812</v>
      </c>
      <c r="E118" s="88">
        <f>AL118-VLOOKUP(B118,'GS Reclassification Adjustment'!$B$3:$E$12,4,FALSE)</f>
        <v>93.5</v>
      </c>
      <c r="F118" s="88">
        <v>62</v>
      </c>
      <c r="G118" s="88">
        <v>2680</v>
      </c>
      <c r="H118" s="88">
        <v>1</v>
      </c>
      <c r="I118" s="89">
        <f t="shared" si="23"/>
        <v>14423.5</v>
      </c>
      <c r="AK118" s="110">
        <v>798</v>
      </c>
      <c r="AL118" s="110">
        <v>107.5</v>
      </c>
    </row>
    <row r="119" spans="1:38" x14ac:dyDescent="0.2">
      <c r="A119" s="66">
        <v>44135</v>
      </c>
      <c r="B119" s="114">
        <f t="shared" ref="B119:B145" si="24">YEAR(A119)</f>
        <v>2020</v>
      </c>
      <c r="C119" s="110">
        <v>10774</v>
      </c>
      <c r="D119" s="88">
        <f>AK119+VLOOKUP(B119,'GS Reclassification Adjustment'!$B$3:$E$12,4,FALSE)</f>
        <v>812</v>
      </c>
      <c r="E119" s="88">
        <f>AL119-VLOOKUP(B119,'GS Reclassification Adjustment'!$B$3:$E$12,4,FALSE)</f>
        <v>95</v>
      </c>
      <c r="F119" s="88">
        <f t="shared" ref="F119:H121" si="25">F118</f>
        <v>62</v>
      </c>
      <c r="G119" s="88">
        <f t="shared" si="25"/>
        <v>2680</v>
      </c>
      <c r="H119" s="88">
        <f t="shared" si="25"/>
        <v>1</v>
      </c>
      <c r="I119" s="89">
        <f>SUM(C119:H119)</f>
        <v>14424</v>
      </c>
      <c r="AK119" s="88">
        <v>798</v>
      </c>
      <c r="AL119" s="88">
        <v>109</v>
      </c>
    </row>
    <row r="120" spans="1:38" x14ac:dyDescent="0.2">
      <c r="A120" s="66">
        <v>44165</v>
      </c>
      <c r="B120" s="114">
        <f t="shared" si="24"/>
        <v>2020</v>
      </c>
      <c r="C120" s="110">
        <v>10773</v>
      </c>
      <c r="D120" s="88">
        <f>AK120+VLOOKUP(B120,'GS Reclassification Adjustment'!$B$3:$E$12,4,FALSE)</f>
        <v>811</v>
      </c>
      <c r="E120" s="88">
        <f>AL120-VLOOKUP(B120,'GS Reclassification Adjustment'!$B$3:$E$12,4,FALSE)</f>
        <v>94</v>
      </c>
      <c r="F120" s="88">
        <f t="shared" si="25"/>
        <v>62</v>
      </c>
      <c r="G120" s="88">
        <f t="shared" si="25"/>
        <v>2680</v>
      </c>
      <c r="H120" s="88">
        <v>1</v>
      </c>
      <c r="I120" s="89">
        <f>SUM(C120:H120)</f>
        <v>14421</v>
      </c>
      <c r="K120" s="317" t="s">
        <v>212</v>
      </c>
      <c r="L120" s="318"/>
      <c r="M120" s="318"/>
      <c r="N120" s="60"/>
      <c r="O120" s="60"/>
      <c r="P120" s="60"/>
      <c r="S120" s="317" t="s">
        <v>211</v>
      </c>
      <c r="T120" s="317"/>
      <c r="U120" s="317"/>
      <c r="V120" s="317"/>
      <c r="W120" s="317"/>
      <c r="X120" s="317"/>
      <c r="Y120" s="317"/>
      <c r="Z120" s="317"/>
      <c r="AK120" s="110">
        <v>797</v>
      </c>
      <c r="AL120" s="110">
        <v>108</v>
      </c>
    </row>
    <row r="121" spans="1:38" x14ac:dyDescent="0.2">
      <c r="A121" s="66">
        <v>44196</v>
      </c>
      <c r="B121" s="114">
        <f t="shared" si="24"/>
        <v>2020</v>
      </c>
      <c r="C121" s="110">
        <v>10777</v>
      </c>
      <c r="D121" s="88">
        <f>AK121+VLOOKUP(B121,'GS Reclassification Adjustment'!$B$3:$E$12,4,FALSE)</f>
        <v>811</v>
      </c>
      <c r="E121" s="88">
        <f>AL121-VLOOKUP(B121,'GS Reclassification Adjustment'!$B$3:$E$12,4,FALSE)</f>
        <v>96</v>
      </c>
      <c r="F121" s="88">
        <f t="shared" si="25"/>
        <v>62</v>
      </c>
      <c r="G121" s="88">
        <f t="shared" si="25"/>
        <v>2680</v>
      </c>
      <c r="H121" s="88">
        <v>1</v>
      </c>
      <c r="I121" s="89">
        <f>SUM(C121:H121)</f>
        <v>14427</v>
      </c>
      <c r="J121" s="72"/>
      <c r="K121" s="72" t="str">
        <f t="shared" ref="K121:Q121" si="26">C1</f>
        <v>Residential</v>
      </c>
      <c r="L121" s="72" t="str">
        <f t="shared" si="26"/>
        <v>GS &lt; 50 (Adj)</v>
      </c>
      <c r="M121" s="72" t="str">
        <f t="shared" si="26"/>
        <v>GS&gt;50 (Adj)</v>
      </c>
      <c r="N121" s="72" t="str">
        <f t="shared" si="26"/>
        <v xml:space="preserve">USL </v>
      </c>
      <c r="O121" s="72" t="str">
        <f t="shared" si="26"/>
        <v>Streetlights</v>
      </c>
      <c r="P121" s="72" t="str">
        <f t="shared" si="26"/>
        <v>Embedded Dist</v>
      </c>
      <c r="Q121" s="72" t="str">
        <f t="shared" si="26"/>
        <v>Total</v>
      </c>
      <c r="S121" s="198" t="s">
        <v>202</v>
      </c>
      <c r="V121" s="55" t="s">
        <v>203</v>
      </c>
      <c r="Y121" s="55" t="s">
        <v>204</v>
      </c>
      <c r="AK121" s="88">
        <f>AK120</f>
        <v>797</v>
      </c>
      <c r="AL121" s="88">
        <v>110</v>
      </c>
    </row>
    <row r="122" spans="1:38" x14ac:dyDescent="0.2">
      <c r="A122" s="66">
        <v>44227</v>
      </c>
      <c r="B122" s="114">
        <f t="shared" si="24"/>
        <v>2021</v>
      </c>
      <c r="C122" s="124">
        <v>10825.489159899478</v>
      </c>
      <c r="D122" s="124">
        <v>820.70104860826154</v>
      </c>
      <c r="E122" s="124">
        <v>94.090328110621243</v>
      </c>
      <c r="F122" s="124">
        <v>61.968221775438053</v>
      </c>
      <c r="G122" s="124">
        <v>2698.8212038428396</v>
      </c>
      <c r="H122" s="124">
        <f>H121</f>
        <v>1</v>
      </c>
      <c r="I122" s="125">
        <f>SUM(C122:H122)</f>
        <v>14502.069962236639</v>
      </c>
      <c r="K122" s="197">
        <f>C122+T122</f>
        <v>10828.989159899478</v>
      </c>
      <c r="L122" s="197">
        <f>D122+W122</f>
        <v>820.70104860826154</v>
      </c>
      <c r="M122" s="197">
        <f>E122+Z122</f>
        <v>94.090328110621243</v>
      </c>
      <c r="N122" s="197">
        <f>F122</f>
        <v>61.968221775438053</v>
      </c>
      <c r="O122" s="197">
        <f>G122</f>
        <v>2698.8212038428396</v>
      </c>
      <c r="P122" s="197">
        <f>H122</f>
        <v>1</v>
      </c>
      <c r="Q122" s="197">
        <f>SUM(K122:P122)</f>
        <v>14505.569962236639</v>
      </c>
      <c r="S122" s="123">
        <f t="shared" ref="S122:S133" si="27">S$24/12</f>
        <v>3.5</v>
      </c>
      <c r="T122" s="123">
        <f>SUM($S$122:S122)</f>
        <v>3.5</v>
      </c>
      <c r="V122" s="123">
        <f t="shared" ref="V122:V133" si="28">V$24/12</f>
        <v>0</v>
      </c>
      <c r="W122" s="123">
        <f>SUM($V$122:V122)</f>
        <v>0</v>
      </c>
      <c r="Y122" s="123">
        <f t="shared" ref="Y122:Y133" si="29">Y$24/12</f>
        <v>0</v>
      </c>
      <c r="Z122" s="123">
        <f>SUM($Y$122:Y122)</f>
        <v>0</v>
      </c>
      <c r="AB122" s="123"/>
      <c r="AE122" s="123"/>
      <c r="AG122" s="123">
        <f>I122-I121</f>
        <v>75.069962236639185</v>
      </c>
      <c r="AH122" s="123"/>
      <c r="AI122" s="72"/>
    </row>
    <row r="123" spans="1:38" x14ac:dyDescent="0.2">
      <c r="A123" s="66">
        <v>44255</v>
      </c>
      <c r="B123" s="114">
        <f t="shared" si="24"/>
        <v>2021</v>
      </c>
      <c r="C123" s="124">
        <f t="shared" ref="C123:C133" si="30">C122*$T$16</f>
        <v>10834.748693405798</v>
      </c>
      <c r="D123" s="124">
        <f t="shared" ref="D123:D133" si="31">D122*$W$16</f>
        <v>822.02392140535062</v>
      </c>
      <c r="E123" s="124">
        <f t="shared" ref="E123:E133" si="32">E122*$Z$16</f>
        <v>94.110655476714882</v>
      </c>
      <c r="F123" s="124">
        <f t="shared" ref="F123:F133" si="33">F122*$AC$16</f>
        <v>61.830164848651982</v>
      </c>
      <c r="G123" s="124">
        <f t="shared" ref="G123:G133" si="34">G122*$AF$16</f>
        <v>2700.6004392216569</v>
      </c>
      <c r="H123" s="124">
        <f t="shared" ref="H123:H145" si="35">H122</f>
        <v>1</v>
      </c>
      <c r="I123" s="125">
        <f t="shared" ref="I123:I145" si="36">SUM(C123:H123)</f>
        <v>14514.313874358173</v>
      </c>
      <c r="K123" s="197">
        <f t="shared" ref="K123:K145" si="37">C123+T123</f>
        <v>10841.748693405798</v>
      </c>
      <c r="L123" s="197">
        <f t="shared" ref="L123:L145" si="38">D123+W123</f>
        <v>822.02392140535062</v>
      </c>
      <c r="M123" s="197">
        <f t="shared" ref="M123:M145" si="39">E123+Z123</f>
        <v>94.110655476714882</v>
      </c>
      <c r="N123" s="197">
        <f t="shared" ref="N123:N145" si="40">F123</f>
        <v>61.830164848651982</v>
      </c>
      <c r="O123" s="197">
        <f t="shared" ref="O123:O145" si="41">G123</f>
        <v>2700.6004392216569</v>
      </c>
      <c r="P123" s="197">
        <f t="shared" ref="P123:P145" si="42">H123</f>
        <v>1</v>
      </c>
      <c r="Q123" s="197">
        <f t="shared" ref="Q123:Q145" si="43">SUM(K123:P123)</f>
        <v>14521.313874358173</v>
      </c>
      <c r="S123" s="123">
        <f t="shared" si="27"/>
        <v>3.5</v>
      </c>
      <c r="T123" s="123">
        <f>SUM($S$122:S123)</f>
        <v>7</v>
      </c>
      <c r="V123" s="123">
        <f t="shared" si="28"/>
        <v>0</v>
      </c>
      <c r="W123" s="123">
        <f>SUM($V$122:V123)</f>
        <v>0</v>
      </c>
      <c r="Y123" s="123">
        <f t="shared" si="29"/>
        <v>0</v>
      </c>
      <c r="Z123" s="123">
        <f>SUM($Y$122:Y123)</f>
        <v>0</v>
      </c>
      <c r="AB123" s="123"/>
      <c r="AE123" s="123"/>
      <c r="AG123" s="123"/>
      <c r="AH123" s="123"/>
    </row>
    <row r="124" spans="1:38" x14ac:dyDescent="0.2">
      <c r="A124" s="66">
        <v>44286</v>
      </c>
      <c r="B124" s="114">
        <f t="shared" si="24"/>
        <v>2021</v>
      </c>
      <c r="C124" s="124">
        <f t="shared" si="30"/>
        <v>10844.016147012491</v>
      </c>
      <c r="D124" s="124">
        <f t="shared" si="31"/>
        <v>823.34892651656332</v>
      </c>
      <c r="E124" s="124">
        <f t="shared" si="32"/>
        <v>94.130987234352489</v>
      </c>
      <c r="F124" s="124">
        <f t="shared" si="33"/>
        <v>61.692415494271373</v>
      </c>
      <c r="G124" s="124">
        <f t="shared" si="34"/>
        <v>2702.3808475861201</v>
      </c>
      <c r="H124" s="124">
        <f t="shared" si="35"/>
        <v>1</v>
      </c>
      <c r="I124" s="125">
        <f t="shared" si="36"/>
        <v>14526.569323843798</v>
      </c>
      <c r="K124" s="197">
        <f t="shared" si="37"/>
        <v>10854.516147012491</v>
      </c>
      <c r="L124" s="197">
        <f t="shared" si="38"/>
        <v>823.34892651656332</v>
      </c>
      <c r="M124" s="197">
        <f t="shared" si="39"/>
        <v>94.130987234352489</v>
      </c>
      <c r="N124" s="197">
        <f t="shared" si="40"/>
        <v>61.692415494271373</v>
      </c>
      <c r="O124" s="197">
        <f t="shared" si="41"/>
        <v>2702.3808475861201</v>
      </c>
      <c r="P124" s="197">
        <f t="shared" si="42"/>
        <v>1</v>
      </c>
      <c r="Q124" s="197">
        <f t="shared" si="43"/>
        <v>14537.069323843798</v>
      </c>
      <c r="S124" s="123">
        <f t="shared" si="27"/>
        <v>3.5</v>
      </c>
      <c r="T124" s="123">
        <f>SUM($S$122:S124)</f>
        <v>10.5</v>
      </c>
      <c r="V124" s="123">
        <f t="shared" si="28"/>
        <v>0</v>
      </c>
      <c r="W124" s="123">
        <f>SUM($V$122:V124)</f>
        <v>0</v>
      </c>
      <c r="Y124" s="123">
        <f t="shared" si="29"/>
        <v>0</v>
      </c>
      <c r="Z124" s="123">
        <f>SUM($Y$122:Y124)</f>
        <v>0</v>
      </c>
      <c r="AB124" s="123"/>
      <c r="AE124" s="123"/>
      <c r="AG124" s="123"/>
      <c r="AH124" s="123"/>
    </row>
    <row r="125" spans="1:38" x14ac:dyDescent="0.2">
      <c r="A125" s="66">
        <v>44316</v>
      </c>
      <c r="B125" s="114">
        <f t="shared" si="24"/>
        <v>2021</v>
      </c>
      <c r="C125" s="124">
        <f t="shared" si="30"/>
        <v>10853.291527493982</v>
      </c>
      <c r="D125" s="124">
        <f t="shared" si="31"/>
        <v>824.67606737893732</v>
      </c>
      <c r="E125" s="124">
        <f t="shared" si="32"/>
        <v>94.151323384482808</v>
      </c>
      <c r="F125" s="124">
        <f t="shared" si="33"/>
        <v>61.554973027065962</v>
      </c>
      <c r="G125" s="124">
        <f t="shared" si="34"/>
        <v>2704.1624297095364</v>
      </c>
      <c r="H125" s="124">
        <f t="shared" si="35"/>
        <v>1</v>
      </c>
      <c r="I125" s="125">
        <f t="shared" si="36"/>
        <v>14538.836320994007</v>
      </c>
      <c r="K125" s="197">
        <f t="shared" si="37"/>
        <v>10867.291527493982</v>
      </c>
      <c r="L125" s="197">
        <f t="shared" si="38"/>
        <v>824.67606737893732</v>
      </c>
      <c r="M125" s="197">
        <f t="shared" si="39"/>
        <v>94.151323384482808</v>
      </c>
      <c r="N125" s="197">
        <f t="shared" si="40"/>
        <v>61.554973027065962</v>
      </c>
      <c r="O125" s="197">
        <f t="shared" si="41"/>
        <v>2704.1624297095364</v>
      </c>
      <c r="P125" s="197">
        <f t="shared" si="42"/>
        <v>1</v>
      </c>
      <c r="Q125" s="197">
        <f t="shared" si="43"/>
        <v>14552.836320994007</v>
      </c>
      <c r="S125" s="123">
        <f t="shared" si="27"/>
        <v>3.5</v>
      </c>
      <c r="T125" s="123">
        <f>SUM($S$122:S125)</f>
        <v>14</v>
      </c>
      <c r="V125" s="123">
        <f t="shared" si="28"/>
        <v>0</v>
      </c>
      <c r="W125" s="123">
        <f>SUM($V$122:V125)</f>
        <v>0</v>
      </c>
      <c r="Y125" s="123">
        <f t="shared" si="29"/>
        <v>0</v>
      </c>
      <c r="Z125" s="123">
        <f>SUM($Y$122:Y125)</f>
        <v>0</v>
      </c>
      <c r="AB125" s="123"/>
      <c r="AE125" s="123"/>
      <c r="AG125" s="123"/>
      <c r="AH125" s="123"/>
    </row>
    <row r="126" spans="1:38" x14ac:dyDescent="0.2">
      <c r="A126" s="66">
        <v>44347</v>
      </c>
      <c r="B126" s="114">
        <f t="shared" si="24"/>
        <v>2021</v>
      </c>
      <c r="C126" s="124">
        <f t="shared" si="30"/>
        <v>10862.574841630487</v>
      </c>
      <c r="D126" s="124">
        <f t="shared" si="31"/>
        <v>826.00534743505034</v>
      </c>
      <c r="E126" s="124">
        <f t="shared" si="32"/>
        <v>94.171663928054798</v>
      </c>
      <c r="F126" s="124">
        <f t="shared" si="33"/>
        <v>61.417836763332083</v>
      </c>
      <c r="G126" s="124">
        <f t="shared" si="34"/>
        <v>2705.9451863657223</v>
      </c>
      <c r="H126" s="124">
        <f t="shared" si="35"/>
        <v>1</v>
      </c>
      <c r="I126" s="125">
        <f t="shared" si="36"/>
        <v>14551.114876122647</v>
      </c>
      <c r="K126" s="197">
        <f t="shared" si="37"/>
        <v>10880.074841630487</v>
      </c>
      <c r="L126" s="197">
        <f t="shared" si="38"/>
        <v>826.00534743505034</v>
      </c>
      <c r="M126" s="197">
        <f t="shared" si="39"/>
        <v>94.171663928054798</v>
      </c>
      <c r="N126" s="197">
        <f t="shared" si="40"/>
        <v>61.417836763332083</v>
      </c>
      <c r="O126" s="197">
        <f t="shared" si="41"/>
        <v>2705.9451863657223</v>
      </c>
      <c r="P126" s="197">
        <f t="shared" si="42"/>
        <v>1</v>
      </c>
      <c r="Q126" s="197">
        <f t="shared" si="43"/>
        <v>14568.614876122647</v>
      </c>
      <c r="S126" s="123">
        <f t="shared" si="27"/>
        <v>3.5</v>
      </c>
      <c r="T126" s="123">
        <f>SUM($S$122:S126)</f>
        <v>17.5</v>
      </c>
      <c r="V126" s="123">
        <f t="shared" si="28"/>
        <v>0</v>
      </c>
      <c r="W126" s="123">
        <f>SUM($V$122:V126)</f>
        <v>0</v>
      </c>
      <c r="Y126" s="123">
        <f t="shared" si="29"/>
        <v>0</v>
      </c>
      <c r="Z126" s="123">
        <f>SUM($Y$122:Y126)</f>
        <v>0</v>
      </c>
      <c r="AB126" s="123"/>
      <c r="AE126" s="123"/>
      <c r="AG126" s="123"/>
      <c r="AH126" s="123"/>
    </row>
    <row r="127" spans="1:38" x14ac:dyDescent="0.2">
      <c r="A127" s="66">
        <v>44377</v>
      </c>
      <c r="B127" s="114">
        <f t="shared" si="24"/>
        <v>2021</v>
      </c>
      <c r="C127" s="124">
        <f t="shared" si="30"/>
        <v>10871.866096208023</v>
      </c>
      <c r="D127" s="124">
        <f t="shared" si="31"/>
        <v>827.33677013302895</v>
      </c>
      <c r="E127" s="124">
        <f t="shared" si="32"/>
        <v>94.19200886601763</v>
      </c>
      <c r="F127" s="124">
        <f t="shared" si="33"/>
        <v>61.281006020889272</v>
      </c>
      <c r="G127" s="124">
        <f t="shared" si="34"/>
        <v>2707.7291183290054</v>
      </c>
      <c r="H127" s="124">
        <f t="shared" si="35"/>
        <v>1</v>
      </c>
      <c r="I127" s="125">
        <f t="shared" si="36"/>
        <v>14563.404999556964</v>
      </c>
      <c r="K127" s="197">
        <f t="shared" si="37"/>
        <v>10892.866096208023</v>
      </c>
      <c r="L127" s="197">
        <f t="shared" si="38"/>
        <v>827.33677013302895</v>
      </c>
      <c r="M127" s="197">
        <f t="shared" si="39"/>
        <v>94.19200886601763</v>
      </c>
      <c r="N127" s="197">
        <f t="shared" si="40"/>
        <v>61.281006020889272</v>
      </c>
      <c r="O127" s="197">
        <f t="shared" si="41"/>
        <v>2707.7291183290054</v>
      </c>
      <c r="P127" s="197">
        <f t="shared" si="42"/>
        <v>1</v>
      </c>
      <c r="Q127" s="197">
        <f t="shared" si="43"/>
        <v>14584.404999556964</v>
      </c>
      <c r="S127" s="123">
        <f t="shared" si="27"/>
        <v>3.5</v>
      </c>
      <c r="T127" s="123">
        <f>SUM($S$122:S127)</f>
        <v>21</v>
      </c>
      <c r="V127" s="123">
        <f t="shared" si="28"/>
        <v>0</v>
      </c>
      <c r="W127" s="123">
        <f>SUM($V$122:V127)</f>
        <v>0</v>
      </c>
      <c r="Y127" s="123">
        <f t="shared" si="29"/>
        <v>0</v>
      </c>
      <c r="Z127" s="123">
        <f>SUM($Y$122:Y127)</f>
        <v>0</v>
      </c>
      <c r="AB127" s="123"/>
      <c r="AE127" s="123"/>
      <c r="AG127" s="123"/>
      <c r="AH127" s="123"/>
    </row>
    <row r="128" spans="1:38" x14ac:dyDescent="0.2">
      <c r="A128" s="66">
        <v>44408</v>
      </c>
      <c r="B128" s="114">
        <f t="shared" si="24"/>
        <v>2021</v>
      </c>
      <c r="C128" s="124">
        <f t="shared" si="30"/>
        <v>10881.16529801841</v>
      </c>
      <c r="D128" s="124">
        <f t="shared" si="31"/>
        <v>828.67033892655797</v>
      </c>
      <c r="E128" s="124">
        <f t="shared" si="32"/>
        <v>94.212358199320676</v>
      </c>
      <c r="F128" s="124">
        <f t="shared" si="33"/>
        <v>61.144480119076867</v>
      </c>
      <c r="G128" s="124">
        <f t="shared" si="34"/>
        <v>2709.5142263742232</v>
      </c>
      <c r="H128" s="124">
        <f t="shared" si="35"/>
        <v>1</v>
      </c>
      <c r="I128" s="125">
        <f t="shared" si="36"/>
        <v>14575.70670163759</v>
      </c>
      <c r="K128" s="197">
        <f t="shared" si="37"/>
        <v>10905.66529801841</v>
      </c>
      <c r="L128" s="197">
        <f t="shared" si="38"/>
        <v>828.67033892655797</v>
      </c>
      <c r="M128" s="197">
        <f t="shared" si="39"/>
        <v>94.212358199320676</v>
      </c>
      <c r="N128" s="197">
        <f t="shared" si="40"/>
        <v>61.144480119076867</v>
      </c>
      <c r="O128" s="197">
        <f t="shared" si="41"/>
        <v>2709.5142263742232</v>
      </c>
      <c r="P128" s="197">
        <f t="shared" si="42"/>
        <v>1</v>
      </c>
      <c r="Q128" s="197">
        <f t="shared" si="43"/>
        <v>14600.20670163759</v>
      </c>
      <c r="S128" s="123">
        <f t="shared" si="27"/>
        <v>3.5</v>
      </c>
      <c r="T128" s="123">
        <f>SUM($S$122:S128)</f>
        <v>24.5</v>
      </c>
      <c r="V128" s="123">
        <f t="shared" si="28"/>
        <v>0</v>
      </c>
      <c r="W128" s="123">
        <f>SUM($V$122:V128)</f>
        <v>0</v>
      </c>
      <c r="Y128" s="123">
        <f t="shared" si="29"/>
        <v>0</v>
      </c>
      <c r="Z128" s="123">
        <f>SUM($Y$122:Y128)</f>
        <v>0</v>
      </c>
      <c r="AB128" s="123"/>
      <c r="AE128" s="123"/>
      <c r="AG128" s="123"/>
      <c r="AH128" s="123"/>
    </row>
    <row r="129" spans="1:36" x14ac:dyDescent="0.2">
      <c r="A129" s="66">
        <v>44439</v>
      </c>
      <c r="B129" s="114">
        <f t="shared" si="24"/>
        <v>2021</v>
      </c>
      <c r="C129" s="124">
        <f t="shared" si="30"/>
        <v>10890.472453859276</v>
      </c>
      <c r="D129" s="124">
        <f t="shared" si="31"/>
        <v>830.00605727488892</v>
      </c>
      <c r="E129" s="124">
        <f t="shared" si="32"/>
        <v>94.232711928913488</v>
      </c>
      <c r="F129" s="124">
        <f t="shared" si="33"/>
        <v>61.008258378750639</v>
      </c>
      <c r="G129" s="124">
        <f t="shared" si="34"/>
        <v>2711.3005112767237</v>
      </c>
      <c r="H129" s="124">
        <f t="shared" si="35"/>
        <v>1</v>
      </c>
      <c r="I129" s="125">
        <f t="shared" si="36"/>
        <v>14588.019992718553</v>
      </c>
      <c r="K129" s="197">
        <f t="shared" si="37"/>
        <v>10918.472453859276</v>
      </c>
      <c r="L129" s="197">
        <f t="shared" si="38"/>
        <v>830.00605727488892</v>
      </c>
      <c r="M129" s="197">
        <f t="shared" si="39"/>
        <v>94.232711928913488</v>
      </c>
      <c r="N129" s="197">
        <f t="shared" si="40"/>
        <v>61.008258378750639</v>
      </c>
      <c r="O129" s="197">
        <f t="shared" si="41"/>
        <v>2711.3005112767237</v>
      </c>
      <c r="P129" s="197">
        <f t="shared" si="42"/>
        <v>1</v>
      </c>
      <c r="Q129" s="197">
        <f t="shared" si="43"/>
        <v>14616.019992718553</v>
      </c>
      <c r="S129" s="123">
        <f t="shared" si="27"/>
        <v>3.5</v>
      </c>
      <c r="T129" s="123">
        <f>SUM($S$122:S129)</f>
        <v>28</v>
      </c>
      <c r="V129" s="123">
        <f t="shared" si="28"/>
        <v>0</v>
      </c>
      <c r="W129" s="123">
        <f>SUM($V$122:V129)</f>
        <v>0</v>
      </c>
      <c r="Y129" s="123">
        <f t="shared" si="29"/>
        <v>0</v>
      </c>
      <c r="Z129" s="123">
        <f>SUM($Y$122:Y129)</f>
        <v>0</v>
      </c>
      <c r="AB129" s="123"/>
      <c r="AE129" s="123"/>
      <c r="AG129" s="123"/>
      <c r="AH129" s="123"/>
    </row>
    <row r="130" spans="1:36" x14ac:dyDescent="0.2">
      <c r="A130" s="66">
        <v>44469</v>
      </c>
      <c r="B130" s="114">
        <f t="shared" si="24"/>
        <v>2021</v>
      </c>
      <c r="C130" s="124">
        <f t="shared" si="30"/>
        <v>10899.787570534068</v>
      </c>
      <c r="D130" s="124">
        <f t="shared" si="31"/>
        <v>831.34392864284928</v>
      </c>
      <c r="E130" s="124">
        <f t="shared" si="32"/>
        <v>94.253070055745866</v>
      </c>
      <c r="F130" s="124">
        <f t="shared" si="33"/>
        <v>60.872340122279397</v>
      </c>
      <c r="G130" s="124">
        <f t="shared" si="34"/>
        <v>2713.0879738123667</v>
      </c>
      <c r="H130" s="124">
        <f t="shared" si="35"/>
        <v>1</v>
      </c>
      <c r="I130" s="125">
        <f t="shared" si="36"/>
        <v>14600.344883167309</v>
      </c>
      <c r="K130" s="197">
        <f t="shared" si="37"/>
        <v>10931.287570534068</v>
      </c>
      <c r="L130" s="197">
        <f t="shared" si="38"/>
        <v>831.34392864284928</v>
      </c>
      <c r="M130" s="197">
        <f t="shared" si="39"/>
        <v>94.253070055745866</v>
      </c>
      <c r="N130" s="197">
        <f t="shared" si="40"/>
        <v>60.872340122279397</v>
      </c>
      <c r="O130" s="197">
        <f t="shared" si="41"/>
        <v>2713.0879738123667</v>
      </c>
      <c r="P130" s="197">
        <f t="shared" si="42"/>
        <v>1</v>
      </c>
      <c r="Q130" s="197">
        <f t="shared" si="43"/>
        <v>14631.844883167309</v>
      </c>
      <c r="S130" s="123">
        <f t="shared" si="27"/>
        <v>3.5</v>
      </c>
      <c r="T130" s="123">
        <f>SUM($S$122:S130)</f>
        <v>31.5</v>
      </c>
      <c r="V130" s="123">
        <f t="shared" si="28"/>
        <v>0</v>
      </c>
      <c r="W130" s="123">
        <f>SUM($V$122:V130)</f>
        <v>0</v>
      </c>
      <c r="Y130" s="123">
        <f t="shared" si="29"/>
        <v>0</v>
      </c>
      <c r="Z130" s="123">
        <f>SUM($Y$122:Y130)</f>
        <v>0</v>
      </c>
      <c r="AB130" s="123"/>
      <c r="AE130" s="123"/>
      <c r="AG130" s="123"/>
      <c r="AH130" s="123"/>
    </row>
    <row r="131" spans="1:36" x14ac:dyDescent="0.2">
      <c r="A131" s="66">
        <v>44500</v>
      </c>
      <c r="B131" s="114">
        <f t="shared" si="24"/>
        <v>2021</v>
      </c>
      <c r="C131" s="124">
        <f t="shared" si="30"/>
        <v>10909.110654852049</v>
      </c>
      <c r="D131" s="124">
        <f t="shared" si="31"/>
        <v>832.68395650085154</v>
      </c>
      <c r="E131" s="124">
        <f t="shared" si="32"/>
        <v>94.273432580767789</v>
      </c>
      <c r="F131" s="124">
        <f t="shared" si="33"/>
        <v>60.736724673541616</v>
      </c>
      <c r="G131" s="124">
        <f t="shared" si="34"/>
        <v>2714.8766147575234</v>
      </c>
      <c r="H131" s="124">
        <f t="shared" si="35"/>
        <v>1</v>
      </c>
      <c r="I131" s="125">
        <f t="shared" si="36"/>
        <v>14612.681383364732</v>
      </c>
      <c r="K131" s="197">
        <f t="shared" si="37"/>
        <v>10944.110654852049</v>
      </c>
      <c r="L131" s="197">
        <f t="shared" si="38"/>
        <v>832.68395650085154</v>
      </c>
      <c r="M131" s="197">
        <f t="shared" si="39"/>
        <v>94.273432580767789</v>
      </c>
      <c r="N131" s="197">
        <f t="shared" si="40"/>
        <v>60.736724673541616</v>
      </c>
      <c r="O131" s="197">
        <f t="shared" si="41"/>
        <v>2714.8766147575234</v>
      </c>
      <c r="P131" s="197">
        <f t="shared" si="42"/>
        <v>1</v>
      </c>
      <c r="Q131" s="197">
        <f t="shared" si="43"/>
        <v>14647.681383364732</v>
      </c>
      <c r="S131" s="123">
        <f t="shared" si="27"/>
        <v>3.5</v>
      </c>
      <c r="T131" s="123">
        <f>SUM($S$122:S131)</f>
        <v>35</v>
      </c>
      <c r="V131" s="123">
        <f t="shared" si="28"/>
        <v>0</v>
      </c>
      <c r="W131" s="123">
        <f>SUM($V$122:V131)</f>
        <v>0</v>
      </c>
      <c r="Y131" s="123">
        <f t="shared" si="29"/>
        <v>0</v>
      </c>
      <c r="Z131" s="123">
        <f>SUM($Y$122:Y131)</f>
        <v>0</v>
      </c>
      <c r="AB131" s="123"/>
      <c r="AE131" s="123"/>
      <c r="AG131" s="123"/>
      <c r="AH131" s="123"/>
      <c r="AI131" s="72"/>
      <c r="AJ131" s="72"/>
    </row>
    <row r="132" spans="1:36" x14ac:dyDescent="0.2">
      <c r="A132" s="66">
        <v>44530</v>
      </c>
      <c r="B132" s="114">
        <f t="shared" si="24"/>
        <v>2021</v>
      </c>
      <c r="C132" s="124">
        <f t="shared" si="30"/>
        <v>10918.441713628305</v>
      </c>
      <c r="D132" s="124">
        <f t="shared" si="31"/>
        <v>834.02614432490202</v>
      </c>
      <c r="E132" s="124">
        <f t="shared" si="32"/>
        <v>94.293799504929439</v>
      </c>
      <c r="F132" s="124">
        <f t="shared" si="33"/>
        <v>60.601411357922089</v>
      </c>
      <c r="G132" s="124">
        <f t="shared" si="34"/>
        <v>2716.6664348890763</v>
      </c>
      <c r="H132" s="124">
        <f t="shared" si="35"/>
        <v>1</v>
      </c>
      <c r="I132" s="125">
        <f t="shared" si="36"/>
        <v>14625.029503705133</v>
      </c>
      <c r="K132" s="197">
        <f t="shared" si="37"/>
        <v>10956.941713628305</v>
      </c>
      <c r="L132" s="197">
        <f t="shared" si="38"/>
        <v>834.02614432490202</v>
      </c>
      <c r="M132" s="197">
        <f t="shared" si="39"/>
        <v>94.293799504929439</v>
      </c>
      <c r="N132" s="197">
        <f t="shared" si="40"/>
        <v>60.601411357922089</v>
      </c>
      <c r="O132" s="197">
        <f t="shared" si="41"/>
        <v>2716.6664348890763</v>
      </c>
      <c r="P132" s="197">
        <f t="shared" si="42"/>
        <v>1</v>
      </c>
      <c r="Q132" s="197">
        <f t="shared" si="43"/>
        <v>14663.529503705133</v>
      </c>
      <c r="S132" s="123">
        <f t="shared" si="27"/>
        <v>3.5</v>
      </c>
      <c r="T132" s="123">
        <f>SUM($S$122:S132)</f>
        <v>38.5</v>
      </c>
      <c r="V132" s="123">
        <f t="shared" si="28"/>
        <v>0</v>
      </c>
      <c r="W132" s="123">
        <f>SUM($V$122:V132)</f>
        <v>0</v>
      </c>
      <c r="Y132" s="123">
        <f t="shared" si="29"/>
        <v>0</v>
      </c>
      <c r="Z132" s="123">
        <f>SUM($Y$122:Y132)</f>
        <v>0</v>
      </c>
      <c r="AB132" s="123"/>
      <c r="AE132" s="123"/>
      <c r="AG132" s="123"/>
      <c r="AH132" s="123"/>
    </row>
    <row r="133" spans="1:36" x14ac:dyDescent="0.2">
      <c r="A133" s="66">
        <v>44561</v>
      </c>
      <c r="B133" s="114">
        <f t="shared" si="24"/>
        <v>2021</v>
      </c>
      <c r="C133" s="124">
        <f t="shared" si="30"/>
        <v>10927.780753683754</v>
      </c>
      <c r="D133" s="124">
        <f t="shared" si="31"/>
        <v>835.37049559660989</v>
      </c>
      <c r="E133" s="124">
        <f t="shared" si="32"/>
        <v>94.314170829181208</v>
      </c>
      <c r="F133" s="124">
        <f t="shared" si="33"/>
        <v>60.466399502308555</v>
      </c>
      <c r="G133" s="124">
        <f t="shared" si="34"/>
        <v>2718.4574349844206</v>
      </c>
      <c r="H133" s="124">
        <f t="shared" si="35"/>
        <v>1</v>
      </c>
      <c r="I133" s="125">
        <f t="shared" si="36"/>
        <v>14637.389254596274</v>
      </c>
      <c r="K133" s="197">
        <f t="shared" si="37"/>
        <v>10969.780753683754</v>
      </c>
      <c r="L133" s="197">
        <f t="shared" si="38"/>
        <v>835.37049559660989</v>
      </c>
      <c r="M133" s="197">
        <f t="shared" si="39"/>
        <v>94.314170829181208</v>
      </c>
      <c r="N133" s="197">
        <f t="shared" si="40"/>
        <v>60.466399502308555</v>
      </c>
      <c r="O133" s="197">
        <f t="shared" si="41"/>
        <v>2718.4574349844206</v>
      </c>
      <c r="P133" s="197">
        <f t="shared" si="42"/>
        <v>1</v>
      </c>
      <c r="Q133" s="197">
        <f t="shared" si="43"/>
        <v>14679.389254596274</v>
      </c>
      <c r="S133" s="123">
        <f t="shared" si="27"/>
        <v>3.5</v>
      </c>
      <c r="T133" s="123">
        <f>SUM($S$122:S133)</f>
        <v>42</v>
      </c>
      <c r="V133" s="123">
        <f t="shared" si="28"/>
        <v>0</v>
      </c>
      <c r="W133" s="123">
        <f>SUM($V$122:V133)</f>
        <v>0</v>
      </c>
      <c r="Y133" s="123">
        <f t="shared" si="29"/>
        <v>0</v>
      </c>
      <c r="Z133" s="123">
        <f>SUM($Y$122:Y133)</f>
        <v>0</v>
      </c>
      <c r="AB133" s="123"/>
      <c r="AE133" s="123"/>
      <c r="AG133" s="123"/>
      <c r="AH133" s="123"/>
    </row>
    <row r="134" spans="1:36" x14ac:dyDescent="0.2">
      <c r="A134" s="66">
        <v>44592</v>
      </c>
      <c r="B134" s="114">
        <f t="shared" si="24"/>
        <v>2022</v>
      </c>
      <c r="C134" s="124">
        <v>10937.127781845144</v>
      </c>
      <c r="D134" s="124">
        <v>836.71701380319632</v>
      </c>
      <c r="E134" s="124">
        <v>94.334546554473675</v>
      </c>
      <c r="F134" s="124">
        <v>60.331688435088331</v>
      </c>
      <c r="G134" s="124">
        <v>2720.2496158214663</v>
      </c>
      <c r="H134" s="124">
        <f t="shared" si="35"/>
        <v>1</v>
      </c>
      <c r="I134" s="125">
        <f t="shared" si="36"/>
        <v>14649.760646459366</v>
      </c>
      <c r="K134" s="197">
        <f t="shared" si="37"/>
        <v>10997.961115178477</v>
      </c>
      <c r="L134" s="197">
        <f t="shared" si="38"/>
        <v>836.88368046986295</v>
      </c>
      <c r="M134" s="197">
        <f t="shared" si="39"/>
        <v>94.501213221140347</v>
      </c>
      <c r="N134" s="197">
        <f t="shared" si="40"/>
        <v>60.331688435088331</v>
      </c>
      <c r="O134" s="197">
        <f t="shared" si="41"/>
        <v>2720.2496158214663</v>
      </c>
      <c r="P134" s="197">
        <f t="shared" si="42"/>
        <v>1</v>
      </c>
      <c r="Q134" s="197">
        <f t="shared" si="43"/>
        <v>14710.927313126034</v>
      </c>
      <c r="S134" s="123">
        <f t="shared" ref="S134:S145" si="44">S$25/12</f>
        <v>18.833333333333332</v>
      </c>
      <c r="T134" s="123">
        <f>SUM($S$122:S134)</f>
        <v>60.833333333333329</v>
      </c>
      <c r="V134" s="123">
        <f t="shared" ref="V134:V145" si="45">V$25/12</f>
        <v>0.16666666666666666</v>
      </c>
      <c r="W134" s="123">
        <f>SUM($V$122:V134)</f>
        <v>0.16666666666666666</v>
      </c>
      <c r="Y134" s="123">
        <f t="shared" ref="Y134:Y145" si="46">Y$25/12</f>
        <v>0.16666666666666666</v>
      </c>
      <c r="Z134" s="123">
        <f>SUM($Y$122:Y134)</f>
        <v>0.16666666666666666</v>
      </c>
      <c r="AB134" s="123"/>
      <c r="AE134" s="123"/>
      <c r="AG134" s="123"/>
      <c r="AH134" s="123"/>
    </row>
    <row r="135" spans="1:36" x14ac:dyDescent="0.2">
      <c r="A135" s="66">
        <v>44620</v>
      </c>
      <c r="B135" s="114">
        <f t="shared" si="24"/>
        <v>2022</v>
      </c>
      <c r="C135" s="124">
        <f t="shared" ref="C135:C145" si="47">C134*$T$17</f>
        <v>10946.482804945072</v>
      </c>
      <c r="D135" s="124">
        <f t="shared" ref="D135:D145" si="48">D134*$W$17</f>
        <v>838.06570243750332</v>
      </c>
      <c r="E135" s="124">
        <f t="shared" ref="E135:E145" si="49">E134*$Z$17</f>
        <v>94.354926681757703</v>
      </c>
      <c r="F135" s="124">
        <f t="shared" ref="F135:F145" si="50">F134*$AC$17</f>
        <v>60.197277486145076</v>
      </c>
      <c r="G135" s="124">
        <f t="shared" ref="G135:G145" si="51">G134*$AF$17</f>
        <v>2722.0429781786283</v>
      </c>
      <c r="H135" s="124">
        <f t="shared" si="35"/>
        <v>1</v>
      </c>
      <c r="I135" s="125">
        <f t="shared" si="36"/>
        <v>14662.143689729104</v>
      </c>
      <c r="K135" s="197">
        <f t="shared" si="37"/>
        <v>11026.149471611738</v>
      </c>
      <c r="L135" s="197">
        <f t="shared" si="38"/>
        <v>838.39903577083669</v>
      </c>
      <c r="M135" s="197">
        <f t="shared" si="39"/>
        <v>94.688260015091032</v>
      </c>
      <c r="N135" s="197">
        <f t="shared" si="40"/>
        <v>60.197277486145076</v>
      </c>
      <c r="O135" s="197">
        <f t="shared" si="41"/>
        <v>2722.0429781786283</v>
      </c>
      <c r="P135" s="197">
        <f t="shared" si="42"/>
        <v>1</v>
      </c>
      <c r="Q135" s="197">
        <f t="shared" si="43"/>
        <v>14742.477023062438</v>
      </c>
      <c r="S135" s="123">
        <f t="shared" si="44"/>
        <v>18.833333333333332</v>
      </c>
      <c r="T135" s="123">
        <f>SUM($S$122:S135)</f>
        <v>79.666666666666657</v>
      </c>
      <c r="V135" s="123">
        <f t="shared" si="45"/>
        <v>0.16666666666666666</v>
      </c>
      <c r="W135" s="123">
        <f>SUM($V$122:V135)</f>
        <v>0.33333333333333331</v>
      </c>
      <c r="Y135" s="123">
        <f t="shared" si="46"/>
        <v>0.16666666666666666</v>
      </c>
      <c r="Z135" s="123">
        <f>SUM($Y$122:Y135)</f>
        <v>0.33333333333333331</v>
      </c>
      <c r="AB135" s="123"/>
      <c r="AE135" s="123"/>
      <c r="AG135" s="123"/>
      <c r="AH135" s="123"/>
    </row>
    <row r="136" spans="1:36" x14ac:dyDescent="0.2">
      <c r="A136" s="66">
        <v>44651</v>
      </c>
      <c r="B136" s="114">
        <f t="shared" si="24"/>
        <v>2022</v>
      </c>
      <c r="C136" s="124">
        <f t="shared" si="47"/>
        <v>10955.84582982197</v>
      </c>
      <c r="D136" s="124">
        <f t="shared" si="48"/>
        <v>839.4165649980032</v>
      </c>
      <c r="E136" s="124">
        <f t="shared" si="49"/>
        <v>94.375311211984283</v>
      </c>
      <c r="F136" s="124">
        <f t="shared" si="50"/>
        <v>60.063165986855296</v>
      </c>
      <c r="G136" s="124">
        <f t="shared" si="51"/>
        <v>2723.8375228348432</v>
      </c>
      <c r="H136" s="124">
        <f t="shared" si="35"/>
        <v>1</v>
      </c>
      <c r="I136" s="125">
        <f t="shared" si="36"/>
        <v>14674.538394853656</v>
      </c>
      <c r="K136" s="197">
        <f t="shared" si="37"/>
        <v>11054.34582982197</v>
      </c>
      <c r="L136" s="197">
        <f t="shared" si="38"/>
        <v>839.9165649980032</v>
      </c>
      <c r="M136" s="197">
        <f t="shared" si="39"/>
        <v>94.875311211984283</v>
      </c>
      <c r="N136" s="197">
        <f t="shared" si="40"/>
        <v>60.063165986855296</v>
      </c>
      <c r="O136" s="197">
        <f t="shared" si="41"/>
        <v>2723.8375228348432</v>
      </c>
      <c r="P136" s="197">
        <f t="shared" si="42"/>
        <v>1</v>
      </c>
      <c r="Q136" s="197">
        <f t="shared" si="43"/>
        <v>14774.038394853656</v>
      </c>
      <c r="S136" s="123">
        <f t="shared" si="44"/>
        <v>18.833333333333332</v>
      </c>
      <c r="T136" s="123">
        <f>SUM($S$122:S136)</f>
        <v>98.499999999999986</v>
      </c>
      <c r="V136" s="123">
        <f t="shared" si="45"/>
        <v>0.16666666666666666</v>
      </c>
      <c r="W136" s="123">
        <f>SUM($V$122:V136)</f>
        <v>0.5</v>
      </c>
      <c r="Y136" s="123">
        <f t="shared" si="46"/>
        <v>0.16666666666666666</v>
      </c>
      <c r="Z136" s="123">
        <f>SUM($Y$122:Y136)</f>
        <v>0.5</v>
      </c>
      <c r="AB136" s="123"/>
      <c r="AE136" s="123"/>
      <c r="AG136" s="123"/>
      <c r="AH136" s="123"/>
    </row>
    <row r="137" spans="1:36" x14ac:dyDescent="0.2">
      <c r="A137" s="66">
        <v>44681</v>
      </c>
      <c r="B137" s="114">
        <f t="shared" si="24"/>
        <v>2022</v>
      </c>
      <c r="C137" s="124">
        <f t="shared" si="47"/>
        <v>10965.216863320122</v>
      </c>
      <c r="D137" s="124">
        <f t="shared" si="48"/>
        <v>840.76960498880726</v>
      </c>
      <c r="E137" s="124">
        <f t="shared" si="49"/>
        <v>94.395700146104616</v>
      </c>
      <c r="F137" s="124">
        <f t="shared" si="50"/>
        <v>59.929353270085144</v>
      </c>
      <c r="G137" s="124">
        <f t="shared" si="51"/>
        <v>2725.6332505695582</v>
      </c>
      <c r="H137" s="124">
        <f t="shared" si="35"/>
        <v>1</v>
      </c>
      <c r="I137" s="125">
        <f t="shared" si="36"/>
        <v>14686.944772294675</v>
      </c>
      <c r="K137" s="197">
        <f t="shared" si="37"/>
        <v>11082.550196653456</v>
      </c>
      <c r="L137" s="197">
        <f t="shared" si="38"/>
        <v>841.43627165547389</v>
      </c>
      <c r="M137" s="197">
        <f t="shared" si="39"/>
        <v>95.062366812771288</v>
      </c>
      <c r="N137" s="197">
        <f t="shared" si="40"/>
        <v>59.929353270085144</v>
      </c>
      <c r="O137" s="197">
        <f t="shared" si="41"/>
        <v>2725.6332505695582</v>
      </c>
      <c r="P137" s="197">
        <f t="shared" si="42"/>
        <v>1</v>
      </c>
      <c r="Q137" s="197">
        <f t="shared" si="43"/>
        <v>14805.611438961343</v>
      </c>
      <c r="S137" s="123">
        <f t="shared" si="44"/>
        <v>18.833333333333332</v>
      </c>
      <c r="T137" s="123">
        <f>SUM($S$122:S137)</f>
        <v>117.33333333333331</v>
      </c>
      <c r="V137" s="123">
        <f t="shared" si="45"/>
        <v>0.16666666666666666</v>
      </c>
      <c r="W137" s="123">
        <f>SUM($V$122:V137)</f>
        <v>0.66666666666666663</v>
      </c>
      <c r="Y137" s="123">
        <f t="shared" si="46"/>
        <v>0.16666666666666666</v>
      </c>
      <c r="Z137" s="123">
        <f>SUM($Y$122:Y137)</f>
        <v>0.66666666666666663</v>
      </c>
      <c r="AB137" s="123"/>
      <c r="AE137" s="123"/>
      <c r="AG137" s="123"/>
      <c r="AH137" s="123"/>
    </row>
    <row r="138" spans="1:36" x14ac:dyDescent="0.2">
      <c r="A138" s="66">
        <v>44712</v>
      </c>
      <c r="B138" s="114">
        <f t="shared" si="24"/>
        <v>2022</v>
      </c>
      <c r="C138" s="124">
        <f t="shared" si="47"/>
        <v>10974.595912289666</v>
      </c>
      <c r="D138" s="124">
        <f t="shared" si="48"/>
        <v>842.124825919675</v>
      </c>
      <c r="E138" s="124">
        <f t="shared" si="49"/>
        <v>94.416093485070121</v>
      </c>
      <c r="F138" s="124">
        <f t="shared" si="50"/>
        <v>59.795838670187038</v>
      </c>
      <c r="G138" s="124">
        <f t="shared" si="51"/>
        <v>2727.4301621627337</v>
      </c>
      <c r="H138" s="124">
        <f t="shared" si="35"/>
        <v>1</v>
      </c>
      <c r="I138" s="125">
        <f t="shared" si="36"/>
        <v>14699.362832527331</v>
      </c>
      <c r="K138" s="197">
        <f t="shared" si="37"/>
        <v>11110.762578956332</v>
      </c>
      <c r="L138" s="197">
        <f t="shared" si="38"/>
        <v>842.95815925300838</v>
      </c>
      <c r="M138" s="197">
        <f t="shared" si="39"/>
        <v>95.24942681840345</v>
      </c>
      <c r="N138" s="197">
        <f t="shared" si="40"/>
        <v>59.795838670187038</v>
      </c>
      <c r="O138" s="197">
        <f t="shared" si="41"/>
        <v>2727.4301621627337</v>
      </c>
      <c r="P138" s="197">
        <f t="shared" si="42"/>
        <v>1</v>
      </c>
      <c r="Q138" s="197">
        <f t="shared" si="43"/>
        <v>14837.196165860663</v>
      </c>
      <c r="S138" s="123">
        <f t="shared" si="44"/>
        <v>18.833333333333332</v>
      </c>
      <c r="T138" s="123">
        <f>SUM($S$122:S138)</f>
        <v>136.16666666666666</v>
      </c>
      <c r="V138" s="123">
        <f t="shared" si="45"/>
        <v>0.16666666666666666</v>
      </c>
      <c r="W138" s="123">
        <f>SUM($V$122:V138)</f>
        <v>0.83333333333333326</v>
      </c>
      <c r="Y138" s="123">
        <f t="shared" si="46"/>
        <v>0.16666666666666666</v>
      </c>
      <c r="Z138" s="123">
        <f>SUM($Y$122:Y138)</f>
        <v>0.83333333333333326</v>
      </c>
      <c r="AB138" s="123"/>
      <c r="AE138" s="123"/>
      <c r="AG138" s="123"/>
      <c r="AH138" s="123"/>
    </row>
    <row r="139" spans="1:36" x14ac:dyDescent="0.2">
      <c r="A139" s="66">
        <v>44742</v>
      </c>
      <c r="B139" s="114">
        <f t="shared" si="24"/>
        <v>2022</v>
      </c>
      <c r="C139" s="124">
        <f>C138*$T$17</f>
        <v>10983.982983586598</v>
      </c>
      <c r="D139" s="124">
        <f t="shared" si="48"/>
        <v>843.48223130602321</v>
      </c>
      <c r="E139" s="124">
        <f t="shared" si="49"/>
        <v>94.436491229832441</v>
      </c>
      <c r="F139" s="124">
        <f t="shared" si="50"/>
        <v>59.662621522996382</v>
      </c>
      <c r="G139" s="124">
        <f t="shared" si="51"/>
        <v>2729.2282583948454</v>
      </c>
      <c r="H139" s="124">
        <f t="shared" si="35"/>
        <v>1</v>
      </c>
      <c r="I139" s="125">
        <f t="shared" si="36"/>
        <v>14711.792586040297</v>
      </c>
      <c r="K139" s="197">
        <f t="shared" si="37"/>
        <v>11138.982983586598</v>
      </c>
      <c r="L139" s="197">
        <f t="shared" si="38"/>
        <v>844.48223130602321</v>
      </c>
      <c r="M139" s="197">
        <f t="shared" si="39"/>
        <v>95.436491229832441</v>
      </c>
      <c r="N139" s="197">
        <f t="shared" si="40"/>
        <v>59.662621522996382</v>
      </c>
      <c r="O139" s="197">
        <f t="shared" si="41"/>
        <v>2729.2282583948454</v>
      </c>
      <c r="P139" s="197">
        <f t="shared" si="42"/>
        <v>1</v>
      </c>
      <c r="Q139" s="197">
        <f t="shared" si="43"/>
        <v>14868.792586040297</v>
      </c>
      <c r="S139" s="123">
        <f t="shared" si="44"/>
        <v>18.833333333333332</v>
      </c>
      <c r="T139" s="123">
        <f>SUM($S$122:S139)</f>
        <v>155</v>
      </c>
      <c r="V139" s="123">
        <f t="shared" si="45"/>
        <v>0.16666666666666666</v>
      </c>
      <c r="W139" s="123">
        <f>SUM($V$122:V139)</f>
        <v>0.99999999999999989</v>
      </c>
      <c r="Y139" s="123">
        <f t="shared" si="46"/>
        <v>0.16666666666666666</v>
      </c>
      <c r="Z139" s="123">
        <f>SUM($Y$122:Y139)</f>
        <v>0.99999999999999989</v>
      </c>
      <c r="AB139" s="123"/>
      <c r="AE139" s="123"/>
      <c r="AG139" s="123"/>
      <c r="AH139" s="123"/>
    </row>
    <row r="140" spans="1:36" x14ac:dyDescent="0.2">
      <c r="A140" s="66">
        <v>44773</v>
      </c>
      <c r="B140" s="114">
        <f t="shared" si="24"/>
        <v>2022</v>
      </c>
      <c r="C140" s="124">
        <f t="shared" si="47"/>
        <v>10993.378084072783</v>
      </c>
      <c r="D140" s="124">
        <f t="shared" si="48"/>
        <v>844.84182466893515</v>
      </c>
      <c r="E140" s="124">
        <f t="shared" si="49"/>
        <v>94.456893381343392</v>
      </c>
      <c r="F140" s="124">
        <f t="shared" si="50"/>
        <v>59.52970116582825</v>
      </c>
      <c r="G140" s="124">
        <f t="shared" si="51"/>
        <v>2731.0275400468827</v>
      </c>
      <c r="H140" s="124">
        <f t="shared" si="35"/>
        <v>1</v>
      </c>
      <c r="I140" s="125">
        <f t="shared" si="36"/>
        <v>14724.234043335771</v>
      </c>
      <c r="K140" s="197">
        <f t="shared" si="37"/>
        <v>11167.211417406117</v>
      </c>
      <c r="L140" s="197">
        <f t="shared" si="38"/>
        <v>846.00849133560178</v>
      </c>
      <c r="M140" s="197">
        <f t="shared" si="39"/>
        <v>95.623560048010063</v>
      </c>
      <c r="N140" s="197">
        <f t="shared" si="40"/>
        <v>59.52970116582825</v>
      </c>
      <c r="O140" s="197">
        <f t="shared" si="41"/>
        <v>2731.0275400468827</v>
      </c>
      <c r="P140" s="197">
        <f t="shared" si="42"/>
        <v>1</v>
      </c>
      <c r="Q140" s="197">
        <f t="shared" si="43"/>
        <v>14900.400710002439</v>
      </c>
      <c r="S140" s="123">
        <f t="shared" si="44"/>
        <v>18.833333333333332</v>
      </c>
      <c r="T140" s="123">
        <f>SUM($S$122:S140)</f>
        <v>173.83333333333334</v>
      </c>
      <c r="V140" s="123">
        <f t="shared" si="45"/>
        <v>0.16666666666666666</v>
      </c>
      <c r="W140" s="123">
        <f>SUM($V$122:V140)</f>
        <v>1.1666666666666665</v>
      </c>
      <c r="Y140" s="123">
        <f t="shared" si="46"/>
        <v>0.16666666666666666</v>
      </c>
      <c r="Z140" s="123">
        <f>SUM($Y$122:Y140)</f>
        <v>1.1666666666666665</v>
      </c>
      <c r="AB140" s="123"/>
      <c r="AE140" s="123"/>
      <c r="AG140" s="123"/>
      <c r="AH140" s="123"/>
    </row>
    <row r="141" spans="1:36" x14ac:dyDescent="0.2">
      <c r="A141" s="66">
        <v>44804</v>
      </c>
      <c r="B141" s="114">
        <f t="shared" si="24"/>
        <v>2022</v>
      </c>
      <c r="C141" s="124">
        <f t="shared" si="47"/>
        <v>11002.781220615951</v>
      </c>
      <c r="D141" s="124">
        <f t="shared" si="48"/>
        <v>846.20360953516979</v>
      </c>
      <c r="E141" s="124">
        <f t="shared" si="49"/>
        <v>94.477299940555014</v>
      </c>
      <c r="F141" s="124">
        <f t="shared" si="50"/>
        <v>59.397076937474083</v>
      </c>
      <c r="G141" s="124">
        <f t="shared" si="51"/>
        <v>2732.8280079003503</v>
      </c>
      <c r="H141" s="124">
        <f t="shared" si="35"/>
        <v>1</v>
      </c>
      <c r="I141" s="125">
        <f t="shared" si="36"/>
        <v>14736.687214929501</v>
      </c>
      <c r="K141" s="197">
        <f t="shared" si="37"/>
        <v>11195.447887282617</v>
      </c>
      <c r="L141" s="197">
        <f t="shared" si="38"/>
        <v>847.53694286850316</v>
      </c>
      <c r="M141" s="197">
        <f t="shared" si="39"/>
        <v>95.810633273888342</v>
      </c>
      <c r="N141" s="197">
        <f t="shared" si="40"/>
        <v>59.397076937474083</v>
      </c>
      <c r="O141" s="197">
        <f t="shared" si="41"/>
        <v>2732.8280079003503</v>
      </c>
      <c r="P141" s="197">
        <f t="shared" si="42"/>
        <v>1</v>
      </c>
      <c r="Q141" s="197">
        <f t="shared" si="43"/>
        <v>14932.020548262832</v>
      </c>
      <c r="S141" s="123">
        <f t="shared" si="44"/>
        <v>18.833333333333332</v>
      </c>
      <c r="T141" s="123">
        <f>SUM($S$122:S141)</f>
        <v>192.66666666666669</v>
      </c>
      <c r="V141" s="123">
        <f t="shared" si="45"/>
        <v>0.16666666666666666</v>
      </c>
      <c r="W141" s="123">
        <f>SUM($V$122:V141)</f>
        <v>1.3333333333333333</v>
      </c>
      <c r="Y141" s="123">
        <f t="shared" si="46"/>
        <v>0.16666666666666666</v>
      </c>
      <c r="Z141" s="123">
        <f>SUM($Y$122:Y141)</f>
        <v>1.3333333333333333</v>
      </c>
      <c r="AB141" s="123"/>
      <c r="AE141" s="123"/>
      <c r="AG141" s="123"/>
      <c r="AH141" s="123"/>
    </row>
    <row r="142" spans="1:36" x14ac:dyDescent="0.2">
      <c r="A142" s="66">
        <v>44834</v>
      </c>
      <c r="B142" s="114">
        <f t="shared" si="24"/>
        <v>2022</v>
      </c>
      <c r="C142" s="124">
        <f t="shared" si="47"/>
        <v>11012.192400089705</v>
      </c>
      <c r="D142" s="124">
        <f t="shared" si="48"/>
        <v>847.56758943717057</v>
      </c>
      <c r="E142" s="124">
        <f t="shared" si="49"/>
        <v>94.497710908419563</v>
      </c>
      <c r="F142" s="124">
        <f t="shared" si="50"/>
        <v>59.26474817819841</v>
      </c>
      <c r="G142" s="124">
        <f t="shared" si="51"/>
        <v>2734.6296627372676</v>
      </c>
      <c r="H142" s="124">
        <f t="shared" si="35"/>
        <v>1</v>
      </c>
      <c r="I142" s="125">
        <f t="shared" si="36"/>
        <v>14749.152111350762</v>
      </c>
      <c r="K142" s="197">
        <f t="shared" si="37"/>
        <v>11223.692400089705</v>
      </c>
      <c r="L142" s="197">
        <f t="shared" si="38"/>
        <v>849.06758943717057</v>
      </c>
      <c r="M142" s="197">
        <f t="shared" si="39"/>
        <v>95.997710908419563</v>
      </c>
      <c r="N142" s="197">
        <f t="shared" si="40"/>
        <v>59.26474817819841</v>
      </c>
      <c r="O142" s="197">
        <f t="shared" si="41"/>
        <v>2734.6296627372676</v>
      </c>
      <c r="P142" s="197">
        <f t="shared" si="42"/>
        <v>1</v>
      </c>
      <c r="Q142" s="197">
        <f t="shared" si="43"/>
        <v>14963.652111350762</v>
      </c>
      <c r="S142" s="123">
        <f t="shared" si="44"/>
        <v>18.833333333333332</v>
      </c>
      <c r="T142" s="123">
        <f>SUM($S$122:S142)</f>
        <v>211.50000000000003</v>
      </c>
      <c r="V142" s="123">
        <f t="shared" si="45"/>
        <v>0.16666666666666666</v>
      </c>
      <c r="W142" s="123">
        <f>SUM($V$122:V142)</f>
        <v>1.5</v>
      </c>
      <c r="Y142" s="123">
        <f t="shared" si="46"/>
        <v>0.16666666666666666</v>
      </c>
      <c r="Z142" s="123">
        <f>SUM($Y$122:Y142)</f>
        <v>1.5</v>
      </c>
      <c r="AB142" s="123"/>
      <c r="AE142" s="123"/>
      <c r="AG142" s="123"/>
      <c r="AH142" s="123"/>
    </row>
    <row r="143" spans="1:36" x14ac:dyDescent="0.2">
      <c r="A143" s="66">
        <v>44865</v>
      </c>
      <c r="B143" s="114">
        <f t="shared" si="24"/>
        <v>2022</v>
      </c>
      <c r="C143" s="124">
        <f t="shared" si="47"/>
        <v>11021.61162937353</v>
      </c>
      <c r="D143" s="124">
        <f t="shared" si="48"/>
        <v>848.93376791307492</v>
      </c>
      <c r="E143" s="124">
        <f t="shared" si="49"/>
        <v>94.51812628588948</v>
      </c>
      <c r="F143" s="124">
        <f t="shared" si="50"/>
        <v>59.132714229735562</v>
      </c>
      <c r="G143" s="124">
        <f t="shared" si="51"/>
        <v>2736.4325053401703</v>
      </c>
      <c r="H143" s="124">
        <f t="shared" si="35"/>
        <v>1</v>
      </c>
      <c r="I143" s="125">
        <f t="shared" si="36"/>
        <v>14761.628743142401</v>
      </c>
      <c r="K143" s="197">
        <f t="shared" si="37"/>
        <v>11251.944962706864</v>
      </c>
      <c r="L143" s="197">
        <f t="shared" si="38"/>
        <v>850.60043457974155</v>
      </c>
      <c r="M143" s="197">
        <f t="shared" si="39"/>
        <v>96.184792952556151</v>
      </c>
      <c r="N143" s="197">
        <f t="shared" si="40"/>
        <v>59.132714229735562</v>
      </c>
      <c r="O143" s="197">
        <f t="shared" si="41"/>
        <v>2736.4325053401703</v>
      </c>
      <c r="P143" s="197">
        <f t="shared" si="42"/>
        <v>1</v>
      </c>
      <c r="Q143" s="197">
        <f t="shared" si="43"/>
        <v>14995.295409809067</v>
      </c>
      <c r="S143" s="123">
        <f t="shared" si="44"/>
        <v>18.833333333333332</v>
      </c>
      <c r="T143" s="123">
        <f>SUM($S$122:S143)</f>
        <v>230.33333333333337</v>
      </c>
      <c r="V143" s="123">
        <f t="shared" si="45"/>
        <v>0.16666666666666666</v>
      </c>
      <c r="W143" s="123">
        <f>SUM($V$122:V143)</f>
        <v>1.6666666666666667</v>
      </c>
      <c r="Y143" s="123">
        <f t="shared" si="46"/>
        <v>0.16666666666666666</v>
      </c>
      <c r="Z143" s="123">
        <f>SUM($Y$122:Y143)</f>
        <v>1.6666666666666667</v>
      </c>
      <c r="AB143" s="123"/>
      <c r="AE143" s="123"/>
      <c r="AG143" s="123"/>
      <c r="AH143" s="123"/>
    </row>
    <row r="144" spans="1:36" x14ac:dyDescent="0.2">
      <c r="A144" s="66">
        <v>44895</v>
      </c>
      <c r="B144" s="114">
        <f t="shared" si="24"/>
        <v>2022</v>
      </c>
      <c r="C144" s="124">
        <f t="shared" si="47"/>
        <v>11031.038915352798</v>
      </c>
      <c r="D144" s="124">
        <f t="shared" si="48"/>
        <v>850.30214850672337</v>
      </c>
      <c r="E144" s="124">
        <f t="shared" si="49"/>
        <v>94.538546073917431</v>
      </c>
      <c r="F144" s="124">
        <f t="shared" si="50"/>
        <v>59.000974435286402</v>
      </c>
      <c r="G144" s="124">
        <f t="shared" si="51"/>
        <v>2738.2365364921093</v>
      </c>
      <c r="H144" s="124">
        <f t="shared" si="35"/>
        <v>1</v>
      </c>
      <c r="I144" s="125">
        <f t="shared" si="36"/>
        <v>14774.117120860836</v>
      </c>
      <c r="K144" s="197">
        <f t="shared" si="37"/>
        <v>11280.205582019464</v>
      </c>
      <c r="L144" s="197">
        <f t="shared" si="38"/>
        <v>852.13548184005674</v>
      </c>
      <c r="M144" s="197">
        <f t="shared" si="39"/>
        <v>96.371879407250759</v>
      </c>
      <c r="N144" s="197">
        <f t="shared" si="40"/>
        <v>59.000974435286402</v>
      </c>
      <c r="O144" s="197">
        <f t="shared" si="41"/>
        <v>2738.2365364921093</v>
      </c>
      <c r="P144" s="197">
        <f t="shared" si="42"/>
        <v>1</v>
      </c>
      <c r="Q144" s="197">
        <f t="shared" si="43"/>
        <v>15026.950454194166</v>
      </c>
      <c r="S144" s="123">
        <f t="shared" si="44"/>
        <v>18.833333333333332</v>
      </c>
      <c r="T144" s="123">
        <f>SUM($S$122:S144)</f>
        <v>249.16666666666671</v>
      </c>
      <c r="V144" s="123">
        <f t="shared" si="45"/>
        <v>0.16666666666666666</v>
      </c>
      <c r="W144" s="123">
        <f>SUM($V$122:V144)</f>
        <v>1.8333333333333335</v>
      </c>
      <c r="Y144" s="123">
        <f t="shared" si="46"/>
        <v>0.16666666666666666</v>
      </c>
      <c r="Z144" s="123">
        <f>SUM($Y$122:Y144)</f>
        <v>1.8333333333333335</v>
      </c>
      <c r="AB144" s="123"/>
      <c r="AE144" s="123"/>
      <c r="AG144" s="123"/>
      <c r="AH144" s="123"/>
    </row>
    <row r="145" spans="1:34" x14ac:dyDescent="0.2">
      <c r="A145" s="66">
        <v>44926</v>
      </c>
      <c r="B145" s="114">
        <f t="shared" si="24"/>
        <v>2022</v>
      </c>
      <c r="C145" s="124">
        <f t="shared" si="47"/>
        <v>11040.474264918763</v>
      </c>
      <c r="D145" s="124">
        <f t="shared" si="48"/>
        <v>851.67273476766866</v>
      </c>
      <c r="E145" s="124">
        <f t="shared" si="49"/>
        <v>94.558970273456268</v>
      </c>
      <c r="F145" s="124">
        <f t="shared" si="50"/>
        <v>58.869528139515047</v>
      </c>
      <c r="G145" s="124">
        <f t="shared" si="51"/>
        <v>2740.0417569766523</v>
      </c>
      <c r="H145" s="124">
        <f t="shared" si="35"/>
        <v>1</v>
      </c>
      <c r="I145" s="125">
        <f t="shared" si="36"/>
        <v>14786.617255076055</v>
      </c>
      <c r="K145" s="197">
        <f t="shared" si="37"/>
        <v>11308.474264918763</v>
      </c>
      <c r="L145" s="197">
        <f t="shared" si="38"/>
        <v>853.67273476766866</v>
      </c>
      <c r="M145" s="197">
        <f t="shared" si="39"/>
        <v>96.558970273456268</v>
      </c>
      <c r="N145" s="197">
        <f t="shared" si="40"/>
        <v>58.869528139515047</v>
      </c>
      <c r="O145" s="197">
        <f t="shared" si="41"/>
        <v>2740.0417569766523</v>
      </c>
      <c r="P145" s="197">
        <f t="shared" si="42"/>
        <v>1</v>
      </c>
      <c r="Q145" s="197">
        <f t="shared" si="43"/>
        <v>15058.617255076055</v>
      </c>
      <c r="S145" s="123">
        <f t="shared" si="44"/>
        <v>18.833333333333332</v>
      </c>
      <c r="T145" s="123">
        <f>SUM($S$122:S145)</f>
        <v>268.00000000000006</v>
      </c>
      <c r="V145" s="123">
        <f t="shared" si="45"/>
        <v>0.16666666666666666</v>
      </c>
      <c r="W145" s="123">
        <f>SUM($V$122:V145)</f>
        <v>2</v>
      </c>
      <c r="Y145" s="123">
        <f t="shared" si="46"/>
        <v>0.16666666666666666</v>
      </c>
      <c r="Z145" s="123">
        <f>SUM($Y$122:Y145)</f>
        <v>2</v>
      </c>
      <c r="AB145" s="123"/>
      <c r="AE145" s="123"/>
      <c r="AG145" s="123"/>
      <c r="AH145" s="123"/>
    </row>
    <row r="146" spans="1:34" x14ac:dyDescent="0.2">
      <c r="T146" s="123"/>
    </row>
    <row r="147" spans="1:34" x14ac:dyDescent="0.2">
      <c r="B147" s="55" t="s">
        <v>213</v>
      </c>
      <c r="C147" s="71"/>
    </row>
    <row r="148" spans="1:34" x14ac:dyDescent="0.2">
      <c r="C148" s="193" t="s">
        <v>205</v>
      </c>
      <c r="D148" s="71"/>
      <c r="E148" s="71"/>
      <c r="F148" s="71"/>
      <c r="G148" s="71"/>
      <c r="H148" s="71"/>
      <c r="I148" s="71"/>
      <c r="Q148">
        <v>2021</v>
      </c>
      <c r="T148" s="123">
        <f>AVERAGE(T122:T133)</f>
        <v>22.75</v>
      </c>
      <c r="W148" s="123">
        <f>AVERAGE(W122:W133)</f>
        <v>0</v>
      </c>
      <c r="Z148" s="123">
        <f>AVERAGE(Z122:Z133)</f>
        <v>0</v>
      </c>
    </row>
    <row r="149" spans="1:34" x14ac:dyDescent="0.2">
      <c r="Q149">
        <v>2022</v>
      </c>
      <c r="T149" s="123">
        <f>AVERAGE(T134:T145)</f>
        <v>164.41666666666669</v>
      </c>
      <c r="W149" s="123">
        <f>AVERAGE(W134:W145)</f>
        <v>1.0833333333333333</v>
      </c>
      <c r="Z149" s="123">
        <f>AVERAGE(Z134:Z145)</f>
        <v>1.0833333333333333</v>
      </c>
    </row>
    <row r="150" spans="1:34" x14ac:dyDescent="0.2">
      <c r="K150" s="71"/>
    </row>
  </sheetData>
  <mergeCells count="2">
    <mergeCell ref="K120:M120"/>
    <mergeCell ref="S120:Z120"/>
  </mergeCells>
  <pageMargins left="0.7" right="0.7" top="0.75" bottom="0.75" header="0.3" footer="0.3"/>
  <ignoredErrors>
    <ignoredError sqref="I50 I51:I109 I26:I49 I2:I25" formulaRange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J62"/>
  <sheetViews>
    <sheetView workbookViewId="0">
      <selection activeCell="I25" sqref="I25"/>
    </sheetView>
  </sheetViews>
  <sheetFormatPr defaultRowHeight="12.75" x14ac:dyDescent="0.2"/>
  <cols>
    <col min="1" max="1" width="11" customWidth="1"/>
    <col min="2" max="2" width="15" style="6" customWidth="1"/>
    <col min="3" max="3" width="14.140625" style="6" bestFit="1" customWidth="1"/>
    <col min="4" max="4" width="17.85546875" style="6" bestFit="1" customWidth="1"/>
    <col min="5" max="5" width="12.5703125" style="6" customWidth="1"/>
    <col min="6" max="6" width="11.42578125" style="6" customWidth="1"/>
    <col min="7" max="7" width="14.140625" style="6" customWidth="1"/>
    <col min="8" max="8" width="11.5703125" customWidth="1"/>
    <col min="9" max="9" width="12.5703125" bestFit="1" customWidth="1"/>
    <col min="10" max="10" width="12.5703125" customWidth="1"/>
    <col min="11" max="11" width="12.5703125" bestFit="1" customWidth="1"/>
    <col min="12" max="12" width="11.5703125" bestFit="1" customWidth="1"/>
    <col min="13" max="15" width="11.5703125" customWidth="1"/>
    <col min="16" max="16" width="10.5703125" bestFit="1" customWidth="1"/>
    <col min="17" max="18" width="9.140625" customWidth="1"/>
  </cols>
  <sheetData>
    <row r="1" spans="1:10" x14ac:dyDescent="0.2">
      <c r="B1" s="319" t="s">
        <v>64</v>
      </c>
      <c r="C1" s="320"/>
      <c r="D1" s="320"/>
      <c r="E1" s="320"/>
      <c r="F1" s="320"/>
      <c r="G1" s="320"/>
    </row>
    <row r="2" spans="1:10" ht="25.5" x14ac:dyDescent="0.2">
      <c r="B2" s="9" t="str">
        <f>'Rate Class Energy Model'!J2</f>
        <v xml:space="preserve">Residential </v>
      </c>
      <c r="C2" s="9" t="str">
        <f>'Rate Class Energy Model'!K2</f>
        <v>General Service &lt; 50 kW Adj</v>
      </c>
      <c r="D2" s="9" t="str">
        <f>'Rate Class Energy Model'!L2</f>
        <v>General Service &gt; 50 to 4,999 kW Adj</v>
      </c>
      <c r="E2" s="9" t="str">
        <f>'Rate Class Energy Model'!M2</f>
        <v>Street Lights</v>
      </c>
      <c r="F2" s="9" t="str">
        <f>'Rate Class Energy Model'!N2</f>
        <v xml:space="preserve">Unmetered Loads </v>
      </c>
      <c r="G2" s="9" t="str">
        <f>'Rate Class Energy Model'!O2</f>
        <v>Embedded Distributor</v>
      </c>
      <c r="H2" s="60" t="s">
        <v>12</v>
      </c>
    </row>
    <row r="3" spans="1:10" x14ac:dyDescent="0.2">
      <c r="A3" s="4">
        <v>2011</v>
      </c>
      <c r="B3" s="51">
        <f>'Customer Count'!S2</f>
        <v>9368.5416666666697</v>
      </c>
      <c r="C3" s="51">
        <f>'Customer Count'!V2</f>
        <v>682.5</v>
      </c>
      <c r="D3" s="51">
        <f>'Customer Count'!Y2</f>
        <v>91.791666666666629</v>
      </c>
      <c r="E3" s="51">
        <f>'Customer Count'!AE2</f>
        <v>2502.6666666666665</v>
      </c>
      <c r="F3" s="51">
        <f>'Customer Count'!AB2</f>
        <v>80</v>
      </c>
      <c r="G3" s="51">
        <f>'Customer Count'!AH2</f>
        <v>0</v>
      </c>
      <c r="H3" s="73">
        <f t="shared" ref="H3:H14" si="0">SUM(B3:G3)</f>
        <v>12725.500000000002</v>
      </c>
    </row>
    <row r="4" spans="1:10" x14ac:dyDescent="0.2">
      <c r="A4" s="4">
        <v>2012</v>
      </c>
      <c r="B4" s="51">
        <f>'Customer Count'!S3</f>
        <v>9643</v>
      </c>
      <c r="C4" s="51">
        <f>'Customer Count'!V3</f>
        <v>700.41666666666663</v>
      </c>
      <c r="D4" s="51">
        <f>'Customer Count'!Y3</f>
        <v>93.916666666666671</v>
      </c>
      <c r="E4" s="51">
        <f>'Customer Count'!AE3</f>
        <v>2549.1666666666665</v>
      </c>
      <c r="F4" s="51">
        <f>'Customer Count'!AB3</f>
        <v>77.583333333333329</v>
      </c>
      <c r="G4" s="51">
        <f>'Customer Count'!AH3</f>
        <v>0</v>
      </c>
      <c r="H4" s="73">
        <f t="shared" si="0"/>
        <v>13064.083333333332</v>
      </c>
    </row>
    <row r="5" spans="1:10" x14ac:dyDescent="0.2">
      <c r="A5" s="4">
        <v>2013</v>
      </c>
      <c r="B5" s="51">
        <f>'Customer Count'!S4</f>
        <v>9715.7916666666661</v>
      </c>
      <c r="C5" s="51">
        <f>'Customer Count'!V4</f>
        <v>704.66666666666663</v>
      </c>
      <c r="D5" s="51">
        <f>'Customer Count'!Y4</f>
        <v>96.166666666666671</v>
      </c>
      <c r="E5" s="51">
        <f>'Customer Count'!AE4</f>
        <v>2609.25</v>
      </c>
      <c r="F5" s="51">
        <f>'Customer Count'!AB4</f>
        <v>75.666666666666671</v>
      </c>
      <c r="G5" s="51">
        <f>'Customer Count'!AH4</f>
        <v>0</v>
      </c>
      <c r="H5" s="73">
        <f t="shared" si="0"/>
        <v>13201.541666666664</v>
      </c>
    </row>
    <row r="6" spans="1:10" x14ac:dyDescent="0.2">
      <c r="A6" s="4">
        <v>2014</v>
      </c>
      <c r="B6" s="51">
        <f>'Customer Count'!S5</f>
        <v>9960.7083333333339</v>
      </c>
      <c r="C6" s="51">
        <f>'Customer Count'!V5</f>
        <v>738.58333333333337</v>
      </c>
      <c r="D6" s="51">
        <f>'Customer Count'!Y5</f>
        <v>95.25</v>
      </c>
      <c r="E6" s="51">
        <f>'Customer Count'!AE5</f>
        <v>2644</v>
      </c>
      <c r="F6" s="51">
        <f>'Customer Count'!AB5</f>
        <v>73.666666666666671</v>
      </c>
      <c r="G6" s="51">
        <f>'Customer Count'!AH5</f>
        <v>0</v>
      </c>
      <c r="H6" s="73">
        <f t="shared" si="0"/>
        <v>13512.208333333334</v>
      </c>
    </row>
    <row r="7" spans="1:10" x14ac:dyDescent="0.2">
      <c r="A7" s="4">
        <v>2015</v>
      </c>
      <c r="B7" s="51">
        <f>'Customer Count'!S6</f>
        <v>10227.208333333334</v>
      </c>
      <c r="C7" s="51">
        <f>'Customer Count'!V6</f>
        <v>773.41666666666663</v>
      </c>
      <c r="D7" s="51">
        <f>'Customer Count'!Y6</f>
        <v>93.875</v>
      </c>
      <c r="E7" s="51">
        <f>'Customer Count'!AE6</f>
        <v>2633.7083333333335</v>
      </c>
      <c r="F7" s="51">
        <f>'Customer Count'!AB6</f>
        <v>71.125</v>
      </c>
      <c r="G7" s="51">
        <f>'Customer Count'!AH6</f>
        <v>0</v>
      </c>
      <c r="H7" s="73">
        <f t="shared" si="0"/>
        <v>13799.333333333334</v>
      </c>
    </row>
    <row r="8" spans="1:10" x14ac:dyDescent="0.2">
      <c r="A8" s="4">
        <v>2016</v>
      </c>
      <c r="B8" s="51">
        <f>'Customer Count'!S7</f>
        <v>10278.833333333334</v>
      </c>
      <c r="C8" s="51">
        <f>'Customer Count'!V7</f>
        <v>782.08333333333337</v>
      </c>
      <c r="D8" s="51">
        <f>'Customer Count'!Y7</f>
        <v>97</v>
      </c>
      <c r="E8" s="51">
        <f>'Customer Count'!AE7</f>
        <v>2631</v>
      </c>
      <c r="F8" s="51">
        <f>'Customer Count'!AB7</f>
        <v>68.5</v>
      </c>
      <c r="G8" s="51">
        <f>'Customer Count'!AH7</f>
        <v>0.33333333333333331</v>
      </c>
      <c r="H8" s="73">
        <f t="shared" si="0"/>
        <v>13857.750000000002</v>
      </c>
    </row>
    <row r="9" spans="1:10" x14ac:dyDescent="0.2">
      <c r="A9" s="4">
        <v>2017</v>
      </c>
      <c r="B9" s="51">
        <f>'Customer Count'!S8</f>
        <v>10360.708333333334</v>
      </c>
      <c r="C9" s="51">
        <f>'Customer Count'!V8</f>
        <v>790.25</v>
      </c>
      <c r="D9" s="51">
        <f>'Customer Count'!Y8</f>
        <v>100.29166666666667</v>
      </c>
      <c r="E9" s="51">
        <f>'Customer Count'!AE8</f>
        <v>2635.25</v>
      </c>
      <c r="F9" s="51">
        <f>'Customer Count'!AB8</f>
        <v>67.208333333333329</v>
      </c>
      <c r="G9" s="51">
        <f>'Customer Count'!AH8</f>
        <v>1</v>
      </c>
      <c r="H9" s="73">
        <f t="shared" si="0"/>
        <v>13954.708333333334</v>
      </c>
    </row>
    <row r="10" spans="1:10" x14ac:dyDescent="0.2">
      <c r="A10" s="4">
        <v>2018</v>
      </c>
      <c r="B10" s="51">
        <f>'Customer Count'!S9</f>
        <v>10543.5</v>
      </c>
      <c r="C10" s="51">
        <f>'Customer Count'!V9</f>
        <v>792.16666666666663</v>
      </c>
      <c r="D10" s="51">
        <f>'Customer Count'!Y9</f>
        <v>103.33333333333333</v>
      </c>
      <c r="E10" s="51">
        <f>'Customer Count'!AE9</f>
        <v>2663.5833333333335</v>
      </c>
      <c r="F10" s="51">
        <f>'Customer Count'!AB9</f>
        <v>66.291666666666671</v>
      </c>
      <c r="G10" s="51">
        <f>'Customer Count'!AH9</f>
        <v>1</v>
      </c>
      <c r="H10" s="73">
        <f t="shared" si="0"/>
        <v>14169.875</v>
      </c>
    </row>
    <row r="11" spans="1:10" x14ac:dyDescent="0.2">
      <c r="A11" s="4">
        <v>2019</v>
      </c>
      <c r="B11" s="51">
        <f>'Customer Count'!S10</f>
        <v>10672.666666666666</v>
      </c>
      <c r="C11" s="51">
        <f>'Customer Count'!V10</f>
        <v>804.25</v>
      </c>
      <c r="D11" s="51">
        <f>'Customer Count'!Y10</f>
        <v>97.25</v>
      </c>
      <c r="E11" s="51">
        <f>'Customer Count'!AE10</f>
        <v>2676.6666666666665</v>
      </c>
      <c r="F11" s="51">
        <f>'Customer Count'!AB10</f>
        <v>65.791666666666671</v>
      </c>
      <c r="G11" s="51">
        <f>'Customer Count'!AH10</f>
        <v>1</v>
      </c>
      <c r="H11" s="73">
        <f t="shared" si="0"/>
        <v>14317.624999999998</v>
      </c>
    </row>
    <row r="12" spans="1:10" x14ac:dyDescent="0.2">
      <c r="A12" s="4">
        <v>2020</v>
      </c>
      <c r="B12" s="51">
        <f>'Customer Count'!S11</f>
        <v>10765.541666666666</v>
      </c>
      <c r="C12" s="51">
        <f>'Customer Count'!V11</f>
        <v>812.16666666666663</v>
      </c>
      <c r="D12" s="51">
        <f>'Customer Count'!Y11</f>
        <v>93.958333333333329</v>
      </c>
      <c r="E12" s="51">
        <f>'Customer Count'!AE11</f>
        <v>2687.2916666666665</v>
      </c>
      <c r="F12" s="51">
        <f>'Customer Count'!AB11</f>
        <v>62.875</v>
      </c>
      <c r="G12" s="51">
        <f>'Customer Count'!AH11</f>
        <v>1</v>
      </c>
      <c r="H12" s="73">
        <f t="shared" si="0"/>
        <v>14422.833333333332</v>
      </c>
      <c r="I12" s="97"/>
      <c r="J12" s="45"/>
    </row>
    <row r="13" spans="1:10" x14ac:dyDescent="0.2">
      <c r="A13" s="4">
        <v>2021</v>
      </c>
      <c r="B13" s="79">
        <f>'Customer Count'!S29</f>
        <v>10899.312075852176</v>
      </c>
      <c r="C13" s="79">
        <f>'Customer Count'!V29</f>
        <v>828.01608356198756</v>
      </c>
      <c r="D13" s="79">
        <f>'Customer Count'!Y29</f>
        <v>94.202209174925187</v>
      </c>
      <c r="E13" s="79">
        <f>'Customer Count'!AE29</f>
        <v>2708.6285350957678</v>
      </c>
      <c r="F13" s="79">
        <f>'Customer Count'!AB29</f>
        <v>61.214519340293997</v>
      </c>
      <c r="G13" s="79">
        <f>'Customer Count'!AH29</f>
        <v>1</v>
      </c>
      <c r="H13" s="73">
        <f t="shared" si="0"/>
        <v>14592.373423025152</v>
      </c>
      <c r="I13" s="97"/>
      <c r="J13" s="45"/>
    </row>
    <row r="14" spans="1:10" x14ac:dyDescent="0.2">
      <c r="A14" s="4">
        <v>2022</v>
      </c>
      <c r="B14" s="314">
        <f>'Customer Count'!S30</f>
        <v>11153.144057519341</v>
      </c>
      <c r="C14" s="79">
        <f>'Customer Count'!V30</f>
        <v>845.2581348568292</v>
      </c>
      <c r="D14" s="79">
        <f>'Customer Count'!Y30</f>
        <v>95.530051347733661</v>
      </c>
      <c r="E14" s="79">
        <f>'Customer Count'!AE30</f>
        <v>2730.1348164546257</v>
      </c>
      <c r="F14" s="79">
        <f>'Customer Count'!AB30</f>
        <v>59.59789070478292</v>
      </c>
      <c r="G14" s="79">
        <f>'Customer Count'!AH30</f>
        <v>1</v>
      </c>
      <c r="H14" s="93">
        <f t="shared" si="0"/>
        <v>14884.664950883312</v>
      </c>
      <c r="I14" s="97"/>
      <c r="J14" s="45"/>
    </row>
    <row r="15" spans="1:10" x14ac:dyDescent="0.2">
      <c r="A15" s="16"/>
    </row>
    <row r="16" spans="1:10" x14ac:dyDescent="0.2">
      <c r="B16"/>
      <c r="C16"/>
      <c r="D16"/>
      <c r="E16"/>
      <c r="F16"/>
      <c r="G16"/>
    </row>
    <row r="17" spans="1:7" x14ac:dyDescent="0.2">
      <c r="B17"/>
      <c r="C17"/>
      <c r="D17"/>
      <c r="E17"/>
      <c r="F17"/>
      <c r="G17"/>
    </row>
    <row r="18" spans="1:7" x14ac:dyDescent="0.2">
      <c r="B18"/>
      <c r="C18"/>
      <c r="D18"/>
      <c r="E18"/>
      <c r="F18"/>
      <c r="G18"/>
    </row>
    <row r="19" spans="1:7" x14ac:dyDescent="0.2">
      <c r="B19"/>
      <c r="C19"/>
      <c r="D19" s="55" t="s">
        <v>149</v>
      </c>
      <c r="E19"/>
      <c r="F19"/>
      <c r="G19"/>
    </row>
    <row r="20" spans="1:7" x14ac:dyDescent="0.2">
      <c r="A20">
        <f>A3</f>
        <v>2011</v>
      </c>
      <c r="B20" s="128">
        <f>'Rate Class Energy Model'!J3/'Rate Class Customer Model'!B3</f>
        <v>9871.9037915008084</v>
      </c>
      <c r="C20" s="128">
        <f>'Rate Class Energy Model'!K3/'Rate Class Customer Model'!C3</f>
        <v>30046.071656471497</v>
      </c>
      <c r="D20" s="128">
        <f>'Rate Class Energy Model'!L3/'Rate Class Customer Model'!D3</f>
        <v>722593.73321243643</v>
      </c>
      <c r="E20" s="128">
        <f>'Rate Class Energy Model'!M3/'Rate Class Customer Model'!E3</f>
        <v>633.39118273841245</v>
      </c>
      <c r="F20" s="128">
        <f>'Rate Class Energy Model'!N3/'Rate Class Customer Model'!F3</f>
        <v>4830.9127500000004</v>
      </c>
      <c r="G20" s="128"/>
    </row>
    <row r="21" spans="1:7" x14ac:dyDescent="0.2">
      <c r="A21">
        <f t="shared" ref="A21:A29" si="1">A4</f>
        <v>2012</v>
      </c>
      <c r="B21" s="128">
        <f>'Rate Class Energy Model'!J4/'Rate Class Customer Model'!B4</f>
        <v>9738.508318987866</v>
      </c>
      <c r="C21" s="128">
        <f>'Rate Class Energy Model'!K4/'Rate Class Customer Model'!C4</f>
        <v>29093.424542059471</v>
      </c>
      <c r="D21" s="128">
        <f>'Rate Class Energy Model'!L4/'Rate Class Customer Model'!D4</f>
        <v>756335.08368867589</v>
      </c>
      <c r="E21" s="128">
        <f>'Rate Class Energy Model'!M4/'Rate Class Customer Model'!E4</f>
        <v>620.40611964694347</v>
      </c>
      <c r="F21" s="128">
        <f>'Rate Class Energy Model'!N4/'Rate Class Customer Model'!F4</f>
        <v>4895.9212459720738</v>
      </c>
      <c r="G21" s="128"/>
    </row>
    <row r="22" spans="1:7" x14ac:dyDescent="0.2">
      <c r="A22">
        <f t="shared" si="1"/>
        <v>2013</v>
      </c>
      <c r="B22" s="128">
        <f>'Rate Class Energy Model'!J5/'Rate Class Customer Model'!B5</f>
        <v>9488.0440979676569</v>
      </c>
      <c r="C22" s="128">
        <f>'Rate Class Energy Model'!K5/'Rate Class Customer Model'!C5</f>
        <v>29536.426960767149</v>
      </c>
      <c r="D22" s="128">
        <f>'Rate Class Energy Model'!L5/'Rate Class Customer Model'!D5</f>
        <v>747100.25410756422</v>
      </c>
      <c r="E22" s="128">
        <f>'Rate Class Energy Model'!M5/'Rate Class Customer Model'!E5</f>
        <v>585.74801188080869</v>
      </c>
      <c r="F22" s="128">
        <f>'Rate Class Energy Model'!N5/'Rate Class Customer Model'!F5</f>
        <v>4966.831189427312</v>
      </c>
      <c r="G22" s="128"/>
    </row>
    <row r="23" spans="1:7" x14ac:dyDescent="0.2">
      <c r="A23">
        <f t="shared" si="1"/>
        <v>2014</v>
      </c>
      <c r="B23" s="128">
        <f>'Rate Class Energy Model'!J6/'Rate Class Customer Model'!B6</f>
        <v>9193.2302890105693</v>
      </c>
      <c r="C23" s="128">
        <f>'Rate Class Energy Model'!K6/'Rate Class Customer Model'!C6</f>
        <v>28319.962067037355</v>
      </c>
      <c r="D23" s="128">
        <f>'Rate Class Energy Model'!L6/'Rate Class Customer Model'!D6</f>
        <v>732528.83525708842</v>
      </c>
      <c r="E23" s="128">
        <f>'Rate Class Energy Model'!M6/'Rate Class Customer Model'!E6</f>
        <v>460.92919818456886</v>
      </c>
      <c r="F23" s="128">
        <f>'Rate Class Energy Model'!N6/'Rate Class Customer Model'!F6</f>
        <v>5033.8976470588232</v>
      </c>
      <c r="G23" s="128"/>
    </row>
    <row r="24" spans="1:7" x14ac:dyDescent="0.2">
      <c r="A24">
        <f t="shared" si="1"/>
        <v>2015</v>
      </c>
      <c r="B24" s="128">
        <f>'Rate Class Energy Model'!J7/'Rate Class Customer Model'!B7</f>
        <v>9119.0582679372437</v>
      </c>
      <c r="C24" s="128">
        <f>'Rate Class Energy Model'!K7/'Rate Class Customer Model'!C7</f>
        <v>27563.494346324194</v>
      </c>
      <c r="D24" s="128">
        <f>'Rate Class Energy Model'!L7/'Rate Class Customer Model'!D7</f>
        <v>730221.69837886852</v>
      </c>
      <c r="E24" s="128">
        <f>'Rate Class Energy Model'!M7/'Rate Class Customer Model'!E7</f>
        <v>272.74903257447517</v>
      </c>
      <c r="F24" s="128">
        <f>'Rate Class Energy Model'!N7/'Rate Class Customer Model'!F7</f>
        <v>5133.1507908611593</v>
      </c>
      <c r="G24" s="128"/>
    </row>
    <row r="25" spans="1:7" x14ac:dyDescent="0.2">
      <c r="A25">
        <f t="shared" si="1"/>
        <v>2016</v>
      </c>
      <c r="B25" s="128">
        <f>'Rate Class Energy Model'!J8/'Rate Class Customer Model'!B8</f>
        <v>9326.2885661472592</v>
      </c>
      <c r="C25" s="128">
        <f>'Rate Class Energy Model'!K8/'Rate Class Customer Model'!C8</f>
        <v>26872.744856376037</v>
      </c>
      <c r="D25" s="128">
        <f>'Rate Class Energy Model'!L8/'Rate Class Customer Model'!D8</f>
        <v>651606.15409184794</v>
      </c>
      <c r="E25" s="128">
        <f>'Rate Class Energy Model'!M8/'Rate Class Customer Model'!E8</f>
        <v>273.4651083238312</v>
      </c>
      <c r="F25" s="128">
        <f>'Rate Class Energy Model'!N8/'Rate Class Customer Model'!F8</f>
        <v>5034.1672992700733</v>
      </c>
      <c r="G25" s="128"/>
    </row>
    <row r="26" spans="1:7" x14ac:dyDescent="0.2">
      <c r="A26">
        <f t="shared" si="1"/>
        <v>2017</v>
      </c>
      <c r="B26" s="128">
        <f>'Rate Class Energy Model'!J9/'Rate Class Customer Model'!B9</f>
        <v>8615.6408015861198</v>
      </c>
      <c r="C26" s="128">
        <f>'Rate Class Energy Model'!K9/'Rate Class Customer Model'!C9</f>
        <v>26123.326573849063</v>
      </c>
      <c r="D26" s="128">
        <f>'Rate Class Energy Model'!L9/'Rate Class Customer Model'!D9</f>
        <v>617532.12036672316</v>
      </c>
      <c r="E26" s="128">
        <f>'Rate Class Energy Model'!M9/'Rate Class Customer Model'!E9</f>
        <v>274.32926667299114</v>
      </c>
      <c r="F26" s="128">
        <f>'Rate Class Energy Model'!N9/'Rate Class Customer Model'!F9</f>
        <v>5040.2391072535665</v>
      </c>
      <c r="G26" s="128">
        <f>'Rate Class Energy Model'!O9/'Rate Class Customer Model'!G9</f>
        <v>29983391.131810207</v>
      </c>
    </row>
    <row r="27" spans="1:7" x14ac:dyDescent="0.2">
      <c r="A27">
        <f t="shared" si="1"/>
        <v>2018</v>
      </c>
      <c r="B27" s="128">
        <f>'Rate Class Energy Model'!J10/'Rate Class Customer Model'!B10</f>
        <v>9193.3580376535283</v>
      </c>
      <c r="C27" s="128">
        <f>'Rate Class Energy Model'!K10/'Rate Class Customer Model'!C10</f>
        <v>26580.721433529568</v>
      </c>
      <c r="D27" s="128">
        <f>'Rate Class Energy Model'!L10/'Rate Class Customer Model'!D10</f>
        <v>627865.46728524414</v>
      </c>
      <c r="E27" s="128">
        <f>'Rate Class Energy Model'!M10/'Rate Class Customer Model'!E10</f>
        <v>278.37492100240905</v>
      </c>
      <c r="F27" s="128">
        <f>'Rate Class Energy Model'!N10/'Rate Class Customer Model'!F10</f>
        <v>5099.6433940917659</v>
      </c>
      <c r="G27" s="128">
        <f>'Rate Class Energy Model'!O10/'Rate Class Customer Model'!G10</f>
        <v>43380633.574119426</v>
      </c>
    </row>
    <row r="28" spans="1:7" x14ac:dyDescent="0.2">
      <c r="A28">
        <f t="shared" si="1"/>
        <v>2019</v>
      </c>
      <c r="B28" s="128">
        <f>'Rate Class Energy Model'!J11/'Rate Class Customer Model'!B11</f>
        <v>8814.638704478728</v>
      </c>
      <c r="C28" s="128">
        <f>'Rate Class Energy Model'!K11/'Rate Class Customer Model'!C11</f>
        <v>26960.330288905501</v>
      </c>
      <c r="D28" s="128">
        <f>'Rate Class Energy Model'!L11/'Rate Class Customer Model'!D11</f>
        <v>653384.10323887982</v>
      </c>
      <c r="E28" s="128">
        <f>'Rate Class Energy Model'!M11/'Rate Class Customer Model'!E11</f>
        <v>277.43820672478205</v>
      </c>
      <c r="F28" s="128">
        <f>'Rate Class Energy Model'!N11/'Rate Class Customer Model'!F11</f>
        <v>5114.1183533882204</v>
      </c>
      <c r="G28" s="128">
        <f>'Rate Class Energy Model'!O11/'Rate Class Customer Model'!G11</f>
        <v>49068645.301379278</v>
      </c>
    </row>
    <row r="29" spans="1:7" x14ac:dyDescent="0.2">
      <c r="A29">
        <f t="shared" si="1"/>
        <v>2020</v>
      </c>
      <c r="B29" s="128">
        <f>'Rate Class Energy Model'!J12/'Rate Class Customer Model'!B12</f>
        <v>9493.8376799433408</v>
      </c>
      <c r="C29" s="128">
        <f>'Rate Class Energy Model'!K12/'Rate Class Customer Model'!C12</f>
        <v>25457.316532355613</v>
      </c>
      <c r="D29" s="128">
        <f>'Rate Class Energy Model'!L12/'Rate Class Customer Model'!D12</f>
        <v>677553.28829504398</v>
      </c>
      <c r="E29" s="128">
        <f>'Rate Class Energy Model'!M12/'Rate Class Customer Model'!E12</f>
        <v>275.3674672455229</v>
      </c>
      <c r="F29" s="128">
        <f>'Rate Class Energy Model'!N12/'Rate Class Customer Model'!F12</f>
        <v>5221.6349900596433</v>
      </c>
      <c r="G29" s="128">
        <f>'Rate Class Energy Model'!O12/'Rate Class Customer Model'!G12</f>
        <v>59182119.984162331</v>
      </c>
    </row>
    <row r="30" spans="1:7" x14ac:dyDescent="0.2">
      <c r="B30" s="127"/>
      <c r="C30" s="127"/>
      <c r="D30" s="127"/>
      <c r="E30" s="127"/>
      <c r="F30" s="127"/>
      <c r="G30" s="127"/>
    </row>
    <row r="31" spans="1:7" x14ac:dyDescent="0.2">
      <c r="B31" s="127"/>
      <c r="C31" s="127"/>
      <c r="D31" s="127"/>
      <c r="E31" s="127"/>
      <c r="F31" s="127"/>
      <c r="G31" s="127"/>
    </row>
    <row r="32" spans="1:7" x14ac:dyDescent="0.2">
      <c r="B32" s="127"/>
      <c r="C32" s="127"/>
      <c r="D32" s="127"/>
      <c r="E32" s="127"/>
      <c r="F32" s="127"/>
      <c r="G32" s="127"/>
    </row>
    <row r="33" spans="2:7" x14ac:dyDescent="0.2">
      <c r="B33" s="127"/>
      <c r="C33" s="127"/>
      <c r="D33" s="127"/>
      <c r="E33" s="127"/>
      <c r="F33" s="127"/>
      <c r="G33" s="127"/>
    </row>
    <row r="34" spans="2:7" x14ac:dyDescent="0.2">
      <c r="B34"/>
      <c r="C34"/>
      <c r="D34"/>
      <c r="E34"/>
      <c r="F34"/>
      <c r="G34"/>
    </row>
    <row r="35" spans="2:7" x14ac:dyDescent="0.2">
      <c r="B35"/>
      <c r="C35"/>
      <c r="D35"/>
      <c r="E35"/>
      <c r="F35"/>
      <c r="G35"/>
    </row>
    <row r="36" spans="2:7" x14ac:dyDescent="0.2">
      <c r="B36"/>
      <c r="C36"/>
      <c r="D36"/>
      <c r="E36"/>
      <c r="F36"/>
      <c r="G36"/>
    </row>
    <row r="37" spans="2:7" x14ac:dyDescent="0.2">
      <c r="B37"/>
      <c r="C37"/>
      <c r="D37"/>
      <c r="E37"/>
      <c r="F37"/>
      <c r="G37"/>
    </row>
    <row r="38" spans="2:7" x14ac:dyDescent="0.2">
      <c r="B38"/>
      <c r="C38"/>
      <c r="D38"/>
      <c r="E38"/>
      <c r="F38"/>
      <c r="G38"/>
    </row>
    <row r="39" spans="2:7" x14ac:dyDescent="0.2">
      <c r="B39"/>
      <c r="C39"/>
      <c r="D39"/>
      <c r="E39"/>
      <c r="F39"/>
      <c r="G39"/>
    </row>
    <row r="40" spans="2:7" x14ac:dyDescent="0.2">
      <c r="B40"/>
      <c r="C40"/>
      <c r="D40"/>
      <c r="E40"/>
      <c r="F40"/>
      <c r="G40"/>
    </row>
    <row r="41" spans="2:7" x14ac:dyDescent="0.2">
      <c r="B41"/>
      <c r="C41"/>
      <c r="D41"/>
      <c r="E41"/>
      <c r="F41"/>
      <c r="G41"/>
    </row>
    <row r="42" spans="2:7" x14ac:dyDescent="0.2">
      <c r="B42"/>
      <c r="C42"/>
      <c r="D42"/>
      <c r="E42"/>
      <c r="F42"/>
      <c r="G42"/>
    </row>
    <row r="43" spans="2:7" x14ac:dyDescent="0.2">
      <c r="B43"/>
      <c r="C43"/>
      <c r="D43"/>
      <c r="E43"/>
      <c r="F43"/>
      <c r="G43"/>
    </row>
    <row r="44" spans="2:7" x14ac:dyDescent="0.2">
      <c r="B44"/>
      <c r="C44"/>
      <c r="D44"/>
      <c r="E44"/>
      <c r="F44"/>
      <c r="G44"/>
    </row>
    <row r="45" spans="2:7" x14ac:dyDescent="0.2">
      <c r="B45"/>
      <c r="C45"/>
      <c r="D45"/>
      <c r="E45"/>
      <c r="F45"/>
      <c r="G45"/>
    </row>
    <row r="46" spans="2:7" x14ac:dyDescent="0.2">
      <c r="B46"/>
      <c r="C46"/>
      <c r="D46"/>
      <c r="E46"/>
      <c r="F46"/>
      <c r="G46"/>
    </row>
    <row r="47" spans="2:7" x14ac:dyDescent="0.2">
      <c r="B47"/>
      <c r="C47"/>
      <c r="D47"/>
      <c r="E47"/>
      <c r="F47"/>
      <c r="G47"/>
    </row>
    <row r="48" spans="2:7" x14ac:dyDescent="0.2">
      <c r="B48"/>
      <c r="C48"/>
      <c r="D48"/>
      <c r="E48"/>
      <c r="F48"/>
      <c r="G48"/>
    </row>
    <row r="49" customFormat="1" x14ac:dyDescent="0.2"/>
    <row r="50" customFormat="1" x14ac:dyDescent="0.2"/>
    <row r="51" customFormat="1" x14ac:dyDescent="0.2"/>
    <row r="52" customFormat="1" x14ac:dyDescent="0.2"/>
    <row r="53" customFormat="1" x14ac:dyDescent="0.2"/>
    <row r="54" customFormat="1" x14ac:dyDescent="0.2"/>
    <row r="55" customFormat="1" x14ac:dyDescent="0.2"/>
    <row r="56" customFormat="1" x14ac:dyDescent="0.2"/>
    <row r="57" customFormat="1" x14ac:dyDescent="0.2"/>
    <row r="58" customFormat="1" x14ac:dyDescent="0.2"/>
    <row r="59" customFormat="1" x14ac:dyDescent="0.2"/>
    <row r="60" customFormat="1" x14ac:dyDescent="0.2"/>
    <row r="61" customFormat="1" x14ac:dyDescent="0.2"/>
    <row r="62" customFormat="1" x14ac:dyDescent="0.2"/>
  </sheetData>
  <mergeCells count="1">
    <mergeCell ref="B1:G1"/>
  </mergeCells>
  <phoneticPr fontId="0" type="noConversion"/>
  <pageMargins left="0.38" right="0.75" top="0.73" bottom="0.74" header="0.5" footer="0.5"/>
  <pageSetup scale="40" orientation="landscape" r:id="rId1"/>
  <headerFooter alignWithMargins="0">
    <oddFooter>&amp;L&amp;Z&amp;F</oddFooter>
  </headerFooter>
  <ignoredErrors>
    <ignoredError sqref="H3:H13" formulaRange="1"/>
  </ignoredError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fitToPage="1"/>
  </sheetPr>
  <dimension ref="A1:U57"/>
  <sheetViews>
    <sheetView workbookViewId="0">
      <selection activeCell="S23" sqref="S23"/>
    </sheetView>
  </sheetViews>
  <sheetFormatPr defaultRowHeight="12.75" x14ac:dyDescent="0.2"/>
  <cols>
    <col min="1" max="1" width="13.42578125" customWidth="1"/>
    <col min="2" max="2" width="17" style="6" bestFit="1" customWidth="1"/>
    <col min="3" max="3" width="11.5703125" style="6" bestFit="1" customWidth="1"/>
    <col min="4" max="4" width="10.140625" bestFit="1" customWidth="1"/>
    <col min="5" max="5" width="13.42578125" customWidth="1"/>
    <col min="6" max="6" width="13" customWidth="1"/>
    <col min="7" max="7" width="13.42578125" customWidth="1"/>
    <col min="8" max="8" width="12.5703125" bestFit="1" customWidth="1"/>
    <col min="10" max="10" width="12.42578125" style="6" bestFit="1" customWidth="1"/>
    <col min="11" max="11" width="13.42578125" bestFit="1" customWidth="1"/>
    <col min="12" max="13" width="9.140625" style="6" customWidth="1"/>
    <col min="18" max="18" width="10.140625" bestFit="1" customWidth="1"/>
    <col min="20" max="20" width="10.85546875" customWidth="1"/>
  </cols>
  <sheetData>
    <row r="1" spans="1:21" ht="63.75" x14ac:dyDescent="0.2">
      <c r="B1" s="8" t="str">
        <f>'Rate Class Customer Model'!D2</f>
        <v>General Service &gt; 50 to 4,999 kW Adj</v>
      </c>
      <c r="C1" s="8" t="str">
        <f>'Rate Class Customer Model'!E2</f>
        <v>Street Lights</v>
      </c>
      <c r="D1" s="8" t="str">
        <f>'Rate Class Customer Model'!G2</f>
        <v>Embedded Distributor</v>
      </c>
      <c r="E1" s="77" t="s">
        <v>12</v>
      </c>
      <c r="G1" s="191" t="s">
        <v>195</v>
      </c>
      <c r="J1" s="8"/>
      <c r="R1" s="191" t="str">
        <f>B1</f>
        <v>General Service &gt; 50 to 4,999 kW Adj</v>
      </c>
      <c r="S1" s="191" t="str">
        <f>C1</f>
        <v>Street Lights</v>
      </c>
      <c r="T1" s="191" t="str">
        <f>D1</f>
        <v>Embedded Distributor</v>
      </c>
      <c r="U1" s="6" t="s">
        <v>12</v>
      </c>
    </row>
    <row r="2" spans="1:21" x14ac:dyDescent="0.2">
      <c r="A2" s="26">
        <v>2011</v>
      </c>
      <c r="B2" s="51">
        <f>G2-'GS Reclassification Adjustment'!D3</f>
        <v>160027.73999999996</v>
      </c>
      <c r="C2" s="51">
        <v>4413.2600000000011</v>
      </c>
      <c r="D2" s="51"/>
      <c r="E2" s="102">
        <f t="shared" ref="E2:E11" si="0">SUM(B2:D2)</f>
        <v>164440.99999999997</v>
      </c>
      <c r="F2" s="45"/>
      <c r="G2" s="51">
        <v>165747.14999999997</v>
      </c>
      <c r="J2" s="8"/>
      <c r="Q2" s="26">
        <v>2011</v>
      </c>
      <c r="R2" s="255">
        <f ca="1">'Rate Class Energy Model (WN)'!L70*B16</f>
        <v>159678.06316116251</v>
      </c>
      <c r="S2" s="254">
        <f ca="1">'Rate Class Energy Model (WN)'!M70*'Rate Class Load Model'!C16</f>
        <v>4413.260000000002</v>
      </c>
      <c r="T2" s="255">
        <f ca="1">'Rate Class Energy Model (WN)'!O70*'Rate Class Load Model'!D16</f>
        <v>0</v>
      </c>
      <c r="U2" s="6">
        <f t="shared" ref="U2:U13" ca="1" si="1">SUM(R2:T2)</f>
        <v>164091.32316116252</v>
      </c>
    </row>
    <row r="3" spans="1:21" x14ac:dyDescent="0.2">
      <c r="A3" s="26">
        <v>2012</v>
      </c>
      <c r="B3" s="51">
        <f>G3-'GS Reclassification Adjustment'!D4</f>
        <v>183889.45000000004</v>
      </c>
      <c r="C3" s="51">
        <v>4350.33</v>
      </c>
      <c r="D3" s="51"/>
      <c r="E3" s="69">
        <f>SUM(B3:D3)</f>
        <v>188239.78000000003</v>
      </c>
      <c r="F3" s="45"/>
      <c r="G3" s="51">
        <v>189762.67000000004</v>
      </c>
      <c r="Q3" s="26">
        <f>Q2+1</f>
        <v>2012</v>
      </c>
      <c r="R3" s="255">
        <f ca="1">'Rate Class Energy Model (WN)'!L71*B17</f>
        <v>183935.01867244515</v>
      </c>
      <c r="S3" s="254">
        <f ca="1">'Rate Class Energy Model (WN)'!M71*'Rate Class Load Model'!C17</f>
        <v>4350.329999999999</v>
      </c>
      <c r="T3" s="255">
        <f ca="1">'Rate Class Energy Model (WN)'!O71*'Rate Class Load Model'!D17</f>
        <v>0</v>
      </c>
      <c r="U3" s="6">
        <f t="shared" ca="1" si="1"/>
        <v>188285.34867244514</v>
      </c>
    </row>
    <row r="4" spans="1:21" x14ac:dyDescent="0.2">
      <c r="A4" s="26">
        <v>2013</v>
      </c>
      <c r="B4" s="51">
        <f>G4-'GS Reclassification Adjustment'!D5</f>
        <v>187635.84999999998</v>
      </c>
      <c r="C4" s="51">
        <v>4232.37</v>
      </c>
      <c r="D4" s="51"/>
      <c r="E4" s="69">
        <f t="shared" si="0"/>
        <v>191868.21999999997</v>
      </c>
      <c r="F4" s="45"/>
      <c r="G4" s="51">
        <v>193464.64999999997</v>
      </c>
      <c r="Q4" s="26">
        <f t="shared" ref="Q4:Q13" si="2">Q3+1</f>
        <v>2013</v>
      </c>
      <c r="R4" s="255">
        <f ca="1">'Rate Class Energy Model (WN)'!L72*B18</f>
        <v>189198.46317120892</v>
      </c>
      <c r="S4" s="254">
        <f ca="1">'Rate Class Energy Model (WN)'!M72*'Rate Class Load Model'!C18</f>
        <v>4232.37</v>
      </c>
      <c r="T4" s="255">
        <f ca="1">'Rate Class Energy Model (WN)'!O72*'Rate Class Load Model'!D18</f>
        <v>0</v>
      </c>
      <c r="U4" s="6">
        <f t="shared" ca="1" si="1"/>
        <v>193430.83317120891</v>
      </c>
    </row>
    <row r="5" spans="1:21" x14ac:dyDescent="0.2">
      <c r="A5" s="26">
        <v>2014</v>
      </c>
      <c r="B5" s="51">
        <f>G5-'GS Reclassification Adjustment'!D6</f>
        <v>181931.08000000002</v>
      </c>
      <c r="C5" s="51">
        <v>3460.0300000000007</v>
      </c>
      <c r="D5" s="51"/>
      <c r="E5" s="69">
        <f t="shared" si="0"/>
        <v>185391.11000000002</v>
      </c>
      <c r="F5" s="45"/>
      <c r="G5" s="51">
        <v>187933.93000000002</v>
      </c>
      <c r="J5" s="52"/>
      <c r="Q5" s="26">
        <f t="shared" si="2"/>
        <v>2014</v>
      </c>
      <c r="R5" s="255">
        <f ca="1">'Rate Class Energy Model (WN)'!L73*B19</f>
        <v>183539.74341455422</v>
      </c>
      <c r="S5" s="254">
        <f ca="1">'Rate Class Energy Model (WN)'!M73*'Rate Class Load Model'!C19</f>
        <v>3460.0300000000011</v>
      </c>
      <c r="T5" s="255">
        <f ca="1">'Rate Class Energy Model (WN)'!O73*'Rate Class Load Model'!D19</f>
        <v>0</v>
      </c>
      <c r="U5" s="6">
        <f t="shared" ca="1" si="1"/>
        <v>186999.77341455422</v>
      </c>
    </row>
    <row r="6" spans="1:21" x14ac:dyDescent="0.2">
      <c r="A6" s="26">
        <v>2015</v>
      </c>
      <c r="B6" s="51">
        <f>G6-'GS Reclassification Adjustment'!D7</f>
        <v>179412.25000000003</v>
      </c>
      <c r="C6" s="51">
        <v>1989.5799999999997</v>
      </c>
      <c r="D6" s="51"/>
      <c r="E6" s="69">
        <f t="shared" si="0"/>
        <v>181401.83000000002</v>
      </c>
      <c r="F6" s="45"/>
      <c r="G6" s="51">
        <v>185369.81000000003</v>
      </c>
      <c r="J6" s="52"/>
      <c r="Q6" s="26">
        <f t="shared" si="2"/>
        <v>2015</v>
      </c>
      <c r="R6" s="255">
        <f ca="1">'Rate Class Energy Model (WN)'!L74*B20</f>
        <v>179758.05233670192</v>
      </c>
      <c r="S6" s="254">
        <f ca="1">'Rate Class Energy Model (WN)'!M74*'Rate Class Load Model'!C20</f>
        <v>1989.58</v>
      </c>
      <c r="T6" s="255">
        <f ca="1">'Rate Class Energy Model (WN)'!O74*'Rate Class Load Model'!D20</f>
        <v>0</v>
      </c>
      <c r="U6" s="6">
        <f t="shared" ca="1" si="1"/>
        <v>181747.63233670191</v>
      </c>
    </row>
    <row r="7" spans="1:21" x14ac:dyDescent="0.2">
      <c r="A7" s="26">
        <v>2016</v>
      </c>
      <c r="B7" s="51">
        <f>G7-'GS Reclassification Adjustment'!D8</f>
        <v>175922.37</v>
      </c>
      <c r="C7" s="51">
        <v>1986.9599999999998</v>
      </c>
      <c r="D7" s="51"/>
      <c r="E7" s="69">
        <f t="shared" si="0"/>
        <v>177909.33</v>
      </c>
      <c r="F7" s="45"/>
      <c r="G7" s="51">
        <v>181813.94</v>
      </c>
      <c r="J7" s="52"/>
      <c r="Q7" s="26">
        <f t="shared" si="2"/>
        <v>2016</v>
      </c>
      <c r="R7" s="255">
        <f ca="1">'Rate Class Energy Model (WN)'!L75*B21</f>
        <v>173344.99698524451</v>
      </c>
      <c r="S7" s="254">
        <f ca="1">'Rate Class Energy Model (WN)'!M75*'Rate Class Load Model'!C21</f>
        <v>1986.9599999999996</v>
      </c>
      <c r="T7" s="255">
        <f ca="1">'Rate Class Energy Model (WN)'!O75*'Rate Class Load Model'!D21</f>
        <v>0</v>
      </c>
      <c r="U7" s="6">
        <f t="shared" ca="1" si="1"/>
        <v>175331.9569852445</v>
      </c>
    </row>
    <row r="8" spans="1:21" x14ac:dyDescent="0.2">
      <c r="A8" s="26">
        <v>2017</v>
      </c>
      <c r="B8" s="51">
        <f>G8-'GS Reclassification Adjustment'!D9</f>
        <v>173751.43</v>
      </c>
      <c r="C8" s="51">
        <v>1999.69</v>
      </c>
      <c r="D8" s="51">
        <v>115728.52390788929</v>
      </c>
      <c r="E8" s="69">
        <f t="shared" si="0"/>
        <v>291479.64390788926</v>
      </c>
      <c r="F8" s="45"/>
      <c r="G8" s="51">
        <v>179353.91</v>
      </c>
      <c r="J8" s="52"/>
      <c r="Q8" s="26">
        <f t="shared" si="2"/>
        <v>2017</v>
      </c>
      <c r="R8" s="255">
        <f ca="1">'Rate Class Energy Model (WN)'!L76*B22</f>
        <v>174884.25421026442</v>
      </c>
      <c r="S8" s="254">
        <f ca="1">'Rate Class Energy Model (WN)'!M76*'Rate Class Load Model'!C22</f>
        <v>1999.69</v>
      </c>
      <c r="T8" s="255">
        <f ca="1">'Embedded Distributor'!M3*('Embedded Distributor'!K3/'Embedded Distributor'!J3)</f>
        <v>138345.04445371259</v>
      </c>
      <c r="U8" s="6">
        <f t="shared" ca="1" si="1"/>
        <v>315228.98866397701</v>
      </c>
    </row>
    <row r="9" spans="1:21" x14ac:dyDescent="0.2">
      <c r="A9" s="26">
        <v>2018</v>
      </c>
      <c r="B9" s="51">
        <f>G9-'GS Reclassification Adjustment'!D10</f>
        <v>181226.49000000002</v>
      </c>
      <c r="C9" s="51">
        <v>2048.2800000000002</v>
      </c>
      <c r="D9" s="51">
        <v>144421.30411257336</v>
      </c>
      <c r="E9" s="69">
        <f t="shared" si="0"/>
        <v>327696.07411257341</v>
      </c>
      <c r="F9" s="45"/>
      <c r="G9" s="51">
        <v>186544.53000000003</v>
      </c>
      <c r="J9" s="52"/>
      <c r="Q9" s="26">
        <f t="shared" si="2"/>
        <v>2018</v>
      </c>
      <c r="R9" s="255">
        <f ca="1">'Rate Class Energy Model (WN)'!L77*B23</f>
        <v>179622.80471926302</v>
      </c>
      <c r="S9" s="254">
        <f ca="1">'Rate Class Energy Model (WN)'!M77*'Rate Class Load Model'!C23</f>
        <v>2048.2800000000002</v>
      </c>
      <c r="T9" s="255">
        <f ca="1">'Embedded Distributor'!M4*('Embedded Distributor'!K4/'Embedded Distributor'!J4)</f>
        <v>164669.50067548745</v>
      </c>
      <c r="U9" s="6">
        <f t="shared" ca="1" si="1"/>
        <v>346340.58539475047</v>
      </c>
    </row>
    <row r="10" spans="1:21" x14ac:dyDescent="0.2">
      <c r="A10" s="26">
        <v>2019</v>
      </c>
      <c r="B10" s="51">
        <f>G10-'GS Reclassification Adjustment'!D11</f>
        <v>178260</v>
      </c>
      <c r="C10" s="51">
        <v>2065.2600000000002</v>
      </c>
      <c r="D10" s="51">
        <v>143708.33256318636</v>
      </c>
      <c r="E10" s="69">
        <f t="shared" si="0"/>
        <v>324033.59256318636</v>
      </c>
      <c r="F10" s="45"/>
      <c r="G10" s="51">
        <v>183660.33</v>
      </c>
      <c r="Q10" s="26">
        <f t="shared" si="2"/>
        <v>2019</v>
      </c>
      <c r="R10" s="255">
        <f ca="1">'Rate Class Energy Model (WN)'!L78*B24</f>
        <v>178408.99035881835</v>
      </c>
      <c r="S10" s="254">
        <f ca="1">'Rate Class Energy Model (WN)'!M78*'Rate Class Load Model'!C24</f>
        <v>2065.2599999999998</v>
      </c>
      <c r="T10" s="255">
        <f ca="1">'Embedded Distributor'!M5*('Embedded Distributor'!K5/'Embedded Distributor'!J5)</f>
        <v>169920.3794789229</v>
      </c>
      <c r="U10" s="6">
        <f t="shared" ca="1" si="1"/>
        <v>350394.62983774126</v>
      </c>
    </row>
    <row r="11" spans="1:21" x14ac:dyDescent="0.2">
      <c r="A11" s="26">
        <v>2020</v>
      </c>
      <c r="B11" s="51">
        <f>G11-'GS Reclassification Adjustment'!D12</f>
        <v>176076.94</v>
      </c>
      <c r="C11" s="51">
        <v>2054.8500000000004</v>
      </c>
      <c r="D11" s="51">
        <v>167587.61572212976</v>
      </c>
      <c r="E11" s="69">
        <f t="shared" si="0"/>
        <v>345719.40572212974</v>
      </c>
      <c r="F11" s="45"/>
      <c r="G11" s="51">
        <v>180462.39</v>
      </c>
      <c r="Q11" s="26">
        <f t="shared" si="2"/>
        <v>2020</v>
      </c>
      <c r="R11" s="255">
        <f ca="1">'Rate Class Energy Model (WN)'!L79*B25</f>
        <v>175953.4092221644</v>
      </c>
      <c r="S11" s="254">
        <f ca="1">'Rate Class Energy Model (WN)'!M79*'Rate Class Load Model'!C25</f>
        <v>2054.8500000000004</v>
      </c>
      <c r="T11" s="255">
        <f ca="1">'Embedded Distributor'!M6*('Embedded Distributor'!K6/'Embedded Distributor'!J6)</f>
        <v>181676.19942613371</v>
      </c>
      <c r="U11" s="6">
        <f t="shared" ca="1" si="1"/>
        <v>359684.45864829811</v>
      </c>
    </row>
    <row r="12" spans="1:21" x14ac:dyDescent="0.2">
      <c r="A12" s="26">
        <v>2021</v>
      </c>
      <c r="B12" s="27">
        <f ca="1">B32*('Rate Class Energy Model'!L42-'New GS&gt;50 Customers'!B39)+'New GS&gt;50 Customers'!D39</f>
        <v>209396.59142372786</v>
      </c>
      <c r="C12" s="27">
        <f ca="1">C32*'Rate Class Energy Model'!M42</f>
        <v>2070.6025164347384</v>
      </c>
      <c r="D12" s="27">
        <f ca="1">'Embedded Distributor'!K10*D32</f>
        <v>165283.67125842275</v>
      </c>
      <c r="E12" s="69">
        <f ca="1">SUM(B12:D12)</f>
        <v>376750.86519858532</v>
      </c>
      <c r="Q12" s="262">
        <f t="shared" si="2"/>
        <v>2021</v>
      </c>
      <c r="R12" s="263">
        <f ca="1">'Rate Class Energy Model (WN)'!L80*B32</f>
        <v>205861.56032356882</v>
      </c>
      <c r="S12" s="263">
        <f ca="1">'Rate Class Energy Model (WN)'!M80*'Rate Class Load Model'!C32</f>
        <v>2070.6025164347379</v>
      </c>
      <c r="T12" s="255">
        <f ca="1">'Embedded Distributor'!M10</f>
        <v>189796.19988442984</v>
      </c>
      <c r="U12" s="264">
        <f t="shared" ca="1" si="1"/>
        <v>397728.36272443342</v>
      </c>
    </row>
    <row r="13" spans="1:21" x14ac:dyDescent="0.2">
      <c r="A13" s="98">
        <v>2022</v>
      </c>
      <c r="B13" s="27">
        <f ca="1">B32*('Rate Class Energy Model'!L43-'New GS&gt;50 Customers'!B40)+'New GS&gt;50 Customers'!D40</f>
        <v>223789.88591284349</v>
      </c>
      <c r="C13" s="27">
        <f ca="1">C32*'Rate Class Energy Model'!M43</f>
        <v>2087.0429251965211</v>
      </c>
      <c r="D13" s="27">
        <f ca="1">'Embedded Distributor'!K11*D32</f>
        <v>166110.08961471485</v>
      </c>
      <c r="E13" s="93">
        <f ca="1">D13+C13+B13</f>
        <v>391987.01845275483</v>
      </c>
      <c r="Q13" s="262">
        <f t="shared" si="2"/>
        <v>2022</v>
      </c>
      <c r="R13" s="263">
        <f ca="1">'Rate Class Energy Model (WN)'!L81*B32</f>
        <v>220254.85481268444</v>
      </c>
      <c r="S13" s="263">
        <f ca="1">'Rate Class Energy Model (WN)'!M81*'Rate Class Load Model'!C32</f>
        <v>2087.0429251965211</v>
      </c>
      <c r="T13" s="255">
        <f ca="1">'Embedded Distributor'!M11</f>
        <v>190745.18088385198</v>
      </c>
      <c r="U13" s="264">
        <f t="shared" ca="1" si="1"/>
        <v>413087.07862173294</v>
      </c>
    </row>
    <row r="14" spans="1:21" x14ac:dyDescent="0.2">
      <c r="A14" s="16"/>
      <c r="Q14" s="6"/>
      <c r="R14" s="6"/>
      <c r="S14" s="6"/>
    </row>
    <row r="15" spans="1:21" x14ac:dyDescent="0.2">
      <c r="A15" s="15" t="s">
        <v>36</v>
      </c>
      <c r="B15" s="5"/>
      <c r="C15" s="5"/>
      <c r="Q15" s="6"/>
      <c r="R15" s="177" t="s">
        <v>247</v>
      </c>
      <c r="S15" s="6"/>
    </row>
    <row r="16" spans="1:21" x14ac:dyDescent="0.2">
      <c r="A16" s="26">
        <v>2011</v>
      </c>
      <c r="B16" s="78">
        <f>B2/'Rate Class Energy Model'!L3</f>
        <v>2.4126694536325366E-3</v>
      </c>
      <c r="C16" s="78">
        <f>C2/'Rate Class Energy Model'!M3</f>
        <v>2.7840978269166598E-3</v>
      </c>
      <c r="D16" s="78"/>
    </row>
    <row r="17" spans="1:10" x14ac:dyDescent="0.2">
      <c r="A17" s="26">
        <v>2012</v>
      </c>
      <c r="B17" s="78">
        <f>B3/'Rate Class Energy Model'!L4</f>
        <v>2.5888083315604351E-3</v>
      </c>
      <c r="C17" s="78">
        <f>C3/'Rate Class Energy Model'!M4</f>
        <v>2.7507295835787196E-3</v>
      </c>
      <c r="D17" s="78"/>
      <c r="J17" s="24"/>
    </row>
    <row r="18" spans="1:10" x14ac:dyDescent="0.2">
      <c r="A18" s="26">
        <v>2013</v>
      </c>
      <c r="B18" s="78">
        <f>B4/'Rate Class Energy Model'!L5</f>
        <v>2.6116343497154981E-3</v>
      </c>
      <c r="C18" s="78">
        <f>C4/'Rate Class Energy Model'!M5</f>
        <v>2.7692177839950326E-3</v>
      </c>
      <c r="D18" s="78"/>
      <c r="J18" s="24"/>
    </row>
    <row r="19" spans="1:10" x14ac:dyDescent="0.2">
      <c r="A19" s="26">
        <v>2014</v>
      </c>
      <c r="B19" s="78">
        <f>B5/'Rate Class Energy Model'!L6</f>
        <v>2.607457199458217E-3</v>
      </c>
      <c r="C19" s="78">
        <f>C5/'Rate Class Energy Model'!M6</f>
        <v>2.8391229057137105E-3</v>
      </c>
      <c r="D19" s="78"/>
      <c r="J19" s="24"/>
    </row>
    <row r="20" spans="1:10" x14ac:dyDescent="0.2">
      <c r="A20" s="26">
        <v>2015</v>
      </c>
      <c r="B20" s="78">
        <f>B6/'Rate Class Energy Model'!L7</f>
        <v>2.6172632608403006E-3</v>
      </c>
      <c r="C20" s="78">
        <f>C6/'Rate Class Energy Model'!M7</f>
        <v>2.7696858346184694E-3</v>
      </c>
      <c r="D20" s="78"/>
      <c r="J20" s="24"/>
    </row>
    <row r="21" spans="1:10" x14ac:dyDescent="0.2">
      <c r="A21" s="26">
        <v>2016</v>
      </c>
      <c r="B21" s="78">
        <f>B7/'Rate Class Energy Model'!L8</f>
        <v>2.7833265063925846E-3</v>
      </c>
      <c r="C21" s="78">
        <f>C7/'Rate Class Energy Model'!M8</f>
        <v>2.7616354826294912E-3</v>
      </c>
      <c r="D21" s="78"/>
      <c r="J21" s="24"/>
    </row>
    <row r="22" spans="1:10" x14ac:dyDescent="0.2">
      <c r="A22" s="26">
        <v>2017</v>
      </c>
      <c r="B22" s="78">
        <f>B8/'Rate Class Energy Model'!L9</f>
        <v>2.8054593935639082E-3</v>
      </c>
      <c r="C22" s="78">
        <f>C8/'Rate Class Energy Model'!M9</f>
        <v>2.7661053092279684E-3</v>
      </c>
      <c r="D22" s="78">
        <f>D8/'Rate Class Energy Model'!O9</f>
        <v>3.8597543352963072E-3</v>
      </c>
      <c r="J22" s="24"/>
    </row>
    <row r="23" spans="1:10" x14ac:dyDescent="0.2">
      <c r="A23" s="26">
        <v>2018</v>
      </c>
      <c r="B23" s="78">
        <f>B9/'Rate Class Energy Model'!L10</f>
        <v>2.79328109812849E-3</v>
      </c>
      <c r="C23" s="78">
        <f>C9/'Rate Class Energy Model'!M10</f>
        <v>2.762440476736364E-3</v>
      </c>
      <c r="D23" s="78">
        <f>D9/'Rate Class Energy Model'!O10</f>
        <v>3.3291653951023452E-3</v>
      </c>
      <c r="J23" s="24"/>
    </row>
    <row r="24" spans="1:10" x14ac:dyDescent="0.2">
      <c r="A24" s="26">
        <v>2019</v>
      </c>
      <c r="B24" s="78">
        <f>B10/'Rate Class Energy Model'!L11</f>
        <v>2.8054060436975572E-3</v>
      </c>
      <c r="C24" s="78">
        <f>C10/'Rate Class Energy Model'!M11</f>
        <v>2.7810844352133346E-3</v>
      </c>
      <c r="D24" s="78">
        <f>D10/'Rate Class Energy Model'!O11</f>
        <v>2.9287201976033938E-3</v>
      </c>
      <c r="J24" s="24"/>
    </row>
    <row r="25" spans="1:10" x14ac:dyDescent="0.2">
      <c r="A25" s="26">
        <v>2020</v>
      </c>
      <c r="B25" s="78">
        <f>B11/'Rate Class Energy Model'!L12</f>
        <v>2.7658187742503723E-3</v>
      </c>
      <c r="C25" s="78">
        <f>C11/'Rate Class Energy Model'!M12</f>
        <v>2.7768517175912688E-3</v>
      </c>
      <c r="D25" s="173">
        <f>D11/'Rate Class Energy Model'!O12</f>
        <v>2.8317271460869893E-3</v>
      </c>
      <c r="J25" s="24"/>
    </row>
    <row r="27" spans="1:10" x14ac:dyDescent="0.2">
      <c r="A27" s="55" t="s">
        <v>151</v>
      </c>
      <c r="B27" s="24">
        <f>AVERAGE(B16:B25)</f>
        <v>2.6791124411239898E-3</v>
      </c>
      <c r="C27" s="174">
        <f>AVERAGE(C16:C25)</f>
        <v>2.7760971356221016E-3</v>
      </c>
      <c r="D27" s="24">
        <f>AVERAGE(D16:D25)</f>
        <v>3.2373417685222588E-3</v>
      </c>
      <c r="I27" s="24"/>
      <c r="J27" s="24"/>
    </row>
    <row r="28" spans="1:10" x14ac:dyDescent="0.2">
      <c r="A28" s="55" t="s">
        <v>152</v>
      </c>
      <c r="B28" s="174">
        <f>AVERAGE(B21:B25)</f>
        <v>2.7906583632065825E-3</v>
      </c>
      <c r="C28" s="174">
        <f>AVERAGE(C21:C25)</f>
        <v>2.7696234842796855E-3</v>
      </c>
      <c r="D28" s="174">
        <f t="shared" ref="D28" si="3">AVERAGE(D21:D25)</f>
        <v>3.2373417685222588E-3</v>
      </c>
      <c r="I28" s="24"/>
      <c r="J28" s="24"/>
    </row>
    <row r="29" spans="1:10" x14ac:dyDescent="0.2">
      <c r="B29" s="24"/>
      <c r="C29" s="24"/>
      <c r="D29" s="24"/>
      <c r="I29" s="24"/>
      <c r="J29" s="24"/>
    </row>
    <row r="30" spans="1:10" x14ac:dyDescent="0.2">
      <c r="A30" s="55" t="s">
        <v>62</v>
      </c>
      <c r="B30" s="175">
        <f t="array" ref="B30">TREND(B16:B25,$A$16:$A$25,2022)</f>
        <v>2.9297694372631133E-3</v>
      </c>
      <c r="C30" s="24">
        <f t="array" ref="C30">TREND(C16:C25,$A$16:$A$25,2022)</f>
        <v>2.7716172292495721E-3</v>
      </c>
      <c r="D30" s="24">
        <f>TREND(D22:D25,$A$22:$A$25,2022)</f>
        <v>2.0177574007278487E-3</v>
      </c>
      <c r="I30" s="24"/>
      <c r="J30" s="24"/>
    </row>
    <row r="32" spans="1:10" x14ac:dyDescent="0.2">
      <c r="A32" s="55" t="s">
        <v>34</v>
      </c>
      <c r="B32" s="24">
        <f>B28</f>
        <v>2.7906583632065825E-3</v>
      </c>
      <c r="C32" s="24">
        <f>C27</f>
        <v>2.7760971356221016E-3</v>
      </c>
      <c r="D32" s="24">
        <f>D25</f>
        <v>2.8317271460869893E-3</v>
      </c>
    </row>
    <row r="36" spans="1:4" x14ac:dyDescent="0.2">
      <c r="B36" s="22"/>
      <c r="C36" s="22"/>
    </row>
    <row r="37" spans="1:4" x14ac:dyDescent="0.2">
      <c r="B37" s="22"/>
      <c r="C37" s="22"/>
    </row>
    <row r="39" spans="1:4" x14ac:dyDescent="0.2">
      <c r="B39" s="177" t="s">
        <v>153</v>
      </c>
      <c r="C39" s="177" t="s">
        <v>154</v>
      </c>
      <c r="D39" s="55" t="s">
        <v>62</v>
      </c>
    </row>
    <row r="40" spans="1:4" x14ac:dyDescent="0.2">
      <c r="A40">
        <v>2021</v>
      </c>
      <c r="B40" s="176">
        <f>B27</f>
        <v>2.6791124411239898E-3</v>
      </c>
      <c r="C40" s="176">
        <f>B28</f>
        <v>2.7906583632065825E-3</v>
      </c>
      <c r="D40">
        <f t="array" ref="D40">TREND(B16:B25,$A$16:$A$25,A40)</f>
        <v>2.8912068224724724E-3</v>
      </c>
    </row>
    <row r="41" spans="1:4" x14ac:dyDescent="0.2">
      <c r="A41">
        <v>2022</v>
      </c>
      <c r="B41" s="176">
        <f>B40</f>
        <v>2.6791124411239898E-3</v>
      </c>
      <c r="C41" s="176">
        <f>C40</f>
        <v>2.7906583632065825E-3</v>
      </c>
      <c r="D41">
        <f t="array" ref="D41">TREND(B16:B25,$A$16:$A$25,A41)</f>
        <v>2.9297694372631133E-3</v>
      </c>
    </row>
    <row r="56" spans="2:3" x14ac:dyDescent="0.2">
      <c r="B56" s="13"/>
      <c r="C56" s="13"/>
    </row>
    <row r="57" spans="2:3" x14ac:dyDescent="0.2">
      <c r="B57" s="13"/>
      <c r="C57" s="13"/>
    </row>
  </sheetData>
  <phoneticPr fontId="0" type="noConversion"/>
  <pageMargins left="0.38" right="0.75" top="0.73" bottom="0.74" header="0.5" footer="0.5"/>
  <pageSetup orientation="landscape" r:id="rId1"/>
  <headerFooter alignWithMargins="0">
    <oddFooter>&amp;L&amp;Z&amp;F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9.9978637043366805E-2"/>
  </sheetPr>
  <dimension ref="A1:AU76"/>
  <sheetViews>
    <sheetView topLeftCell="AB19" workbookViewId="0">
      <selection activeCell="AO43" sqref="AO43"/>
    </sheetView>
  </sheetViews>
  <sheetFormatPr defaultRowHeight="12.75" x14ac:dyDescent="0.2"/>
  <cols>
    <col min="1" max="1" width="7.42578125" bestFit="1" customWidth="1"/>
    <col min="2" max="2" width="8.5703125" style="115" bestFit="1" customWidth="1"/>
    <col min="3" max="3" width="14.28515625" bestFit="1" customWidth="1"/>
    <col min="4" max="5" width="11.5703125" bestFit="1" customWidth="1"/>
    <col min="6" max="6" width="14.7109375" customWidth="1"/>
    <col min="10" max="10" width="14" bestFit="1" customWidth="1"/>
    <col min="11" max="11" width="14" customWidth="1"/>
    <col min="12" max="12" width="8.7109375" bestFit="1" customWidth="1"/>
    <col min="13" max="13" width="11" customWidth="1"/>
    <col min="14" max="14" width="14" customWidth="1"/>
    <col min="22" max="22" width="19.140625" customWidth="1"/>
    <col min="26" max="26" width="14.28515625" customWidth="1"/>
    <col min="27" max="27" width="11.140625" customWidth="1"/>
    <col min="31" max="31" width="12.85546875" bestFit="1" customWidth="1"/>
    <col min="32" max="32" width="14.5703125" bestFit="1" customWidth="1"/>
    <col min="33" max="34" width="12.85546875" bestFit="1" customWidth="1"/>
    <col min="35" max="35" width="13" customWidth="1"/>
    <col min="38" max="38" width="13" customWidth="1"/>
    <col min="41" max="41" width="11.42578125" customWidth="1"/>
    <col min="42" max="42" width="13.42578125" customWidth="1"/>
    <col min="47" max="47" width="14" bestFit="1" customWidth="1"/>
  </cols>
  <sheetData>
    <row r="1" spans="1:47" ht="15" x14ac:dyDescent="0.25">
      <c r="A1" s="239" t="s">
        <v>58</v>
      </c>
      <c r="B1" s="239"/>
      <c r="C1" s="239"/>
      <c r="D1" s="239"/>
      <c r="E1" s="239"/>
      <c r="F1" s="239"/>
      <c r="AS1" t="s">
        <v>272</v>
      </c>
    </row>
    <row r="2" spans="1:47" ht="45" x14ac:dyDescent="0.25">
      <c r="A2" s="234" t="s">
        <v>129</v>
      </c>
      <c r="B2" s="238"/>
      <c r="C2" s="235" t="s">
        <v>231</v>
      </c>
      <c r="D2" s="235" t="s">
        <v>232</v>
      </c>
      <c r="E2" s="236" t="s">
        <v>233</v>
      </c>
      <c r="F2" s="234" t="s">
        <v>234</v>
      </c>
      <c r="J2" s="243" t="str">
        <f>C2</f>
        <v>NPEI kWh</v>
      </c>
      <c r="K2" s="251" t="s">
        <v>248</v>
      </c>
      <c r="L2" s="243" t="str">
        <f>D2</f>
        <v>NPEI kW</v>
      </c>
      <c r="M2" s="243" t="str">
        <f>E2</f>
        <v>NPEI Grossed Up Demand</v>
      </c>
      <c r="N2" s="243" t="str">
        <f>F2</f>
        <v>Gross Up Difference in Demand</v>
      </c>
      <c r="O2" s="164"/>
      <c r="P2" s="165" t="s">
        <v>237</v>
      </c>
      <c r="R2" s="165" t="s">
        <v>240</v>
      </c>
      <c r="S2" s="165"/>
      <c r="T2" s="55" t="s">
        <v>129</v>
      </c>
      <c r="U2" s="165" t="s">
        <v>84</v>
      </c>
      <c r="V2" s="45" t="str">
        <f>Data!D1</f>
        <v>Embedded Distributor Purchases</v>
      </c>
      <c r="W2" s="248" t="str">
        <f>'Data (ED Mar2017-)'!BR1</f>
        <v>CDD16</v>
      </c>
      <c r="X2" t="str">
        <f>'Data (ED Mar2017-)'!AH1</f>
        <v>Trend</v>
      </c>
      <c r="Y2" s="217" t="str">
        <f>'Data (ED Mar2017-)'!P1</f>
        <v>May</v>
      </c>
      <c r="Z2" s="165" t="s">
        <v>242</v>
      </c>
      <c r="AK2" s="55" t="s">
        <v>129</v>
      </c>
      <c r="AL2" s="217" t="str">
        <f t="shared" ref="AL2:AL48" si="0">V2</f>
        <v>Embedded Distributor Purchases</v>
      </c>
      <c r="AM2" s="249" t="str">
        <f t="shared" ref="AM2:AM48" si="1">W2</f>
        <v>CDD16</v>
      </c>
      <c r="AN2" s="165" t="s">
        <v>250</v>
      </c>
      <c r="AO2" s="165" t="s">
        <v>246</v>
      </c>
      <c r="AP2" s="165" t="s">
        <v>247</v>
      </c>
      <c r="AS2" t="str">
        <f>AN2</f>
        <v>CDD16 Normal</v>
      </c>
      <c r="AT2" t="str">
        <f>AO2</f>
        <v>Weather Impact</v>
      </c>
      <c r="AU2" t="str">
        <f>AP2</f>
        <v>Weather Normal</v>
      </c>
    </row>
    <row r="3" spans="1:47" ht="15" x14ac:dyDescent="0.25">
      <c r="A3" s="3" t="s">
        <v>235</v>
      </c>
      <c r="B3" s="115">
        <f>B4</f>
        <v>2017</v>
      </c>
      <c r="C3" s="237"/>
      <c r="D3" s="84">
        <v>8167.6906230416598</v>
      </c>
      <c r="E3" s="84">
        <v>10806.88549458333</v>
      </c>
      <c r="F3" s="229">
        <f t="shared" ref="F3:F14" si="2">E3-D3</f>
        <v>2639.1948715416702</v>
      </c>
      <c r="I3">
        <v>2017</v>
      </c>
      <c r="J3" s="128">
        <f>SUMIF($B:$B,$I3,C:C)</f>
        <v>29983391.131810207</v>
      </c>
      <c r="K3" s="128">
        <f ca="1">SUMIFS(AP:AP,U:U,I3)</f>
        <v>30868410.384187136</v>
      </c>
      <c r="L3" s="128">
        <f t="shared" ref="L3:N6" si="3">SUMIF($B:$B,$I3,D:D)</f>
        <v>115728.52390788929</v>
      </c>
      <c r="M3" s="128">
        <f t="shared" si="3"/>
        <v>134378.59375901797</v>
      </c>
      <c r="N3" s="128">
        <f t="shared" si="3"/>
        <v>18650.069851128657</v>
      </c>
      <c r="P3" s="117">
        <f>M3/L3-1</f>
        <v>0.16115361383138915</v>
      </c>
      <c r="R3">
        <v>17.05</v>
      </c>
      <c r="T3" s="3">
        <f>Data!A76</f>
        <v>42825</v>
      </c>
      <c r="U3" s="115">
        <f>YEAR(T3)</f>
        <v>2017</v>
      </c>
      <c r="V3" s="45">
        <f>Data!D76</f>
        <v>2413945.7550129993</v>
      </c>
      <c r="W3" s="248">
        <f>'Data (ED Mar2017-)'!BR2</f>
        <v>0</v>
      </c>
      <c r="X3">
        <f>'Data (ED Mar2017-)'!AH2</f>
        <v>1</v>
      </c>
      <c r="Y3" s="217">
        <f>'Data (ED Mar2017-)'!P2</f>
        <v>0</v>
      </c>
      <c r="Z3" s="128">
        <f t="shared" ref="Z3:Z48" si="4">$AF$9+W3*$AF$10+X3*$AF$11+Y3*$AF$12</f>
        <v>1692846.4311693998</v>
      </c>
      <c r="AA3" s="72">
        <f t="shared" ref="AA3:AA48" si="5">Z3-V3</f>
        <v>-721099.32384359953</v>
      </c>
      <c r="AB3" s="247">
        <f>AA3/Z3</f>
        <v>-0.42596854065815765</v>
      </c>
      <c r="AK3" s="3">
        <f t="shared" ref="AK3:AK48" si="6">T3</f>
        <v>42825</v>
      </c>
      <c r="AL3" s="45">
        <f t="shared" si="0"/>
        <v>2413945.7550129993</v>
      </c>
      <c r="AM3" s="248">
        <f>W3</f>
        <v>0</v>
      </c>
      <c r="AN3" s="97">
        <f ca="1">Weather!AY63</f>
        <v>0.26000000000000012</v>
      </c>
      <c r="AO3" s="45">
        <f t="shared" ref="AO3:AO48" ca="1" si="7">(AN3-AM3)*$AF$10</f>
        <v>3926.7065805119637</v>
      </c>
      <c r="AP3" s="128">
        <f ca="1">AL3+AO3</f>
        <v>2417872.461593511</v>
      </c>
    </row>
    <row r="4" spans="1:47" ht="15" x14ac:dyDescent="0.25">
      <c r="A4" s="3" t="s">
        <v>236</v>
      </c>
      <c r="B4" s="115">
        <f>B5</f>
        <v>2017</v>
      </c>
      <c r="C4" s="237"/>
      <c r="D4" s="84">
        <v>9535.5783033333009</v>
      </c>
      <c r="E4" s="84">
        <v>10436.225065000001</v>
      </c>
      <c r="F4" s="229">
        <f t="shared" si="2"/>
        <v>900.6467616666996</v>
      </c>
      <c r="I4">
        <v>2018</v>
      </c>
      <c r="J4" s="128">
        <f>SUMIF($B:$B,$I4,C:C)</f>
        <v>43380633.574119426</v>
      </c>
      <c r="K4" s="128">
        <f ca="1">SUMIFS(AP:AP,U:U,I4)</f>
        <v>41797868.767820761</v>
      </c>
      <c r="L4" s="128">
        <f t="shared" si="3"/>
        <v>144421.29999999999</v>
      </c>
      <c r="M4" s="128">
        <f t="shared" si="3"/>
        <v>170905.05999999997</v>
      </c>
      <c r="N4" s="128">
        <f t="shared" si="3"/>
        <v>26483.760000000002</v>
      </c>
      <c r="P4" s="117">
        <f>M4/L4-1</f>
        <v>0.18337849056891176</v>
      </c>
      <c r="R4">
        <v>19.12</v>
      </c>
      <c r="T4" s="3">
        <f>Data!A77</f>
        <v>42855</v>
      </c>
      <c r="U4" s="115">
        <f t="shared" ref="U4:U48" si="8">YEAR(T4)</f>
        <v>2017</v>
      </c>
      <c r="V4" s="45">
        <f>Data!D77</f>
        <v>2181294.6017022091</v>
      </c>
      <c r="W4" s="248">
        <f>'Data (ED Mar2017-)'!BR3</f>
        <v>5.3000000000000007</v>
      </c>
      <c r="X4">
        <f>'Data (ED Mar2017-)'!AH3</f>
        <v>2</v>
      </c>
      <c r="Y4" s="217">
        <f>'Data (ED Mar2017-)'!P3</f>
        <v>0</v>
      </c>
      <c r="Z4" s="128">
        <f t="shared" si="4"/>
        <v>1830374.3430195539</v>
      </c>
      <c r="AA4" s="72">
        <f t="shared" si="5"/>
        <v>-350920.25868265517</v>
      </c>
      <c r="AB4" s="247">
        <f t="shared" ref="AB4:AB48" si="9">AA4/Z4</f>
        <v>-0.19172048604207642</v>
      </c>
      <c r="AE4" t="s">
        <v>243</v>
      </c>
      <c r="AK4" s="3">
        <f t="shared" si="6"/>
        <v>42855</v>
      </c>
      <c r="AL4" s="45">
        <f t="shared" si="0"/>
        <v>2181294.6017022091</v>
      </c>
      <c r="AM4" s="248">
        <f t="shared" si="1"/>
        <v>5.3000000000000007</v>
      </c>
      <c r="AN4" s="97">
        <f ca="1">Weather!AY64</f>
        <v>1.2600000000000002</v>
      </c>
      <c r="AO4" s="45">
        <f t="shared" ca="1" si="7"/>
        <v>-61014.979174108958</v>
      </c>
      <c r="AP4" s="128">
        <f t="shared" ref="AP4:AP48" ca="1" si="10">AL4+AO4</f>
        <v>2120279.6225280999</v>
      </c>
    </row>
    <row r="5" spans="1:47" x14ac:dyDescent="0.2">
      <c r="A5" s="3">
        <v>42795</v>
      </c>
      <c r="B5" s="115">
        <f t="shared" ref="B5:B50" si="11">YEAR(A5)</f>
        <v>2017</v>
      </c>
      <c r="C5" s="84">
        <v>2413945.7550129993</v>
      </c>
      <c r="D5" s="84">
        <v>8494.0499999999993</v>
      </c>
      <c r="E5" s="84">
        <v>10052.805917000002</v>
      </c>
      <c r="F5" s="229">
        <f t="shared" si="2"/>
        <v>1558.7559170000022</v>
      </c>
      <c r="I5">
        <v>2019</v>
      </c>
      <c r="J5" s="128">
        <f>SUMIF($B:$B,$I5,C:C)</f>
        <v>49068645.301379278</v>
      </c>
      <c r="K5" s="128">
        <f ca="1">SUMIFS(AP:AP,U:U,I5)</f>
        <v>50714841.521670833</v>
      </c>
      <c r="L5" s="128">
        <f>SUMIF($B:$B,$I5,D:D)</f>
        <v>143708.33256318636</v>
      </c>
      <c r="M5" s="128">
        <f>SUMIF($B:$B,$I5,E:E)</f>
        <v>164404.78920878115</v>
      </c>
      <c r="N5" s="128">
        <f t="shared" si="3"/>
        <v>20696.456645594822</v>
      </c>
      <c r="P5" s="117">
        <f>M5/L5-1</f>
        <v>0.1440170954352622</v>
      </c>
      <c r="R5">
        <v>17.72</v>
      </c>
      <c r="T5" s="3">
        <f>Data!A78</f>
        <v>42886</v>
      </c>
      <c r="U5" s="115">
        <f t="shared" si="8"/>
        <v>2017</v>
      </c>
      <c r="V5" s="45">
        <f>Data!D78</f>
        <v>2595303.9357047086</v>
      </c>
      <c r="W5" s="248">
        <f>'Data (ED Mar2017-)'!BR4</f>
        <v>24.000000000000004</v>
      </c>
      <c r="X5">
        <f>'Data (ED Mar2017-)'!AH4</f>
        <v>3</v>
      </c>
      <c r="Y5" s="217">
        <f>'Data (ED Mar2017-)'!P4</f>
        <v>1</v>
      </c>
      <c r="Z5" s="128">
        <f t="shared" si="4"/>
        <v>3021502.6477934737</v>
      </c>
      <c r="AA5" s="72">
        <f t="shared" si="5"/>
        <v>426198.71208876511</v>
      </c>
      <c r="AB5" s="247">
        <f t="shared" si="9"/>
        <v>0.14105521714502126</v>
      </c>
      <c r="AE5" t="s">
        <v>241</v>
      </c>
      <c r="AK5" s="3">
        <f t="shared" si="6"/>
        <v>42886</v>
      </c>
      <c r="AL5" s="45">
        <f t="shared" si="0"/>
        <v>2595303.9357047086</v>
      </c>
      <c r="AM5" s="248">
        <f t="shared" si="1"/>
        <v>24.000000000000004</v>
      </c>
      <c r="AN5" s="97">
        <f ca="1">Weather!AY65</f>
        <v>44.669999999999995</v>
      </c>
      <c r="AO5" s="45">
        <f t="shared" ca="1" si="7"/>
        <v>312173.17315070081</v>
      </c>
      <c r="AP5" s="128">
        <f t="shared" ca="1" si="10"/>
        <v>2907477.1088554095</v>
      </c>
    </row>
    <row r="6" spans="1:47" x14ac:dyDescent="0.2">
      <c r="A6" s="3">
        <v>42826</v>
      </c>
      <c r="B6" s="115">
        <f t="shared" si="11"/>
        <v>2017</v>
      </c>
      <c r="C6" s="84">
        <v>2181294.6017022091</v>
      </c>
      <c r="D6" s="84">
        <v>8529.1751899999981</v>
      </c>
      <c r="E6" s="84">
        <v>10308.723002954661</v>
      </c>
      <c r="F6" s="229">
        <f t="shared" si="2"/>
        <v>1779.5478129546627</v>
      </c>
      <c r="I6">
        <v>2020</v>
      </c>
      <c r="J6" s="128">
        <f>SUMIF($B:$B,$I6,C:C)</f>
        <v>59182119.984162331</v>
      </c>
      <c r="K6" s="128">
        <f ca="1">SUMIFS(AP:AP,U:U,I6)</f>
        <v>58078111.326333761</v>
      </c>
      <c r="L6" s="128">
        <f t="shared" si="3"/>
        <v>167587.61572212976</v>
      </c>
      <c r="M6" s="128">
        <f>SUMIF($B:$B,$I6,E:E)</f>
        <v>185129.68805562533</v>
      </c>
      <c r="N6" s="128">
        <f t="shared" si="3"/>
        <v>17542.072333495613</v>
      </c>
      <c r="P6" s="117">
        <f>M6/L6-1</f>
        <v>0.10467403726646118</v>
      </c>
      <c r="R6">
        <v>21.73</v>
      </c>
      <c r="T6" s="3">
        <f>Data!A79</f>
        <v>42916</v>
      </c>
      <c r="U6" s="115">
        <f t="shared" si="8"/>
        <v>2017</v>
      </c>
      <c r="V6" s="45">
        <f>Data!D79</f>
        <v>3158025.9024923728</v>
      </c>
      <c r="W6" s="248">
        <f>'Data (ED Mar2017-)'!BR5</f>
        <v>118.79999999999998</v>
      </c>
      <c r="X6">
        <f>'Data (ED Mar2017-)'!AH5</f>
        <v>4</v>
      </c>
      <c r="Y6" s="217">
        <f>'Data (ED Mar2017-)'!P5</f>
        <v>0</v>
      </c>
      <c r="Z6" s="128">
        <f t="shared" si="4"/>
        <v>3659499.8095455579</v>
      </c>
      <c r="AA6" s="72">
        <f t="shared" si="5"/>
        <v>501473.90705318516</v>
      </c>
      <c r="AB6" s="247">
        <f t="shared" si="9"/>
        <v>0.13703345625135008</v>
      </c>
      <c r="AE6" t="s">
        <v>245</v>
      </c>
      <c r="AK6" s="3">
        <f t="shared" si="6"/>
        <v>42916</v>
      </c>
      <c r="AL6" s="45">
        <f t="shared" si="0"/>
        <v>3158025.9024923728</v>
      </c>
      <c r="AM6" s="248">
        <f t="shared" si="1"/>
        <v>118.79999999999998</v>
      </c>
      <c r="AN6" s="97">
        <f ca="1">Weather!AY66</f>
        <v>115.62</v>
      </c>
      <c r="AO6" s="45">
        <f t="shared" ca="1" si="7"/>
        <v>-48026.642023184439</v>
      </c>
      <c r="AP6" s="128">
        <f t="shared" ca="1" si="10"/>
        <v>3109999.2604691884</v>
      </c>
    </row>
    <row r="7" spans="1:47" x14ac:dyDescent="0.2">
      <c r="A7" s="3">
        <v>42856</v>
      </c>
      <c r="B7" s="115">
        <f t="shared" si="11"/>
        <v>2017</v>
      </c>
      <c r="C7" s="84">
        <v>2595303.9357047086</v>
      </c>
      <c r="D7" s="84">
        <v>7935.941284999999</v>
      </c>
      <c r="E7" s="84">
        <v>9563.9013489550071</v>
      </c>
      <c r="F7" s="229">
        <f t="shared" si="2"/>
        <v>1627.9600639550081</v>
      </c>
      <c r="J7" s="250"/>
      <c r="K7" s="250"/>
      <c r="P7" s="55" t="s">
        <v>238</v>
      </c>
      <c r="T7" s="3">
        <f>Data!A80</f>
        <v>42947</v>
      </c>
      <c r="U7" s="115">
        <f t="shared" si="8"/>
        <v>2017</v>
      </c>
      <c r="V7" s="45">
        <f>Data!D80</f>
        <v>4500801.1910749236</v>
      </c>
      <c r="W7" s="248">
        <f>'Data (ED Mar2017-)'!BR6</f>
        <v>182.00000000000006</v>
      </c>
      <c r="X7">
        <f>'Data (ED Mar2017-)'!AH6</f>
        <v>5</v>
      </c>
      <c r="Y7" s="217">
        <f>'Data (ED Mar2017-)'!P6</f>
        <v>0</v>
      </c>
      <c r="Z7" s="128">
        <f t="shared" si="4"/>
        <v>4671475.0714404928</v>
      </c>
      <c r="AA7" s="72">
        <f t="shared" si="5"/>
        <v>170673.88036556914</v>
      </c>
      <c r="AB7" s="247">
        <f t="shared" si="9"/>
        <v>3.6535329367162882E-2</v>
      </c>
      <c r="AK7" s="3">
        <f t="shared" si="6"/>
        <v>42947</v>
      </c>
      <c r="AL7" s="45">
        <f t="shared" si="0"/>
        <v>4500801.1910749236</v>
      </c>
      <c r="AM7" s="248">
        <f t="shared" si="1"/>
        <v>182.00000000000006</v>
      </c>
      <c r="AN7" s="97">
        <f ca="1">Weather!AY67</f>
        <v>224.87000000000003</v>
      </c>
      <c r="AO7" s="45">
        <f t="shared" ca="1" si="7"/>
        <v>647453.50425595266</v>
      </c>
      <c r="AP7" s="128">
        <f t="shared" ca="1" si="10"/>
        <v>5148254.6953308759</v>
      </c>
    </row>
    <row r="8" spans="1:47" x14ac:dyDescent="0.2">
      <c r="A8" s="3">
        <v>42887</v>
      </c>
      <c r="B8" s="115">
        <f t="shared" si="11"/>
        <v>2017</v>
      </c>
      <c r="C8" s="84">
        <v>3158025.9024923728</v>
      </c>
      <c r="D8" s="84">
        <v>9014.5499999999993</v>
      </c>
      <c r="E8" s="84">
        <v>12420.471255882412</v>
      </c>
      <c r="F8" s="229">
        <f t="shared" si="2"/>
        <v>3405.9212558824129</v>
      </c>
      <c r="I8" s="55" t="s">
        <v>249</v>
      </c>
      <c r="K8" s="59">
        <v>5.0000000000000001E-3</v>
      </c>
      <c r="L8" s="59">
        <f>K8</f>
        <v>5.0000000000000001E-3</v>
      </c>
      <c r="T8" s="3">
        <f>Data!A81</f>
        <v>42978</v>
      </c>
      <c r="U8" s="115">
        <f t="shared" si="8"/>
        <v>2017</v>
      </c>
      <c r="V8" s="45">
        <f>Data!D81</f>
        <v>4110221.2645936697</v>
      </c>
      <c r="W8" s="248">
        <f>'Data (ED Mar2017-)'!BR7</f>
        <v>149.30000000000007</v>
      </c>
      <c r="X8">
        <f>'Data (ED Mar2017-)'!AH7</f>
        <v>6</v>
      </c>
      <c r="Y8" s="217">
        <f>'Data (ED Mar2017-)'!P7</f>
        <v>0</v>
      </c>
      <c r="Z8" s="128">
        <f t="shared" si="4"/>
        <v>4235099.7138312068</v>
      </c>
      <c r="AA8" s="72">
        <f t="shared" si="5"/>
        <v>124878.4492375371</v>
      </c>
      <c r="AB8" s="247">
        <f t="shared" si="9"/>
        <v>2.948654286219109E-2</v>
      </c>
      <c r="AF8" t="s">
        <v>157</v>
      </c>
      <c r="AG8" t="s">
        <v>158</v>
      </c>
      <c r="AH8" t="s">
        <v>159</v>
      </c>
      <c r="AI8" t="s">
        <v>160</v>
      </c>
      <c r="AK8" s="3">
        <f t="shared" si="6"/>
        <v>42978</v>
      </c>
      <c r="AL8" s="45">
        <f t="shared" si="0"/>
        <v>4110221.2645936697</v>
      </c>
      <c r="AM8" s="248">
        <f t="shared" si="1"/>
        <v>149.30000000000007</v>
      </c>
      <c r="AN8" s="97">
        <f ca="1">Weather!AY68</f>
        <v>186.09000000000003</v>
      </c>
      <c r="AO8" s="45">
        <f t="shared" ca="1" si="7"/>
        <v>555628.98114244209</v>
      </c>
      <c r="AP8" s="128">
        <f t="shared" ca="1" si="10"/>
        <v>4665850.2457361119</v>
      </c>
    </row>
    <row r="9" spans="1:47" x14ac:dyDescent="0.2">
      <c r="A9" s="3">
        <v>42917</v>
      </c>
      <c r="B9" s="115">
        <f t="shared" si="11"/>
        <v>2017</v>
      </c>
      <c r="C9" s="84">
        <v>4500801.1910749236</v>
      </c>
      <c r="D9" s="84">
        <v>10375.52</v>
      </c>
      <c r="E9" s="84">
        <v>12116.088090822941</v>
      </c>
      <c r="F9" s="229">
        <f t="shared" si="2"/>
        <v>1740.5680908229406</v>
      </c>
      <c r="T9" s="3">
        <f>Data!A82</f>
        <v>43008</v>
      </c>
      <c r="U9" s="115">
        <f t="shared" si="8"/>
        <v>2017</v>
      </c>
      <c r="V9" s="45">
        <f>Data!D82</f>
        <v>4259176.9817509372</v>
      </c>
      <c r="W9" s="248">
        <f>'Data (ED Mar2017-)'!BR8</f>
        <v>100.2</v>
      </c>
      <c r="X9">
        <f>'Data (ED Mar2017-)'!AH8</f>
        <v>7</v>
      </c>
      <c r="Y9" s="217">
        <f>'Data (ED Mar2017-)'!P8</f>
        <v>0</v>
      </c>
      <c r="Z9" s="128">
        <f t="shared" si="4"/>
        <v>3551039.7872973187</v>
      </c>
      <c r="AA9" s="72">
        <f t="shared" si="5"/>
        <v>-708137.19445361849</v>
      </c>
      <c r="AB9" s="247">
        <f t="shared" si="9"/>
        <v>-0.19941685727846453</v>
      </c>
      <c r="AE9" t="s">
        <v>161</v>
      </c>
      <c r="AF9" s="128">
        <v>1635362.92269122</v>
      </c>
      <c r="AG9">
        <v>205554.748108851</v>
      </c>
      <c r="AH9">
        <v>7.9558508754330504</v>
      </c>
      <c r="AI9" s="182">
        <v>6.4497464995064403E-10</v>
      </c>
      <c r="AK9" s="3">
        <f t="shared" si="6"/>
        <v>43008</v>
      </c>
      <c r="AL9" s="45">
        <f t="shared" si="0"/>
        <v>4259176.9817509372</v>
      </c>
      <c r="AM9" s="248">
        <f t="shared" si="1"/>
        <v>100.2</v>
      </c>
      <c r="AN9" s="97">
        <f ca="1">Weather!AY69</f>
        <v>90.78</v>
      </c>
      <c r="AO9" s="45">
        <f t="shared" ca="1" si="7"/>
        <v>-142267.59995547187</v>
      </c>
      <c r="AP9" s="128">
        <f t="shared" ca="1" si="10"/>
        <v>4116909.3817954655</v>
      </c>
    </row>
    <row r="10" spans="1:47" x14ac:dyDescent="0.2">
      <c r="A10" s="3">
        <v>42948</v>
      </c>
      <c r="B10" s="115">
        <f t="shared" si="11"/>
        <v>2017</v>
      </c>
      <c r="C10" s="84">
        <v>4110221.2645936697</v>
      </c>
      <c r="D10" s="84">
        <v>11750.29</v>
      </c>
      <c r="E10" s="84">
        <v>12224.321427384093</v>
      </c>
      <c r="F10" s="229">
        <f t="shared" si="2"/>
        <v>474.03142738409224</v>
      </c>
      <c r="I10" s="240">
        <v>2021</v>
      </c>
      <c r="J10" s="241"/>
      <c r="K10" s="241">
        <f ca="1">K6*(1+K8)</f>
        <v>58368501.882965423</v>
      </c>
      <c r="L10" s="241">
        <f ca="1">'Rate Class Load Model'!D12</f>
        <v>165283.67125842275</v>
      </c>
      <c r="M10" s="242">
        <f ca="1">L10*(1+P10)</f>
        <v>189796.19988442984</v>
      </c>
      <c r="N10" s="242">
        <f ca="1">M10-L10</f>
        <v>24512.528626007086</v>
      </c>
      <c r="O10" s="240"/>
      <c r="P10" s="244">
        <f>AVERAGE(P3:P6)</f>
        <v>0.14830580927550607</v>
      </c>
      <c r="Q10" s="72"/>
      <c r="T10" s="3">
        <f>Data!A83</f>
        <v>43039</v>
      </c>
      <c r="U10" s="115">
        <f t="shared" si="8"/>
        <v>2017</v>
      </c>
      <c r="V10" s="45">
        <f>Data!D83</f>
        <v>2009640.1544891417</v>
      </c>
      <c r="W10" s="248">
        <f>'Data (ED Mar2017-)'!BR9</f>
        <v>40.600000000000009</v>
      </c>
      <c r="X10">
        <f>'Data (ED Mar2017-)'!AH9</f>
        <v>8</v>
      </c>
      <c r="Y10" s="217">
        <f>'Data (ED Mar2017-)'!P9</f>
        <v>0</v>
      </c>
      <c r="Z10" s="128">
        <f t="shared" si="4"/>
        <v>2708401.3257812178</v>
      </c>
      <c r="AA10" s="72">
        <f t="shared" si="5"/>
        <v>698761.17129207612</v>
      </c>
      <c r="AB10" s="247">
        <f t="shared" si="9"/>
        <v>0.2579976477786296</v>
      </c>
      <c r="AE10" t="s">
        <v>96</v>
      </c>
      <c r="AF10" s="128">
        <v>15102.717617353699</v>
      </c>
      <c r="AG10">
        <v>1087.1193505307799</v>
      </c>
      <c r="AH10">
        <v>13.8924190890171</v>
      </c>
      <c r="AI10" s="182">
        <v>2.6558253249392201E-17</v>
      </c>
      <c r="AK10" s="3">
        <f t="shared" si="6"/>
        <v>43039</v>
      </c>
      <c r="AL10" s="45">
        <f t="shared" si="0"/>
        <v>2009640.1544891417</v>
      </c>
      <c r="AM10" s="248">
        <f t="shared" si="1"/>
        <v>40.600000000000009</v>
      </c>
      <c r="AN10" s="97">
        <f ca="1">Weather!AY70</f>
        <v>14.710000000000003</v>
      </c>
      <c r="AO10" s="45">
        <f t="shared" ca="1" si="7"/>
        <v>-391009.35911328741</v>
      </c>
      <c r="AP10" s="128">
        <f t="shared" ca="1" si="10"/>
        <v>1618630.7953758542</v>
      </c>
    </row>
    <row r="11" spans="1:47" x14ac:dyDescent="0.2">
      <c r="A11" s="3">
        <v>42979</v>
      </c>
      <c r="B11" s="115">
        <f t="shared" si="11"/>
        <v>2017</v>
      </c>
      <c r="C11" s="84">
        <v>4259176.9817509372</v>
      </c>
      <c r="D11" s="84">
        <v>13353.591666384833</v>
      </c>
      <c r="E11" s="84">
        <v>13630.109074108112</v>
      </c>
      <c r="F11" s="229">
        <f t="shared" si="2"/>
        <v>276.51740772327867</v>
      </c>
      <c r="I11" s="240">
        <v>2022</v>
      </c>
      <c r="J11" s="241"/>
      <c r="K11" s="241">
        <f ca="1">K10*(1+K8)</f>
        <v>58660344.392380245</v>
      </c>
      <c r="L11" s="241">
        <f ca="1">'Rate Class Load Model'!D13</f>
        <v>166110.08961471485</v>
      </c>
      <c r="M11" s="242">
        <f ca="1">L11*(1+P11)</f>
        <v>190745.18088385198</v>
      </c>
      <c r="N11" s="242">
        <f ca="1">M11-L11</f>
        <v>24635.091269137134</v>
      </c>
      <c r="O11" s="240"/>
      <c r="P11" s="244">
        <f>P10</f>
        <v>0.14830580927550607</v>
      </c>
      <c r="T11" s="3">
        <f>Data!A84</f>
        <v>43069</v>
      </c>
      <c r="U11" s="115">
        <f t="shared" si="8"/>
        <v>2017</v>
      </c>
      <c r="V11" s="45">
        <f>Data!D84</f>
        <v>2222237.4702646215</v>
      </c>
      <c r="W11" s="248">
        <f>'Data (ED Mar2017-)'!BR10</f>
        <v>0</v>
      </c>
      <c r="X11">
        <f>'Data (ED Mar2017-)'!AH10</f>
        <v>9</v>
      </c>
      <c r="Y11" s="217">
        <f>'Data (ED Mar2017-)'!P10</f>
        <v>0</v>
      </c>
      <c r="Z11" s="128">
        <f t="shared" si="4"/>
        <v>2152714.498994837</v>
      </c>
      <c r="AA11" s="72">
        <f t="shared" si="5"/>
        <v>-69522.971269784495</v>
      </c>
      <c r="AB11" s="247">
        <f t="shared" si="9"/>
        <v>-3.2295490787211556E-2</v>
      </c>
      <c r="AE11" t="s">
        <v>62</v>
      </c>
      <c r="AF11" s="128">
        <v>57483.508478179698</v>
      </c>
      <c r="AG11">
        <v>7137.1394829576202</v>
      </c>
      <c r="AH11">
        <v>8.0541383022485995</v>
      </c>
      <c r="AI11" s="182">
        <v>4.7021075888108803E-10</v>
      </c>
      <c r="AK11" s="3">
        <f t="shared" si="6"/>
        <v>43069</v>
      </c>
      <c r="AL11" s="45">
        <f t="shared" si="0"/>
        <v>2222237.4702646215</v>
      </c>
      <c r="AM11" s="248">
        <f t="shared" si="1"/>
        <v>0</v>
      </c>
      <c r="AN11" s="97">
        <f ca="1">Weather!AY71</f>
        <v>0.54000000000000026</v>
      </c>
      <c r="AO11" s="45">
        <f t="shared" ca="1" si="7"/>
        <v>8155.4675133710016</v>
      </c>
      <c r="AP11" s="128">
        <f t="shared" ca="1" si="10"/>
        <v>2230392.9377779923</v>
      </c>
    </row>
    <row r="12" spans="1:47" x14ac:dyDescent="0.2">
      <c r="A12" s="3">
        <v>43009</v>
      </c>
      <c r="B12" s="115">
        <f t="shared" si="11"/>
        <v>2017</v>
      </c>
      <c r="C12" s="84">
        <v>2009640.1544891417</v>
      </c>
      <c r="D12" s="84">
        <v>8638.6156413154968</v>
      </c>
      <c r="E12" s="84">
        <v>10077.566178872839</v>
      </c>
      <c r="F12" s="229">
        <f t="shared" si="2"/>
        <v>1438.9505375573426</v>
      </c>
      <c r="T12" s="3">
        <f>Data!A85</f>
        <v>43100</v>
      </c>
      <c r="U12" s="115">
        <f t="shared" si="8"/>
        <v>2017</v>
      </c>
      <c r="V12" s="45">
        <f>Data!D85</f>
        <v>2532743.8747246251</v>
      </c>
      <c r="W12" s="248">
        <f>'Data (ED Mar2017-)'!BR11</f>
        <v>0</v>
      </c>
      <c r="X12">
        <f>'Data (ED Mar2017-)'!AH11</f>
        <v>10</v>
      </c>
      <c r="Y12" s="217">
        <f>'Data (ED Mar2017-)'!P11</f>
        <v>0</v>
      </c>
      <c r="Z12" s="128">
        <f t="shared" si="4"/>
        <v>2210198.0074730171</v>
      </c>
      <c r="AA12" s="72">
        <f t="shared" si="5"/>
        <v>-322545.86725160806</v>
      </c>
      <c r="AB12" s="247">
        <f t="shared" si="9"/>
        <v>-0.14593528098434222</v>
      </c>
      <c r="AE12" t="s">
        <v>38</v>
      </c>
      <c r="AF12" s="128">
        <v>851223.97685122595</v>
      </c>
      <c r="AG12">
        <v>257075.58476446799</v>
      </c>
      <c r="AH12">
        <v>3.3111817196919602</v>
      </c>
      <c r="AI12">
        <v>1.91580449782675E-3</v>
      </c>
      <c r="AK12" s="3">
        <f t="shared" si="6"/>
        <v>43100</v>
      </c>
      <c r="AL12" s="45">
        <f t="shared" si="0"/>
        <v>2532743.8747246251</v>
      </c>
      <c r="AM12" s="248">
        <f t="shared" si="1"/>
        <v>0</v>
      </c>
      <c r="AN12" s="97">
        <f ca="1">Weather!AY72</f>
        <v>0</v>
      </c>
      <c r="AO12" s="45">
        <f t="shared" ca="1" si="7"/>
        <v>0</v>
      </c>
      <c r="AP12" s="128">
        <f t="shared" ca="1" si="10"/>
        <v>2532743.8747246251</v>
      </c>
    </row>
    <row r="13" spans="1:47" x14ac:dyDescent="0.2">
      <c r="A13" s="3">
        <v>43040</v>
      </c>
      <c r="B13" s="115">
        <f t="shared" si="11"/>
        <v>2017</v>
      </c>
      <c r="C13" s="84">
        <v>2222237.4702646215</v>
      </c>
      <c r="D13" s="84">
        <v>9664.2896216391164</v>
      </c>
      <c r="E13" s="84">
        <v>12056.213191319401</v>
      </c>
      <c r="F13" s="229">
        <f t="shared" si="2"/>
        <v>2391.9235696802843</v>
      </c>
      <c r="T13" s="3">
        <f>Data!A86</f>
        <v>43131</v>
      </c>
      <c r="U13" s="115">
        <f t="shared" si="8"/>
        <v>2018</v>
      </c>
      <c r="V13" s="45">
        <f>Data!D86</f>
        <v>1852730.1844645019</v>
      </c>
      <c r="W13" s="248">
        <f>'Data (ED Mar2017-)'!BR12</f>
        <v>0</v>
      </c>
      <c r="X13">
        <f>'Data (ED Mar2017-)'!AH12</f>
        <v>11</v>
      </c>
      <c r="Y13" s="217">
        <f>'Data (ED Mar2017-)'!P12</f>
        <v>0</v>
      </c>
      <c r="Z13" s="128">
        <f t="shared" si="4"/>
        <v>2267681.5159511967</v>
      </c>
      <c r="AA13" s="72">
        <f t="shared" si="5"/>
        <v>414951.33148669475</v>
      </c>
      <c r="AB13" s="247">
        <f t="shared" si="9"/>
        <v>0.18298483652482397</v>
      </c>
      <c r="AK13" s="3">
        <f t="shared" si="6"/>
        <v>43131</v>
      </c>
      <c r="AL13" s="45">
        <f t="shared" si="0"/>
        <v>1852730.1844645019</v>
      </c>
      <c r="AM13" s="248">
        <f t="shared" si="1"/>
        <v>0</v>
      </c>
      <c r="AN13" s="97">
        <f ca="1">Weather!AY61</f>
        <v>0</v>
      </c>
      <c r="AO13" s="45">
        <f t="shared" ca="1" si="7"/>
        <v>0</v>
      </c>
      <c r="AP13" s="128">
        <f t="shared" ca="1" si="10"/>
        <v>1852730.1844645019</v>
      </c>
    </row>
    <row r="14" spans="1:47" x14ac:dyDescent="0.2">
      <c r="A14" s="3">
        <v>43070</v>
      </c>
      <c r="B14" s="115">
        <f t="shared" si="11"/>
        <v>2017</v>
      </c>
      <c r="C14" s="84">
        <v>2532743.8747246251</v>
      </c>
      <c r="D14" s="84">
        <v>10269.231577174891</v>
      </c>
      <c r="E14" s="84">
        <v>10685.283712135151</v>
      </c>
      <c r="F14" s="229">
        <f t="shared" si="2"/>
        <v>416.05213496026045</v>
      </c>
      <c r="I14" s="55" t="s">
        <v>44</v>
      </c>
      <c r="T14" s="3">
        <f>Data!A87</f>
        <v>43159</v>
      </c>
      <c r="U14" s="115">
        <f t="shared" si="8"/>
        <v>2018</v>
      </c>
      <c r="V14" s="45">
        <f>Data!D87</f>
        <v>1758839.4821045175</v>
      </c>
      <c r="W14" s="248">
        <f>'Data (ED Mar2017-)'!BR13</f>
        <v>0</v>
      </c>
      <c r="X14">
        <f>'Data (ED Mar2017-)'!AH13</f>
        <v>12</v>
      </c>
      <c r="Y14" s="217">
        <f>'Data (ED Mar2017-)'!P13</f>
        <v>0</v>
      </c>
      <c r="Z14" s="128">
        <f t="shared" si="4"/>
        <v>2325165.0244293762</v>
      </c>
      <c r="AA14" s="72">
        <f t="shared" si="5"/>
        <v>566325.54232485872</v>
      </c>
      <c r="AB14" s="247">
        <f t="shared" si="9"/>
        <v>0.24356359070205863</v>
      </c>
      <c r="AE14" t="s">
        <v>172</v>
      </c>
      <c r="AK14" s="3">
        <f t="shared" si="6"/>
        <v>43159</v>
      </c>
      <c r="AL14" s="45">
        <f t="shared" si="0"/>
        <v>1758839.4821045175</v>
      </c>
      <c r="AM14" s="248">
        <f t="shared" si="1"/>
        <v>0</v>
      </c>
      <c r="AN14" s="97">
        <f ca="1">Weather!AY62</f>
        <v>0</v>
      </c>
      <c r="AO14" s="45">
        <f t="shared" ca="1" si="7"/>
        <v>0</v>
      </c>
      <c r="AP14" s="128">
        <f t="shared" ca="1" si="10"/>
        <v>1758839.4821045175</v>
      </c>
    </row>
    <row r="15" spans="1:47" x14ac:dyDescent="0.2">
      <c r="A15" s="3">
        <v>43101</v>
      </c>
      <c r="B15" s="115">
        <f t="shared" si="11"/>
        <v>2018</v>
      </c>
      <c r="C15" s="84">
        <v>1852730.1844645019</v>
      </c>
      <c r="D15" s="84">
        <v>14256.55</v>
      </c>
      <c r="E15" s="84">
        <v>17130.53</v>
      </c>
      <c r="F15" s="229">
        <f t="shared" ref="F15:F26" si="12">E15-D15</f>
        <v>2873.9799999999996</v>
      </c>
      <c r="I15" s="55" t="s">
        <v>45</v>
      </c>
      <c r="J15" s="84"/>
      <c r="K15" s="84"/>
      <c r="T15" s="3">
        <f>Data!A88</f>
        <v>43190</v>
      </c>
      <c r="U15" s="115">
        <f t="shared" si="8"/>
        <v>2018</v>
      </c>
      <c r="V15" s="45">
        <f>Data!D88</f>
        <v>2375340.9491960937</v>
      </c>
      <c r="W15" s="248">
        <f>'Data (ED Mar2017-)'!BR14</f>
        <v>0</v>
      </c>
      <c r="X15">
        <f>'Data (ED Mar2017-)'!AH14</f>
        <v>13</v>
      </c>
      <c r="Y15" s="217">
        <f>'Data (ED Mar2017-)'!P14</f>
        <v>0</v>
      </c>
      <c r="Z15" s="128">
        <f t="shared" si="4"/>
        <v>2382648.5329075558</v>
      </c>
      <c r="AA15" s="72">
        <f t="shared" si="5"/>
        <v>7307.5837114620954</v>
      </c>
      <c r="AB15" s="247">
        <f t="shared" si="9"/>
        <v>3.0670002774368997E-3</v>
      </c>
      <c r="AE15" t="s">
        <v>162</v>
      </c>
      <c r="AF15">
        <v>3948147.60851024</v>
      </c>
      <c r="AG15" t="s">
        <v>163</v>
      </c>
      <c r="AH15">
        <v>1539074.32032564</v>
      </c>
      <c r="AK15" s="3">
        <f t="shared" si="6"/>
        <v>43190</v>
      </c>
      <c r="AL15" s="45">
        <f t="shared" si="0"/>
        <v>2375340.9491960937</v>
      </c>
      <c r="AM15" s="248">
        <f t="shared" si="1"/>
        <v>0</v>
      </c>
      <c r="AN15" s="97">
        <f ca="1">AN3</f>
        <v>0.26000000000000012</v>
      </c>
      <c r="AO15" s="45">
        <f t="shared" ca="1" si="7"/>
        <v>3926.7065805119637</v>
      </c>
      <c r="AP15" s="128">
        <f t="shared" ca="1" si="10"/>
        <v>2379267.6557766055</v>
      </c>
    </row>
    <row r="16" spans="1:47" x14ac:dyDescent="0.2">
      <c r="A16" s="3">
        <v>43132</v>
      </c>
      <c r="B16" s="115">
        <f t="shared" si="11"/>
        <v>2018</v>
      </c>
      <c r="C16" s="84">
        <v>1758839.4821045175</v>
      </c>
      <c r="D16" s="84">
        <v>9310.39</v>
      </c>
      <c r="E16" s="84">
        <v>10757.54</v>
      </c>
      <c r="F16" s="229">
        <f t="shared" si="12"/>
        <v>1447.1500000000015</v>
      </c>
      <c r="I16" s="55" t="s">
        <v>46</v>
      </c>
      <c r="J16" s="84"/>
      <c r="K16" s="84"/>
      <c r="T16" s="3">
        <f>Data!A89</f>
        <v>43220</v>
      </c>
      <c r="U16" s="115">
        <f t="shared" si="8"/>
        <v>2018</v>
      </c>
      <c r="V16" s="45">
        <f>Data!D89</f>
        <v>2485375.9892984647</v>
      </c>
      <c r="W16" s="248">
        <f>'Data (ED Mar2017-)'!BR15</f>
        <v>0</v>
      </c>
      <c r="X16">
        <f>'Data (ED Mar2017-)'!AH15</f>
        <v>14</v>
      </c>
      <c r="Y16" s="217">
        <f>'Data (ED Mar2017-)'!P15</f>
        <v>0</v>
      </c>
      <c r="Z16" s="128">
        <f t="shared" si="4"/>
        <v>2440132.0413857359</v>
      </c>
      <c r="AA16" s="72">
        <f t="shared" si="5"/>
        <v>-45243.94791272888</v>
      </c>
      <c r="AB16" s="247">
        <f t="shared" si="9"/>
        <v>-1.8541598219018969E-2</v>
      </c>
      <c r="AE16" t="s">
        <v>164</v>
      </c>
      <c r="AF16">
        <v>10930574583287.6</v>
      </c>
      <c r="AG16" t="s">
        <v>165</v>
      </c>
      <c r="AH16">
        <v>510148.77809572499</v>
      </c>
      <c r="AK16" s="3">
        <f t="shared" si="6"/>
        <v>43220</v>
      </c>
      <c r="AL16" s="45">
        <f t="shared" si="0"/>
        <v>2485375.9892984647</v>
      </c>
      <c r="AM16" s="248">
        <f t="shared" si="1"/>
        <v>0</v>
      </c>
      <c r="AN16" s="97">
        <f t="shared" ref="AN16:AN48" ca="1" si="13">AN4</f>
        <v>1.2600000000000002</v>
      </c>
      <c r="AO16" s="45">
        <f t="shared" ca="1" si="7"/>
        <v>19029.424197865665</v>
      </c>
      <c r="AP16" s="128">
        <f t="shared" ca="1" si="10"/>
        <v>2504405.4134963304</v>
      </c>
    </row>
    <row r="17" spans="1:42" x14ac:dyDescent="0.2">
      <c r="A17" s="3">
        <v>43160</v>
      </c>
      <c r="B17" s="115">
        <f t="shared" si="11"/>
        <v>2018</v>
      </c>
      <c r="C17" s="84">
        <v>2375340.9491960937</v>
      </c>
      <c r="D17" s="84">
        <v>9450.49</v>
      </c>
      <c r="E17" s="84">
        <v>9928.02</v>
      </c>
      <c r="F17" s="229">
        <f t="shared" si="12"/>
        <v>477.53000000000065</v>
      </c>
      <c r="I17" s="55" t="s">
        <v>47</v>
      </c>
      <c r="J17" s="84"/>
      <c r="K17" s="84"/>
      <c r="T17" s="3">
        <f>Data!A90</f>
        <v>43251</v>
      </c>
      <c r="U17" s="115">
        <f t="shared" si="8"/>
        <v>2018</v>
      </c>
      <c r="V17" s="45">
        <f>Data!D90</f>
        <v>5433603.1230769819</v>
      </c>
      <c r="W17" s="248">
        <f>'Data (ED Mar2017-)'!BR16</f>
        <v>60.599999999999994</v>
      </c>
      <c r="X17">
        <f>'Data (ED Mar2017-)'!AH16</f>
        <v>15</v>
      </c>
      <c r="Y17" s="217">
        <f>'Data (ED Mar2017-)'!P16</f>
        <v>1</v>
      </c>
      <c r="Z17" s="128">
        <f t="shared" si="4"/>
        <v>4264064.2143267756</v>
      </c>
      <c r="AA17" s="72">
        <f t="shared" si="5"/>
        <v>-1169538.9087502062</v>
      </c>
      <c r="AB17" s="247">
        <f t="shared" si="9"/>
        <v>-0.27427797752685973</v>
      </c>
      <c r="AE17" t="s">
        <v>166</v>
      </c>
      <c r="AF17">
        <v>0.89746230855467901</v>
      </c>
      <c r="AG17" t="s">
        <v>167</v>
      </c>
      <c r="AH17" s="293">
        <v>0.89013818773715603</v>
      </c>
      <c r="AK17" s="3">
        <f t="shared" si="6"/>
        <v>43251</v>
      </c>
      <c r="AL17" s="45">
        <f t="shared" si="0"/>
        <v>5433603.1230769819</v>
      </c>
      <c r="AM17" s="248">
        <f t="shared" si="1"/>
        <v>60.599999999999994</v>
      </c>
      <c r="AN17" s="97">
        <f t="shared" ca="1" si="13"/>
        <v>44.669999999999995</v>
      </c>
      <c r="AO17" s="45">
        <f t="shared" ca="1" si="7"/>
        <v>-240586.29164444443</v>
      </c>
      <c r="AP17" s="128">
        <f t="shared" ca="1" si="10"/>
        <v>5193016.8314325372</v>
      </c>
    </row>
    <row r="18" spans="1:42" x14ac:dyDescent="0.2">
      <c r="A18" s="3">
        <v>43191</v>
      </c>
      <c r="B18" s="115">
        <f t="shared" si="11"/>
        <v>2018</v>
      </c>
      <c r="C18" s="84">
        <v>2485375.9892984647</v>
      </c>
      <c r="D18" s="84">
        <v>9303.51</v>
      </c>
      <c r="E18" s="84">
        <v>11841.84</v>
      </c>
      <c r="F18" s="229">
        <f t="shared" si="12"/>
        <v>2538.33</v>
      </c>
      <c r="I18" s="55" t="s">
        <v>38</v>
      </c>
      <c r="J18" s="84"/>
      <c r="K18" s="84"/>
      <c r="T18" s="3">
        <f>Data!A91</f>
        <v>43281</v>
      </c>
      <c r="U18" s="115">
        <f t="shared" si="8"/>
        <v>2018</v>
      </c>
      <c r="V18" s="45">
        <f>Data!D91</f>
        <v>3916619.5607652208</v>
      </c>
      <c r="W18" s="248">
        <f>'Data (ED Mar2017-)'!BR17</f>
        <v>112.89999999999998</v>
      </c>
      <c r="X18">
        <f>'Data (ED Mar2017-)'!AH17</f>
        <v>16</v>
      </c>
      <c r="Y18" s="217">
        <f>'Data (ED Mar2017-)'!P17</f>
        <v>0</v>
      </c>
      <c r="Z18" s="128">
        <f t="shared" si="4"/>
        <v>4260195.8773413273</v>
      </c>
      <c r="AA18" s="72">
        <f t="shared" si="5"/>
        <v>343576.31657610647</v>
      </c>
      <c r="AB18" s="247">
        <f t="shared" si="9"/>
        <v>8.0648009262551362E-2</v>
      </c>
      <c r="AE18" t="s">
        <v>244</v>
      </c>
      <c r="AF18">
        <v>85.233619288275094</v>
      </c>
      <c r="AG18" t="s">
        <v>169</v>
      </c>
      <c r="AH18" s="182">
        <v>6.7397049794812998E-18</v>
      </c>
      <c r="AK18" s="3">
        <f t="shared" si="6"/>
        <v>43281</v>
      </c>
      <c r="AL18" s="45">
        <f t="shared" si="0"/>
        <v>3916619.5607652208</v>
      </c>
      <c r="AM18" s="248">
        <f t="shared" si="1"/>
        <v>112.89999999999998</v>
      </c>
      <c r="AN18" s="97">
        <f t="shared" ca="1" si="13"/>
        <v>115.62</v>
      </c>
      <c r="AO18" s="45">
        <f t="shared" ca="1" si="7"/>
        <v>41079.391919202477</v>
      </c>
      <c r="AP18" s="128">
        <f t="shared" ca="1" si="10"/>
        <v>3957698.9526844234</v>
      </c>
    </row>
    <row r="19" spans="1:42" x14ac:dyDescent="0.2">
      <c r="A19" s="3">
        <v>43221</v>
      </c>
      <c r="B19" s="115">
        <f t="shared" si="11"/>
        <v>2018</v>
      </c>
      <c r="C19" s="84">
        <v>5433603.1230769819</v>
      </c>
      <c r="D19" s="84">
        <v>18185.87</v>
      </c>
      <c r="E19" s="84">
        <v>20344.48</v>
      </c>
      <c r="F19" s="229">
        <f t="shared" si="12"/>
        <v>2158.6100000000006</v>
      </c>
      <c r="I19" s="55" t="s">
        <v>48</v>
      </c>
      <c r="J19" s="84"/>
      <c r="K19" s="84"/>
      <c r="T19" s="3">
        <f>Data!A92</f>
        <v>43312</v>
      </c>
      <c r="U19" s="115">
        <f t="shared" si="8"/>
        <v>2018</v>
      </c>
      <c r="V19" s="45">
        <f>Data!D92</f>
        <v>5890671.1113334885</v>
      </c>
      <c r="W19" s="248">
        <f>'Data (ED Mar2017-)'!BR18</f>
        <v>237.30000000000007</v>
      </c>
      <c r="X19">
        <f>'Data (ED Mar2017-)'!AH18</f>
        <v>17</v>
      </c>
      <c r="Y19" s="217">
        <f>'Data (ED Mar2017-)'!P18</f>
        <v>0</v>
      </c>
      <c r="Z19" s="128">
        <f t="shared" si="4"/>
        <v>6196457.4574183086</v>
      </c>
      <c r="AA19" s="72">
        <f t="shared" si="5"/>
        <v>305786.34608482011</v>
      </c>
      <c r="AB19" s="247">
        <f t="shared" si="9"/>
        <v>4.9348575082805927E-2</v>
      </c>
      <c r="AE19" t="s">
        <v>170</v>
      </c>
      <c r="AF19">
        <v>-2.99725008467671E-3</v>
      </c>
      <c r="AG19" t="s">
        <v>171</v>
      </c>
      <c r="AH19">
        <v>1.9326093707888801</v>
      </c>
      <c r="AK19" s="3">
        <f t="shared" si="6"/>
        <v>43312</v>
      </c>
      <c r="AL19" s="45">
        <f t="shared" si="0"/>
        <v>5890671.1113334885</v>
      </c>
      <c r="AM19" s="248">
        <f t="shared" si="1"/>
        <v>237.30000000000007</v>
      </c>
      <c r="AN19" s="97">
        <f t="shared" ca="1" si="13"/>
        <v>224.87000000000003</v>
      </c>
      <c r="AO19" s="45">
        <f t="shared" ca="1" si="7"/>
        <v>-187726.77998370701</v>
      </c>
      <c r="AP19" s="128">
        <f t="shared" ca="1" si="10"/>
        <v>5702944.3313497817</v>
      </c>
    </row>
    <row r="20" spans="1:42" x14ac:dyDescent="0.2">
      <c r="A20" s="3">
        <v>43252</v>
      </c>
      <c r="B20" s="115">
        <f t="shared" si="11"/>
        <v>2018</v>
      </c>
      <c r="C20" s="84">
        <v>3916619.5607652208</v>
      </c>
      <c r="D20" s="84">
        <v>12091.89</v>
      </c>
      <c r="E20" s="84">
        <v>13975.52</v>
      </c>
      <c r="F20" s="229">
        <f t="shared" si="12"/>
        <v>1883.630000000001</v>
      </c>
      <c r="I20" s="55" t="s">
        <v>49</v>
      </c>
      <c r="J20" s="84"/>
      <c r="K20" s="84"/>
      <c r="T20" s="3">
        <f>Data!A93</f>
        <v>43343</v>
      </c>
      <c r="U20" s="115">
        <f t="shared" si="8"/>
        <v>2018</v>
      </c>
      <c r="V20" s="45">
        <f>Data!D93</f>
        <v>6778894.4532912951</v>
      </c>
      <c r="W20" s="248">
        <f>'Data (ED Mar2017-)'!BR19</f>
        <v>233.3000000000001</v>
      </c>
      <c r="X20">
        <f>'Data (ED Mar2017-)'!AH19</f>
        <v>18</v>
      </c>
      <c r="Y20" s="217">
        <f>'Data (ED Mar2017-)'!P19</f>
        <v>0</v>
      </c>
      <c r="Z20" s="128">
        <f t="shared" si="4"/>
        <v>6193530.0954270735</v>
      </c>
      <c r="AA20" s="72">
        <f t="shared" si="5"/>
        <v>-585364.35786422156</v>
      </c>
      <c r="AB20" s="247">
        <f t="shared" si="9"/>
        <v>-9.4512232740488186E-2</v>
      </c>
      <c r="AK20" s="3">
        <f t="shared" si="6"/>
        <v>43343</v>
      </c>
      <c r="AL20" s="45">
        <f t="shared" si="0"/>
        <v>6778894.4532912951</v>
      </c>
      <c r="AM20" s="248">
        <f t="shared" si="1"/>
        <v>233.3000000000001</v>
      </c>
      <c r="AN20" s="97">
        <f t="shared" ca="1" si="13"/>
        <v>186.09000000000003</v>
      </c>
      <c r="AO20" s="45">
        <f t="shared" ca="1" si="7"/>
        <v>-712999.29871526908</v>
      </c>
      <c r="AP20" s="128">
        <f t="shared" ca="1" si="10"/>
        <v>6065895.1545760259</v>
      </c>
    </row>
    <row r="21" spans="1:42" x14ac:dyDescent="0.2">
      <c r="A21" s="3">
        <v>43282</v>
      </c>
      <c r="B21" s="115">
        <f t="shared" si="11"/>
        <v>2018</v>
      </c>
      <c r="C21" s="84">
        <v>5890671.1113334885</v>
      </c>
      <c r="D21" s="84">
        <v>11916.34</v>
      </c>
      <c r="E21" s="84">
        <v>16735.919999999998</v>
      </c>
      <c r="F21" s="229">
        <f t="shared" si="12"/>
        <v>4819.5799999999981</v>
      </c>
      <c r="I21" s="55" t="s">
        <v>50</v>
      </c>
      <c r="J21" s="84"/>
      <c r="K21" s="84"/>
      <c r="T21" s="3">
        <f>Data!A94</f>
        <v>43373</v>
      </c>
      <c r="U21" s="115">
        <f t="shared" si="8"/>
        <v>2018</v>
      </c>
      <c r="V21" s="45">
        <f>Data!D94</f>
        <v>4496004.9261929411</v>
      </c>
      <c r="W21" s="248">
        <f>'Data (ED Mar2017-)'!BR20</f>
        <v>121.09999999999998</v>
      </c>
      <c r="X21">
        <f>'Data (ED Mar2017-)'!AH20</f>
        <v>19</v>
      </c>
      <c r="Y21" s="217">
        <f>'Data (ED Mar2017-)'!P20</f>
        <v>0</v>
      </c>
      <c r="Z21" s="128">
        <f t="shared" si="4"/>
        <v>4556488.6872381661</v>
      </c>
      <c r="AA21" s="72">
        <f t="shared" si="5"/>
        <v>60483.761045224965</v>
      </c>
      <c r="AB21" s="247">
        <f t="shared" si="9"/>
        <v>1.327420415080326E-2</v>
      </c>
      <c r="AE21" s="55" t="s">
        <v>251</v>
      </c>
      <c r="AK21" s="3">
        <f t="shared" si="6"/>
        <v>43373</v>
      </c>
      <c r="AL21" s="45">
        <f t="shared" si="0"/>
        <v>4496004.9261929411</v>
      </c>
      <c r="AM21" s="248">
        <f t="shared" si="1"/>
        <v>121.09999999999998</v>
      </c>
      <c r="AN21" s="97">
        <f t="shared" ca="1" si="13"/>
        <v>90.78</v>
      </c>
      <c r="AO21" s="45">
        <f t="shared" ca="1" si="7"/>
        <v>-457914.39815816382</v>
      </c>
      <c r="AP21" s="128">
        <f t="shared" ca="1" si="10"/>
        <v>4038090.5280347774</v>
      </c>
    </row>
    <row r="22" spans="1:42" x14ac:dyDescent="0.2">
      <c r="A22" s="3">
        <v>43313</v>
      </c>
      <c r="B22" s="115">
        <f t="shared" si="11"/>
        <v>2018</v>
      </c>
      <c r="C22" s="84">
        <v>6778894.4532912951</v>
      </c>
      <c r="D22" s="84">
        <v>17173.189999999999</v>
      </c>
      <c r="E22" s="84">
        <v>18066.87</v>
      </c>
      <c r="F22" s="229">
        <f t="shared" si="12"/>
        <v>893.68000000000029</v>
      </c>
      <c r="I22" s="55" t="s">
        <v>51</v>
      </c>
      <c r="J22" s="84"/>
      <c r="K22" s="84"/>
      <c r="T22" s="3">
        <f>Data!A95</f>
        <v>43404</v>
      </c>
      <c r="U22" s="115">
        <f t="shared" si="8"/>
        <v>2018</v>
      </c>
      <c r="V22" s="45">
        <f>Data!D95</f>
        <v>2542408.0313404463</v>
      </c>
      <c r="W22" s="248">
        <f>'Data (ED Mar2017-)'!BR21</f>
        <v>18.400000000000002</v>
      </c>
      <c r="X22">
        <f>'Data (ED Mar2017-)'!AH21</f>
        <v>20</v>
      </c>
      <c r="Y22" s="217">
        <f>'Data (ED Mar2017-)'!P21</f>
        <v>0</v>
      </c>
      <c r="Z22" s="128">
        <f t="shared" si="4"/>
        <v>3062923.0964141218</v>
      </c>
      <c r="AA22" s="72">
        <f t="shared" si="5"/>
        <v>520515.06507367548</v>
      </c>
      <c r="AB22" s="247">
        <f t="shared" si="9"/>
        <v>0.16994062491580733</v>
      </c>
      <c r="AK22" s="3">
        <f t="shared" si="6"/>
        <v>43404</v>
      </c>
      <c r="AL22" s="45">
        <f t="shared" si="0"/>
        <v>2542408.0313404463</v>
      </c>
      <c r="AM22" s="248">
        <f t="shared" si="1"/>
        <v>18.400000000000002</v>
      </c>
      <c r="AN22" s="97">
        <f t="shared" ca="1" si="13"/>
        <v>14.710000000000003</v>
      </c>
      <c r="AO22" s="45">
        <f t="shared" ca="1" si="7"/>
        <v>-55729.028008035144</v>
      </c>
      <c r="AP22" s="128">
        <f t="shared" ca="1" si="10"/>
        <v>2486679.0033324114</v>
      </c>
    </row>
    <row r="23" spans="1:42" x14ac:dyDescent="0.2">
      <c r="A23" s="3">
        <v>43344</v>
      </c>
      <c r="B23" s="115">
        <f t="shared" si="11"/>
        <v>2018</v>
      </c>
      <c r="C23" s="84">
        <v>4496004.9261929411</v>
      </c>
      <c r="D23" s="84">
        <v>13090.73</v>
      </c>
      <c r="E23" s="84">
        <v>18491.27</v>
      </c>
      <c r="F23" s="229">
        <f t="shared" si="12"/>
        <v>5400.5400000000009</v>
      </c>
      <c r="I23" s="55" t="s">
        <v>52</v>
      </c>
      <c r="J23" s="84"/>
      <c r="K23" s="84"/>
      <c r="T23" s="3">
        <f>Data!A96</f>
        <v>43434</v>
      </c>
      <c r="U23" s="115">
        <f t="shared" si="8"/>
        <v>2018</v>
      </c>
      <c r="V23" s="45">
        <f>Data!D96</f>
        <v>2900973.5563793778</v>
      </c>
      <c r="W23" s="248">
        <f>'Data (ED Mar2017-)'!BR22</f>
        <v>0</v>
      </c>
      <c r="X23">
        <f>'Data (ED Mar2017-)'!AH22</f>
        <v>21</v>
      </c>
      <c r="Y23" s="217">
        <f>'Data (ED Mar2017-)'!P22</f>
        <v>0</v>
      </c>
      <c r="Z23" s="128">
        <f t="shared" si="4"/>
        <v>2842516.6007329933</v>
      </c>
      <c r="AA23" s="72">
        <f t="shared" si="5"/>
        <v>-58456.955646384507</v>
      </c>
      <c r="AB23" s="247">
        <f t="shared" si="9"/>
        <v>-2.056521169702592E-2</v>
      </c>
      <c r="AK23" s="3">
        <f t="shared" si="6"/>
        <v>43434</v>
      </c>
      <c r="AL23" s="45">
        <f t="shared" si="0"/>
        <v>2900973.5563793778</v>
      </c>
      <c r="AM23" s="248">
        <f t="shared" si="1"/>
        <v>0</v>
      </c>
      <c r="AN23" s="97">
        <f t="shared" ca="1" si="13"/>
        <v>0.54000000000000026</v>
      </c>
      <c r="AO23" s="45">
        <f t="shared" ca="1" si="7"/>
        <v>8155.4675133710016</v>
      </c>
      <c r="AP23" s="128">
        <f t="shared" ca="1" si="10"/>
        <v>2909129.0238927486</v>
      </c>
    </row>
    <row r="24" spans="1:42" x14ac:dyDescent="0.2">
      <c r="A24" s="3">
        <v>43374</v>
      </c>
      <c r="B24" s="115">
        <f t="shared" si="11"/>
        <v>2018</v>
      </c>
      <c r="C24" s="84">
        <v>2542408.0313404463</v>
      </c>
      <c r="D24" s="84">
        <v>9227.02</v>
      </c>
      <c r="E24" s="84">
        <v>11021.46</v>
      </c>
      <c r="F24" s="229">
        <f t="shared" si="12"/>
        <v>1794.4399999999987</v>
      </c>
      <c r="I24" s="55" t="s">
        <v>53</v>
      </c>
      <c r="J24" s="84"/>
      <c r="K24" s="84"/>
      <c r="T24" s="3">
        <f>Data!A97</f>
        <v>43465</v>
      </c>
      <c r="U24" s="115">
        <f t="shared" si="8"/>
        <v>2018</v>
      </c>
      <c r="V24" s="45">
        <f>Data!D97</f>
        <v>2949172.2066761004</v>
      </c>
      <c r="W24" s="248">
        <f>'Data (ED Mar2017-)'!BR23</f>
        <v>0</v>
      </c>
      <c r="X24">
        <f>'Data (ED Mar2017-)'!AH23</f>
        <v>22</v>
      </c>
      <c r="Y24" s="217">
        <f>'Data (ED Mar2017-)'!P23</f>
        <v>0</v>
      </c>
      <c r="Z24" s="128">
        <f t="shared" si="4"/>
        <v>2900000.1092111734</v>
      </c>
      <c r="AA24" s="72">
        <f t="shared" si="5"/>
        <v>-49172.097464927007</v>
      </c>
      <c r="AB24" s="247">
        <f t="shared" si="9"/>
        <v>-1.6955895039018558E-2</v>
      </c>
      <c r="AE24" s="128"/>
      <c r="AF24" s="128"/>
      <c r="AG24" s="128"/>
      <c r="AH24" s="128"/>
      <c r="AI24" s="72"/>
      <c r="AK24" s="3">
        <f t="shared" si="6"/>
        <v>43465</v>
      </c>
      <c r="AL24" s="45">
        <f t="shared" si="0"/>
        <v>2949172.2066761004</v>
      </c>
      <c r="AM24" s="248">
        <f t="shared" si="1"/>
        <v>0</v>
      </c>
      <c r="AN24" s="97">
        <f t="shared" ca="1" si="13"/>
        <v>0</v>
      </c>
      <c r="AO24" s="45">
        <f t="shared" ca="1" si="7"/>
        <v>0</v>
      </c>
      <c r="AP24" s="128">
        <f t="shared" ca="1" si="10"/>
        <v>2949172.2066761004</v>
      </c>
    </row>
    <row r="25" spans="1:42" x14ac:dyDescent="0.2">
      <c r="A25" s="3">
        <v>43405</v>
      </c>
      <c r="B25" s="115">
        <f t="shared" si="11"/>
        <v>2018</v>
      </c>
      <c r="C25" s="84">
        <v>2900973.5563793778</v>
      </c>
      <c r="D25" s="84">
        <v>10162.67</v>
      </c>
      <c r="E25" s="84">
        <v>11748.12</v>
      </c>
      <c r="F25" s="229">
        <f t="shared" si="12"/>
        <v>1585.4500000000007</v>
      </c>
      <c r="I25" s="55" t="s">
        <v>54</v>
      </c>
      <c r="J25" s="84"/>
      <c r="K25" s="84"/>
      <c r="T25" s="3">
        <f>Data!A98</f>
        <v>43496</v>
      </c>
      <c r="U25" s="115">
        <f t="shared" si="8"/>
        <v>2019</v>
      </c>
      <c r="V25" s="45">
        <f>Data!D98</f>
        <v>2345384.3176812418</v>
      </c>
      <c r="W25" s="248">
        <f>'Data (ED Mar2017-)'!BR24</f>
        <v>0</v>
      </c>
      <c r="X25">
        <f>'Data (ED Mar2017-)'!AH24</f>
        <v>23</v>
      </c>
      <c r="Y25" s="217">
        <f>'Data (ED Mar2017-)'!P24</f>
        <v>0</v>
      </c>
      <c r="Z25" s="128">
        <f t="shared" si="4"/>
        <v>2957483.6176893529</v>
      </c>
      <c r="AA25" s="72">
        <f t="shared" si="5"/>
        <v>612099.30000811117</v>
      </c>
      <c r="AB25" s="247">
        <f t="shared" si="9"/>
        <v>0.20696625210263619</v>
      </c>
      <c r="AE25" s="128"/>
      <c r="AF25" s="128"/>
      <c r="AG25" s="128"/>
      <c r="AH25" s="128"/>
      <c r="AI25" s="72"/>
      <c r="AK25" s="3">
        <f t="shared" si="6"/>
        <v>43496</v>
      </c>
      <c r="AL25" s="45">
        <f t="shared" si="0"/>
        <v>2345384.3176812418</v>
      </c>
      <c r="AM25" s="248">
        <f t="shared" si="1"/>
        <v>0</v>
      </c>
      <c r="AN25" s="97">
        <f t="shared" ca="1" si="13"/>
        <v>0</v>
      </c>
      <c r="AO25" s="45">
        <f t="shared" ca="1" si="7"/>
        <v>0</v>
      </c>
      <c r="AP25" s="128">
        <f t="shared" ca="1" si="10"/>
        <v>2345384.3176812418</v>
      </c>
    </row>
    <row r="26" spans="1:42" x14ac:dyDescent="0.2">
      <c r="A26" s="3">
        <v>43435</v>
      </c>
      <c r="B26" s="115">
        <f t="shared" si="11"/>
        <v>2018</v>
      </c>
      <c r="C26" s="84">
        <v>2949172.2066761004</v>
      </c>
      <c r="D26" s="84">
        <v>10252.65</v>
      </c>
      <c r="E26" s="84">
        <v>10863.49</v>
      </c>
      <c r="F26" s="229">
        <f t="shared" si="12"/>
        <v>610.84000000000015</v>
      </c>
      <c r="I26" s="246"/>
      <c r="J26" s="84"/>
      <c r="K26" s="84"/>
      <c r="T26" s="3">
        <f>Data!A99</f>
        <v>43524</v>
      </c>
      <c r="U26" s="115">
        <f t="shared" si="8"/>
        <v>2019</v>
      </c>
      <c r="V26" s="45">
        <f>Data!D99</f>
        <v>2502127.9915483254</v>
      </c>
      <c r="W26" s="248">
        <f>'Data (ED Mar2017-)'!BR25</f>
        <v>0</v>
      </c>
      <c r="X26">
        <f>'Data (ED Mar2017-)'!AH25</f>
        <v>24</v>
      </c>
      <c r="Y26" s="217">
        <f>'Data (ED Mar2017-)'!P25</f>
        <v>0</v>
      </c>
      <c r="Z26" s="128">
        <f t="shared" si="4"/>
        <v>3014967.126167533</v>
      </c>
      <c r="AA26" s="72">
        <f t="shared" si="5"/>
        <v>512839.13461920759</v>
      </c>
      <c r="AB26" s="247">
        <f t="shared" si="9"/>
        <v>0.17009775336127847</v>
      </c>
      <c r="AE26" s="128"/>
      <c r="AF26" s="128"/>
      <c r="AG26" s="128"/>
      <c r="AH26" s="128"/>
      <c r="AI26" s="72"/>
      <c r="AK26" s="3">
        <f t="shared" si="6"/>
        <v>43524</v>
      </c>
      <c r="AL26" s="45">
        <f t="shared" si="0"/>
        <v>2502127.9915483254</v>
      </c>
      <c r="AM26" s="248">
        <f t="shared" si="1"/>
        <v>0</v>
      </c>
      <c r="AN26" s="97">
        <f t="shared" ca="1" si="13"/>
        <v>0</v>
      </c>
      <c r="AO26" s="45">
        <f t="shared" ca="1" si="7"/>
        <v>0</v>
      </c>
      <c r="AP26" s="128">
        <f t="shared" ca="1" si="10"/>
        <v>2502127.9915483254</v>
      </c>
    </row>
    <row r="27" spans="1:42" x14ac:dyDescent="0.2">
      <c r="A27" s="3">
        <v>43466</v>
      </c>
      <c r="B27" s="115">
        <f t="shared" si="11"/>
        <v>2019</v>
      </c>
      <c r="C27" s="84">
        <v>2345384.3176812418</v>
      </c>
      <c r="D27" s="84">
        <v>9624.7434255184198</v>
      </c>
      <c r="E27" s="84">
        <v>12228.480246763093</v>
      </c>
      <c r="F27" s="229">
        <f>E27-D27</f>
        <v>2603.7368212446727</v>
      </c>
      <c r="I27" s="246"/>
      <c r="J27" s="84"/>
      <c r="K27" s="84"/>
      <c r="T27" s="3">
        <f>Data!A100</f>
        <v>43555</v>
      </c>
      <c r="U27" s="115">
        <f t="shared" si="8"/>
        <v>2019</v>
      </c>
      <c r="V27" s="45">
        <f>Data!D100</f>
        <v>2643551.1870212546</v>
      </c>
      <c r="W27" s="248">
        <f>'Data (ED Mar2017-)'!BR26</f>
        <v>0</v>
      </c>
      <c r="X27">
        <f>'Data (ED Mar2017-)'!AH26</f>
        <v>25</v>
      </c>
      <c r="Y27" s="217">
        <f>'Data (ED Mar2017-)'!P26</f>
        <v>0</v>
      </c>
      <c r="Z27" s="128">
        <f t="shared" si="4"/>
        <v>3072450.6346457126</v>
      </c>
      <c r="AA27" s="72">
        <f t="shared" si="5"/>
        <v>428899.447624458</v>
      </c>
      <c r="AB27" s="247">
        <f t="shared" si="9"/>
        <v>0.13959522824812279</v>
      </c>
      <c r="AE27" s="128"/>
      <c r="AF27" s="128"/>
      <c r="AG27" s="128"/>
      <c r="AH27" s="128"/>
      <c r="AI27" s="72"/>
      <c r="AK27" s="3">
        <f t="shared" si="6"/>
        <v>43555</v>
      </c>
      <c r="AL27" s="45">
        <f t="shared" si="0"/>
        <v>2643551.1870212546</v>
      </c>
      <c r="AM27" s="248">
        <f t="shared" si="1"/>
        <v>0</v>
      </c>
      <c r="AN27" s="97">
        <f t="shared" ca="1" si="13"/>
        <v>0.26000000000000012</v>
      </c>
      <c r="AO27" s="45">
        <f t="shared" ca="1" si="7"/>
        <v>3926.7065805119637</v>
      </c>
      <c r="AP27" s="128">
        <f t="shared" ca="1" si="10"/>
        <v>2647477.8936017663</v>
      </c>
    </row>
    <row r="28" spans="1:42" x14ac:dyDescent="0.2">
      <c r="A28" s="3">
        <v>43497</v>
      </c>
      <c r="B28" s="115">
        <f t="shared" si="11"/>
        <v>2019</v>
      </c>
      <c r="C28" s="84">
        <v>2502127.9915483254</v>
      </c>
      <c r="D28" s="84">
        <v>9443.3445903716311</v>
      </c>
      <c r="E28" s="84">
        <v>11477.652415610843</v>
      </c>
      <c r="F28" s="229">
        <f t="shared" ref="F28:F50" si="14">E28-D28</f>
        <v>2034.3078252392115</v>
      </c>
      <c r="I28" s="246"/>
      <c r="J28" s="84"/>
      <c r="K28" s="84"/>
      <c r="T28" s="3">
        <f>Data!A101</f>
        <v>43585</v>
      </c>
      <c r="U28" s="115">
        <f t="shared" si="8"/>
        <v>2019</v>
      </c>
      <c r="V28" s="45">
        <f>Data!D101</f>
        <v>2306272.4364213278</v>
      </c>
      <c r="W28" s="248">
        <f>'Data (ED Mar2017-)'!BR27</f>
        <v>0</v>
      </c>
      <c r="X28">
        <f>'Data (ED Mar2017-)'!AH27</f>
        <v>26</v>
      </c>
      <c r="Y28" s="217">
        <f>'Data (ED Mar2017-)'!P27</f>
        <v>0</v>
      </c>
      <c r="Z28" s="128">
        <f t="shared" si="4"/>
        <v>3129934.1431238921</v>
      </c>
      <c r="AA28" s="72">
        <f t="shared" si="5"/>
        <v>823661.70670256438</v>
      </c>
      <c r="AB28" s="247">
        <f t="shared" si="9"/>
        <v>0.26315624196504422</v>
      </c>
      <c r="AE28" s="128"/>
      <c r="AF28" s="128"/>
      <c r="AG28" s="128"/>
      <c r="AH28" s="128"/>
      <c r="AI28" s="72"/>
      <c r="AK28" s="3">
        <f t="shared" si="6"/>
        <v>43585</v>
      </c>
      <c r="AL28" s="45">
        <f t="shared" si="0"/>
        <v>2306272.4364213278</v>
      </c>
      <c r="AM28" s="248">
        <f t="shared" si="1"/>
        <v>0</v>
      </c>
      <c r="AN28" s="97">
        <f t="shared" ca="1" si="13"/>
        <v>1.2600000000000002</v>
      </c>
      <c r="AO28" s="45">
        <f t="shared" ca="1" si="7"/>
        <v>19029.424197865665</v>
      </c>
      <c r="AP28" s="128">
        <f t="shared" ca="1" si="10"/>
        <v>2325301.8606191934</v>
      </c>
    </row>
    <row r="29" spans="1:42" x14ac:dyDescent="0.2">
      <c r="A29" s="3">
        <v>43525</v>
      </c>
      <c r="B29" s="115">
        <f t="shared" si="11"/>
        <v>2019</v>
      </c>
      <c r="C29" s="84">
        <v>2643551.1870212546</v>
      </c>
      <c r="D29" s="84">
        <v>8898.6120136026475</v>
      </c>
      <c r="E29" s="84">
        <v>11000.637970124852</v>
      </c>
      <c r="F29" s="229">
        <f t="shared" si="14"/>
        <v>2102.0259565222041</v>
      </c>
      <c r="I29" s="246"/>
      <c r="J29" s="84"/>
      <c r="K29" s="84"/>
      <c r="T29" s="3">
        <f>Data!A102</f>
        <v>43616</v>
      </c>
      <c r="U29" s="115">
        <f t="shared" si="8"/>
        <v>2019</v>
      </c>
      <c r="V29" s="45">
        <f>Data!D102</f>
        <v>3898830.8811403029</v>
      </c>
      <c r="W29" s="248">
        <f>'Data (ED Mar2017-)'!BR28</f>
        <v>11.700000000000003</v>
      </c>
      <c r="X29">
        <f>'Data (ED Mar2017-)'!AH28</f>
        <v>27</v>
      </c>
      <c r="Y29" s="217">
        <f>'Data (ED Mar2017-)'!P28</f>
        <v>1</v>
      </c>
      <c r="Z29" s="128">
        <f t="shared" si="4"/>
        <v>4215343.4245763356</v>
      </c>
      <c r="AA29" s="72">
        <f t="shared" si="5"/>
        <v>316512.54343603272</v>
      </c>
      <c r="AB29" s="247">
        <f t="shared" si="9"/>
        <v>7.5085826125268526E-2</v>
      </c>
      <c r="AE29" s="128"/>
      <c r="AF29" s="128"/>
      <c r="AG29" s="128"/>
      <c r="AH29" s="128"/>
      <c r="AI29" s="72"/>
      <c r="AK29" s="3">
        <f t="shared" si="6"/>
        <v>43616</v>
      </c>
      <c r="AL29" s="45">
        <f t="shared" si="0"/>
        <v>3898830.8811403029</v>
      </c>
      <c r="AM29" s="248">
        <f t="shared" si="1"/>
        <v>11.700000000000003</v>
      </c>
      <c r="AN29" s="97">
        <f t="shared" ca="1" si="13"/>
        <v>44.669999999999995</v>
      </c>
      <c r="AO29" s="45">
        <f t="shared" ca="1" si="7"/>
        <v>497936.59984415135</v>
      </c>
      <c r="AP29" s="128">
        <f t="shared" ca="1" si="10"/>
        <v>4396767.480984454</v>
      </c>
    </row>
    <row r="30" spans="1:42" x14ac:dyDescent="0.2">
      <c r="A30" s="3">
        <v>43556</v>
      </c>
      <c r="B30" s="115">
        <f t="shared" si="11"/>
        <v>2019</v>
      </c>
      <c r="C30" s="84">
        <v>2306272.4364213278</v>
      </c>
      <c r="D30" s="84">
        <v>8352.2231480752707</v>
      </c>
      <c r="E30" s="84">
        <v>10137.620421707132</v>
      </c>
      <c r="F30" s="229">
        <f t="shared" si="14"/>
        <v>1785.397273631861</v>
      </c>
      <c r="I30" s="246"/>
      <c r="J30" s="84"/>
      <c r="K30" s="84"/>
      <c r="T30" s="3">
        <f>Data!A103</f>
        <v>43646</v>
      </c>
      <c r="U30" s="115">
        <f t="shared" si="8"/>
        <v>2019</v>
      </c>
      <c r="V30" s="45">
        <f>Data!D103</f>
        <v>4853572.3585318187</v>
      </c>
      <c r="W30" s="248">
        <f>'Data (ED Mar2017-)'!BR29</f>
        <v>74.600000000000009</v>
      </c>
      <c r="X30">
        <f>'Data (ED Mar2017-)'!AH29</f>
        <v>28</v>
      </c>
      <c r="Y30" s="217">
        <f>'Data (ED Mar2017-)'!P29</f>
        <v>0</v>
      </c>
      <c r="Z30" s="128">
        <f t="shared" si="4"/>
        <v>4371563.8943348378</v>
      </c>
      <c r="AA30" s="72">
        <f t="shared" si="5"/>
        <v>-482008.46419698093</v>
      </c>
      <c r="AB30" s="247">
        <f t="shared" si="9"/>
        <v>-0.11025996093105753</v>
      </c>
      <c r="AE30" s="128"/>
      <c r="AF30" s="128"/>
      <c r="AG30" s="128"/>
      <c r="AH30" s="128"/>
      <c r="AI30" s="72"/>
      <c r="AK30" s="3">
        <f t="shared" si="6"/>
        <v>43646</v>
      </c>
      <c r="AL30" s="45">
        <f t="shared" si="0"/>
        <v>4853572.3585318187</v>
      </c>
      <c r="AM30" s="248">
        <f t="shared" si="1"/>
        <v>74.600000000000009</v>
      </c>
      <c r="AN30" s="97">
        <f t="shared" ca="1" si="13"/>
        <v>115.62</v>
      </c>
      <c r="AO30" s="45">
        <f t="shared" ca="1" si="7"/>
        <v>619513.47666384873</v>
      </c>
      <c r="AP30" s="128">
        <f t="shared" ca="1" si="10"/>
        <v>5473085.8351956671</v>
      </c>
    </row>
    <row r="31" spans="1:42" x14ac:dyDescent="0.2">
      <c r="A31" s="3">
        <v>43586</v>
      </c>
      <c r="B31" s="115">
        <f t="shared" si="11"/>
        <v>2019</v>
      </c>
      <c r="C31" s="84">
        <v>3898830.8811403029</v>
      </c>
      <c r="D31" s="84">
        <v>10010.120687307732</v>
      </c>
      <c r="E31" s="84">
        <v>12526.393438930001</v>
      </c>
      <c r="F31" s="229">
        <f t="shared" si="14"/>
        <v>2516.2727516222694</v>
      </c>
      <c r="I31" s="246"/>
      <c r="J31" s="84"/>
      <c r="K31" s="84"/>
      <c r="T31" s="3">
        <f>Data!A104</f>
        <v>43677</v>
      </c>
      <c r="U31" s="115">
        <f t="shared" si="8"/>
        <v>2019</v>
      </c>
      <c r="V31" s="45">
        <f>Data!D104</f>
        <v>6991030.6470110817</v>
      </c>
      <c r="W31" s="248">
        <f>'Data (ED Mar2017-)'!BR30</f>
        <v>230.10000000000005</v>
      </c>
      <c r="X31">
        <f>'Data (ED Mar2017-)'!AH30</f>
        <v>29</v>
      </c>
      <c r="Y31" s="217">
        <f>'Data (ED Mar2017-)'!P30</f>
        <v>0</v>
      </c>
      <c r="Z31" s="128">
        <f t="shared" si="4"/>
        <v>6777519.9923115186</v>
      </c>
      <c r="AA31" s="72">
        <f t="shared" si="5"/>
        <v>-213510.65469956305</v>
      </c>
      <c r="AB31" s="247">
        <f t="shared" si="9"/>
        <v>-3.1502770178733742E-2</v>
      </c>
      <c r="AE31" s="128"/>
      <c r="AF31" s="128"/>
      <c r="AG31" s="128"/>
      <c r="AH31" s="128"/>
      <c r="AI31" s="72"/>
      <c r="AK31" s="3">
        <f t="shared" si="6"/>
        <v>43677</v>
      </c>
      <c r="AL31" s="45">
        <f t="shared" si="0"/>
        <v>6991030.6470110817</v>
      </c>
      <c r="AM31" s="248">
        <f t="shared" si="1"/>
        <v>230.10000000000005</v>
      </c>
      <c r="AN31" s="97">
        <f t="shared" ca="1" si="13"/>
        <v>224.87000000000003</v>
      </c>
      <c r="AO31" s="45">
        <f t="shared" ca="1" si="7"/>
        <v>-78987.213138760126</v>
      </c>
      <c r="AP31" s="128">
        <f t="shared" ca="1" si="10"/>
        <v>6912043.4338723216</v>
      </c>
    </row>
    <row r="32" spans="1:42" x14ac:dyDescent="0.2">
      <c r="A32" s="3">
        <v>43617</v>
      </c>
      <c r="B32" s="115">
        <f t="shared" si="11"/>
        <v>2019</v>
      </c>
      <c r="C32" s="84">
        <v>4853572.3585318187</v>
      </c>
      <c r="D32" s="84">
        <v>15067.028320868907</v>
      </c>
      <c r="E32" s="84">
        <v>15355.306324729543</v>
      </c>
      <c r="F32" s="229">
        <f t="shared" si="14"/>
        <v>288.27800386063609</v>
      </c>
      <c r="I32" s="246"/>
      <c r="J32" s="84"/>
      <c r="K32" s="84"/>
      <c r="T32" s="3">
        <f>Data!A105</f>
        <v>43708</v>
      </c>
      <c r="U32" s="115">
        <f t="shared" si="8"/>
        <v>2019</v>
      </c>
      <c r="V32" s="45">
        <f>Data!D105</f>
        <v>6140130.9663574947</v>
      </c>
      <c r="W32" s="248">
        <f>'Data (ED Mar2017-)'!BR31</f>
        <v>167.90000000000006</v>
      </c>
      <c r="X32">
        <f>'Data (ED Mar2017-)'!AH31</f>
        <v>30</v>
      </c>
      <c r="Y32" s="217">
        <f>'Data (ED Mar2017-)'!P31</f>
        <v>0</v>
      </c>
      <c r="Z32" s="128">
        <f t="shared" si="4"/>
        <v>5895614.4649902973</v>
      </c>
      <c r="AA32" s="72">
        <f t="shared" si="5"/>
        <v>-244516.50136719737</v>
      </c>
      <c r="AB32" s="247">
        <f t="shared" si="9"/>
        <v>-4.1474303114493051E-2</v>
      </c>
      <c r="AE32" s="128"/>
      <c r="AF32" s="128"/>
      <c r="AG32" s="128"/>
      <c r="AH32" s="128"/>
      <c r="AI32" s="72"/>
      <c r="AK32" s="3">
        <f t="shared" si="6"/>
        <v>43708</v>
      </c>
      <c r="AL32" s="45">
        <f t="shared" si="0"/>
        <v>6140130.9663574947</v>
      </c>
      <c r="AM32" s="248">
        <f t="shared" si="1"/>
        <v>167.90000000000006</v>
      </c>
      <c r="AN32" s="97">
        <f t="shared" ca="1" si="13"/>
        <v>186.09000000000003</v>
      </c>
      <c r="AO32" s="45">
        <f t="shared" ca="1" si="7"/>
        <v>274718.4334596633</v>
      </c>
      <c r="AP32" s="128">
        <f t="shared" ca="1" si="10"/>
        <v>6414849.3998171575</v>
      </c>
    </row>
    <row r="33" spans="1:47" x14ac:dyDescent="0.2">
      <c r="A33" s="3">
        <v>43647</v>
      </c>
      <c r="B33" s="115">
        <f t="shared" si="11"/>
        <v>2019</v>
      </c>
      <c r="C33" s="84">
        <v>6991030.6470110817</v>
      </c>
      <c r="D33" s="84">
        <v>14119.961476267643</v>
      </c>
      <c r="E33" s="84">
        <v>17063.892573895231</v>
      </c>
      <c r="F33" s="229">
        <f t="shared" si="14"/>
        <v>2943.9310976275883</v>
      </c>
      <c r="I33" s="246"/>
      <c r="J33" s="84"/>
      <c r="K33" s="84"/>
      <c r="T33" s="3">
        <f>Data!A106</f>
        <v>43738</v>
      </c>
      <c r="U33" s="115">
        <f t="shared" si="8"/>
        <v>2019</v>
      </c>
      <c r="V33" s="45">
        <f>Data!D106</f>
        <v>4814361.1713148011</v>
      </c>
      <c r="W33" s="248">
        <f>'Data (ED Mar2017-)'!BR32</f>
        <v>78.699999999999989</v>
      </c>
      <c r="X33">
        <f>'Data (ED Mar2017-)'!AH32</f>
        <v>31</v>
      </c>
      <c r="Y33" s="217">
        <f>'Data (ED Mar2017-)'!P32</f>
        <v>0</v>
      </c>
      <c r="Z33" s="128">
        <f t="shared" si="4"/>
        <v>4605935.5620005261</v>
      </c>
      <c r="AA33" s="72">
        <f t="shared" si="5"/>
        <v>-208425.60931427497</v>
      </c>
      <c r="AB33" s="247">
        <f t="shared" si="9"/>
        <v>-4.5251525234918426E-2</v>
      </c>
      <c r="AE33" s="128"/>
      <c r="AF33" s="128"/>
      <c r="AG33" s="128"/>
      <c r="AH33" s="128"/>
      <c r="AI33" s="72"/>
      <c r="AK33" s="3">
        <f t="shared" si="6"/>
        <v>43738</v>
      </c>
      <c r="AL33" s="45">
        <f t="shared" si="0"/>
        <v>4814361.1713148011</v>
      </c>
      <c r="AM33" s="248">
        <f t="shared" si="1"/>
        <v>78.699999999999989</v>
      </c>
      <c r="AN33" s="97">
        <f t="shared" ca="1" si="13"/>
        <v>90.78</v>
      </c>
      <c r="AO33" s="45">
        <f t="shared" ca="1" si="7"/>
        <v>182440.82881763286</v>
      </c>
      <c r="AP33" s="128">
        <f t="shared" ca="1" si="10"/>
        <v>4996802.0001324341</v>
      </c>
    </row>
    <row r="34" spans="1:47" x14ac:dyDescent="0.2">
      <c r="A34" s="3">
        <v>43678</v>
      </c>
      <c r="B34" s="115">
        <f t="shared" si="11"/>
        <v>2019</v>
      </c>
      <c r="C34" s="84">
        <v>6140130.9663574947</v>
      </c>
      <c r="D34" s="84">
        <v>15206.0789675505</v>
      </c>
      <c r="E34" s="84">
        <v>16629.613690019203</v>
      </c>
      <c r="F34" s="229">
        <f t="shared" si="14"/>
        <v>1423.534722468703</v>
      </c>
      <c r="I34" s="246"/>
      <c r="J34" s="84"/>
      <c r="K34" s="84"/>
      <c r="T34" s="3">
        <f>Data!A107</f>
        <v>43769</v>
      </c>
      <c r="U34" s="115">
        <f t="shared" si="8"/>
        <v>2019</v>
      </c>
      <c r="V34" s="45">
        <f>Data!D107</f>
        <v>3841776.1678357082</v>
      </c>
      <c r="W34" s="248">
        <f>'Data (ED Mar2017-)'!BR33</f>
        <v>6.8000000000000007</v>
      </c>
      <c r="X34">
        <f>'Data (ED Mar2017-)'!AH33</f>
        <v>32</v>
      </c>
      <c r="Y34" s="217">
        <f>'Data (ED Mar2017-)'!P33</f>
        <v>0</v>
      </c>
      <c r="Z34" s="128">
        <f t="shared" si="4"/>
        <v>3577533.6737909755</v>
      </c>
      <c r="AA34" s="72">
        <f t="shared" si="5"/>
        <v>-264242.49404473277</v>
      </c>
      <c r="AB34" s="247">
        <f t="shared" si="9"/>
        <v>-7.3861637133026653E-2</v>
      </c>
      <c r="AE34" s="128"/>
      <c r="AF34" s="128"/>
      <c r="AG34" s="128"/>
      <c r="AH34" s="128"/>
      <c r="AI34" s="72"/>
      <c r="AK34" s="3">
        <f t="shared" si="6"/>
        <v>43769</v>
      </c>
      <c r="AL34" s="45">
        <f t="shared" si="0"/>
        <v>3841776.1678357082</v>
      </c>
      <c r="AM34" s="248">
        <f t="shared" si="1"/>
        <v>6.8000000000000007</v>
      </c>
      <c r="AN34" s="97">
        <f t="shared" ca="1" si="13"/>
        <v>14.710000000000003</v>
      </c>
      <c r="AO34" s="45">
        <f t="shared" ca="1" si="7"/>
        <v>119462.49635326779</v>
      </c>
      <c r="AP34" s="128">
        <f t="shared" ca="1" si="10"/>
        <v>3961238.6641889759</v>
      </c>
    </row>
    <row r="35" spans="1:47" x14ac:dyDescent="0.2">
      <c r="A35" s="3">
        <v>43709</v>
      </c>
      <c r="B35" s="115">
        <f t="shared" si="11"/>
        <v>2019</v>
      </c>
      <c r="C35" s="84">
        <v>4814361.1713148011</v>
      </c>
      <c r="D35" s="84">
        <v>15756.267459482297</v>
      </c>
      <c r="E35" s="84">
        <v>15758.367459482297</v>
      </c>
      <c r="F35" s="229">
        <f t="shared" si="14"/>
        <v>2.1000000000003638</v>
      </c>
      <c r="I35" s="246"/>
      <c r="J35" s="84"/>
      <c r="K35" s="84"/>
      <c r="T35" s="3">
        <f>Data!A108</f>
        <v>43799</v>
      </c>
      <c r="U35" s="115">
        <f t="shared" si="8"/>
        <v>2019</v>
      </c>
      <c r="V35" s="45">
        <f>Data!D108</f>
        <v>4374163.1948623955</v>
      </c>
      <c r="W35" s="248">
        <f>'Data (ED Mar2017-)'!BR34</f>
        <v>0</v>
      </c>
      <c r="X35">
        <f>'Data (ED Mar2017-)'!AH34</f>
        <v>33</v>
      </c>
      <c r="Y35" s="217">
        <f>'Data (ED Mar2017-)'!P34</f>
        <v>0</v>
      </c>
      <c r="Z35" s="128">
        <f t="shared" si="4"/>
        <v>3532318.7024711501</v>
      </c>
      <c r="AA35" s="72">
        <f t="shared" si="5"/>
        <v>-841844.49239124544</v>
      </c>
      <c r="AB35" s="247">
        <f t="shared" si="9"/>
        <v>-0.23832631291233866</v>
      </c>
      <c r="AE35" s="128"/>
      <c r="AF35" s="128"/>
      <c r="AG35" s="128"/>
      <c r="AH35" s="128"/>
      <c r="AI35" s="72"/>
      <c r="AK35" s="3">
        <f t="shared" si="6"/>
        <v>43799</v>
      </c>
      <c r="AL35" s="45">
        <f t="shared" si="0"/>
        <v>4374163.1948623955</v>
      </c>
      <c r="AM35" s="248">
        <f t="shared" si="1"/>
        <v>0</v>
      </c>
      <c r="AN35" s="97">
        <f t="shared" ca="1" si="13"/>
        <v>0.54000000000000026</v>
      </c>
      <c r="AO35" s="45">
        <f t="shared" ca="1" si="7"/>
        <v>8155.4675133710016</v>
      </c>
      <c r="AP35" s="128">
        <f t="shared" ca="1" si="10"/>
        <v>4382318.6623757668</v>
      </c>
    </row>
    <row r="36" spans="1:47" x14ac:dyDescent="0.2">
      <c r="A36" s="3">
        <v>43739</v>
      </c>
      <c r="B36" s="115">
        <f t="shared" si="11"/>
        <v>2019</v>
      </c>
      <c r="C36" s="84">
        <v>3841776.1678357082</v>
      </c>
      <c r="D36" s="84">
        <v>11408.105151435066</v>
      </c>
      <c r="E36" s="84">
        <v>14322.294134581067</v>
      </c>
      <c r="F36" s="229">
        <f t="shared" si="14"/>
        <v>2914.1889831460012</v>
      </c>
      <c r="I36" s="246"/>
      <c r="J36" s="84"/>
      <c r="K36" s="84"/>
      <c r="T36" s="3">
        <f>Data!A109</f>
        <v>43830</v>
      </c>
      <c r="U36" s="115">
        <f t="shared" si="8"/>
        <v>2019</v>
      </c>
      <c r="V36" s="45">
        <f>Data!D109</f>
        <v>4357443.9816535302</v>
      </c>
      <c r="W36" s="248">
        <f>'Data (ED Mar2017-)'!BR35</f>
        <v>0</v>
      </c>
      <c r="X36">
        <f>'Data (ED Mar2017-)'!AH35</f>
        <v>34</v>
      </c>
      <c r="Y36" s="217">
        <f>'Data (ED Mar2017-)'!P35</f>
        <v>0</v>
      </c>
      <c r="Z36" s="128">
        <f t="shared" si="4"/>
        <v>3589802.2109493297</v>
      </c>
      <c r="AA36" s="72">
        <f t="shared" si="5"/>
        <v>-767641.77070420049</v>
      </c>
      <c r="AB36" s="247">
        <f t="shared" si="9"/>
        <v>-0.21383957265467177</v>
      </c>
      <c r="AE36" s="72"/>
      <c r="AF36" s="72"/>
      <c r="AG36" s="72"/>
      <c r="AH36" s="72"/>
      <c r="AI36" s="72"/>
      <c r="AK36" s="3">
        <f t="shared" si="6"/>
        <v>43830</v>
      </c>
      <c r="AL36" s="45">
        <f t="shared" si="0"/>
        <v>4357443.9816535302</v>
      </c>
      <c r="AM36" s="248">
        <f t="shared" si="1"/>
        <v>0</v>
      </c>
      <c r="AN36" s="97">
        <f t="shared" ca="1" si="13"/>
        <v>0</v>
      </c>
      <c r="AO36" s="45">
        <f t="shared" ca="1" si="7"/>
        <v>0</v>
      </c>
      <c r="AP36" s="128">
        <f t="shared" ca="1" si="10"/>
        <v>4357443.9816535302</v>
      </c>
    </row>
    <row r="37" spans="1:47" x14ac:dyDescent="0.2">
      <c r="A37" s="3">
        <v>43770</v>
      </c>
      <c r="B37" s="115">
        <f t="shared" si="11"/>
        <v>2019</v>
      </c>
      <c r="C37" s="84">
        <v>4374163.1948623955</v>
      </c>
      <c r="D37" s="84">
        <v>12660.248951105979</v>
      </c>
      <c r="E37" s="84">
        <v>13766.99705785731</v>
      </c>
      <c r="F37" s="229">
        <f t="shared" si="14"/>
        <v>1106.7481067513309</v>
      </c>
      <c r="I37" s="246"/>
      <c r="J37" s="84"/>
      <c r="K37" s="84"/>
      <c r="T37" s="3">
        <f>Data!A110</f>
        <v>43861</v>
      </c>
      <c r="U37" s="115">
        <f t="shared" si="8"/>
        <v>2020</v>
      </c>
      <c r="V37" s="45">
        <f>Data!D110</f>
        <v>4833173.3349823048</v>
      </c>
      <c r="W37" s="248">
        <f>'Data (ED Mar2017-)'!BR36</f>
        <v>0</v>
      </c>
      <c r="X37">
        <f>'Data (ED Mar2017-)'!AH36</f>
        <v>35</v>
      </c>
      <c r="Y37" s="217">
        <f>'Data (ED Mar2017-)'!P36</f>
        <v>0</v>
      </c>
      <c r="Z37" s="128">
        <f t="shared" si="4"/>
        <v>3647285.7194275092</v>
      </c>
      <c r="AA37" s="72">
        <f t="shared" si="5"/>
        <v>-1185887.6155547956</v>
      </c>
      <c r="AB37" s="247">
        <f t="shared" si="9"/>
        <v>-0.32514250507934889</v>
      </c>
      <c r="AK37" s="3">
        <f t="shared" si="6"/>
        <v>43861</v>
      </c>
      <c r="AL37" s="45">
        <f t="shared" si="0"/>
        <v>4833173.3349823048</v>
      </c>
      <c r="AM37" s="248">
        <f t="shared" si="1"/>
        <v>0</v>
      </c>
      <c r="AN37" s="97">
        <f t="shared" ca="1" si="13"/>
        <v>0</v>
      </c>
      <c r="AO37" s="45">
        <f ca="1">(AN37-AM37)*$AF$10</f>
        <v>0</v>
      </c>
      <c r="AP37" s="128">
        <f ca="1">AL37+AO37</f>
        <v>4833173.3349823048</v>
      </c>
      <c r="AS37" s="97">
        <f ca="1">Weather!BD61</f>
        <v>0</v>
      </c>
      <c r="AT37" s="128">
        <f ca="1">(AS37-AM37)*$AF$10</f>
        <v>0</v>
      </c>
      <c r="AU37" s="72">
        <f ca="1">AT37+AL37</f>
        <v>4833173.3349823048</v>
      </c>
    </row>
    <row r="38" spans="1:47" x14ac:dyDescent="0.2">
      <c r="A38" s="3">
        <v>43800</v>
      </c>
      <c r="B38" s="115">
        <f t="shared" si="11"/>
        <v>2019</v>
      </c>
      <c r="C38" s="84">
        <v>4357443.9816535302</v>
      </c>
      <c r="D38" s="84">
        <v>13161.598371600234</v>
      </c>
      <c r="E38" s="84">
        <v>14137.533475080581</v>
      </c>
      <c r="F38" s="229">
        <f t="shared" si="14"/>
        <v>975.93510348034761</v>
      </c>
      <c r="I38" s="246"/>
      <c r="J38" s="84"/>
      <c r="K38" s="84"/>
      <c r="T38" s="3">
        <f>Data!A111</f>
        <v>43890</v>
      </c>
      <c r="U38" s="115">
        <f t="shared" si="8"/>
        <v>2020</v>
      </c>
      <c r="V38" s="45">
        <f>Data!D111</f>
        <v>3781055.952817406</v>
      </c>
      <c r="W38" s="248">
        <f>'Data (ED Mar2017-)'!BR37</f>
        <v>0</v>
      </c>
      <c r="X38">
        <f>'Data (ED Mar2017-)'!AH37</f>
        <v>36</v>
      </c>
      <c r="Y38" s="217">
        <f>'Data (ED Mar2017-)'!P37</f>
        <v>0</v>
      </c>
      <c r="Z38" s="128">
        <f t="shared" si="4"/>
        <v>3704769.2279056888</v>
      </c>
      <c r="AA38" s="72">
        <f t="shared" si="5"/>
        <v>-76286.724911717232</v>
      </c>
      <c r="AB38" s="247">
        <f t="shared" si="9"/>
        <v>-2.0591491728309951E-2</v>
      </c>
      <c r="AK38" s="3">
        <f t="shared" si="6"/>
        <v>43890</v>
      </c>
      <c r="AL38" s="45">
        <f t="shared" si="0"/>
        <v>3781055.952817406</v>
      </c>
      <c r="AM38" s="248">
        <f t="shared" si="1"/>
        <v>0</v>
      </c>
      <c r="AN38" s="97">
        <f t="shared" ca="1" si="13"/>
        <v>0</v>
      </c>
      <c r="AO38" s="45">
        <f t="shared" ca="1" si="7"/>
        <v>0</v>
      </c>
      <c r="AP38" s="128">
        <f t="shared" ca="1" si="10"/>
        <v>3781055.952817406</v>
      </c>
      <c r="AS38" s="97">
        <f ca="1">Weather!BD62</f>
        <v>0</v>
      </c>
      <c r="AT38" s="128">
        <f t="shared" ref="AT38:AT48" ca="1" si="15">(AS38-AM38)*$AF$10</f>
        <v>0</v>
      </c>
      <c r="AU38" s="72">
        <f t="shared" ref="AU38:AU48" ca="1" si="16">AT38+AL38</f>
        <v>3781055.952817406</v>
      </c>
    </row>
    <row r="39" spans="1:47" x14ac:dyDescent="0.2">
      <c r="A39" s="3">
        <v>43831</v>
      </c>
      <c r="B39" s="115">
        <f t="shared" si="11"/>
        <v>2020</v>
      </c>
      <c r="C39" s="84">
        <v>4833173.3349823048</v>
      </c>
      <c r="D39" s="84">
        <v>17302.213792122773</v>
      </c>
      <c r="E39" s="84">
        <v>17857.237028090905</v>
      </c>
      <c r="F39" s="229">
        <f t="shared" si="14"/>
        <v>555.02323596813221</v>
      </c>
      <c r="I39" s="246"/>
      <c r="J39" s="84"/>
      <c r="K39" s="84"/>
      <c r="T39" s="3">
        <f>Data!A112</f>
        <v>43921</v>
      </c>
      <c r="U39" s="115">
        <f t="shared" si="8"/>
        <v>2020</v>
      </c>
      <c r="V39" s="45">
        <f>Data!D112</f>
        <v>4032656.886527366</v>
      </c>
      <c r="W39" s="248">
        <f>'Data (ED Mar2017-)'!BR38</f>
        <v>0</v>
      </c>
      <c r="X39">
        <f>'Data (ED Mar2017-)'!AH38</f>
        <v>37</v>
      </c>
      <c r="Y39" s="217">
        <f>'Data (ED Mar2017-)'!P38</f>
        <v>0</v>
      </c>
      <c r="Z39" s="128">
        <f t="shared" si="4"/>
        <v>3762252.7363838688</v>
      </c>
      <c r="AA39" s="72">
        <f t="shared" si="5"/>
        <v>-270404.15014349716</v>
      </c>
      <c r="AB39" s="247">
        <f t="shared" si="9"/>
        <v>-7.1872936001476373E-2</v>
      </c>
      <c r="AE39" s="128"/>
      <c r="AF39" s="128"/>
      <c r="AG39" s="128"/>
      <c r="AH39" s="128"/>
      <c r="AI39" s="72"/>
      <c r="AK39" s="3">
        <f t="shared" si="6"/>
        <v>43921</v>
      </c>
      <c r="AL39" s="45">
        <f t="shared" si="0"/>
        <v>4032656.886527366</v>
      </c>
      <c r="AM39" s="248">
        <f t="shared" si="1"/>
        <v>0</v>
      </c>
      <c r="AN39" s="97">
        <f t="shared" ca="1" si="13"/>
        <v>0.26000000000000012</v>
      </c>
      <c r="AO39" s="45">
        <f t="shared" ca="1" si="7"/>
        <v>3926.7065805119637</v>
      </c>
      <c r="AP39" s="128">
        <f t="shared" ca="1" si="10"/>
        <v>4036583.5931078778</v>
      </c>
      <c r="AS39" s="97">
        <f ca="1">Weather!BD63</f>
        <v>0.19744360902255842</v>
      </c>
      <c r="AT39" s="128">
        <f t="shared" ca="1" si="15"/>
        <v>2981.9350724188889</v>
      </c>
      <c r="AU39" s="72">
        <f t="shared" ca="1" si="16"/>
        <v>4035638.8215997848</v>
      </c>
    </row>
    <row r="40" spans="1:47" x14ac:dyDescent="0.2">
      <c r="A40" s="3">
        <v>43862</v>
      </c>
      <c r="B40" s="115">
        <f t="shared" si="11"/>
        <v>2020</v>
      </c>
      <c r="C40" s="84">
        <v>3781055.952817406</v>
      </c>
      <c r="D40" s="84">
        <v>11609.294268473579</v>
      </c>
      <c r="E40" s="84">
        <v>12911.837712009135</v>
      </c>
      <c r="F40" s="229">
        <f t="shared" si="14"/>
        <v>1302.5434435355564</v>
      </c>
      <c r="I40" s="246"/>
      <c r="J40" s="84"/>
      <c r="K40" s="84"/>
      <c r="T40" s="3">
        <f>Data!A113</f>
        <v>43951</v>
      </c>
      <c r="U40" s="115">
        <f t="shared" si="8"/>
        <v>2020</v>
      </c>
      <c r="V40" s="45">
        <f>Data!D113</f>
        <v>3435746.1940935161</v>
      </c>
      <c r="W40" s="248">
        <f>'Data (ED Mar2017-)'!BR39</f>
        <v>0</v>
      </c>
      <c r="X40">
        <f>'Data (ED Mar2017-)'!AH39</f>
        <v>38</v>
      </c>
      <c r="Y40" s="217">
        <f>'Data (ED Mar2017-)'!P39</f>
        <v>0</v>
      </c>
      <c r="Z40" s="128">
        <f t="shared" si="4"/>
        <v>3819736.2448620484</v>
      </c>
      <c r="AA40" s="72">
        <f t="shared" si="5"/>
        <v>383990.05076853232</v>
      </c>
      <c r="AB40" s="247">
        <f t="shared" si="9"/>
        <v>0.10052789673240915</v>
      </c>
      <c r="AE40" s="128"/>
      <c r="AF40" s="128"/>
      <c r="AG40" s="128"/>
      <c r="AH40" s="128"/>
      <c r="AI40" s="72"/>
      <c r="AK40" s="3">
        <f t="shared" si="6"/>
        <v>43951</v>
      </c>
      <c r="AL40" s="45">
        <f t="shared" si="0"/>
        <v>3435746.1940935161</v>
      </c>
      <c r="AM40" s="248">
        <f t="shared" si="1"/>
        <v>0</v>
      </c>
      <c r="AN40" s="97">
        <f t="shared" ca="1" si="13"/>
        <v>1.2600000000000002</v>
      </c>
      <c r="AO40" s="45">
        <f t="shared" ca="1" si="7"/>
        <v>19029.424197865665</v>
      </c>
      <c r="AP40" s="128">
        <f t="shared" ca="1" si="10"/>
        <v>3454775.6182913817</v>
      </c>
      <c r="AS40" s="97">
        <f ca="1">Weather!BD64</f>
        <v>0</v>
      </c>
      <c r="AT40" s="128">
        <f t="shared" ca="1" si="15"/>
        <v>0</v>
      </c>
      <c r="AU40" s="72">
        <f t="shared" ca="1" si="16"/>
        <v>3435746.1940935161</v>
      </c>
    </row>
    <row r="41" spans="1:47" x14ac:dyDescent="0.2">
      <c r="A41" s="3">
        <v>43891</v>
      </c>
      <c r="B41" s="115">
        <f t="shared" si="11"/>
        <v>2020</v>
      </c>
      <c r="C41" s="84">
        <v>4032656.886527366</v>
      </c>
      <c r="D41" s="84">
        <v>10984.743292363732</v>
      </c>
      <c r="E41" s="84">
        <v>11934.601671566088</v>
      </c>
      <c r="F41" s="229">
        <f t="shared" si="14"/>
        <v>949.85837920235645</v>
      </c>
      <c r="I41" s="246"/>
      <c r="J41" s="84"/>
      <c r="K41" s="84"/>
      <c r="T41" s="3">
        <f>Data!A114</f>
        <v>43982</v>
      </c>
      <c r="U41" s="115">
        <f t="shared" si="8"/>
        <v>2020</v>
      </c>
      <c r="V41" s="45">
        <f>Data!D114</f>
        <v>4735242.6950270245</v>
      </c>
      <c r="W41" s="248">
        <f>'Data (ED Mar2017-)'!BR40</f>
        <v>45.599999999999994</v>
      </c>
      <c r="X41">
        <f>'Data (ED Mar2017-)'!AH40</f>
        <v>39</v>
      </c>
      <c r="Y41" s="217">
        <f>'Data (ED Mar2017-)'!P40</f>
        <v>1</v>
      </c>
      <c r="Z41" s="128">
        <f t="shared" si="4"/>
        <v>5417127.6535427822</v>
      </c>
      <c r="AA41" s="72">
        <f t="shared" si="5"/>
        <v>681884.95851575769</v>
      </c>
      <c r="AB41" s="247">
        <f t="shared" si="9"/>
        <v>0.12587574119096259</v>
      </c>
      <c r="AE41" s="128"/>
      <c r="AF41" s="128"/>
      <c r="AG41" s="128"/>
      <c r="AH41" s="128"/>
      <c r="AI41" s="72"/>
      <c r="AK41" s="3">
        <f t="shared" si="6"/>
        <v>43982</v>
      </c>
      <c r="AL41" s="45">
        <f t="shared" si="0"/>
        <v>4735242.6950270245</v>
      </c>
      <c r="AM41" s="248">
        <f t="shared" si="1"/>
        <v>45.599999999999994</v>
      </c>
      <c r="AN41" s="97">
        <f t="shared" ca="1" si="13"/>
        <v>44.669999999999995</v>
      </c>
      <c r="AO41" s="45">
        <f t="shared" ca="1" si="7"/>
        <v>-14045.527384138935</v>
      </c>
      <c r="AP41" s="128">
        <f t="shared" ca="1" si="10"/>
        <v>4721197.1676428858</v>
      </c>
      <c r="AS41" s="97">
        <f ca="1">Weather!BD65</f>
        <v>52.986616541353214</v>
      </c>
      <c r="AT41" s="128">
        <f t="shared" ca="1" si="15"/>
        <v>111557.98377173152</v>
      </c>
      <c r="AU41" s="72">
        <f t="shared" ca="1" si="16"/>
        <v>4846800.6787987556</v>
      </c>
    </row>
    <row r="42" spans="1:47" x14ac:dyDescent="0.2">
      <c r="A42" s="3">
        <v>43922</v>
      </c>
      <c r="B42" s="115">
        <f t="shared" si="11"/>
        <v>2020</v>
      </c>
      <c r="C42" s="84">
        <v>3435746.1940935161</v>
      </c>
      <c r="D42" s="84">
        <v>10944.663416250838</v>
      </c>
      <c r="E42" s="84">
        <v>11692.81855090317</v>
      </c>
      <c r="F42" s="229">
        <f t="shared" si="14"/>
        <v>748.15513465233198</v>
      </c>
      <c r="I42" s="246"/>
      <c r="J42" s="84"/>
      <c r="K42" s="84"/>
      <c r="T42" s="3">
        <f>Data!A115</f>
        <v>44012</v>
      </c>
      <c r="U42" s="115">
        <f t="shared" si="8"/>
        <v>2020</v>
      </c>
      <c r="V42" s="45">
        <f>Data!D115</f>
        <v>6037296.4429668775</v>
      </c>
      <c r="W42" s="248">
        <f>'Data (ED Mar2017-)'!BR41</f>
        <v>142</v>
      </c>
      <c r="X42">
        <f>'Data (ED Mar2017-)'!AH41</f>
        <v>40</v>
      </c>
      <c r="Y42" s="217">
        <f>'Data (ED Mar2017-)'!P41</f>
        <v>0</v>
      </c>
      <c r="Z42" s="128">
        <f t="shared" si="4"/>
        <v>6079289.1634826334</v>
      </c>
      <c r="AA42" s="72">
        <f t="shared" si="5"/>
        <v>41992.720515755937</v>
      </c>
      <c r="AB42" s="247">
        <f t="shared" si="9"/>
        <v>6.9075050366085283E-3</v>
      </c>
      <c r="AE42" s="128"/>
      <c r="AF42" s="128"/>
      <c r="AG42" s="128"/>
      <c r="AH42" s="128"/>
      <c r="AI42" s="72"/>
      <c r="AK42" s="3">
        <f t="shared" si="6"/>
        <v>44012</v>
      </c>
      <c r="AL42" s="45">
        <f t="shared" si="0"/>
        <v>6037296.4429668775</v>
      </c>
      <c r="AM42" s="248">
        <f t="shared" si="1"/>
        <v>142</v>
      </c>
      <c r="AN42" s="97">
        <f t="shared" ca="1" si="13"/>
        <v>115.62</v>
      </c>
      <c r="AO42" s="45">
        <f t="shared" ca="1" si="7"/>
        <v>-398409.69074579049</v>
      </c>
      <c r="AP42" s="128">
        <f t="shared" ca="1" si="10"/>
        <v>5638886.752221087</v>
      </c>
      <c r="AS42" s="97">
        <f ca="1">Weather!BD66</f>
        <v>110.8995488721805</v>
      </c>
      <c r="AT42" s="128">
        <f t="shared" ca="1" si="15"/>
        <v>-469701.33115576726</v>
      </c>
      <c r="AU42" s="72">
        <f t="shared" ca="1" si="16"/>
        <v>5567595.1118111098</v>
      </c>
    </row>
    <row r="43" spans="1:47" x14ac:dyDescent="0.2">
      <c r="A43" s="3">
        <v>43952</v>
      </c>
      <c r="B43" s="115">
        <f t="shared" si="11"/>
        <v>2020</v>
      </c>
      <c r="C43" s="84">
        <v>4735242.6950270245</v>
      </c>
      <c r="D43" s="84">
        <v>16831.749971657235</v>
      </c>
      <c r="E43" s="84">
        <v>16951.766184099572</v>
      </c>
      <c r="F43" s="229">
        <f t="shared" si="14"/>
        <v>120.01621244233684</v>
      </c>
      <c r="I43" s="246"/>
      <c r="J43" s="84"/>
      <c r="K43" s="84"/>
      <c r="T43" s="3">
        <f>Data!A116</f>
        <v>44043</v>
      </c>
      <c r="U43" s="115">
        <f t="shared" si="8"/>
        <v>2020</v>
      </c>
      <c r="V43" s="45">
        <f>Data!D116</f>
        <v>8129921.4906045105</v>
      </c>
      <c r="W43" s="248">
        <f>'Data (ED Mar2017-)'!BR42</f>
        <v>277.60000000000008</v>
      </c>
      <c r="X43">
        <f>'Data (ED Mar2017-)'!AH42</f>
        <v>41</v>
      </c>
      <c r="Y43" s="217">
        <f>'Data (ED Mar2017-)'!P42</f>
        <v>0</v>
      </c>
      <c r="Z43" s="128">
        <f t="shared" si="4"/>
        <v>8184701.1808739752</v>
      </c>
      <c r="AA43" s="72">
        <f t="shared" si="5"/>
        <v>54779.690269464627</v>
      </c>
      <c r="AB43" s="247">
        <f t="shared" si="9"/>
        <v>6.6929371102116605E-3</v>
      </c>
      <c r="AE43" s="128"/>
      <c r="AF43" s="128"/>
      <c r="AG43" s="128"/>
      <c r="AH43" s="128"/>
      <c r="AI43" s="72"/>
      <c r="AK43" s="3">
        <f t="shared" si="6"/>
        <v>44043</v>
      </c>
      <c r="AL43" s="45">
        <f t="shared" si="0"/>
        <v>8129921.4906045105</v>
      </c>
      <c r="AM43" s="248">
        <f t="shared" si="1"/>
        <v>277.60000000000008</v>
      </c>
      <c r="AN43" s="97">
        <f t="shared" ca="1" si="13"/>
        <v>224.87000000000003</v>
      </c>
      <c r="AO43" s="45">
        <f t="shared" ca="1" si="7"/>
        <v>-796366.29996306123</v>
      </c>
      <c r="AP43" s="128">
        <f t="shared" ca="1" si="10"/>
        <v>7333555.1906414498</v>
      </c>
      <c r="AS43" s="97">
        <f ca="1">Weather!BD67</f>
        <v>231.80947368421039</v>
      </c>
      <c r="AT43" s="128">
        <f t="shared" ca="1" si="15"/>
        <v>-691561.38849737518</v>
      </c>
      <c r="AU43" s="72">
        <f t="shared" ca="1" si="16"/>
        <v>7438360.1021071356</v>
      </c>
    </row>
    <row r="44" spans="1:47" x14ac:dyDescent="0.2">
      <c r="A44" s="3">
        <v>43983</v>
      </c>
      <c r="B44" s="115">
        <f t="shared" si="11"/>
        <v>2020</v>
      </c>
      <c r="C44" s="84">
        <v>6037296.4429668775</v>
      </c>
      <c r="D44" s="84">
        <v>16656.450661293136</v>
      </c>
      <c r="E44" s="84">
        <v>17857.830311137041</v>
      </c>
      <c r="F44" s="229">
        <f t="shared" si="14"/>
        <v>1201.3796498439042</v>
      </c>
      <c r="I44" s="246"/>
      <c r="J44" s="84"/>
      <c r="K44" s="84"/>
      <c r="T44" s="3">
        <f>Data!A117</f>
        <v>44074</v>
      </c>
      <c r="U44" s="115">
        <f t="shared" si="8"/>
        <v>2020</v>
      </c>
      <c r="V44" s="45">
        <f>Data!D117</f>
        <v>6612027.0517714433</v>
      </c>
      <c r="W44" s="248">
        <f>'Data (ED Mar2017-)'!BR43</f>
        <v>204.70000000000002</v>
      </c>
      <c r="X44">
        <f>'Data (ED Mar2017-)'!AH43</f>
        <v>42</v>
      </c>
      <c r="Y44" s="217">
        <f>'Data (ED Mar2017-)'!P43</f>
        <v>0</v>
      </c>
      <c r="Z44" s="128">
        <f t="shared" si="4"/>
        <v>7141196.5750470702</v>
      </c>
      <c r="AA44" s="72">
        <f t="shared" si="5"/>
        <v>529169.52327562682</v>
      </c>
      <c r="AB44" s="247">
        <f t="shared" si="9"/>
        <v>7.4100960212279118E-2</v>
      </c>
      <c r="AE44" s="128"/>
      <c r="AF44" s="128"/>
      <c r="AG44" s="128"/>
      <c r="AH44" s="128"/>
      <c r="AI44" s="72"/>
      <c r="AK44" s="3">
        <f t="shared" si="6"/>
        <v>44074</v>
      </c>
      <c r="AL44" s="45">
        <f t="shared" si="0"/>
        <v>6612027.0517714433</v>
      </c>
      <c r="AM44" s="248">
        <f t="shared" si="1"/>
        <v>204.70000000000002</v>
      </c>
      <c r="AN44" s="97">
        <f t="shared" ca="1" si="13"/>
        <v>186.09000000000003</v>
      </c>
      <c r="AO44" s="45">
        <f t="shared" ca="1" si="7"/>
        <v>-281061.57485895214</v>
      </c>
      <c r="AP44" s="128">
        <f t="shared" ca="1" si="10"/>
        <v>6330965.476912491</v>
      </c>
      <c r="AS44" s="97">
        <f ca="1">Weather!BD68</f>
        <v>180.80398496240605</v>
      </c>
      <c r="AT44" s="128">
        <f t="shared" ca="1" si="15"/>
        <v>-360894.76729281934</v>
      </c>
      <c r="AU44" s="72">
        <f t="shared" ca="1" si="16"/>
        <v>6251132.2844786244</v>
      </c>
    </row>
    <row r="45" spans="1:47" x14ac:dyDescent="0.2">
      <c r="A45" s="3">
        <v>44013</v>
      </c>
      <c r="B45" s="115">
        <f t="shared" si="11"/>
        <v>2020</v>
      </c>
      <c r="C45" s="84">
        <v>8129921.4906045105</v>
      </c>
      <c r="D45" s="84">
        <v>17903.211925827403</v>
      </c>
      <c r="E45" s="84">
        <v>19339.425080956178</v>
      </c>
      <c r="F45" s="229">
        <f t="shared" si="14"/>
        <v>1436.2131551287748</v>
      </c>
      <c r="I45" s="246"/>
      <c r="J45" s="84"/>
      <c r="K45" s="84"/>
      <c r="T45" s="3">
        <f>Data!A118</f>
        <v>44104</v>
      </c>
      <c r="U45" s="115">
        <f t="shared" si="8"/>
        <v>2020</v>
      </c>
      <c r="V45" s="45">
        <f>Data!D118</f>
        <v>4759664.6737366663</v>
      </c>
      <c r="W45" s="248">
        <f>'Data (ED Mar2017-)'!BR44</f>
        <v>73.099999999999994</v>
      </c>
      <c r="X45">
        <f>'Data (ED Mar2017-)'!AH44</f>
        <v>43</v>
      </c>
      <c r="Y45" s="217">
        <f>'Data (ED Mar2017-)'!P44</f>
        <v>0</v>
      </c>
      <c r="Z45" s="128">
        <f t="shared" si="4"/>
        <v>5211162.4450815022</v>
      </c>
      <c r="AA45" s="72">
        <f t="shared" si="5"/>
        <v>451497.77134483587</v>
      </c>
      <c r="AB45" s="247">
        <f t="shared" si="9"/>
        <v>8.6640509886805966E-2</v>
      </c>
      <c r="AE45" s="128"/>
      <c r="AF45" s="128"/>
      <c r="AG45" s="128"/>
      <c r="AH45" s="128"/>
      <c r="AI45" s="72"/>
      <c r="AK45" s="3">
        <f t="shared" si="6"/>
        <v>44104</v>
      </c>
      <c r="AL45" s="45">
        <f t="shared" si="0"/>
        <v>4759664.6737366663</v>
      </c>
      <c r="AM45" s="248">
        <f t="shared" si="1"/>
        <v>73.099999999999994</v>
      </c>
      <c r="AN45" s="97">
        <f t="shared" ca="1" si="13"/>
        <v>90.78</v>
      </c>
      <c r="AO45" s="45">
        <f t="shared" ca="1" si="7"/>
        <v>267016.04747481353</v>
      </c>
      <c r="AP45" s="128">
        <f t="shared" ca="1" si="10"/>
        <v>5026680.72121148</v>
      </c>
      <c r="AS45" s="97">
        <f ca="1">Weather!BD69</f>
        <v>89.375714285714309</v>
      </c>
      <c r="AT45" s="128">
        <f t="shared" ca="1" si="15"/>
        <v>245807.51687787287</v>
      </c>
      <c r="AU45" s="72">
        <f t="shared" ca="1" si="16"/>
        <v>5005472.1906145392</v>
      </c>
    </row>
    <row r="46" spans="1:47" x14ac:dyDescent="0.2">
      <c r="A46" s="3">
        <v>44044</v>
      </c>
      <c r="B46" s="115">
        <f t="shared" si="11"/>
        <v>2020</v>
      </c>
      <c r="C46" s="84">
        <v>6612027.0517714433</v>
      </c>
      <c r="D46" s="84">
        <v>13836.711402629109</v>
      </c>
      <c r="E46" s="84">
        <v>18324.954302940863</v>
      </c>
      <c r="F46" s="229">
        <f t="shared" si="14"/>
        <v>4488.2429003117541</v>
      </c>
      <c r="I46" s="246"/>
      <c r="J46" s="84"/>
      <c r="K46" s="84"/>
      <c r="T46" s="3">
        <f>Data!A119</f>
        <v>44135</v>
      </c>
      <c r="U46" s="115">
        <f t="shared" si="8"/>
        <v>2020</v>
      </c>
      <c r="V46" s="45">
        <f>Data!D119</f>
        <v>4510134.313046311</v>
      </c>
      <c r="W46" s="248">
        <f>'Data (ED Mar2017-)'!BR45</f>
        <v>5.8000000000000007</v>
      </c>
      <c r="X46">
        <f>'Data (ED Mar2017-)'!AH45</f>
        <v>44</v>
      </c>
      <c r="Y46" s="217">
        <f>'Data (ED Mar2017-)'!P45</f>
        <v>0</v>
      </c>
      <c r="Z46" s="128">
        <f t="shared" si="4"/>
        <v>4252233.0579117779</v>
      </c>
      <c r="AA46" s="72">
        <f t="shared" si="5"/>
        <v>-257901.25513453316</v>
      </c>
      <c r="AB46" s="247">
        <f t="shared" si="9"/>
        <v>-6.0650780806728748E-2</v>
      </c>
      <c r="AE46" s="128"/>
      <c r="AF46" s="128"/>
      <c r="AG46" s="128"/>
      <c r="AH46" s="128"/>
      <c r="AI46" s="72"/>
      <c r="AK46" s="3">
        <f t="shared" si="6"/>
        <v>44135</v>
      </c>
      <c r="AL46" s="45">
        <f t="shared" si="0"/>
        <v>4510134.313046311</v>
      </c>
      <c r="AM46" s="248">
        <f t="shared" si="1"/>
        <v>5.8000000000000007</v>
      </c>
      <c r="AN46" s="97">
        <f t="shared" ca="1" si="13"/>
        <v>14.710000000000003</v>
      </c>
      <c r="AO46" s="45">
        <f t="shared" ca="1" si="7"/>
        <v>134565.21397062149</v>
      </c>
      <c r="AP46" s="128">
        <f t="shared" ca="1" si="10"/>
        <v>4644699.5270169321</v>
      </c>
      <c r="AS46" s="97">
        <f ca="1">Weather!BD70</f>
        <v>13.702255639097729</v>
      </c>
      <c r="AT46" s="128">
        <f t="shared" ca="1" si="15"/>
        <v>119345.53545743387</v>
      </c>
      <c r="AU46" s="72">
        <f t="shared" ca="1" si="16"/>
        <v>4629479.8485037452</v>
      </c>
    </row>
    <row r="47" spans="1:47" x14ac:dyDescent="0.2">
      <c r="A47" s="3">
        <v>44075</v>
      </c>
      <c r="B47" s="115">
        <f t="shared" si="11"/>
        <v>2020</v>
      </c>
      <c r="C47" s="84">
        <v>4759664.6737366663</v>
      </c>
      <c r="D47" s="84">
        <v>13281.732053798922</v>
      </c>
      <c r="E47" s="84">
        <v>16913.733353218086</v>
      </c>
      <c r="F47" s="229">
        <f t="shared" si="14"/>
        <v>3632.0012994191638</v>
      </c>
      <c r="I47" s="246"/>
      <c r="J47" s="84"/>
      <c r="K47" s="84"/>
      <c r="T47" s="3">
        <f>Data!A120</f>
        <v>44165</v>
      </c>
      <c r="U47" s="115">
        <f t="shared" si="8"/>
        <v>2020</v>
      </c>
      <c r="V47" s="45">
        <f>Data!D120</f>
        <v>3624554.3128952486</v>
      </c>
      <c r="W47" s="248">
        <f>'Data (ED Mar2017-)'!BR46</f>
        <v>3.1000000000000014</v>
      </c>
      <c r="X47">
        <f>'Data (ED Mar2017-)'!AH46</f>
        <v>45</v>
      </c>
      <c r="Y47" s="217">
        <f>'Data (ED Mar2017-)'!P46</f>
        <v>0</v>
      </c>
      <c r="Z47" s="128">
        <f t="shared" si="4"/>
        <v>4268939.228823103</v>
      </c>
      <c r="AA47" s="72">
        <f t="shared" si="5"/>
        <v>644384.91592785437</v>
      </c>
      <c r="AB47" s="247">
        <f t="shared" si="9"/>
        <v>0.15094731533704775</v>
      </c>
      <c r="AE47" s="128"/>
      <c r="AF47" s="128"/>
      <c r="AG47" s="128"/>
      <c r="AH47" s="128"/>
      <c r="AI47" s="72"/>
      <c r="AK47" s="3">
        <f t="shared" si="6"/>
        <v>44165</v>
      </c>
      <c r="AL47" s="45">
        <f t="shared" si="0"/>
        <v>3624554.3128952486</v>
      </c>
      <c r="AM47" s="248">
        <f t="shared" si="1"/>
        <v>3.1000000000000014</v>
      </c>
      <c r="AN47" s="97">
        <f t="shared" ca="1" si="13"/>
        <v>0.54000000000000026</v>
      </c>
      <c r="AO47" s="45">
        <f t="shared" ca="1" si="7"/>
        <v>-38662.95710042549</v>
      </c>
      <c r="AP47" s="128">
        <f t="shared" ca="1" si="10"/>
        <v>3585891.3557948233</v>
      </c>
      <c r="AS47" s="97">
        <f ca="1">Weather!BD71</f>
        <v>0.92398496240600991</v>
      </c>
      <c r="AT47" s="128">
        <f t="shared" ca="1" si="15"/>
        <v>-32863.740643897348</v>
      </c>
      <c r="AU47" s="72">
        <f t="shared" ca="1" si="16"/>
        <v>3591690.5722513511</v>
      </c>
    </row>
    <row r="48" spans="1:47" x14ac:dyDescent="0.2">
      <c r="A48" s="3">
        <v>44105</v>
      </c>
      <c r="B48" s="115">
        <f t="shared" si="11"/>
        <v>2020</v>
      </c>
      <c r="C48" s="84">
        <v>4510134.313046311</v>
      </c>
      <c r="D48" s="84">
        <v>12308.19172357356</v>
      </c>
      <c r="E48" s="84">
        <v>12820.513293964161</v>
      </c>
      <c r="F48" s="229">
        <f t="shared" si="14"/>
        <v>512.32157039060075</v>
      </c>
      <c r="I48" s="246"/>
      <c r="J48" s="84"/>
      <c r="K48" s="84"/>
      <c r="T48" s="3">
        <f>Data!A121</f>
        <v>44196</v>
      </c>
      <c r="U48" s="115">
        <f t="shared" si="8"/>
        <v>2020</v>
      </c>
      <c r="V48" s="45">
        <f>Data!D121</f>
        <v>4690646.6356936488</v>
      </c>
      <c r="W48" s="248">
        <f>'Data (ED Mar2017-)'!BR47</f>
        <v>0</v>
      </c>
      <c r="X48">
        <f>'Data (ED Mar2017-)'!AH47</f>
        <v>46</v>
      </c>
      <c r="Y48" s="217">
        <f>'Data (ED Mar2017-)'!P47</f>
        <v>0</v>
      </c>
      <c r="Z48" s="128">
        <f t="shared" si="4"/>
        <v>4279604.3126874864</v>
      </c>
      <c r="AA48" s="72">
        <f t="shared" si="5"/>
        <v>-411042.32300616242</v>
      </c>
      <c r="AB48" s="247">
        <f t="shared" si="9"/>
        <v>-9.6046805492640969E-2</v>
      </c>
      <c r="AE48" s="128"/>
      <c r="AF48" s="128"/>
      <c r="AG48" s="128"/>
      <c r="AH48" s="128"/>
      <c r="AI48" s="72"/>
      <c r="AK48" s="3">
        <f t="shared" si="6"/>
        <v>44196</v>
      </c>
      <c r="AL48" s="45">
        <f t="shared" si="0"/>
        <v>4690646.6356936488</v>
      </c>
      <c r="AM48" s="248">
        <f t="shared" si="1"/>
        <v>0</v>
      </c>
      <c r="AN48" s="97">
        <f t="shared" ca="1" si="13"/>
        <v>0</v>
      </c>
      <c r="AO48" s="45">
        <f t="shared" ca="1" si="7"/>
        <v>0</v>
      </c>
      <c r="AP48" s="128">
        <f t="shared" ca="1" si="10"/>
        <v>4690646.6356936488</v>
      </c>
      <c r="AS48" s="97">
        <f ca="1">Weather!BD72</f>
        <v>0</v>
      </c>
      <c r="AT48" s="128">
        <f t="shared" ca="1" si="15"/>
        <v>0</v>
      </c>
      <c r="AU48" s="72">
        <f t="shared" ca="1" si="16"/>
        <v>4690646.6356936488</v>
      </c>
    </row>
    <row r="49" spans="1:47" x14ac:dyDescent="0.2">
      <c r="A49" s="3">
        <v>44136</v>
      </c>
      <c r="B49" s="115">
        <f t="shared" si="11"/>
        <v>2020</v>
      </c>
      <c r="C49" s="84">
        <v>3624554.3128952486</v>
      </c>
      <c r="D49" s="84">
        <v>12156.765651555026</v>
      </c>
      <c r="E49" s="84">
        <v>14196.856203243759</v>
      </c>
      <c r="F49" s="229">
        <f t="shared" si="14"/>
        <v>2040.0905516887324</v>
      </c>
      <c r="T49" s="3"/>
      <c r="U49" s="3"/>
      <c r="V49" s="45"/>
      <c r="W49" s="155"/>
      <c r="Y49" s="155"/>
      <c r="AE49" s="128"/>
      <c r="AF49" s="128"/>
      <c r="AG49" s="128"/>
      <c r="AH49" s="128"/>
      <c r="AI49" s="72"/>
      <c r="AK49" s="3"/>
    </row>
    <row r="50" spans="1:47" x14ac:dyDescent="0.2">
      <c r="A50" s="3">
        <v>44166</v>
      </c>
      <c r="B50" s="115">
        <f t="shared" si="11"/>
        <v>2020</v>
      </c>
      <c r="C50" s="84">
        <v>4690646.6356936488</v>
      </c>
      <c r="D50" s="84">
        <v>13771.88756258443</v>
      </c>
      <c r="E50" s="84">
        <v>14328.114363496399</v>
      </c>
      <c r="F50" s="229">
        <f t="shared" si="14"/>
        <v>556.22680091196889</v>
      </c>
      <c r="T50" s="3"/>
      <c r="U50" s="3"/>
      <c r="V50" s="45"/>
      <c r="AE50" s="128"/>
      <c r="AF50" s="128"/>
      <c r="AG50" s="128"/>
      <c r="AH50" s="128"/>
      <c r="AI50" s="72"/>
      <c r="AK50" s="3"/>
      <c r="AS50">
        <v>2020</v>
      </c>
      <c r="AU50" s="72">
        <f ca="1">SUM(AU37:AU48)</f>
        <v>58106791.727751918</v>
      </c>
    </row>
    <row r="51" spans="1:47" x14ac:dyDescent="0.2">
      <c r="T51" s="3"/>
      <c r="U51" s="3"/>
      <c r="V51" s="45"/>
      <c r="AE51" s="72"/>
      <c r="AF51" s="72"/>
      <c r="AG51" s="72"/>
      <c r="AH51" s="72"/>
      <c r="AI51" s="72"/>
      <c r="AK51" s="3"/>
      <c r="AS51">
        <v>2021</v>
      </c>
      <c r="AU51" s="72">
        <f ca="1">AU50*1.005</f>
        <v>58397325.686390668</v>
      </c>
    </row>
    <row r="52" spans="1:47" x14ac:dyDescent="0.2">
      <c r="T52" s="3"/>
      <c r="U52" s="3"/>
      <c r="V52" s="45"/>
      <c r="AK52" s="3"/>
      <c r="AS52">
        <v>2022</v>
      </c>
      <c r="AU52" s="72">
        <f ca="1">AU51*1.005</f>
        <v>58689312.314822614</v>
      </c>
    </row>
    <row r="53" spans="1:47" x14ac:dyDescent="0.2">
      <c r="T53" s="3"/>
      <c r="U53" s="3"/>
      <c r="V53" s="45"/>
      <c r="AK53" s="3"/>
    </row>
    <row r="54" spans="1:47" x14ac:dyDescent="0.2">
      <c r="T54" s="3"/>
      <c r="U54" s="3"/>
      <c r="V54" s="45"/>
      <c r="AK54" s="3"/>
    </row>
    <row r="55" spans="1:47" x14ac:dyDescent="0.2">
      <c r="T55" s="3"/>
      <c r="U55" s="3"/>
      <c r="V55" s="45"/>
      <c r="AK55" s="3"/>
    </row>
    <row r="56" spans="1:47" x14ac:dyDescent="0.2">
      <c r="T56" s="3"/>
      <c r="U56" s="3"/>
      <c r="V56" s="45"/>
      <c r="AK56" s="3"/>
    </row>
    <row r="57" spans="1:47" x14ac:dyDescent="0.2">
      <c r="T57" s="3"/>
      <c r="U57" s="3"/>
      <c r="V57" s="45"/>
      <c r="AK57" s="3"/>
    </row>
    <row r="58" spans="1:47" x14ac:dyDescent="0.2">
      <c r="T58" s="3"/>
      <c r="U58" s="3"/>
      <c r="V58" s="45"/>
      <c r="AK58" s="3"/>
    </row>
    <row r="59" spans="1:47" x14ac:dyDescent="0.2">
      <c r="T59" s="3"/>
      <c r="U59" s="3"/>
      <c r="V59" s="45"/>
      <c r="AK59" s="3"/>
    </row>
    <row r="60" spans="1:47" x14ac:dyDescent="0.2">
      <c r="T60" s="3"/>
      <c r="U60" s="3"/>
      <c r="V60" s="45"/>
      <c r="AK60" s="3"/>
    </row>
    <row r="61" spans="1:47" x14ac:dyDescent="0.2">
      <c r="T61" s="3"/>
      <c r="U61" s="3"/>
      <c r="V61" s="45"/>
      <c r="AK61" s="3"/>
    </row>
    <row r="62" spans="1:47" x14ac:dyDescent="0.2">
      <c r="T62" s="3"/>
      <c r="U62" s="3"/>
      <c r="V62" s="45"/>
      <c r="AK62" s="3"/>
    </row>
    <row r="63" spans="1:47" x14ac:dyDescent="0.2">
      <c r="T63" s="3"/>
      <c r="U63" s="3"/>
      <c r="V63" s="45"/>
      <c r="AK63" s="3"/>
    </row>
    <row r="64" spans="1:47" x14ac:dyDescent="0.2">
      <c r="T64" s="3"/>
      <c r="U64" s="3"/>
      <c r="V64" s="45"/>
      <c r="AK64" s="3"/>
    </row>
    <row r="65" spans="20:37" x14ac:dyDescent="0.2">
      <c r="T65" s="3"/>
      <c r="U65" s="3"/>
      <c r="V65" s="45"/>
      <c r="AK65" s="3"/>
    </row>
    <row r="66" spans="20:37" x14ac:dyDescent="0.2">
      <c r="T66" s="3"/>
      <c r="U66" s="3"/>
      <c r="V66" s="45"/>
      <c r="AK66" s="3"/>
    </row>
    <row r="67" spans="20:37" x14ac:dyDescent="0.2">
      <c r="T67" s="3"/>
      <c r="U67" s="3"/>
      <c r="V67" s="45"/>
      <c r="AK67" s="3"/>
    </row>
    <row r="68" spans="20:37" x14ac:dyDescent="0.2">
      <c r="T68" s="3"/>
      <c r="U68" s="3"/>
      <c r="V68" s="45"/>
      <c r="AK68" s="3"/>
    </row>
    <row r="69" spans="20:37" x14ac:dyDescent="0.2">
      <c r="T69" s="3"/>
      <c r="U69" s="3"/>
      <c r="V69" s="45"/>
      <c r="AK69" s="3"/>
    </row>
    <row r="70" spans="20:37" x14ac:dyDescent="0.2">
      <c r="T70" s="3"/>
      <c r="U70" s="3"/>
      <c r="V70" s="45"/>
      <c r="AK70" s="3"/>
    </row>
    <row r="71" spans="20:37" x14ac:dyDescent="0.2">
      <c r="T71" s="3"/>
      <c r="U71" s="3"/>
      <c r="V71" s="45"/>
      <c r="AK71" s="3"/>
    </row>
    <row r="72" spans="20:37" x14ac:dyDescent="0.2">
      <c r="T72" s="3"/>
      <c r="U72" s="3"/>
      <c r="V72" s="45"/>
      <c r="AK72" s="3"/>
    </row>
    <row r="73" spans="20:37" x14ac:dyDescent="0.2">
      <c r="T73" s="3"/>
      <c r="U73" s="3"/>
      <c r="V73" s="45"/>
      <c r="AK73" s="3"/>
    </row>
    <row r="74" spans="20:37" x14ac:dyDescent="0.2">
      <c r="T74" s="3"/>
      <c r="U74" s="3"/>
      <c r="V74" s="45"/>
      <c r="AK74" s="3"/>
    </row>
    <row r="75" spans="20:37" x14ac:dyDescent="0.2">
      <c r="T75" s="3"/>
      <c r="U75" s="3"/>
      <c r="V75" s="45"/>
      <c r="AK75" s="3"/>
    </row>
    <row r="76" spans="20:37" x14ac:dyDescent="0.2">
      <c r="T76" s="3"/>
      <c r="U76" s="3"/>
      <c r="V76" s="45"/>
      <c r="AK76" s="3"/>
    </row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9.9978637043366805E-2"/>
  </sheetPr>
  <dimension ref="B1:E12"/>
  <sheetViews>
    <sheetView workbookViewId="0">
      <selection activeCell="B24" sqref="B24"/>
    </sheetView>
  </sheetViews>
  <sheetFormatPr defaultRowHeight="12.75" x14ac:dyDescent="0.2"/>
  <cols>
    <col min="3" max="3" width="14.85546875" customWidth="1"/>
    <col min="5" max="5" width="13.28515625" customWidth="1"/>
  </cols>
  <sheetData>
    <row r="1" spans="2:5" ht="15" x14ac:dyDescent="0.25">
      <c r="C1" s="321" t="s">
        <v>189</v>
      </c>
      <c r="D1" s="321"/>
      <c r="E1" s="321"/>
    </row>
    <row r="2" spans="2:5" ht="25.5" x14ac:dyDescent="0.2">
      <c r="C2" s="183" t="s">
        <v>190</v>
      </c>
      <c r="D2" s="183" t="s">
        <v>191</v>
      </c>
      <c r="E2" s="183" t="s">
        <v>41</v>
      </c>
    </row>
    <row r="3" spans="2:5" x14ac:dyDescent="0.2">
      <c r="B3" s="186">
        <v>2011</v>
      </c>
      <c r="C3" s="185">
        <v>2619945.9055417976</v>
      </c>
      <c r="D3" s="185">
        <v>5719.4099999999989</v>
      </c>
      <c r="E3" s="184">
        <v>14</v>
      </c>
    </row>
    <row r="4" spans="2:5" x14ac:dyDescent="0.2">
      <c r="B4" s="186">
        <v>2012</v>
      </c>
      <c r="C4" s="185">
        <v>2419222.2496674862</v>
      </c>
      <c r="D4" s="185">
        <v>5873.22</v>
      </c>
      <c r="E4" s="184">
        <v>14</v>
      </c>
    </row>
    <row r="5" spans="2:5" x14ac:dyDescent="0.2">
      <c r="B5" s="186">
        <v>2013</v>
      </c>
      <c r="C5" s="185">
        <v>2376756.2416872489</v>
      </c>
      <c r="D5" s="185">
        <v>5828.8</v>
      </c>
      <c r="E5" s="184">
        <v>14</v>
      </c>
    </row>
    <row r="6" spans="2:5" x14ac:dyDescent="0.2">
      <c r="B6" s="186">
        <v>2014</v>
      </c>
      <c r="C6" s="185">
        <v>2149511.5333460071</v>
      </c>
      <c r="D6" s="185">
        <v>6002.8500000000013</v>
      </c>
      <c r="E6" s="184">
        <v>14</v>
      </c>
    </row>
    <row r="7" spans="2:5" x14ac:dyDescent="0.2">
      <c r="B7" s="186">
        <v>2015</v>
      </c>
      <c r="C7" s="185">
        <v>2064917.3190195712</v>
      </c>
      <c r="D7" s="185">
        <v>5957.5599999999986</v>
      </c>
      <c r="E7" s="184">
        <v>14</v>
      </c>
    </row>
    <row r="8" spans="2:5" x14ac:dyDescent="0.2">
      <c r="B8" s="186">
        <v>2016</v>
      </c>
      <c r="C8" s="185">
        <v>2048794.2430907553</v>
      </c>
      <c r="D8" s="185">
        <v>5891.5699999999979</v>
      </c>
      <c r="E8" s="184">
        <v>14</v>
      </c>
    </row>
    <row r="9" spans="2:5" x14ac:dyDescent="0.2">
      <c r="B9" s="186">
        <v>2017</v>
      </c>
      <c r="C9" s="185">
        <v>1828452.8449842203</v>
      </c>
      <c r="D9" s="185">
        <v>5602.48</v>
      </c>
      <c r="E9" s="184">
        <v>14</v>
      </c>
    </row>
    <row r="10" spans="2:5" x14ac:dyDescent="0.2">
      <c r="B10" s="186">
        <v>2018</v>
      </c>
      <c r="C10" s="185">
        <v>1805609.5055943399</v>
      </c>
      <c r="D10" s="185">
        <v>5318.0400000000036</v>
      </c>
      <c r="E10" s="184">
        <v>14</v>
      </c>
    </row>
    <row r="11" spans="2:5" x14ac:dyDescent="0.2">
      <c r="B11" s="186">
        <v>2019</v>
      </c>
      <c r="C11" s="185">
        <v>1867731.1848522483</v>
      </c>
      <c r="D11" s="185">
        <v>5400.3300000000017</v>
      </c>
      <c r="E11" s="184">
        <v>14</v>
      </c>
    </row>
    <row r="12" spans="2:5" ht="13.5" thickBot="1" x14ac:dyDescent="0.25">
      <c r="B12" s="187">
        <v>2020</v>
      </c>
      <c r="C12" s="185">
        <v>1565898.4603614779</v>
      </c>
      <c r="D12" s="185">
        <v>4385.4500000000035</v>
      </c>
      <c r="E12" s="184">
        <v>14</v>
      </c>
    </row>
  </sheetData>
  <mergeCells count="1">
    <mergeCell ref="C1:E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9.9978637043366805E-2"/>
  </sheetPr>
  <dimension ref="A1:G44"/>
  <sheetViews>
    <sheetView workbookViewId="0">
      <selection activeCell="J25" sqref="J25"/>
    </sheetView>
  </sheetViews>
  <sheetFormatPr defaultRowHeight="12.75" x14ac:dyDescent="0.2"/>
  <cols>
    <col min="1" max="1" width="21.85546875" bestFit="1" customWidth="1"/>
    <col min="2" max="2" width="12.85546875" bestFit="1" customWidth="1"/>
    <col min="3" max="3" width="11.42578125" bestFit="1" customWidth="1"/>
    <col min="4" max="4" width="11.5703125" customWidth="1"/>
    <col min="5" max="5" width="10.42578125" bestFit="1" customWidth="1"/>
  </cols>
  <sheetData>
    <row r="1" spans="1:7" x14ac:dyDescent="0.2">
      <c r="B1" s="317" t="s">
        <v>39</v>
      </c>
      <c r="C1" s="317"/>
      <c r="D1" s="317" t="s">
        <v>40</v>
      </c>
      <c r="E1" s="317"/>
    </row>
    <row r="2" spans="1:7" x14ac:dyDescent="0.2">
      <c r="B2" s="265" t="s">
        <v>261</v>
      </c>
      <c r="C2" s="265" t="s">
        <v>262</v>
      </c>
      <c r="D2" s="266" t="str">
        <f>B2</f>
        <v>Customer 1</v>
      </c>
      <c r="E2" s="266" t="str">
        <f>C2</f>
        <v>Customer 2</v>
      </c>
    </row>
    <row r="3" spans="1:7" x14ac:dyDescent="0.2">
      <c r="B3" s="265"/>
      <c r="C3" s="265"/>
      <c r="D3" s="266"/>
      <c r="E3" s="266"/>
      <c r="F3" s="72"/>
    </row>
    <row r="4" spans="1:7" x14ac:dyDescent="0.2">
      <c r="A4" s="55" t="s">
        <v>273</v>
      </c>
      <c r="B4" s="301">
        <f>D4*(1/'Rate Class Load Model'!$B$28)</f>
        <v>98543.054795146469</v>
      </c>
      <c r="C4" s="301">
        <f>E4*(1/'Rate Class Load Model'!$B$28)</f>
        <v>107501.51432197797</v>
      </c>
      <c r="D4" s="266">
        <v>275</v>
      </c>
      <c r="E4" s="266">
        <v>300</v>
      </c>
      <c r="F4" s="72"/>
    </row>
    <row r="5" spans="1:7" x14ac:dyDescent="0.2">
      <c r="A5" s="55" t="s">
        <v>274</v>
      </c>
      <c r="B5" s="301">
        <f>D5*(1/'Rate Class Load Model'!$B$28)</f>
        <v>1182516.6575417577</v>
      </c>
      <c r="C5" s="301">
        <f>E5*(1/'Rate Class Load Model'!$B$28)</f>
        <v>1290018.1718637357</v>
      </c>
      <c r="D5" s="266">
        <f>D4*12</f>
        <v>3300</v>
      </c>
      <c r="E5" s="266">
        <f>E4*12</f>
        <v>3600</v>
      </c>
      <c r="F5" s="72"/>
    </row>
    <row r="6" spans="1:7" x14ac:dyDescent="0.2">
      <c r="B6" s="265"/>
      <c r="C6" s="265"/>
      <c r="D6" s="266"/>
      <c r="E6" s="266"/>
      <c r="F6" s="72"/>
    </row>
    <row r="7" spans="1:7" x14ac:dyDescent="0.2">
      <c r="B7" s="265"/>
      <c r="C7" s="265"/>
      <c r="D7" s="266"/>
      <c r="E7" s="266"/>
      <c r="F7" s="72"/>
    </row>
    <row r="8" spans="1:7" x14ac:dyDescent="0.2">
      <c r="A8" s="297">
        <v>44197</v>
      </c>
      <c r="B8" s="300">
        <v>1134976.8466399969</v>
      </c>
      <c r="C8" s="298">
        <f t="shared" ref="C8:C11" si="0">C9</f>
        <v>13399.079999999991</v>
      </c>
      <c r="D8" s="300">
        <v>2990.4</v>
      </c>
      <c r="E8" s="298">
        <f t="shared" ref="E8:E11" si="1">E9</f>
        <v>102.2</v>
      </c>
      <c r="F8" s="72"/>
    </row>
    <row r="9" spans="1:7" x14ac:dyDescent="0.2">
      <c r="A9" s="297">
        <v>44228</v>
      </c>
      <c r="B9" s="300">
        <v>1009786.8321389126</v>
      </c>
      <c r="C9" s="298">
        <f t="shared" si="0"/>
        <v>13399.079999999991</v>
      </c>
      <c r="D9" s="300">
        <v>2956.8</v>
      </c>
      <c r="E9" s="298">
        <f t="shared" si="1"/>
        <v>102.2</v>
      </c>
      <c r="F9" s="72"/>
    </row>
    <row r="10" spans="1:7" x14ac:dyDescent="0.2">
      <c r="A10" s="297">
        <v>44256</v>
      </c>
      <c r="B10" s="300">
        <v>1066367.423940002</v>
      </c>
      <c r="C10" s="298">
        <f t="shared" si="0"/>
        <v>13399.079999999991</v>
      </c>
      <c r="D10" s="300">
        <v>3057.6</v>
      </c>
      <c r="E10" s="298">
        <f t="shared" si="1"/>
        <v>102.2</v>
      </c>
      <c r="F10" s="72"/>
    </row>
    <row r="11" spans="1:7" x14ac:dyDescent="0.2">
      <c r="A11" s="297">
        <v>44287</v>
      </c>
      <c r="B11" s="300">
        <v>1012916.796302784</v>
      </c>
      <c r="C11" s="298">
        <f t="shared" si="0"/>
        <v>13399.079999999991</v>
      </c>
      <c r="D11" s="300">
        <v>3057.6</v>
      </c>
      <c r="E11" s="298">
        <f t="shared" si="1"/>
        <v>102.2</v>
      </c>
      <c r="F11" s="72"/>
    </row>
    <row r="12" spans="1:7" x14ac:dyDescent="0.2">
      <c r="A12" s="297">
        <v>44317</v>
      </c>
      <c r="B12" s="300">
        <v>924731.75088000123</v>
      </c>
      <c r="C12" s="298">
        <f>C13</f>
        <v>13399.079999999991</v>
      </c>
      <c r="D12" s="300">
        <v>3175.2</v>
      </c>
      <c r="E12" s="298">
        <f>E13</f>
        <v>102.2</v>
      </c>
      <c r="F12" s="72"/>
      <c r="G12" s="55" t="s">
        <v>263</v>
      </c>
    </row>
    <row r="13" spans="1:7" x14ac:dyDescent="0.2">
      <c r="A13" s="297">
        <v>44348</v>
      </c>
      <c r="B13" s="300">
        <v>815864.63238671701</v>
      </c>
      <c r="C13" s="128">
        <v>13399.079999999991</v>
      </c>
      <c r="D13" s="300">
        <v>3175.2</v>
      </c>
      <c r="E13" s="128">
        <v>102.2</v>
      </c>
      <c r="F13" s="72"/>
      <c r="G13" s="55" t="s">
        <v>264</v>
      </c>
    </row>
    <row r="14" spans="1:7" x14ac:dyDescent="0.2">
      <c r="A14" s="297">
        <v>44378</v>
      </c>
      <c r="B14" s="299">
        <f>AVERAGE($B$8:$B$13)</f>
        <v>994107.38038140221</v>
      </c>
      <c r="C14" s="299">
        <f>($C$13/$E$13+1/'Rate Class Load Model'!$B$28)/2*E14</f>
        <v>60155.829743208029</v>
      </c>
      <c r="D14" s="299">
        <f>AVERAGE(D8:D13)</f>
        <v>3068.8000000000006</v>
      </c>
      <c r="E14" s="298">
        <f t="shared" ref="E14:E24" si="2">($E$29-$E$13)/16+E13</f>
        <v>245.8125</v>
      </c>
      <c r="F14" s="72"/>
    </row>
    <row r="15" spans="1:7" x14ac:dyDescent="0.2">
      <c r="A15" s="297">
        <v>44409</v>
      </c>
      <c r="B15" s="305">
        <f t="shared" ref="B15:B31" si="3">AVERAGE($B$8:$B$13)</f>
        <v>994107.38038140221</v>
      </c>
      <c r="C15" s="299">
        <f>($C$13/$E$13+1/'Rate Class Load Model'!$B$28)/2*E15</f>
        <v>95301.028213572499</v>
      </c>
      <c r="D15" s="299">
        <f t="shared" ref="D15:D31" si="4">D14</f>
        <v>3068.8000000000006</v>
      </c>
      <c r="E15" s="298">
        <f t="shared" si="2"/>
        <v>389.42500000000001</v>
      </c>
      <c r="F15" s="72"/>
    </row>
    <row r="16" spans="1:7" x14ac:dyDescent="0.2">
      <c r="A16" s="297">
        <v>44440</v>
      </c>
      <c r="B16" s="305">
        <f t="shared" si="3"/>
        <v>994107.38038140221</v>
      </c>
      <c r="C16" s="299">
        <f>($C$13/$E$13+1/'Rate Class Load Model'!$B$28)/2*E16</f>
        <v>130446.22668393695</v>
      </c>
      <c r="D16" s="299">
        <f t="shared" si="4"/>
        <v>3068.8000000000006</v>
      </c>
      <c r="E16" s="298">
        <f t="shared" si="2"/>
        <v>533.03750000000002</v>
      </c>
      <c r="F16" s="72"/>
    </row>
    <row r="17" spans="1:6" x14ac:dyDescent="0.2">
      <c r="A17" s="297">
        <v>44470</v>
      </c>
      <c r="B17" s="305">
        <f t="shared" si="3"/>
        <v>994107.38038140221</v>
      </c>
      <c r="C17" s="299">
        <f>($C$13/$E$13+1/'Rate Class Load Model'!$B$28)/2*E17</f>
        <v>165591.42515430143</v>
      </c>
      <c r="D17" s="299">
        <f t="shared" si="4"/>
        <v>3068.8000000000006</v>
      </c>
      <c r="E17" s="298">
        <f t="shared" si="2"/>
        <v>676.65000000000009</v>
      </c>
      <c r="F17" s="72"/>
    </row>
    <row r="18" spans="1:6" x14ac:dyDescent="0.2">
      <c r="A18" s="297">
        <v>44501</v>
      </c>
      <c r="B18" s="305">
        <f t="shared" si="3"/>
        <v>994107.38038140221</v>
      </c>
      <c r="C18" s="299">
        <f>($C$13/$E$13+1/'Rate Class Load Model'!$B$28)/2*E18</f>
        <v>200736.62362466587</v>
      </c>
      <c r="D18" s="299">
        <f t="shared" si="4"/>
        <v>3068.8000000000006</v>
      </c>
      <c r="E18" s="298">
        <f t="shared" si="2"/>
        <v>820.26250000000005</v>
      </c>
      <c r="F18" s="72"/>
    </row>
    <row r="19" spans="1:6" x14ac:dyDescent="0.2">
      <c r="A19" s="297">
        <v>44531</v>
      </c>
      <c r="B19" s="305">
        <f t="shared" si="3"/>
        <v>994107.38038140221</v>
      </c>
      <c r="C19" s="299">
        <f>($C$13/$E$13+1/'Rate Class Load Model'!$B$28)/2*E19</f>
        <v>235881.82209503034</v>
      </c>
      <c r="D19" s="299">
        <f t="shared" si="4"/>
        <v>3068.8000000000006</v>
      </c>
      <c r="E19" s="298">
        <f t="shared" si="2"/>
        <v>963.875</v>
      </c>
      <c r="F19" s="72"/>
    </row>
    <row r="20" spans="1:6" x14ac:dyDescent="0.2">
      <c r="A20" s="297">
        <v>44562</v>
      </c>
      <c r="B20" s="305">
        <f t="shared" si="3"/>
        <v>994107.38038140221</v>
      </c>
      <c r="C20" s="299">
        <f>E20/'Rate Class Load Model'!$B$28</f>
        <v>396855.27780887188</v>
      </c>
      <c r="D20" s="299">
        <f t="shared" si="4"/>
        <v>3068.8000000000006</v>
      </c>
      <c r="E20" s="298">
        <f t="shared" si="2"/>
        <v>1107.4875</v>
      </c>
      <c r="F20" s="72"/>
    </row>
    <row r="21" spans="1:6" x14ac:dyDescent="0.2">
      <c r="A21" s="297">
        <v>44593</v>
      </c>
      <c r="B21" s="305">
        <f t="shared" si="3"/>
        <v>994107.38038140221</v>
      </c>
      <c r="C21" s="299">
        <f>E21/'Rate Class Load Model'!$B$28</f>
        <v>448317.14856075536</v>
      </c>
      <c r="D21" s="299">
        <f t="shared" si="4"/>
        <v>3068.8000000000006</v>
      </c>
      <c r="E21" s="298">
        <f t="shared" si="2"/>
        <v>1251.0999999999999</v>
      </c>
      <c r="F21" s="72"/>
    </row>
    <row r="22" spans="1:6" x14ac:dyDescent="0.2">
      <c r="A22" s="297">
        <v>44621</v>
      </c>
      <c r="B22" s="305">
        <f t="shared" si="3"/>
        <v>994107.38038140221</v>
      </c>
      <c r="C22" s="299">
        <f>E22/'Rate Class Load Model'!$B$28</f>
        <v>499779.01931263891</v>
      </c>
      <c r="D22" s="299">
        <f t="shared" si="4"/>
        <v>3068.8000000000006</v>
      </c>
      <c r="E22" s="298">
        <f t="shared" si="2"/>
        <v>1394.7124999999999</v>
      </c>
      <c r="F22" s="72"/>
    </row>
    <row r="23" spans="1:6" x14ac:dyDescent="0.2">
      <c r="A23" s="297">
        <v>44652</v>
      </c>
      <c r="B23" s="305">
        <f t="shared" si="3"/>
        <v>994107.38038140221</v>
      </c>
      <c r="C23" s="299">
        <f>E23/'Rate Class Load Model'!$B$28</f>
        <v>551240.89006452239</v>
      </c>
      <c r="D23" s="299">
        <f t="shared" si="4"/>
        <v>3068.8000000000006</v>
      </c>
      <c r="E23" s="298">
        <f t="shared" si="2"/>
        <v>1538.3249999999998</v>
      </c>
      <c r="F23" s="72"/>
    </row>
    <row r="24" spans="1:6" x14ac:dyDescent="0.2">
      <c r="A24" s="297">
        <v>44682</v>
      </c>
      <c r="B24" s="305">
        <f t="shared" si="3"/>
        <v>994107.38038140221</v>
      </c>
      <c r="C24" s="299">
        <f>E24/'Rate Class Load Model'!$B$28</f>
        <v>602702.76081640588</v>
      </c>
      <c r="D24" s="299">
        <f t="shared" si="4"/>
        <v>3068.8000000000006</v>
      </c>
      <c r="E24" s="298">
        <f t="shared" si="2"/>
        <v>1681.9374999999998</v>
      </c>
      <c r="F24" s="72"/>
    </row>
    <row r="25" spans="1:6" x14ac:dyDescent="0.2">
      <c r="A25" s="297">
        <v>44713</v>
      </c>
      <c r="B25" s="305">
        <f t="shared" si="3"/>
        <v>994107.38038140221</v>
      </c>
      <c r="C25" s="299">
        <f>E25/'Rate Class Load Model'!$B$28</f>
        <v>654164.63156828948</v>
      </c>
      <c r="D25" s="299">
        <f t="shared" si="4"/>
        <v>3068.8000000000006</v>
      </c>
      <c r="E25" s="298">
        <f>($E$29-$E$13)/16+E24</f>
        <v>1825.5499999999997</v>
      </c>
      <c r="F25" s="72"/>
    </row>
    <row r="26" spans="1:6" x14ac:dyDescent="0.2">
      <c r="A26" s="297">
        <v>44743</v>
      </c>
      <c r="B26" s="305">
        <f t="shared" si="3"/>
        <v>994107.38038140221</v>
      </c>
      <c r="C26" s="299">
        <f>E26/'Rate Class Load Model'!$B$28</f>
        <v>705626.50232017296</v>
      </c>
      <c r="D26" s="299">
        <f t="shared" si="4"/>
        <v>3068.8000000000006</v>
      </c>
      <c r="E26" s="298">
        <f t="shared" ref="E26:E28" si="5">($E$29-$E$13)/16+E25</f>
        <v>1969.1624999999997</v>
      </c>
      <c r="F26" s="72"/>
    </row>
    <row r="27" spans="1:6" x14ac:dyDescent="0.2">
      <c r="A27" s="297">
        <v>44774</v>
      </c>
      <c r="B27" s="305">
        <f t="shared" si="3"/>
        <v>994107.38038140221</v>
      </c>
      <c r="C27" s="299">
        <f>E27/'Rate Class Load Model'!$B$28</f>
        <v>757088.37307205645</v>
      </c>
      <c r="D27" s="299">
        <f t="shared" si="4"/>
        <v>3068.8000000000006</v>
      </c>
      <c r="E27" s="298">
        <f t="shared" si="5"/>
        <v>2112.7749999999996</v>
      </c>
      <c r="F27" s="72"/>
    </row>
    <row r="28" spans="1:6" x14ac:dyDescent="0.2">
      <c r="A28" s="297">
        <v>44805</v>
      </c>
      <c r="B28" s="305">
        <f t="shared" si="3"/>
        <v>994107.38038140221</v>
      </c>
      <c r="C28" s="299">
        <f>E28/'Rate Class Load Model'!$B$28</f>
        <v>808550.24382394005</v>
      </c>
      <c r="D28" s="299">
        <f t="shared" si="4"/>
        <v>3068.8000000000006</v>
      </c>
      <c r="E28" s="298">
        <f t="shared" si="5"/>
        <v>2256.3874999999998</v>
      </c>
      <c r="F28" s="72"/>
    </row>
    <row r="29" spans="1:6" x14ac:dyDescent="0.2">
      <c r="A29" s="297">
        <v>44835</v>
      </c>
      <c r="B29" s="305">
        <f t="shared" si="3"/>
        <v>994107.38038140221</v>
      </c>
      <c r="C29" s="299">
        <f>E29/'Rate Class Load Model'!$B$28</f>
        <v>860012.11457582365</v>
      </c>
      <c r="D29" s="299">
        <f t="shared" si="4"/>
        <v>3068.8000000000006</v>
      </c>
      <c r="E29" s="298">
        <v>2400</v>
      </c>
      <c r="F29" s="72"/>
    </row>
    <row r="30" spans="1:6" x14ac:dyDescent="0.2">
      <c r="A30" s="297">
        <v>44866</v>
      </c>
      <c r="B30" s="305">
        <f t="shared" si="3"/>
        <v>994107.38038140221</v>
      </c>
      <c r="C30" s="299">
        <f>E30/'Rate Class Load Model'!$B$28</f>
        <v>860012.11457582365</v>
      </c>
      <c r="D30" s="299">
        <f t="shared" si="4"/>
        <v>3068.8000000000006</v>
      </c>
      <c r="E30" s="298">
        <f t="shared" ref="E30:E31" si="6">E29</f>
        <v>2400</v>
      </c>
    </row>
    <row r="31" spans="1:6" x14ac:dyDescent="0.2">
      <c r="A31" s="297">
        <v>44896</v>
      </c>
      <c r="B31" s="305">
        <f t="shared" si="3"/>
        <v>994107.38038140221</v>
      </c>
      <c r="C31" s="299">
        <f>E31/'Rate Class Load Model'!$B$28</f>
        <v>860012.11457582365</v>
      </c>
      <c r="D31" s="299">
        <f t="shared" si="4"/>
        <v>3068.8000000000006</v>
      </c>
      <c r="E31" s="298">
        <f t="shared" si="6"/>
        <v>2400</v>
      </c>
    </row>
    <row r="33" spans="1:5" x14ac:dyDescent="0.2">
      <c r="A33" s="115">
        <v>2021</v>
      </c>
      <c r="B33" s="72">
        <f>SUM(B8:B19)</f>
        <v>11929288.564576825</v>
      </c>
      <c r="C33" s="72">
        <f t="shared" ref="C33:E33" si="7">SUM(C8:C19)</f>
        <v>968507.43551471503</v>
      </c>
      <c r="D33" s="72">
        <f t="shared" si="7"/>
        <v>36825.600000000006</v>
      </c>
      <c r="E33" s="72">
        <f t="shared" si="7"/>
        <v>4242.2624999999998</v>
      </c>
    </row>
    <row r="34" spans="1:5" x14ac:dyDescent="0.2">
      <c r="A34" s="115">
        <v>2022</v>
      </c>
      <c r="B34" s="72">
        <f>SUM(B20:B31)</f>
        <v>11929288.564576825</v>
      </c>
      <c r="C34" s="72">
        <f t="shared" ref="C34:E34" si="8">SUM(C20:C31)</f>
        <v>8004361.1910751238</v>
      </c>
      <c r="D34" s="72">
        <f t="shared" si="8"/>
        <v>36825.600000000006</v>
      </c>
      <c r="E34" s="72">
        <f t="shared" si="8"/>
        <v>22337.4375</v>
      </c>
    </row>
    <row r="36" spans="1:5" x14ac:dyDescent="0.2">
      <c r="A36" s="55" t="s">
        <v>275</v>
      </c>
    </row>
    <row r="37" spans="1:5" x14ac:dyDescent="0.2">
      <c r="A37" s="55" t="s">
        <v>276</v>
      </c>
      <c r="B37" s="72">
        <f>B5</f>
        <v>1182516.6575417577</v>
      </c>
      <c r="C37" s="72">
        <f>B37</f>
        <v>1182516.6575417577</v>
      </c>
      <c r="D37" s="128">
        <f>D5</f>
        <v>3300</v>
      </c>
      <c r="E37" s="128">
        <f>E5</f>
        <v>3600</v>
      </c>
    </row>
    <row r="39" spans="1:5" x14ac:dyDescent="0.2">
      <c r="A39">
        <v>2021</v>
      </c>
      <c r="B39" s="72">
        <f>B33-B$37</f>
        <v>10746771.907035068</v>
      </c>
      <c r="C39" s="72">
        <f>E39/'Rate Class Load Model'!$B$28</f>
        <v>230147.3044740645</v>
      </c>
      <c r="D39" s="72">
        <f>D33-D$37</f>
        <v>33525.600000000006</v>
      </c>
      <c r="E39" s="72">
        <f>E33-E$37</f>
        <v>642.26249999999982</v>
      </c>
    </row>
    <row r="40" spans="1:5" x14ac:dyDescent="0.2">
      <c r="A40">
        <v>2022</v>
      </c>
      <c r="B40" s="72">
        <f t="shared" ref="B40:C40" si="9">B34-B$37</f>
        <v>10746771.907035068</v>
      </c>
      <c r="C40" s="72">
        <f t="shared" si="9"/>
        <v>6821844.5335333664</v>
      </c>
      <c r="D40" s="72">
        <f>D34-D$37</f>
        <v>33525.600000000006</v>
      </c>
      <c r="E40" s="72">
        <f>E34-E$37</f>
        <v>18737.4375</v>
      </c>
    </row>
    <row r="41" spans="1:5" x14ac:dyDescent="0.2">
      <c r="B41" s="72"/>
    </row>
    <row r="43" spans="1:5" x14ac:dyDescent="0.2">
      <c r="A43" s="115">
        <v>2021</v>
      </c>
      <c r="B43" s="72">
        <f>B39+C39</f>
        <v>10976919.211509133</v>
      </c>
      <c r="D43" s="72">
        <f>D39+E39</f>
        <v>34167.862500000003</v>
      </c>
    </row>
    <row r="44" spans="1:5" x14ac:dyDescent="0.2">
      <c r="A44" s="115">
        <v>2022</v>
      </c>
      <c r="B44" s="72">
        <f>B40+C40</f>
        <v>17568616.440568432</v>
      </c>
      <c r="D44" s="72">
        <f>D40+E40</f>
        <v>52263.037500000006</v>
      </c>
    </row>
  </sheetData>
  <mergeCells count="2">
    <mergeCell ref="B1:C1"/>
    <mergeCell ref="D1:E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BY157"/>
  <sheetViews>
    <sheetView workbookViewId="0">
      <pane xSplit="1" ySplit="1" topLeftCell="X2" activePane="bottomRight" state="frozen"/>
      <selection activeCell="K26" sqref="K26"/>
      <selection pane="topRight" activeCell="K26" sqref="K26"/>
      <selection pane="bottomLeft" activeCell="K26" sqref="K26"/>
      <selection pane="bottomRight" activeCell="AH123" sqref="AH123"/>
    </sheetView>
  </sheetViews>
  <sheetFormatPr defaultRowHeight="12.75" x14ac:dyDescent="0.2"/>
  <cols>
    <col min="1" max="2" width="11.85546875" style="32" customWidth="1"/>
    <col min="3" max="8" width="16.85546875" style="6" customWidth="1"/>
    <col min="9" max="9" width="11.5703125" style="60" customWidth="1"/>
    <col min="10" max="10" width="13.42578125" style="60" customWidth="1"/>
    <col min="11" max="11" width="10.140625" style="60" customWidth="1"/>
    <col min="12" max="23" width="10.140625" style="245" customWidth="1"/>
    <col min="24" max="26" width="12.42578125" style="60" customWidth="1"/>
    <col min="27" max="31" width="12.140625" style="29" customWidth="1"/>
    <col min="32" max="34" width="13" style="19" customWidth="1"/>
    <col min="35" max="35" width="11" style="19" customWidth="1"/>
    <col min="36" max="36" width="14.85546875" style="19" customWidth="1"/>
    <col min="37" max="77" width="12.140625" style="29" customWidth="1"/>
  </cols>
  <sheetData>
    <row r="1" spans="1:77" s="28" customFormat="1" ht="76.5" x14ac:dyDescent="0.2">
      <c r="A1" s="131" t="s">
        <v>129</v>
      </c>
      <c r="B1" s="131" t="s">
        <v>84</v>
      </c>
      <c r="C1" s="80" t="s">
        <v>71</v>
      </c>
      <c r="D1" s="80" t="s">
        <v>144</v>
      </c>
      <c r="E1" s="80" t="s">
        <v>147</v>
      </c>
      <c r="F1" s="80" t="s">
        <v>145</v>
      </c>
      <c r="G1" s="80" t="s">
        <v>177</v>
      </c>
      <c r="H1" s="80" t="s">
        <v>178</v>
      </c>
      <c r="I1" s="81" t="s">
        <v>4</v>
      </c>
      <c r="J1" s="81" t="s">
        <v>5</v>
      </c>
      <c r="K1" s="81" t="s">
        <v>6</v>
      </c>
      <c r="L1" s="81" t="s">
        <v>103</v>
      </c>
      <c r="M1" s="81" t="s">
        <v>104</v>
      </c>
      <c r="N1" s="81" t="s">
        <v>105</v>
      </c>
      <c r="O1" s="81" t="s">
        <v>106</v>
      </c>
      <c r="P1" s="81" t="s">
        <v>38</v>
      </c>
      <c r="Q1" s="81" t="s">
        <v>136</v>
      </c>
      <c r="R1" s="81" t="s">
        <v>137</v>
      </c>
      <c r="S1" s="81" t="s">
        <v>138</v>
      </c>
      <c r="T1" s="81" t="s">
        <v>139</v>
      </c>
      <c r="U1" s="81" t="s">
        <v>108</v>
      </c>
      <c r="V1" s="81" t="s">
        <v>109</v>
      </c>
      <c r="W1" s="81" t="s">
        <v>110</v>
      </c>
      <c r="X1" s="81" t="s">
        <v>19</v>
      </c>
      <c r="Y1" s="81" t="s">
        <v>185</v>
      </c>
      <c r="Z1" s="81" t="s">
        <v>186</v>
      </c>
      <c r="AA1" s="82" t="s">
        <v>115</v>
      </c>
      <c r="AB1" s="82" t="s">
        <v>188</v>
      </c>
      <c r="AC1" s="82" t="s">
        <v>209</v>
      </c>
      <c r="AD1" s="82" t="s">
        <v>206</v>
      </c>
      <c r="AE1" s="82" t="s">
        <v>148</v>
      </c>
      <c r="AF1" s="81" t="s">
        <v>41</v>
      </c>
      <c r="AG1" s="81" t="s">
        <v>199</v>
      </c>
      <c r="AH1" s="81" t="s">
        <v>277</v>
      </c>
      <c r="AI1" s="81" t="s">
        <v>62</v>
      </c>
      <c r="AJ1" s="81" t="s">
        <v>7</v>
      </c>
      <c r="AK1" s="82" t="s">
        <v>8</v>
      </c>
      <c r="AL1" s="82" t="str">
        <f>Economic!C1</f>
        <v>OntarioGDP</v>
      </c>
      <c r="AM1" s="82" t="str">
        <f>Economic!D1</f>
        <v>OntarioFTEAdj</v>
      </c>
      <c r="AN1" s="82" t="str">
        <f>Economic!E1</f>
        <v>OntarioFTE</v>
      </c>
      <c r="AO1" s="82" t="str">
        <f>Economic!F1</f>
        <v>OntarioUnemployAdj</v>
      </c>
      <c r="AP1" s="82" t="str">
        <f>Economic!G1</f>
        <v>OntarioUnemploy</v>
      </c>
      <c r="AQ1" s="82" t="str">
        <f>Economic!H1</f>
        <v>HamiltonFTEAdj</v>
      </c>
      <c r="AR1" s="82" t="str">
        <f>Economic!I1</f>
        <v>HamiltonFTE</v>
      </c>
      <c r="AS1" s="82" t="str">
        <f>Economic!J1</f>
        <v>HamiltonUnemployAdj</v>
      </c>
      <c r="AT1" s="82" t="str">
        <f>Economic!K1</f>
        <v>HamiltonUnemploy</v>
      </c>
      <c r="AU1" s="82" t="str">
        <f>Economic!L1</f>
        <v>StCathFTEAdj</v>
      </c>
      <c r="AV1" s="82" t="str">
        <f>Economic!M1</f>
        <v>StCathFTE</v>
      </c>
      <c r="AW1" s="82" t="str">
        <f>Economic!N1</f>
        <v>StCathUnemployAdj</v>
      </c>
      <c r="AX1" s="82" t="str">
        <f>Economic!O1</f>
        <v>StCathUnemploy</v>
      </c>
      <c r="AY1" s="82" t="str">
        <f>Economic!P1</f>
        <v>OntarioGDP%Change</v>
      </c>
      <c r="AZ1" s="82" t="str">
        <f>Economic!Q1</f>
        <v>OntarioFTEAdj%Change</v>
      </c>
      <c r="BA1" s="82" t="str">
        <f>Economic!R1</f>
        <v>OntarioFTE%Change</v>
      </c>
      <c r="BB1" s="82" t="str">
        <f>Economic!S1</f>
        <v>HamiltonFTEAdj%Change</v>
      </c>
      <c r="BC1" s="82" t="str">
        <f>Economic!T1</f>
        <v>HamiltonFTE%Change</v>
      </c>
      <c r="BD1" s="82" t="str">
        <f>Economic!U1</f>
        <v>StCathFTEAdj%Change</v>
      </c>
      <c r="BE1" s="82" t="str">
        <f>Economic!V1</f>
        <v>StCathFTE%Change</v>
      </c>
      <c r="BF1" s="82" t="str">
        <f>Economic!W1</f>
        <v>OntarioGDPChange</v>
      </c>
      <c r="BG1" s="82" t="str">
        <f>Economic!X1</f>
        <v>OntarioFTEAdjChange</v>
      </c>
      <c r="BH1" s="82" t="str">
        <f>Economic!Y1</f>
        <v>OntarioFTEChange</v>
      </c>
      <c r="BI1" s="82" t="str">
        <f>Economic!Z1</f>
        <v>HamiltonFTEAdjChange</v>
      </c>
      <c r="BJ1" s="82" t="str">
        <f>Economic!AA1</f>
        <v>HamiltonFTEChange</v>
      </c>
      <c r="BK1" s="82" t="str">
        <f>Economic!AB1</f>
        <v>StCathFTEAdjChange</v>
      </c>
      <c r="BL1" s="82" t="str">
        <f>Economic!AC1</f>
        <v>StCathFTEChange</v>
      </c>
      <c r="BM1" s="82" t="str">
        <f>Weather!C1</f>
        <v>MeanTemp</v>
      </c>
      <c r="BN1" s="82" t="str">
        <f>Weather!D1</f>
        <v>HDD20</v>
      </c>
      <c r="BO1" s="82" t="str">
        <f>Weather!E1</f>
        <v>CDD20</v>
      </c>
      <c r="BP1" s="82" t="str">
        <f>Weather!F1</f>
        <v>HDD18</v>
      </c>
      <c r="BQ1" s="82" t="str">
        <f>Weather!G1</f>
        <v>CDD18</v>
      </c>
      <c r="BR1" s="82" t="str">
        <f>Weather!H1</f>
        <v>HDD16</v>
      </c>
      <c r="BS1" s="82" t="str">
        <f>Weather!I1</f>
        <v>CDD16</v>
      </c>
      <c r="BT1" s="82" t="str">
        <f>Weather!J1</f>
        <v>HDD14</v>
      </c>
      <c r="BU1" s="82" t="str">
        <f>Weather!K1</f>
        <v>CDD14</v>
      </c>
      <c r="BV1" s="82" t="str">
        <f>Weather!L1</f>
        <v>HDD12</v>
      </c>
      <c r="BW1" s="82" t="str">
        <f>Weather!M1</f>
        <v>CDD12</v>
      </c>
      <c r="BX1" s="82" t="str">
        <f>Weather!N1</f>
        <v>HDD10</v>
      </c>
      <c r="BY1" s="82" t="str">
        <f>Weather!O1</f>
        <v>CDD10</v>
      </c>
    </row>
    <row r="2" spans="1:77" x14ac:dyDescent="0.2">
      <c r="A2" s="66">
        <v>40574</v>
      </c>
      <c r="B2" s="114">
        <f t="shared" ref="B2:B54" si="0">YEAR(A2)</f>
        <v>2011</v>
      </c>
      <c r="C2" s="94">
        <v>16972495.279649999</v>
      </c>
      <c r="D2" s="94">
        <v>0</v>
      </c>
      <c r="E2" s="171">
        <f ca="1">CDM!D23</f>
        <v>6677.2348839500955</v>
      </c>
      <c r="F2" s="94">
        <f t="shared" ref="F2:F54" ca="1" si="1">C2+E2-D2</f>
        <v>16979172.514533948</v>
      </c>
      <c r="G2" s="94">
        <f ca="1">VLOOKUP(B2,CDM!$A$3:$G$14,7,FALSE)</f>
        <v>43402.026745675619</v>
      </c>
      <c r="H2" s="94">
        <f ca="1">C2-D2+G2</f>
        <v>17015897.306395676</v>
      </c>
      <c r="I2" s="90">
        <f>Weather!F122</f>
        <v>743</v>
      </c>
      <c r="J2" s="90">
        <f>Weather!G122</f>
        <v>0</v>
      </c>
      <c r="K2" s="108">
        <v>31</v>
      </c>
      <c r="L2" s="108">
        <v>1</v>
      </c>
      <c r="M2" s="108">
        <v>0</v>
      </c>
      <c r="N2" s="108">
        <v>0</v>
      </c>
      <c r="O2" s="108">
        <v>0</v>
      </c>
      <c r="P2" s="108">
        <v>0</v>
      </c>
      <c r="Q2" s="108">
        <v>0</v>
      </c>
      <c r="R2" s="108">
        <v>0</v>
      </c>
      <c r="S2" s="108">
        <v>0</v>
      </c>
      <c r="T2" s="108">
        <v>0</v>
      </c>
      <c r="U2" s="108">
        <v>0</v>
      </c>
      <c r="V2" s="108">
        <v>0</v>
      </c>
      <c r="W2" s="108">
        <v>0</v>
      </c>
      <c r="X2" s="108">
        <v>0</v>
      </c>
      <c r="Y2" s="108">
        <v>0</v>
      </c>
      <c r="Z2" s="108">
        <v>0</v>
      </c>
      <c r="AA2" s="152">
        <v>0</v>
      </c>
      <c r="AB2" s="152">
        <v>0</v>
      </c>
      <c r="AC2" s="152">
        <f>AA2*I2</f>
        <v>0</v>
      </c>
      <c r="AD2" s="152">
        <f>AA2*J2</f>
        <v>0</v>
      </c>
      <c r="AE2" s="152">
        <v>0</v>
      </c>
      <c r="AF2" s="150">
        <f>'Customer Count'!I2</f>
        <v>12677.666666666668</v>
      </c>
      <c r="AG2" s="150">
        <f>AF2-'Customer Count'!G2-'Customer Count'!F2</f>
        <v>10073.666666666668</v>
      </c>
      <c r="AH2" s="150">
        <f>AF2-'Customer Count'!H2</f>
        <v>12677.666666666668</v>
      </c>
      <c r="AI2" s="109">
        <v>1</v>
      </c>
      <c r="AJ2" s="109">
        <v>336</v>
      </c>
      <c r="AK2" s="91">
        <v>138.43555825854429</v>
      </c>
      <c r="AL2" s="91">
        <f>Economic!C14</f>
        <v>625936.9</v>
      </c>
      <c r="AM2" s="91">
        <f>Economic!D14</f>
        <v>6606.3</v>
      </c>
      <c r="AN2" s="91">
        <f>Economic!E14</f>
        <v>6571.2</v>
      </c>
      <c r="AO2" s="91">
        <f>Economic!F14</f>
        <v>8.1</v>
      </c>
      <c r="AP2" s="91">
        <f>Economic!G14</f>
        <v>7.7</v>
      </c>
      <c r="AQ2" s="91">
        <f>Economic!H14</f>
        <v>372.1</v>
      </c>
      <c r="AR2" s="91">
        <f>Economic!I14</f>
        <v>369.4</v>
      </c>
      <c r="AS2" s="91">
        <f>Economic!J14</f>
        <v>6.9</v>
      </c>
      <c r="AT2" s="91">
        <f>Economic!K14</f>
        <v>6.8</v>
      </c>
      <c r="AU2" s="91">
        <f>Economic!L14</f>
        <v>193.2</v>
      </c>
      <c r="AV2" s="91">
        <f>Economic!M14</f>
        <v>191.3</v>
      </c>
      <c r="AW2" s="91">
        <f>Economic!N14</f>
        <v>9.6999999999999993</v>
      </c>
      <c r="AX2" s="91">
        <f>Economic!O14</f>
        <v>9.6999999999999993</v>
      </c>
      <c r="AY2" s="91">
        <f>Economic!P14</f>
        <v>2.6512606468370059E-2</v>
      </c>
      <c r="AZ2" s="91">
        <f>Economic!Q14</f>
        <v>2.1555923239883201E-2</v>
      </c>
      <c r="BA2" s="91">
        <f>Economic!R14</f>
        <v>2.1244851969850043E-2</v>
      </c>
      <c r="BB2" s="91">
        <f>Economic!S14</f>
        <v>1.0043431053203156E-2</v>
      </c>
      <c r="BC2" s="91">
        <f>Economic!T14</f>
        <v>1.0670314637482914E-2</v>
      </c>
      <c r="BD2" s="91">
        <f>Economic!U14</f>
        <v>2.6022304832713727E-2</v>
      </c>
      <c r="BE2" s="91">
        <f>Economic!V14</f>
        <v>2.6287553648068673E-2</v>
      </c>
      <c r="BF2" s="91">
        <f>Economic!W14</f>
        <v>16166.599999999977</v>
      </c>
      <c r="BG2" s="91">
        <f>Economic!X14</f>
        <v>139.40000000000055</v>
      </c>
      <c r="BH2" s="91">
        <f>Economic!Y14</f>
        <v>136.69999999999982</v>
      </c>
      <c r="BI2" s="91">
        <f>Economic!Z14</f>
        <v>3.7000000000000455</v>
      </c>
      <c r="BJ2" s="91">
        <f>Economic!AA14</f>
        <v>3.8999999999999773</v>
      </c>
      <c r="BK2" s="91">
        <f>Economic!AB14</f>
        <v>4.8999999999999773</v>
      </c>
      <c r="BL2" s="91">
        <f>Economic!AC14</f>
        <v>4.9000000000000057</v>
      </c>
      <c r="BM2" s="91">
        <f>Weather!C122</f>
        <v>-5.9677419354838701</v>
      </c>
      <c r="BN2" s="91">
        <f>Weather!D122</f>
        <v>805</v>
      </c>
      <c r="BO2" s="91">
        <f>Weather!E122</f>
        <v>0</v>
      </c>
      <c r="BP2" s="91">
        <f>Weather!F122</f>
        <v>743</v>
      </c>
      <c r="BQ2" s="91">
        <f>Weather!G122</f>
        <v>0</v>
      </c>
      <c r="BR2" s="91">
        <f>Weather!H122</f>
        <v>681</v>
      </c>
      <c r="BS2" s="91">
        <f>Weather!I122</f>
        <v>0</v>
      </c>
      <c r="BT2" s="91">
        <f>Weather!J122</f>
        <v>619</v>
      </c>
      <c r="BU2" s="91">
        <f>Weather!K122</f>
        <v>0</v>
      </c>
      <c r="BV2" s="91">
        <f>Weather!L122</f>
        <v>557</v>
      </c>
      <c r="BW2" s="91">
        <f>Weather!M122</f>
        <v>0</v>
      </c>
      <c r="BX2" s="91">
        <f>Weather!N122</f>
        <v>494.99999999999994</v>
      </c>
      <c r="BY2" s="91">
        <f>Weather!O122</f>
        <v>0</v>
      </c>
    </row>
    <row r="3" spans="1:77" x14ac:dyDescent="0.2">
      <c r="A3" s="66">
        <v>40602</v>
      </c>
      <c r="B3" s="114">
        <f t="shared" si="0"/>
        <v>2011</v>
      </c>
      <c r="C3" s="94">
        <v>15034235.442599999</v>
      </c>
      <c r="D3" s="94">
        <v>0</v>
      </c>
      <c r="E3" s="171">
        <f ca="1">CDM!D24</f>
        <v>13354.469767900191</v>
      </c>
      <c r="F3" s="94">
        <f t="shared" ca="1" si="1"/>
        <v>15047589.912367899</v>
      </c>
      <c r="G3" s="94">
        <f ca="1">VLOOKUP(B3,CDM!$A$3:$G$14,7,FALSE)</f>
        <v>43402.026745675619</v>
      </c>
      <c r="H3" s="94">
        <f t="shared" ref="H3:H66" ca="1" si="2">C3-D3+G3</f>
        <v>15077637.469345674</v>
      </c>
      <c r="I3" s="90">
        <f>Weather!F123</f>
        <v>610.69999999999993</v>
      </c>
      <c r="J3" s="90">
        <f>Weather!G123</f>
        <v>0</v>
      </c>
      <c r="K3" s="108">
        <v>29</v>
      </c>
      <c r="L3" s="108">
        <v>0</v>
      </c>
      <c r="M3" s="108">
        <v>1</v>
      </c>
      <c r="N3" s="108">
        <v>0</v>
      </c>
      <c r="O3" s="108">
        <v>0</v>
      </c>
      <c r="P3" s="108">
        <v>0</v>
      </c>
      <c r="Q3" s="108">
        <v>0</v>
      </c>
      <c r="R3" s="108">
        <v>0</v>
      </c>
      <c r="S3" s="108">
        <v>0</v>
      </c>
      <c r="T3" s="108">
        <v>0</v>
      </c>
      <c r="U3" s="108">
        <v>0</v>
      </c>
      <c r="V3" s="108">
        <v>0</v>
      </c>
      <c r="W3" s="108">
        <v>0</v>
      </c>
      <c r="X3" s="108">
        <v>0</v>
      </c>
      <c r="Y3" s="108">
        <v>0</v>
      </c>
      <c r="Z3" s="108">
        <v>0</v>
      </c>
      <c r="AA3" s="152">
        <v>0</v>
      </c>
      <c r="AB3" s="152">
        <v>0</v>
      </c>
      <c r="AC3" s="152">
        <f t="shared" ref="AC3:AC66" si="3">AA3*I3</f>
        <v>0</v>
      </c>
      <c r="AD3" s="152">
        <f>AA3*J3</f>
        <v>0</v>
      </c>
      <c r="AE3" s="152">
        <v>0</v>
      </c>
      <c r="AF3" s="150">
        <f>'Customer Count'!I3</f>
        <v>12690.333333333334</v>
      </c>
      <c r="AG3" s="150">
        <f>AF3-'Customer Count'!G3-'Customer Count'!F3</f>
        <v>10086.333333333334</v>
      </c>
      <c r="AH3" s="150">
        <f>AF3-'Customer Count'!H3</f>
        <v>12690.333333333334</v>
      </c>
      <c r="AI3" s="109">
        <f>1+AI2</f>
        <v>2</v>
      </c>
      <c r="AJ3" s="109">
        <v>304</v>
      </c>
      <c r="AK3" s="91">
        <v>138.06086905825526</v>
      </c>
      <c r="AL3" s="91">
        <f>Economic!C15</f>
        <v>625936.9</v>
      </c>
      <c r="AM3" s="91">
        <f>Economic!D15</f>
        <v>6619.5</v>
      </c>
      <c r="AN3" s="91">
        <f>Economic!E15</f>
        <v>6548.1</v>
      </c>
      <c r="AO3" s="91">
        <f>Economic!F15</f>
        <v>8.1</v>
      </c>
      <c r="AP3" s="91">
        <f>Economic!G15</f>
        <v>7.8</v>
      </c>
      <c r="AQ3" s="91">
        <f>Economic!H15</f>
        <v>369.6</v>
      </c>
      <c r="AR3" s="91">
        <f>Economic!I15</f>
        <v>365.4</v>
      </c>
      <c r="AS3" s="91">
        <f>Economic!J15</f>
        <v>7</v>
      </c>
      <c r="AT3" s="91">
        <f>Economic!K15</f>
        <v>7</v>
      </c>
      <c r="AU3" s="91">
        <f>Economic!L15</f>
        <v>193.4</v>
      </c>
      <c r="AV3" s="91">
        <f>Economic!M15</f>
        <v>189.7</v>
      </c>
      <c r="AW3" s="91">
        <f>Economic!N15</f>
        <v>9.5</v>
      </c>
      <c r="AX3" s="91">
        <f>Economic!O15</f>
        <v>10.1</v>
      </c>
      <c r="AY3" s="91">
        <f>Economic!P15</f>
        <v>2.6512606468370059E-2</v>
      </c>
      <c r="AZ3" s="91">
        <f>Economic!Q15</f>
        <v>2.2948539638386611E-2</v>
      </c>
      <c r="BA3" s="91">
        <f>Economic!R15</f>
        <v>2.2485595165597116E-2</v>
      </c>
      <c r="BB3" s="91">
        <f>Economic!S15</f>
        <v>9.009009009009139E-3</v>
      </c>
      <c r="BC3" s="91">
        <f>Economic!T15</f>
        <v>1.4154870940882525E-2</v>
      </c>
      <c r="BD3" s="91">
        <f>Economic!U15</f>
        <v>2.6539278131634925E-2</v>
      </c>
      <c r="BE3" s="91">
        <f>Economic!V15</f>
        <v>2.7070925825663172E-2</v>
      </c>
      <c r="BF3" s="91">
        <f>Economic!W15</f>
        <v>16166.599999999977</v>
      </c>
      <c r="BG3" s="91">
        <f>Economic!X15</f>
        <v>148.5</v>
      </c>
      <c r="BH3" s="91">
        <f>Economic!Y15</f>
        <v>144</v>
      </c>
      <c r="BI3" s="91">
        <f>Economic!Z15</f>
        <v>3.3000000000000114</v>
      </c>
      <c r="BJ3" s="91">
        <f>Economic!AA15</f>
        <v>5.0999999999999659</v>
      </c>
      <c r="BK3" s="91">
        <f>Economic!AB15</f>
        <v>5</v>
      </c>
      <c r="BL3" s="91">
        <f>Economic!AC15</f>
        <v>5</v>
      </c>
      <c r="BM3" s="91">
        <f>Weather!C123</f>
        <v>-3.8107142857142859</v>
      </c>
      <c r="BN3" s="91">
        <f>Weather!D123</f>
        <v>666.69999999999993</v>
      </c>
      <c r="BO3" s="91">
        <f>Weather!E123</f>
        <v>0</v>
      </c>
      <c r="BP3" s="91">
        <f>Weather!F123</f>
        <v>610.69999999999993</v>
      </c>
      <c r="BQ3" s="91">
        <f>Weather!G123</f>
        <v>0</v>
      </c>
      <c r="BR3" s="91">
        <f>Weather!H123</f>
        <v>554.70000000000005</v>
      </c>
      <c r="BS3" s="91">
        <f>Weather!I123</f>
        <v>0</v>
      </c>
      <c r="BT3" s="91">
        <f>Weather!J123</f>
        <v>498.7</v>
      </c>
      <c r="BU3" s="91">
        <f>Weather!K123</f>
        <v>0</v>
      </c>
      <c r="BV3" s="91">
        <f>Weather!L123</f>
        <v>442.70000000000005</v>
      </c>
      <c r="BW3" s="91">
        <f>Weather!M123</f>
        <v>0</v>
      </c>
      <c r="BX3" s="91">
        <f>Weather!N123</f>
        <v>386.7000000000001</v>
      </c>
      <c r="BY3" s="91">
        <f>Weather!O123</f>
        <v>0</v>
      </c>
    </row>
    <row r="4" spans="1:77" x14ac:dyDescent="0.2">
      <c r="A4" s="66">
        <v>40633</v>
      </c>
      <c r="B4" s="114">
        <f t="shared" si="0"/>
        <v>2011</v>
      </c>
      <c r="C4" s="94">
        <v>15600132.157400001</v>
      </c>
      <c r="D4" s="94">
        <v>0</v>
      </c>
      <c r="E4" s="171">
        <f ca="1">CDM!D25</f>
        <v>20031.704651850287</v>
      </c>
      <c r="F4" s="94">
        <f t="shared" ca="1" si="1"/>
        <v>15620163.862051852</v>
      </c>
      <c r="G4" s="94">
        <f ca="1">VLOOKUP(B4,CDM!$A$3:$G$14,7,FALSE)</f>
        <v>43402.026745675619</v>
      </c>
      <c r="H4" s="94">
        <f t="shared" ca="1" si="2"/>
        <v>15643534.184145676</v>
      </c>
      <c r="I4" s="90">
        <f>Weather!F124</f>
        <v>548.60000000000014</v>
      </c>
      <c r="J4" s="90">
        <f>Weather!G124</f>
        <v>0</v>
      </c>
      <c r="K4" s="108">
        <v>31</v>
      </c>
      <c r="L4" s="108">
        <v>0</v>
      </c>
      <c r="M4" s="108">
        <v>0</v>
      </c>
      <c r="N4" s="108">
        <v>1</v>
      </c>
      <c r="O4" s="108">
        <v>0</v>
      </c>
      <c r="P4" s="108">
        <v>0</v>
      </c>
      <c r="Q4" s="108">
        <v>0</v>
      </c>
      <c r="R4" s="108">
        <v>0</v>
      </c>
      <c r="S4" s="108">
        <v>0</v>
      </c>
      <c r="T4" s="108">
        <v>0</v>
      </c>
      <c r="U4" s="108">
        <v>0</v>
      </c>
      <c r="V4" s="108">
        <v>0</v>
      </c>
      <c r="W4" s="108">
        <v>0</v>
      </c>
      <c r="X4" s="108">
        <v>1</v>
      </c>
      <c r="Y4" s="108">
        <v>1</v>
      </c>
      <c r="Z4" s="108">
        <v>0</v>
      </c>
      <c r="AA4" s="152">
        <v>0</v>
      </c>
      <c r="AB4" s="152">
        <v>0</v>
      </c>
      <c r="AC4" s="152">
        <f t="shared" si="3"/>
        <v>0</v>
      </c>
      <c r="AD4" s="152">
        <f t="shared" ref="AD4:AD67" si="4">AA4*J4</f>
        <v>0</v>
      </c>
      <c r="AE4" s="152">
        <v>0</v>
      </c>
      <c r="AF4" s="150">
        <f>'Customer Count'!I4</f>
        <v>12722.000000000002</v>
      </c>
      <c r="AG4" s="150">
        <f>AF4-'Customer Count'!G4-'Customer Count'!F4</f>
        <v>10099.000000000002</v>
      </c>
      <c r="AH4" s="150">
        <f>AF4-'Customer Count'!H4</f>
        <v>12722.000000000002</v>
      </c>
      <c r="AI4" s="109">
        <f t="shared" ref="AI4:AI67" si="5">1+AI3</f>
        <v>3</v>
      </c>
      <c r="AJ4" s="109">
        <v>352</v>
      </c>
      <c r="AK4" s="91">
        <v>137.68719399045199</v>
      </c>
      <c r="AL4" s="91">
        <f>Economic!C16</f>
        <v>625936.9</v>
      </c>
      <c r="AM4" s="91">
        <f>Economic!D16</f>
        <v>6628.6</v>
      </c>
      <c r="AN4" s="91">
        <f>Economic!E16</f>
        <v>6523.7</v>
      </c>
      <c r="AO4" s="91">
        <f>Economic!F16</f>
        <v>8.1</v>
      </c>
      <c r="AP4" s="91">
        <f>Economic!G16</f>
        <v>8.3000000000000007</v>
      </c>
      <c r="AQ4" s="91">
        <f>Economic!H16</f>
        <v>369.8</v>
      </c>
      <c r="AR4" s="91">
        <f>Economic!I16</f>
        <v>363.6</v>
      </c>
      <c r="AS4" s="91">
        <f>Economic!J16</f>
        <v>6.6</v>
      </c>
      <c r="AT4" s="91">
        <f>Economic!K16</f>
        <v>6.9</v>
      </c>
      <c r="AU4" s="91">
        <f>Economic!L16</f>
        <v>194.3</v>
      </c>
      <c r="AV4" s="91">
        <f>Economic!M16</f>
        <v>189.7</v>
      </c>
      <c r="AW4" s="91">
        <f>Economic!N16</f>
        <v>9.4</v>
      </c>
      <c r="AX4" s="91">
        <f>Economic!O16</f>
        <v>10.3</v>
      </c>
      <c r="AY4" s="91">
        <f>Economic!P16</f>
        <v>2.6512606468370059E-2</v>
      </c>
      <c r="AZ4" s="91">
        <f>Economic!Q16</f>
        <v>2.332690081049793E-2</v>
      </c>
      <c r="BA4" s="91">
        <f>Economic!R16</f>
        <v>2.2972464404440895E-2</v>
      </c>
      <c r="BB4" s="91">
        <f>Economic!S16</f>
        <v>6.2585034013604712E-3</v>
      </c>
      <c r="BC4" s="91">
        <f>Economic!T16</f>
        <v>1.168614357262121E-2</v>
      </c>
      <c r="BD4" s="91">
        <f>Economic!U16</f>
        <v>2.5329815303430037E-2</v>
      </c>
      <c r="BE4" s="91">
        <f>Economic!V16</f>
        <v>2.6515151515151381E-2</v>
      </c>
      <c r="BF4" s="91">
        <f>Economic!W16</f>
        <v>16166.599999999977</v>
      </c>
      <c r="BG4" s="91">
        <f>Economic!X16</f>
        <v>151.10000000000036</v>
      </c>
      <c r="BH4" s="91">
        <f>Economic!Y16</f>
        <v>146.5</v>
      </c>
      <c r="BI4" s="91">
        <f>Economic!Z16</f>
        <v>2.3000000000000114</v>
      </c>
      <c r="BJ4" s="91">
        <f>Economic!AA16</f>
        <v>4.2000000000000455</v>
      </c>
      <c r="BK4" s="91">
        <f>Economic!AB16</f>
        <v>4.8000000000000114</v>
      </c>
      <c r="BL4" s="91">
        <f>Economic!AC16</f>
        <v>4.8999999999999773</v>
      </c>
      <c r="BM4" s="91">
        <f>Weather!C124</f>
        <v>0.30322580645161273</v>
      </c>
      <c r="BN4" s="91">
        <f>Weather!D124</f>
        <v>610.60000000000014</v>
      </c>
      <c r="BO4" s="91">
        <f>Weather!E124</f>
        <v>0</v>
      </c>
      <c r="BP4" s="91">
        <f>Weather!F124</f>
        <v>548.60000000000014</v>
      </c>
      <c r="BQ4" s="91">
        <f>Weather!G124</f>
        <v>0</v>
      </c>
      <c r="BR4" s="91">
        <f>Weather!H124</f>
        <v>486.60000000000014</v>
      </c>
      <c r="BS4" s="91">
        <f>Weather!I124</f>
        <v>0</v>
      </c>
      <c r="BT4" s="91">
        <f>Weather!J124</f>
        <v>424.60000000000014</v>
      </c>
      <c r="BU4" s="91">
        <f>Weather!K124</f>
        <v>0</v>
      </c>
      <c r="BV4" s="91">
        <f>Weather!L124</f>
        <v>362.60000000000008</v>
      </c>
      <c r="BW4" s="91">
        <f>Weather!M124</f>
        <v>0</v>
      </c>
      <c r="BX4" s="91">
        <f>Weather!N124</f>
        <v>301.7000000000001</v>
      </c>
      <c r="BY4" s="91">
        <f>Weather!O124</f>
        <v>1.0999999999999996</v>
      </c>
    </row>
    <row r="5" spans="1:77" x14ac:dyDescent="0.2">
      <c r="A5" s="66">
        <v>40663</v>
      </c>
      <c r="B5" s="114">
        <f t="shared" si="0"/>
        <v>2011</v>
      </c>
      <c r="C5" s="94">
        <v>13905160.764599999</v>
      </c>
      <c r="D5" s="94">
        <v>0</v>
      </c>
      <c r="E5" s="171">
        <f ca="1">CDM!D26</f>
        <v>26708.939535800382</v>
      </c>
      <c r="F5" s="94">
        <f t="shared" ca="1" si="1"/>
        <v>13931869.7041358</v>
      </c>
      <c r="G5" s="94">
        <f ca="1">VLOOKUP(B5,CDM!$A$3:$G$14,7,FALSE)</f>
        <v>43402.026745675619</v>
      </c>
      <c r="H5" s="94">
        <f t="shared" ca="1" si="2"/>
        <v>13948562.791345675</v>
      </c>
      <c r="I5" s="90">
        <f>Weather!F125</f>
        <v>334.6</v>
      </c>
      <c r="J5" s="90">
        <f>Weather!G125</f>
        <v>0</v>
      </c>
      <c r="K5" s="108">
        <v>30</v>
      </c>
      <c r="L5" s="108">
        <v>0</v>
      </c>
      <c r="M5" s="108">
        <v>0</v>
      </c>
      <c r="N5" s="108">
        <v>0</v>
      </c>
      <c r="O5" s="108">
        <v>1</v>
      </c>
      <c r="P5" s="108">
        <v>0</v>
      </c>
      <c r="Q5" s="108">
        <v>0</v>
      </c>
      <c r="R5" s="108">
        <v>0</v>
      </c>
      <c r="S5" s="108">
        <v>0</v>
      </c>
      <c r="T5" s="108">
        <v>0</v>
      </c>
      <c r="U5" s="108">
        <v>0</v>
      </c>
      <c r="V5" s="108">
        <v>0</v>
      </c>
      <c r="W5" s="108">
        <v>0</v>
      </c>
      <c r="X5" s="108">
        <v>1</v>
      </c>
      <c r="Y5" s="108">
        <v>1</v>
      </c>
      <c r="Z5" s="108">
        <v>0</v>
      </c>
      <c r="AA5" s="152">
        <v>0</v>
      </c>
      <c r="AB5" s="152">
        <v>0</v>
      </c>
      <c r="AC5" s="152">
        <f t="shared" si="3"/>
        <v>0</v>
      </c>
      <c r="AD5" s="152">
        <f t="shared" si="4"/>
        <v>0</v>
      </c>
      <c r="AE5" s="152">
        <v>0</v>
      </c>
      <c r="AF5" s="150">
        <f>'Customer Count'!I5</f>
        <v>12644.66666666667</v>
      </c>
      <c r="AG5" s="150">
        <f>AF5-'Customer Count'!G5-'Customer Count'!F5</f>
        <v>10111.66666666667</v>
      </c>
      <c r="AH5" s="150">
        <f>AF5-'Customer Count'!H5</f>
        <v>12644.66666666667</v>
      </c>
      <c r="AI5" s="109">
        <f t="shared" si="5"/>
        <v>4</v>
      </c>
      <c r="AJ5" s="109">
        <v>320</v>
      </c>
      <c r="AK5" s="91">
        <v>137.31453031028698</v>
      </c>
      <c r="AL5" s="91">
        <f>Economic!C17</f>
        <v>625936.9</v>
      </c>
      <c r="AM5" s="91">
        <f>Economic!D17</f>
        <v>6635.5</v>
      </c>
      <c r="AN5" s="91">
        <f>Economic!E17</f>
        <v>6550</v>
      </c>
      <c r="AO5" s="91">
        <f>Economic!F17</f>
        <v>8</v>
      </c>
      <c r="AP5" s="91">
        <f>Economic!G17</f>
        <v>8.1999999999999993</v>
      </c>
      <c r="AQ5" s="91">
        <f>Economic!H17</f>
        <v>372</v>
      </c>
      <c r="AR5" s="91">
        <f>Economic!I17</f>
        <v>367.1</v>
      </c>
      <c r="AS5" s="91">
        <f>Economic!J17</f>
        <v>5.9</v>
      </c>
      <c r="AT5" s="91">
        <f>Economic!K17</f>
        <v>6.1</v>
      </c>
      <c r="AU5" s="91">
        <f>Economic!L17</f>
        <v>195.9</v>
      </c>
      <c r="AV5" s="91">
        <f>Economic!M17</f>
        <v>190.7</v>
      </c>
      <c r="AW5" s="91">
        <f>Economic!N17</f>
        <v>8.9</v>
      </c>
      <c r="AX5" s="91">
        <f>Economic!O17</f>
        <v>9.6999999999999993</v>
      </c>
      <c r="AY5" s="91">
        <f>Economic!P17</f>
        <v>2.6512606468370059E-2</v>
      </c>
      <c r="AZ5" s="91">
        <f>Economic!Q17</f>
        <v>2.3207401696222041E-2</v>
      </c>
      <c r="BA5" s="91">
        <f>Economic!R17</f>
        <v>2.3165721605198586E-2</v>
      </c>
      <c r="BB5" s="91">
        <f>Economic!S17</f>
        <v>2.0016451878256181E-2</v>
      </c>
      <c r="BC5" s="91">
        <f>Economic!T17</f>
        <v>2.4274553571428603E-2</v>
      </c>
      <c r="BD5" s="91">
        <f>Economic!U17</f>
        <v>3.1052631578947443E-2</v>
      </c>
      <c r="BE5" s="91">
        <f>Economic!V17</f>
        <v>3.1368307193077261E-2</v>
      </c>
      <c r="BF5" s="91">
        <f>Economic!W17</f>
        <v>16166.599999999977</v>
      </c>
      <c r="BG5" s="91">
        <f>Economic!X17</f>
        <v>150.5</v>
      </c>
      <c r="BH5" s="91">
        <f>Economic!Y17</f>
        <v>148.30000000000018</v>
      </c>
      <c r="BI5" s="91">
        <f>Economic!Z17</f>
        <v>7.3000000000000114</v>
      </c>
      <c r="BJ5" s="91">
        <f>Economic!AA17</f>
        <v>8.7000000000000455</v>
      </c>
      <c r="BK5" s="91">
        <f>Economic!AB17</f>
        <v>5.9000000000000057</v>
      </c>
      <c r="BL5" s="91">
        <f>Economic!AC17</f>
        <v>5.7999999999999829</v>
      </c>
      <c r="BM5" s="91">
        <f>Weather!C125</f>
        <v>6.8466666666666667</v>
      </c>
      <c r="BN5" s="91">
        <f>Weather!D125</f>
        <v>394.6</v>
      </c>
      <c r="BO5" s="91">
        <f>Weather!E125</f>
        <v>0</v>
      </c>
      <c r="BP5" s="91">
        <f>Weather!F125</f>
        <v>334.6</v>
      </c>
      <c r="BQ5" s="91">
        <f>Weather!G125</f>
        <v>0</v>
      </c>
      <c r="BR5" s="91">
        <f>Weather!H125</f>
        <v>274.59999999999997</v>
      </c>
      <c r="BS5" s="91">
        <f>Weather!I125</f>
        <v>0</v>
      </c>
      <c r="BT5" s="91">
        <f>Weather!J125</f>
        <v>215.29999999999995</v>
      </c>
      <c r="BU5" s="91">
        <f>Weather!K125</f>
        <v>0.69999999999999929</v>
      </c>
      <c r="BV5" s="91">
        <f>Weather!L125</f>
        <v>162.19999999999999</v>
      </c>
      <c r="BW5" s="91">
        <f>Weather!M125</f>
        <v>7.6</v>
      </c>
      <c r="BX5" s="91">
        <f>Weather!N125</f>
        <v>112.2</v>
      </c>
      <c r="BY5" s="91">
        <f>Weather!O125</f>
        <v>17.600000000000001</v>
      </c>
    </row>
    <row r="6" spans="1:77" x14ac:dyDescent="0.2">
      <c r="A6" s="66">
        <v>40694</v>
      </c>
      <c r="B6" s="114">
        <f t="shared" si="0"/>
        <v>2011</v>
      </c>
      <c r="C6" s="94">
        <v>13964088.668949999</v>
      </c>
      <c r="D6" s="94">
        <v>0</v>
      </c>
      <c r="E6" s="171">
        <f ca="1">CDM!D27</f>
        <v>33386.174419750474</v>
      </c>
      <c r="F6" s="94">
        <f t="shared" ca="1" si="1"/>
        <v>13997474.84336975</v>
      </c>
      <c r="G6" s="94">
        <f ca="1">VLOOKUP(B6,CDM!$A$3:$G$14,7,FALSE)</f>
        <v>43402.026745675619</v>
      </c>
      <c r="H6" s="94">
        <f t="shared" ca="1" si="2"/>
        <v>14007490.695695674</v>
      </c>
      <c r="I6" s="90">
        <f>Weather!F126</f>
        <v>159.19999999999999</v>
      </c>
      <c r="J6" s="90">
        <f>Weather!G126</f>
        <v>12</v>
      </c>
      <c r="K6" s="108">
        <v>31</v>
      </c>
      <c r="L6" s="108">
        <v>0</v>
      </c>
      <c r="M6" s="108">
        <v>0</v>
      </c>
      <c r="N6" s="108">
        <v>0</v>
      </c>
      <c r="O6" s="108">
        <v>0</v>
      </c>
      <c r="P6" s="108">
        <v>1</v>
      </c>
      <c r="Q6" s="108">
        <v>0</v>
      </c>
      <c r="R6" s="108">
        <v>0</v>
      </c>
      <c r="S6" s="108">
        <v>0</v>
      </c>
      <c r="T6" s="108">
        <v>0</v>
      </c>
      <c r="U6" s="108">
        <v>0</v>
      </c>
      <c r="V6" s="108">
        <v>0</v>
      </c>
      <c r="W6" s="108">
        <v>0</v>
      </c>
      <c r="X6" s="108">
        <v>1</v>
      </c>
      <c r="Y6" s="108">
        <v>1</v>
      </c>
      <c r="Z6" s="108">
        <v>0</v>
      </c>
      <c r="AA6" s="152">
        <v>0</v>
      </c>
      <c r="AB6" s="152">
        <v>0</v>
      </c>
      <c r="AC6" s="152">
        <f t="shared" si="3"/>
        <v>0</v>
      </c>
      <c r="AD6" s="152">
        <f t="shared" si="4"/>
        <v>0</v>
      </c>
      <c r="AE6" s="152">
        <v>0</v>
      </c>
      <c r="AF6" s="150">
        <f>'Customer Count'!I6</f>
        <v>12657.333333333336</v>
      </c>
      <c r="AG6" s="150">
        <f>AF6-'Customer Count'!G6-'Customer Count'!F6</f>
        <v>10124.333333333336</v>
      </c>
      <c r="AH6" s="150">
        <f>AF6-'Customer Count'!H6</f>
        <v>12657.333333333336</v>
      </c>
      <c r="AI6" s="109">
        <f t="shared" si="5"/>
        <v>5</v>
      </c>
      <c r="AJ6" s="109">
        <v>320</v>
      </c>
      <c r="AK6" s="91">
        <v>136.94287528034204</v>
      </c>
      <c r="AL6" s="91">
        <f>Economic!C18</f>
        <v>625936.9</v>
      </c>
      <c r="AM6" s="91">
        <f>Economic!D18</f>
        <v>6645.8</v>
      </c>
      <c r="AN6" s="91">
        <f>Economic!E18</f>
        <v>6612</v>
      </c>
      <c r="AO6" s="91">
        <f>Economic!F18</f>
        <v>8.1</v>
      </c>
      <c r="AP6" s="91">
        <f>Economic!G18</f>
        <v>8.3000000000000007</v>
      </c>
      <c r="AQ6" s="91">
        <f>Economic!H18</f>
        <v>375</v>
      </c>
      <c r="AR6" s="91">
        <f>Economic!I18</f>
        <v>374.6</v>
      </c>
      <c r="AS6" s="91">
        <f>Economic!J18</f>
        <v>5.9</v>
      </c>
      <c r="AT6" s="91">
        <f>Economic!K18</f>
        <v>5.9</v>
      </c>
      <c r="AU6" s="91">
        <f>Economic!L18</f>
        <v>194.9</v>
      </c>
      <c r="AV6" s="91">
        <f>Economic!M18</f>
        <v>193.3</v>
      </c>
      <c r="AW6" s="91">
        <f>Economic!N18</f>
        <v>8.8000000000000007</v>
      </c>
      <c r="AX6" s="91">
        <f>Economic!O18</f>
        <v>9.1</v>
      </c>
      <c r="AY6" s="91">
        <f>Economic!P18</f>
        <v>2.6512606468370059E-2</v>
      </c>
      <c r="AZ6" s="91">
        <f>Economic!Q18</f>
        <v>2.1362267166656457E-2</v>
      </c>
      <c r="BA6" s="91">
        <f>Economic!R18</f>
        <v>2.2121226174465658E-2</v>
      </c>
      <c r="BB6" s="91">
        <f>Economic!S18</f>
        <v>2.9371397200109728E-2</v>
      </c>
      <c r="BC6" s="91">
        <f>Economic!T18</f>
        <v>3.366445916114813E-2</v>
      </c>
      <c r="BD6" s="91">
        <f>Economic!U18</f>
        <v>2.3634453781512521E-2</v>
      </c>
      <c r="BE6" s="91">
        <f>Economic!V18</f>
        <v>2.7098831030818449E-2</v>
      </c>
      <c r="BF6" s="91">
        <f>Economic!W18</f>
        <v>16166.599999999977</v>
      </c>
      <c r="BG6" s="91">
        <f>Economic!X18</f>
        <v>139</v>
      </c>
      <c r="BH6" s="91">
        <f>Economic!Y18</f>
        <v>143.10000000000036</v>
      </c>
      <c r="BI6" s="91">
        <f>Economic!Z18</f>
        <v>10.699999999999989</v>
      </c>
      <c r="BJ6" s="91">
        <f>Economic!AA18</f>
        <v>12.200000000000045</v>
      </c>
      <c r="BK6" s="91">
        <f>Economic!AB18</f>
        <v>4.5</v>
      </c>
      <c r="BL6" s="91">
        <f>Economic!AC18</f>
        <v>5.1000000000000227</v>
      </c>
      <c r="BM6" s="91">
        <f>Weather!C126</f>
        <v>13.251612903225809</v>
      </c>
      <c r="BN6" s="91">
        <f>Weather!D126</f>
        <v>212.99999999999994</v>
      </c>
      <c r="BO6" s="91">
        <f>Weather!E126</f>
        <v>3.8000000000000007</v>
      </c>
      <c r="BP6" s="91">
        <f>Weather!F126</f>
        <v>159.19999999999999</v>
      </c>
      <c r="BQ6" s="91">
        <f>Weather!G126</f>
        <v>12</v>
      </c>
      <c r="BR6" s="91">
        <f>Weather!H126</f>
        <v>113.3</v>
      </c>
      <c r="BS6" s="91">
        <f>Weather!I126</f>
        <v>28.099999999999998</v>
      </c>
      <c r="BT6" s="91">
        <f>Weather!J126</f>
        <v>73.2</v>
      </c>
      <c r="BU6" s="91">
        <f>Weather!K126</f>
        <v>49.999999999999993</v>
      </c>
      <c r="BV6" s="91">
        <f>Weather!L126</f>
        <v>37.300000000000004</v>
      </c>
      <c r="BW6" s="91">
        <f>Weather!M126</f>
        <v>76.099999999999994</v>
      </c>
      <c r="BX6" s="91">
        <f>Weather!N126</f>
        <v>15.6</v>
      </c>
      <c r="BY6" s="91">
        <f>Weather!O126</f>
        <v>116.4</v>
      </c>
    </row>
    <row r="7" spans="1:77" x14ac:dyDescent="0.2">
      <c r="A7" s="66">
        <v>40724</v>
      </c>
      <c r="B7" s="114">
        <f t="shared" si="0"/>
        <v>2011</v>
      </c>
      <c r="C7" s="94">
        <v>15635949.933149999</v>
      </c>
      <c r="D7" s="94">
        <v>0</v>
      </c>
      <c r="E7" s="171">
        <f ca="1">CDM!D28</f>
        <v>40063.409303700573</v>
      </c>
      <c r="F7" s="94">
        <f t="shared" ca="1" si="1"/>
        <v>15676013.3424537</v>
      </c>
      <c r="G7" s="94">
        <f ca="1">VLOOKUP(B7,CDM!$A$3:$G$14,7,FALSE)</f>
        <v>43402.026745675619</v>
      </c>
      <c r="H7" s="94">
        <f t="shared" ca="1" si="2"/>
        <v>15679351.959895674</v>
      </c>
      <c r="I7" s="90">
        <f>Weather!F127</f>
        <v>15.200000000000001</v>
      </c>
      <c r="J7" s="90">
        <f>Weather!G127</f>
        <v>67.5</v>
      </c>
      <c r="K7" s="108">
        <v>30</v>
      </c>
      <c r="L7" s="108">
        <v>0</v>
      </c>
      <c r="M7" s="108">
        <v>0</v>
      </c>
      <c r="N7" s="108">
        <v>0</v>
      </c>
      <c r="O7" s="108">
        <v>0</v>
      </c>
      <c r="P7" s="108">
        <v>0</v>
      </c>
      <c r="Q7" s="108">
        <v>1</v>
      </c>
      <c r="R7" s="108">
        <v>0</v>
      </c>
      <c r="S7" s="108">
        <v>0</v>
      </c>
      <c r="T7" s="108">
        <v>0</v>
      </c>
      <c r="U7" s="108">
        <v>0</v>
      </c>
      <c r="V7" s="108">
        <v>0</v>
      </c>
      <c r="W7" s="108">
        <v>0</v>
      </c>
      <c r="X7" s="108">
        <v>0</v>
      </c>
      <c r="Y7" s="108">
        <v>0</v>
      </c>
      <c r="Z7" s="108">
        <v>0</v>
      </c>
      <c r="AA7" s="152">
        <v>0</v>
      </c>
      <c r="AB7" s="152">
        <v>0</v>
      </c>
      <c r="AC7" s="152">
        <f t="shared" si="3"/>
        <v>0</v>
      </c>
      <c r="AD7" s="152">
        <f t="shared" si="4"/>
        <v>0</v>
      </c>
      <c r="AE7" s="152">
        <v>0</v>
      </c>
      <c r="AF7" s="150">
        <f>'Customer Count'!I7</f>
        <v>12670.000000000004</v>
      </c>
      <c r="AG7" s="150">
        <f>AF7-'Customer Count'!G7-'Customer Count'!F7</f>
        <v>10137.000000000004</v>
      </c>
      <c r="AH7" s="150">
        <f>AF7-'Customer Count'!H7</f>
        <v>12670.000000000004</v>
      </c>
      <c r="AI7" s="109">
        <f t="shared" si="5"/>
        <v>6</v>
      </c>
      <c r="AJ7" s="109">
        <v>352</v>
      </c>
      <c r="AK7" s="91">
        <v>136.57222617060793</v>
      </c>
      <c r="AL7" s="91">
        <f>Economic!C19</f>
        <v>625936.9</v>
      </c>
      <c r="AM7" s="91">
        <f>Economic!D19</f>
        <v>6662</v>
      </c>
      <c r="AN7" s="91">
        <f>Economic!E19</f>
        <v>6706.8</v>
      </c>
      <c r="AO7" s="91">
        <f>Economic!F19</f>
        <v>8</v>
      </c>
      <c r="AP7" s="91">
        <f>Economic!G19</f>
        <v>8.1</v>
      </c>
      <c r="AQ7" s="91">
        <f>Economic!H19</f>
        <v>375.2</v>
      </c>
      <c r="AR7" s="91">
        <f>Economic!I19</f>
        <v>379.2</v>
      </c>
      <c r="AS7" s="91">
        <f>Economic!J19</f>
        <v>6.1</v>
      </c>
      <c r="AT7" s="91">
        <f>Economic!K19</f>
        <v>5.9</v>
      </c>
      <c r="AU7" s="91">
        <f>Economic!L19</f>
        <v>195.2</v>
      </c>
      <c r="AV7" s="91">
        <f>Economic!M19</f>
        <v>197.3</v>
      </c>
      <c r="AW7" s="91">
        <f>Economic!N19</f>
        <v>8.6</v>
      </c>
      <c r="AX7" s="91">
        <f>Economic!O19</f>
        <v>8.1</v>
      </c>
      <c r="AY7" s="91">
        <f>Economic!P19</f>
        <v>2.6512606468370059E-2</v>
      </c>
      <c r="AZ7" s="91">
        <f>Economic!Q19</f>
        <v>1.8529843444226923E-2</v>
      </c>
      <c r="BA7" s="91">
        <f>Economic!R19</f>
        <v>1.9440939974767923E-2</v>
      </c>
      <c r="BB7" s="91">
        <f>Economic!S19</f>
        <v>2.1786492374727739E-2</v>
      </c>
      <c r="BC7" s="91">
        <f>Economic!T19</f>
        <v>2.4587949202917958E-2</v>
      </c>
      <c r="BD7" s="91">
        <f>Economic!U19</f>
        <v>1.719645648775403E-2</v>
      </c>
      <c r="BE7" s="91">
        <f>Economic!V19</f>
        <v>1.9638242894056912E-2</v>
      </c>
      <c r="BF7" s="91">
        <f>Economic!W19</f>
        <v>16166.599999999977</v>
      </c>
      <c r="BG7" s="91">
        <f>Economic!X19</f>
        <v>121.19999999999982</v>
      </c>
      <c r="BH7" s="91">
        <f>Economic!Y19</f>
        <v>127.90000000000055</v>
      </c>
      <c r="BI7" s="91">
        <f>Economic!Z19</f>
        <v>8</v>
      </c>
      <c r="BJ7" s="91">
        <f>Economic!AA19</f>
        <v>9.0999999999999659</v>
      </c>
      <c r="BK7" s="91">
        <f>Economic!AB19</f>
        <v>3.2999999999999829</v>
      </c>
      <c r="BL7" s="91">
        <f>Economic!AC19</f>
        <v>3.8000000000000114</v>
      </c>
      <c r="BM7" s="91">
        <f>Weather!C127</f>
        <v>19.743333333333332</v>
      </c>
      <c r="BN7" s="91">
        <f>Weather!D127</f>
        <v>39.800000000000011</v>
      </c>
      <c r="BO7" s="91">
        <f>Weather!E127</f>
        <v>32.100000000000009</v>
      </c>
      <c r="BP7" s="91">
        <f>Weather!F127</f>
        <v>15.200000000000001</v>
      </c>
      <c r="BQ7" s="91">
        <f>Weather!G127</f>
        <v>67.5</v>
      </c>
      <c r="BR7" s="91">
        <f>Weather!H127</f>
        <v>1.0999999999999996</v>
      </c>
      <c r="BS7" s="91">
        <f>Weather!I127</f>
        <v>113.39999999999999</v>
      </c>
      <c r="BT7" s="91">
        <f>Weather!J127</f>
        <v>0</v>
      </c>
      <c r="BU7" s="91">
        <f>Weather!K127</f>
        <v>172.3</v>
      </c>
      <c r="BV7" s="91">
        <f>Weather!L127</f>
        <v>0</v>
      </c>
      <c r="BW7" s="91">
        <f>Weather!M127</f>
        <v>232.29999999999998</v>
      </c>
      <c r="BX7" s="91">
        <f>Weather!N127</f>
        <v>0</v>
      </c>
      <c r="BY7" s="91">
        <f>Weather!O127</f>
        <v>292.3</v>
      </c>
    </row>
    <row r="8" spans="1:77" x14ac:dyDescent="0.2">
      <c r="A8" s="66">
        <v>40755</v>
      </c>
      <c r="B8" s="114">
        <f t="shared" si="0"/>
        <v>2011</v>
      </c>
      <c r="C8" s="94">
        <v>20776403.369124997</v>
      </c>
      <c r="D8" s="94">
        <v>0</v>
      </c>
      <c r="E8" s="171">
        <f ca="1">CDM!D29</f>
        <v>46740.644187650672</v>
      </c>
      <c r="F8" s="94">
        <f ca="1">C8+E8-D8</f>
        <v>20823144.013312649</v>
      </c>
      <c r="G8" s="94">
        <f ca="1">VLOOKUP(B8,CDM!$A$3:$G$14,7,FALSE)</f>
        <v>43402.026745675619</v>
      </c>
      <c r="H8" s="94">
        <f t="shared" ca="1" si="2"/>
        <v>20819805.395870674</v>
      </c>
      <c r="I8" s="90">
        <f>Weather!F128</f>
        <v>0</v>
      </c>
      <c r="J8" s="90">
        <f>Weather!G128</f>
        <v>209.20000000000002</v>
      </c>
      <c r="K8" s="108">
        <v>31</v>
      </c>
      <c r="L8" s="108">
        <v>0</v>
      </c>
      <c r="M8" s="108">
        <v>0</v>
      </c>
      <c r="N8" s="108">
        <v>0</v>
      </c>
      <c r="O8" s="108">
        <v>0</v>
      </c>
      <c r="P8" s="108">
        <v>0</v>
      </c>
      <c r="Q8" s="108">
        <v>0</v>
      </c>
      <c r="R8" s="108">
        <v>1</v>
      </c>
      <c r="S8" s="108">
        <v>0</v>
      </c>
      <c r="T8" s="108">
        <v>0</v>
      </c>
      <c r="U8" s="108">
        <v>0</v>
      </c>
      <c r="V8" s="108">
        <v>0</v>
      </c>
      <c r="W8" s="108">
        <v>0</v>
      </c>
      <c r="X8" s="108">
        <v>0</v>
      </c>
      <c r="Y8" s="108">
        <v>0</v>
      </c>
      <c r="Z8" s="108">
        <v>0</v>
      </c>
      <c r="AA8" s="152">
        <v>0</v>
      </c>
      <c r="AB8" s="152">
        <v>0</v>
      </c>
      <c r="AC8" s="152">
        <f t="shared" si="3"/>
        <v>0</v>
      </c>
      <c r="AD8" s="152">
        <f t="shared" si="4"/>
        <v>0</v>
      </c>
      <c r="AE8" s="152">
        <v>0</v>
      </c>
      <c r="AF8" s="150">
        <f>'Customer Count'!I8</f>
        <v>12681.666666666672</v>
      </c>
      <c r="AG8" s="150">
        <f>AF8-'Customer Count'!G8-'Customer Count'!F8</f>
        <v>10148.666666666672</v>
      </c>
      <c r="AH8" s="150">
        <f>AF8-'Customer Count'!H8</f>
        <v>12681.666666666672</v>
      </c>
      <c r="AI8" s="109">
        <f t="shared" si="5"/>
        <v>7</v>
      </c>
      <c r="AJ8" s="109">
        <v>352</v>
      </c>
      <c r="AK8" s="91">
        <v>136.20258025846454</v>
      </c>
      <c r="AL8" s="91">
        <f>Economic!C20</f>
        <v>625936.9</v>
      </c>
      <c r="AM8" s="91">
        <f>Economic!D20</f>
        <v>6665.8</v>
      </c>
      <c r="AN8" s="91">
        <f>Economic!E20</f>
        <v>6755.3</v>
      </c>
      <c r="AO8" s="91">
        <f>Economic!F20</f>
        <v>7.9</v>
      </c>
      <c r="AP8" s="91">
        <f>Economic!G20</f>
        <v>8.1999999999999993</v>
      </c>
      <c r="AQ8" s="91">
        <f>Economic!H20</f>
        <v>375.3</v>
      </c>
      <c r="AR8" s="91">
        <f>Economic!I20</f>
        <v>379.4</v>
      </c>
      <c r="AS8" s="91">
        <f>Economic!J20</f>
        <v>6.5</v>
      </c>
      <c r="AT8" s="91">
        <f>Economic!K20</f>
        <v>6.4</v>
      </c>
      <c r="AU8" s="91">
        <f>Economic!L20</f>
        <v>194.8</v>
      </c>
      <c r="AV8" s="91">
        <f>Economic!M20</f>
        <v>200.1</v>
      </c>
      <c r="AW8" s="91">
        <f>Economic!N20</f>
        <v>8.4</v>
      </c>
      <c r="AX8" s="91">
        <f>Economic!O20</f>
        <v>7.7</v>
      </c>
      <c r="AY8" s="91">
        <f>Economic!P20</f>
        <v>2.6512606468370059E-2</v>
      </c>
      <c r="AZ8" s="91">
        <f>Economic!Q20</f>
        <v>1.597317482091154E-2</v>
      </c>
      <c r="BA8" s="91">
        <f>Economic!R20</f>
        <v>1.7226580734539088E-2</v>
      </c>
      <c r="BB8" s="91">
        <f>Economic!S20</f>
        <v>8.3288554540570381E-3</v>
      </c>
      <c r="BC8" s="91">
        <f>Economic!T20</f>
        <v>9.8482832046844493E-3</v>
      </c>
      <c r="BD8" s="91">
        <f>Economic!U20</f>
        <v>1.7232375979112424E-2</v>
      </c>
      <c r="BE8" s="91">
        <f>Economic!V20</f>
        <v>2.0397756246812948E-2</v>
      </c>
      <c r="BF8" s="91">
        <f>Economic!W20</f>
        <v>16166.599999999977</v>
      </c>
      <c r="BG8" s="91">
        <f>Economic!X20</f>
        <v>104.80000000000018</v>
      </c>
      <c r="BH8" s="91">
        <f>Economic!Y20</f>
        <v>114.40000000000055</v>
      </c>
      <c r="BI8" s="91">
        <f>Economic!Z20</f>
        <v>3.1000000000000227</v>
      </c>
      <c r="BJ8" s="91">
        <f>Economic!AA20</f>
        <v>3.6999999999999886</v>
      </c>
      <c r="BK8" s="91">
        <f>Economic!AB20</f>
        <v>3.3000000000000114</v>
      </c>
      <c r="BL8" s="91">
        <f>Economic!AC20</f>
        <v>4</v>
      </c>
      <c r="BM8" s="91">
        <f>Weather!C128</f>
        <v>24.748387096774191</v>
      </c>
      <c r="BN8" s="91">
        <f>Weather!D128</f>
        <v>1</v>
      </c>
      <c r="BO8" s="91">
        <f>Weather!E128</f>
        <v>148.20000000000002</v>
      </c>
      <c r="BP8" s="91">
        <f>Weather!F128</f>
        <v>0</v>
      </c>
      <c r="BQ8" s="91">
        <f>Weather!G128</f>
        <v>209.20000000000002</v>
      </c>
      <c r="BR8" s="91">
        <f>Weather!H128</f>
        <v>0</v>
      </c>
      <c r="BS8" s="91">
        <f>Weather!I128</f>
        <v>271.2</v>
      </c>
      <c r="BT8" s="91">
        <f>Weather!J128</f>
        <v>0</v>
      </c>
      <c r="BU8" s="91">
        <f>Weather!K128</f>
        <v>333.2</v>
      </c>
      <c r="BV8" s="91">
        <f>Weather!L128</f>
        <v>0</v>
      </c>
      <c r="BW8" s="91">
        <f>Weather!M128</f>
        <v>395.19999999999993</v>
      </c>
      <c r="BX8" s="91">
        <f>Weather!N128</f>
        <v>0</v>
      </c>
      <c r="BY8" s="91">
        <f>Weather!O128</f>
        <v>457.2</v>
      </c>
    </row>
    <row r="9" spans="1:77" x14ac:dyDescent="0.2">
      <c r="A9" s="66">
        <v>40786</v>
      </c>
      <c r="B9" s="114">
        <f t="shared" si="0"/>
        <v>2011</v>
      </c>
      <c r="C9" s="94">
        <v>18292832.774299998</v>
      </c>
      <c r="D9" s="94">
        <v>0</v>
      </c>
      <c r="E9" s="171">
        <f ca="1">CDM!D30</f>
        <v>53417.879071600764</v>
      </c>
      <c r="F9" s="94">
        <f t="shared" ca="1" si="1"/>
        <v>18346250.653371599</v>
      </c>
      <c r="G9" s="94">
        <f ca="1">VLOOKUP(B9,CDM!$A$3:$G$14,7,FALSE)</f>
        <v>43402.026745675619</v>
      </c>
      <c r="H9" s="94">
        <f t="shared" ca="1" si="2"/>
        <v>18336234.801045675</v>
      </c>
      <c r="I9" s="90">
        <f>Weather!F129</f>
        <v>0</v>
      </c>
      <c r="J9" s="90">
        <f>Weather!G129</f>
        <v>126.30000000000001</v>
      </c>
      <c r="K9" s="108">
        <v>31</v>
      </c>
      <c r="L9" s="108">
        <v>0</v>
      </c>
      <c r="M9" s="108">
        <v>0</v>
      </c>
      <c r="N9" s="108">
        <v>0</v>
      </c>
      <c r="O9" s="108">
        <v>0</v>
      </c>
      <c r="P9" s="108">
        <v>0</v>
      </c>
      <c r="Q9" s="108">
        <v>0</v>
      </c>
      <c r="R9" s="108">
        <v>0</v>
      </c>
      <c r="S9" s="108">
        <v>1</v>
      </c>
      <c r="T9" s="108">
        <v>0</v>
      </c>
      <c r="U9" s="108">
        <v>0</v>
      </c>
      <c r="V9" s="108">
        <v>0</v>
      </c>
      <c r="W9" s="108">
        <v>0</v>
      </c>
      <c r="X9" s="108">
        <v>0</v>
      </c>
      <c r="Y9" s="108">
        <v>0</v>
      </c>
      <c r="Z9" s="108">
        <v>0</v>
      </c>
      <c r="AA9" s="152">
        <v>0</v>
      </c>
      <c r="AB9" s="152">
        <v>0</v>
      </c>
      <c r="AC9" s="152">
        <f t="shared" si="3"/>
        <v>0</v>
      </c>
      <c r="AD9" s="152">
        <f t="shared" si="4"/>
        <v>0</v>
      </c>
      <c r="AE9" s="152">
        <v>0</v>
      </c>
      <c r="AF9" s="150">
        <f>'Customer Count'!I9</f>
        <v>12694.333333333338</v>
      </c>
      <c r="AG9" s="150">
        <f>AF9-'Customer Count'!G9-'Customer Count'!F9</f>
        <v>10161.333333333338</v>
      </c>
      <c r="AH9" s="150">
        <f>AF9-'Customer Count'!H9</f>
        <v>12694.333333333338</v>
      </c>
      <c r="AI9" s="109">
        <f t="shared" si="5"/>
        <v>8</v>
      </c>
      <c r="AJ9" s="109">
        <v>320</v>
      </c>
      <c r="AK9" s="91">
        <v>135.83393482866074</v>
      </c>
      <c r="AL9" s="91">
        <f>Economic!C21</f>
        <v>625936.9</v>
      </c>
      <c r="AM9" s="91">
        <f>Economic!D21</f>
        <v>6677.5</v>
      </c>
      <c r="AN9" s="91">
        <f>Economic!E21</f>
        <v>6778</v>
      </c>
      <c r="AO9" s="91">
        <f>Economic!F21</f>
        <v>7.7</v>
      </c>
      <c r="AP9" s="91">
        <f>Economic!G21</f>
        <v>8.1</v>
      </c>
      <c r="AQ9" s="91">
        <f>Economic!H21</f>
        <v>371.4</v>
      </c>
      <c r="AR9" s="91">
        <f>Economic!I21</f>
        <v>372.8</v>
      </c>
      <c r="AS9" s="91">
        <f>Economic!J21</f>
        <v>6.7</v>
      </c>
      <c r="AT9" s="91">
        <f>Economic!K21</f>
        <v>7.2</v>
      </c>
      <c r="AU9" s="91">
        <f>Economic!L21</f>
        <v>196.7</v>
      </c>
      <c r="AV9" s="91">
        <f>Economic!M21</f>
        <v>201.8</v>
      </c>
      <c r="AW9" s="91">
        <f>Economic!N21</f>
        <v>8.1</v>
      </c>
      <c r="AX9" s="91">
        <f>Economic!O21</f>
        <v>7.7</v>
      </c>
      <c r="AY9" s="91">
        <f>Economic!P21</f>
        <v>2.6512606468370059E-2</v>
      </c>
      <c r="AZ9" s="91">
        <f>Economic!Q21</f>
        <v>1.6532448355127904E-2</v>
      </c>
      <c r="BA9" s="91">
        <f>Economic!R21</f>
        <v>1.7320565544982403E-2</v>
      </c>
      <c r="BB9" s="91">
        <f>Economic!S21</f>
        <v>-1.4854111405835591E-2</v>
      </c>
      <c r="BC9" s="91">
        <f>Economic!T21</f>
        <v>-1.661830651543128E-2</v>
      </c>
      <c r="BD9" s="91">
        <f>Economic!U21</f>
        <v>3.2545931758530156E-2</v>
      </c>
      <c r="BE9" s="91">
        <f>Economic!V21</f>
        <v>3.1697341513292621E-2</v>
      </c>
      <c r="BF9" s="91">
        <f>Economic!W21</f>
        <v>16166.599999999977</v>
      </c>
      <c r="BG9" s="91">
        <f>Economic!X21</f>
        <v>108.60000000000036</v>
      </c>
      <c r="BH9" s="91">
        <f>Economic!Y21</f>
        <v>115.39999999999964</v>
      </c>
      <c r="BI9" s="91">
        <f>Economic!Z21</f>
        <v>-5.6000000000000227</v>
      </c>
      <c r="BJ9" s="91">
        <f>Economic!AA21</f>
        <v>-6.3000000000000114</v>
      </c>
      <c r="BK9" s="91">
        <f>Economic!AB21</f>
        <v>6.1999999999999886</v>
      </c>
      <c r="BL9" s="91">
        <f>Economic!AC21</f>
        <v>6.2000000000000171</v>
      </c>
      <c r="BM9" s="91">
        <f>Weather!C129</f>
        <v>22.074193548387104</v>
      </c>
      <c r="BN9" s="91">
        <f>Weather!D129</f>
        <v>4.1000000000000014</v>
      </c>
      <c r="BO9" s="91">
        <f>Weather!E129</f>
        <v>68.400000000000006</v>
      </c>
      <c r="BP9" s="91">
        <f>Weather!F129</f>
        <v>0</v>
      </c>
      <c r="BQ9" s="91">
        <f>Weather!G129</f>
        <v>126.30000000000001</v>
      </c>
      <c r="BR9" s="91">
        <f>Weather!H129</f>
        <v>0</v>
      </c>
      <c r="BS9" s="91">
        <f>Weather!I129</f>
        <v>188.29999999999995</v>
      </c>
      <c r="BT9" s="91">
        <f>Weather!J129</f>
        <v>0</v>
      </c>
      <c r="BU9" s="91">
        <f>Weather!K129</f>
        <v>250.29999999999993</v>
      </c>
      <c r="BV9" s="91">
        <f>Weather!L129</f>
        <v>0</v>
      </c>
      <c r="BW9" s="91">
        <f>Weather!M129</f>
        <v>312.30000000000013</v>
      </c>
      <c r="BX9" s="91">
        <f>Weather!N129</f>
        <v>0</v>
      </c>
      <c r="BY9" s="91">
        <f>Weather!O129</f>
        <v>374.30000000000007</v>
      </c>
    </row>
    <row r="10" spans="1:77" x14ac:dyDescent="0.2">
      <c r="A10" s="66">
        <v>40816</v>
      </c>
      <c r="B10" s="114">
        <f t="shared" si="0"/>
        <v>2011</v>
      </c>
      <c r="C10" s="94">
        <v>15179291.59935</v>
      </c>
      <c r="D10" s="94">
        <v>0</v>
      </c>
      <c r="E10" s="171">
        <f ca="1">CDM!D31</f>
        <v>60095.113955550856</v>
      </c>
      <c r="F10" s="94">
        <f t="shared" ca="1" si="1"/>
        <v>15239386.713305552</v>
      </c>
      <c r="G10" s="94">
        <f ca="1">VLOOKUP(B10,CDM!$A$3:$G$14,7,FALSE)</f>
        <v>43402.026745675619</v>
      </c>
      <c r="H10" s="94">
        <f t="shared" ca="1" si="2"/>
        <v>15222693.626095675</v>
      </c>
      <c r="I10" s="90">
        <f>Weather!F130</f>
        <v>44.3</v>
      </c>
      <c r="J10" s="90">
        <f>Weather!G130</f>
        <v>47.9</v>
      </c>
      <c r="K10" s="108">
        <v>30</v>
      </c>
      <c r="L10" s="108">
        <v>0</v>
      </c>
      <c r="M10" s="108">
        <v>0</v>
      </c>
      <c r="N10" s="108">
        <v>0</v>
      </c>
      <c r="O10" s="108">
        <v>0</v>
      </c>
      <c r="P10" s="108">
        <v>0</v>
      </c>
      <c r="Q10" s="108">
        <v>0</v>
      </c>
      <c r="R10" s="108">
        <v>0</v>
      </c>
      <c r="S10" s="108">
        <v>0</v>
      </c>
      <c r="T10" s="108">
        <v>1</v>
      </c>
      <c r="U10" s="108">
        <v>0</v>
      </c>
      <c r="V10" s="108">
        <v>0</v>
      </c>
      <c r="W10" s="108">
        <v>0</v>
      </c>
      <c r="X10" s="108">
        <v>1</v>
      </c>
      <c r="Y10" s="108">
        <v>0</v>
      </c>
      <c r="Z10" s="108">
        <v>1</v>
      </c>
      <c r="AA10" s="152">
        <v>0</v>
      </c>
      <c r="AB10" s="152">
        <v>0</v>
      </c>
      <c r="AC10" s="152">
        <f t="shared" si="3"/>
        <v>0</v>
      </c>
      <c r="AD10" s="152">
        <f t="shared" si="4"/>
        <v>0</v>
      </c>
      <c r="AE10" s="152">
        <v>0</v>
      </c>
      <c r="AF10" s="150">
        <f>'Customer Count'!I10</f>
        <v>12798.000000000005</v>
      </c>
      <c r="AG10" s="150">
        <f>AF10-'Customer Count'!G10-'Customer Count'!F10</f>
        <v>10174.000000000005</v>
      </c>
      <c r="AH10" s="150">
        <f>AF10-'Customer Count'!H10</f>
        <v>12798.000000000005</v>
      </c>
      <c r="AI10" s="109">
        <f t="shared" si="5"/>
        <v>9</v>
      </c>
      <c r="AJ10" s="109">
        <v>336</v>
      </c>
      <c r="AK10" s="91">
        <v>135.46628717329455</v>
      </c>
      <c r="AL10" s="91">
        <f>Economic!C22</f>
        <v>625936.9</v>
      </c>
      <c r="AM10" s="91">
        <f>Economic!D22</f>
        <v>6674.4</v>
      </c>
      <c r="AN10" s="91">
        <f>Economic!E22</f>
        <v>6734.6</v>
      </c>
      <c r="AO10" s="91">
        <f>Economic!F22</f>
        <v>7.7</v>
      </c>
      <c r="AP10" s="91">
        <f>Economic!G22</f>
        <v>8</v>
      </c>
      <c r="AQ10" s="91">
        <f>Economic!H22</f>
        <v>372.6</v>
      </c>
      <c r="AR10" s="91">
        <f>Economic!I22</f>
        <v>371.1</v>
      </c>
      <c r="AS10" s="91">
        <f>Economic!J22</f>
        <v>6.7</v>
      </c>
      <c r="AT10" s="91">
        <f>Economic!K22</f>
        <v>7.2</v>
      </c>
      <c r="AU10" s="91">
        <f>Economic!L22</f>
        <v>197.7</v>
      </c>
      <c r="AV10" s="91">
        <f>Economic!M22</f>
        <v>201.6</v>
      </c>
      <c r="AW10" s="91">
        <f>Economic!N22</f>
        <v>8</v>
      </c>
      <c r="AX10" s="91">
        <f>Economic!O22</f>
        <v>7.9</v>
      </c>
      <c r="AY10" s="91">
        <f>Economic!P22</f>
        <v>2.6512606468370059E-2</v>
      </c>
      <c r="AZ10" s="91">
        <f>Economic!Q22</f>
        <v>1.8059792556436749E-2</v>
      </c>
      <c r="BA10" s="91">
        <f>Economic!R22</f>
        <v>1.8665295256534487E-2</v>
      </c>
      <c r="BB10" s="91">
        <f>Economic!S22</f>
        <v>-1.2456930824277679E-2</v>
      </c>
      <c r="BC10" s="91">
        <f>Economic!T22</f>
        <v>-1.4865941067162103E-2</v>
      </c>
      <c r="BD10" s="91">
        <f>Economic!U22</f>
        <v>5.2155401809472979E-2</v>
      </c>
      <c r="BE10" s="91">
        <f>Economic!V22</f>
        <v>5.274151436031338E-2</v>
      </c>
      <c r="BF10" s="91">
        <f>Economic!W22</f>
        <v>16166.599999999977</v>
      </c>
      <c r="BG10" s="91">
        <f>Economic!X22</f>
        <v>118.39999999999964</v>
      </c>
      <c r="BH10" s="91">
        <f>Economic!Y22</f>
        <v>123.40000000000055</v>
      </c>
      <c r="BI10" s="91">
        <f>Economic!Z22</f>
        <v>-4.6999999999999886</v>
      </c>
      <c r="BJ10" s="91">
        <f>Economic!AA22</f>
        <v>-5.5999999999999659</v>
      </c>
      <c r="BK10" s="91">
        <f>Economic!AB22</f>
        <v>9.7999999999999829</v>
      </c>
      <c r="BL10" s="91">
        <f>Economic!AC22</f>
        <v>10.099999999999994</v>
      </c>
      <c r="BM10" s="91">
        <f>Weather!C130</f>
        <v>18.119999999999997</v>
      </c>
      <c r="BN10" s="91">
        <f>Weather!D130</f>
        <v>80.499999999999986</v>
      </c>
      <c r="BO10" s="91">
        <f>Weather!E130</f>
        <v>24.1</v>
      </c>
      <c r="BP10" s="91">
        <f>Weather!F130</f>
        <v>44.3</v>
      </c>
      <c r="BQ10" s="91">
        <f>Weather!G130</f>
        <v>47.9</v>
      </c>
      <c r="BR10" s="91">
        <f>Weather!H130</f>
        <v>17.399999999999999</v>
      </c>
      <c r="BS10" s="91">
        <f>Weather!I130</f>
        <v>81</v>
      </c>
      <c r="BT10" s="91">
        <f>Weather!J130</f>
        <v>5.0999999999999996</v>
      </c>
      <c r="BU10" s="91">
        <f>Weather!K130</f>
        <v>128.70000000000002</v>
      </c>
      <c r="BV10" s="91">
        <f>Weather!L130</f>
        <v>1.5999999999999996</v>
      </c>
      <c r="BW10" s="91">
        <f>Weather!M130</f>
        <v>185.19999999999996</v>
      </c>
      <c r="BX10" s="91">
        <f>Weather!N130</f>
        <v>0</v>
      </c>
      <c r="BY10" s="91">
        <f>Weather!O130</f>
        <v>243.59999999999997</v>
      </c>
    </row>
    <row r="11" spans="1:77" x14ac:dyDescent="0.2">
      <c r="A11" s="66">
        <v>40847</v>
      </c>
      <c r="B11" s="114">
        <f t="shared" si="0"/>
        <v>2011</v>
      </c>
      <c r="C11" s="94">
        <v>14464910.0175</v>
      </c>
      <c r="D11" s="94">
        <v>0</v>
      </c>
      <c r="E11" s="171">
        <f ca="1">CDM!D32</f>
        <v>66772.348839500948</v>
      </c>
      <c r="F11" s="94">
        <f t="shared" ca="1" si="1"/>
        <v>14531682.366339501</v>
      </c>
      <c r="G11" s="94">
        <f ca="1">VLOOKUP(B11,CDM!$A$3:$G$14,7,FALSE)</f>
        <v>43402.026745675619</v>
      </c>
      <c r="H11" s="94">
        <f t="shared" ca="1" si="2"/>
        <v>14508312.044245675</v>
      </c>
      <c r="I11" s="90">
        <f>Weather!F131</f>
        <v>210.8</v>
      </c>
      <c r="J11" s="90">
        <f>Weather!G131</f>
        <v>5.9999999999999964</v>
      </c>
      <c r="K11" s="108">
        <v>31</v>
      </c>
      <c r="L11" s="108">
        <v>0</v>
      </c>
      <c r="M11" s="108">
        <v>0</v>
      </c>
      <c r="N11" s="108">
        <v>0</v>
      </c>
      <c r="O11" s="108">
        <v>0</v>
      </c>
      <c r="P11" s="108">
        <v>0</v>
      </c>
      <c r="Q11" s="108">
        <v>0</v>
      </c>
      <c r="R11" s="108">
        <v>0</v>
      </c>
      <c r="S11" s="108">
        <v>0</v>
      </c>
      <c r="T11" s="108">
        <v>0</v>
      </c>
      <c r="U11" s="108">
        <v>1</v>
      </c>
      <c r="V11" s="108">
        <v>0</v>
      </c>
      <c r="W11" s="108">
        <v>0</v>
      </c>
      <c r="X11" s="108">
        <v>1</v>
      </c>
      <c r="Y11" s="108">
        <v>0</v>
      </c>
      <c r="Z11" s="108">
        <v>1</v>
      </c>
      <c r="AA11" s="152">
        <v>0</v>
      </c>
      <c r="AB11" s="152">
        <v>0</v>
      </c>
      <c r="AC11" s="152">
        <f t="shared" si="3"/>
        <v>0</v>
      </c>
      <c r="AD11" s="152">
        <f t="shared" si="4"/>
        <v>0</v>
      </c>
      <c r="AE11" s="152">
        <v>0</v>
      </c>
      <c r="AF11" s="150">
        <f>'Customer Count'!I11</f>
        <v>12810.666666666673</v>
      </c>
      <c r="AG11" s="150">
        <f>AF11-'Customer Count'!G11-'Customer Count'!F11</f>
        <v>10186.666666666673</v>
      </c>
      <c r="AH11" s="150">
        <f>AF11-'Customer Count'!H11</f>
        <v>12810.666666666673</v>
      </c>
      <c r="AI11" s="109">
        <f t="shared" si="5"/>
        <v>10</v>
      </c>
      <c r="AJ11" s="109">
        <v>336</v>
      </c>
      <c r="AK11" s="91">
        <v>135.09963459179312</v>
      </c>
      <c r="AL11" s="91">
        <f>Economic!C23</f>
        <v>625936.9</v>
      </c>
      <c r="AM11" s="91">
        <f>Economic!D23</f>
        <v>6668.1</v>
      </c>
      <c r="AN11" s="91">
        <f>Economic!E23</f>
        <v>6702.2</v>
      </c>
      <c r="AO11" s="91">
        <f>Economic!F23</f>
        <v>7.8</v>
      </c>
      <c r="AP11" s="91">
        <f>Economic!G23</f>
        <v>7.7</v>
      </c>
      <c r="AQ11" s="91">
        <f>Economic!H23</f>
        <v>374.6</v>
      </c>
      <c r="AR11" s="91">
        <f>Economic!I23</f>
        <v>373.4</v>
      </c>
      <c r="AS11" s="91">
        <f>Economic!J23</f>
        <v>6.6</v>
      </c>
      <c r="AT11" s="91">
        <f>Economic!K23</f>
        <v>7</v>
      </c>
      <c r="AU11" s="91">
        <f>Economic!L23</f>
        <v>197.1</v>
      </c>
      <c r="AV11" s="91">
        <f>Economic!M23</f>
        <v>200.6</v>
      </c>
      <c r="AW11" s="91">
        <f>Economic!N23</f>
        <v>8</v>
      </c>
      <c r="AX11" s="91">
        <f>Economic!O23</f>
        <v>7.3</v>
      </c>
      <c r="AY11" s="91">
        <f>Economic!P23</f>
        <v>2.6512606468370059E-2</v>
      </c>
      <c r="AZ11" s="91">
        <f>Economic!Q23</f>
        <v>1.7781915867879583E-2</v>
      </c>
      <c r="BA11" s="91">
        <f>Economic!R23</f>
        <v>1.747354678082913E-2</v>
      </c>
      <c r="BB11" s="91">
        <f>Economic!S23</f>
        <v>2.6766595289078321E-3</v>
      </c>
      <c r="BC11" s="91">
        <f>Economic!T23</f>
        <v>1.3408420488065786E-3</v>
      </c>
      <c r="BD11" s="91">
        <f>Economic!U23</f>
        <v>4.6733935209771538E-2</v>
      </c>
      <c r="BE11" s="91">
        <f>Economic!V23</f>
        <v>4.806687565308243E-2</v>
      </c>
      <c r="BF11" s="91">
        <f>Economic!W23</f>
        <v>16166.599999999977</v>
      </c>
      <c r="BG11" s="91">
        <f>Economic!X23</f>
        <v>116.5</v>
      </c>
      <c r="BH11" s="91">
        <f>Economic!Y23</f>
        <v>115.09999999999945</v>
      </c>
      <c r="BI11" s="91">
        <f>Economic!Z23</f>
        <v>1</v>
      </c>
      <c r="BJ11" s="91">
        <f>Economic!AA23</f>
        <v>0.5</v>
      </c>
      <c r="BK11" s="91">
        <f>Economic!AB23</f>
        <v>8.7999999999999829</v>
      </c>
      <c r="BL11" s="91">
        <f>Economic!AC23</f>
        <v>9.1999999999999886</v>
      </c>
      <c r="BM11" s="91">
        <f>Weather!C131</f>
        <v>11.393548387096775</v>
      </c>
      <c r="BN11" s="91">
        <f>Weather!D131</f>
        <v>267.70000000000005</v>
      </c>
      <c r="BO11" s="91">
        <f>Weather!E131</f>
        <v>0.89999999999999858</v>
      </c>
      <c r="BP11" s="91">
        <f>Weather!F131</f>
        <v>210.8</v>
      </c>
      <c r="BQ11" s="91">
        <f>Weather!G131</f>
        <v>5.9999999999999964</v>
      </c>
      <c r="BR11" s="91">
        <f>Weather!H131</f>
        <v>154.9</v>
      </c>
      <c r="BS11" s="91">
        <f>Weather!I131</f>
        <v>12.099999999999998</v>
      </c>
      <c r="BT11" s="91">
        <f>Weather!J131</f>
        <v>108.3</v>
      </c>
      <c r="BU11" s="91">
        <f>Weather!K131</f>
        <v>27.5</v>
      </c>
      <c r="BV11" s="91">
        <f>Weather!L131</f>
        <v>66</v>
      </c>
      <c r="BW11" s="91">
        <f>Weather!M131</f>
        <v>47.2</v>
      </c>
      <c r="BX11" s="91">
        <f>Weather!N131</f>
        <v>34.200000000000003</v>
      </c>
      <c r="BY11" s="91">
        <f>Weather!O131</f>
        <v>77.399999999999991</v>
      </c>
    </row>
    <row r="12" spans="1:77" x14ac:dyDescent="0.2">
      <c r="A12" s="66">
        <v>40877</v>
      </c>
      <c r="B12" s="114">
        <f t="shared" si="0"/>
        <v>2011</v>
      </c>
      <c r="C12" s="94">
        <v>14415495.62755</v>
      </c>
      <c r="D12" s="94">
        <v>0</v>
      </c>
      <c r="E12" s="171">
        <f ca="1">CDM!D33</f>
        <v>73449.583723451055</v>
      </c>
      <c r="F12" s="94">
        <f t="shared" ca="1" si="1"/>
        <v>14488945.211273452</v>
      </c>
      <c r="G12" s="94">
        <f ca="1">VLOOKUP(B12,CDM!$A$3:$G$14,7,FALSE)</f>
        <v>43402.026745675619</v>
      </c>
      <c r="H12" s="94">
        <f t="shared" ca="1" si="2"/>
        <v>14458897.654295675</v>
      </c>
      <c r="I12" s="90">
        <f>Weather!F132</f>
        <v>306.60000000000008</v>
      </c>
      <c r="J12" s="90">
        <f>Weather!G132</f>
        <v>0</v>
      </c>
      <c r="K12" s="108">
        <v>30</v>
      </c>
      <c r="L12" s="108">
        <v>0</v>
      </c>
      <c r="M12" s="108">
        <v>0</v>
      </c>
      <c r="N12" s="108">
        <v>0</v>
      </c>
      <c r="O12" s="108">
        <v>0</v>
      </c>
      <c r="P12" s="108">
        <v>0</v>
      </c>
      <c r="Q12" s="108">
        <v>0</v>
      </c>
      <c r="R12" s="108">
        <v>0</v>
      </c>
      <c r="S12" s="108">
        <v>0</v>
      </c>
      <c r="T12" s="108">
        <v>0</v>
      </c>
      <c r="U12" s="108">
        <v>0</v>
      </c>
      <c r="V12" s="108">
        <v>1</v>
      </c>
      <c r="W12" s="108">
        <v>0</v>
      </c>
      <c r="X12" s="108">
        <v>1</v>
      </c>
      <c r="Y12" s="108">
        <v>0</v>
      </c>
      <c r="Z12" s="108">
        <v>1</v>
      </c>
      <c r="AA12" s="152">
        <v>0</v>
      </c>
      <c r="AB12" s="152">
        <v>0</v>
      </c>
      <c r="AC12" s="152">
        <f t="shared" si="3"/>
        <v>0</v>
      </c>
      <c r="AD12" s="152">
        <f t="shared" si="4"/>
        <v>0</v>
      </c>
      <c r="AE12" s="152">
        <v>0</v>
      </c>
      <c r="AF12" s="150">
        <f>'Customer Count'!I12</f>
        <v>12823.333333333339</v>
      </c>
      <c r="AG12" s="150">
        <f>AF12-'Customer Count'!G12-'Customer Count'!F12</f>
        <v>10199.333333333339</v>
      </c>
      <c r="AH12" s="150">
        <f>AF12-'Customer Count'!H12</f>
        <v>12823.333333333339</v>
      </c>
      <c r="AI12" s="109">
        <f t="shared" si="5"/>
        <v>11</v>
      </c>
      <c r="AJ12" s="109">
        <v>320</v>
      </c>
      <c r="AK12" s="91">
        <v>134.733974390893</v>
      </c>
      <c r="AL12" s="91">
        <f>Economic!C24</f>
        <v>625936.9</v>
      </c>
      <c r="AM12" s="91">
        <f>Economic!D24</f>
        <v>6662.8</v>
      </c>
      <c r="AN12" s="91">
        <f>Economic!E24</f>
        <v>6669.4</v>
      </c>
      <c r="AO12" s="91">
        <f>Economic!F24</f>
        <v>8</v>
      </c>
      <c r="AP12" s="91">
        <f>Economic!G24</f>
        <v>7.4</v>
      </c>
      <c r="AQ12" s="91">
        <f>Economic!H24</f>
        <v>383.7</v>
      </c>
      <c r="AR12" s="91">
        <f>Economic!I24</f>
        <v>381.7</v>
      </c>
      <c r="AS12" s="91">
        <f>Economic!J24</f>
        <v>6.6</v>
      </c>
      <c r="AT12" s="91">
        <f>Economic!K24</f>
        <v>6.4</v>
      </c>
      <c r="AU12" s="91">
        <f>Economic!L24</f>
        <v>196.6</v>
      </c>
      <c r="AV12" s="91">
        <f>Economic!M24</f>
        <v>198.2</v>
      </c>
      <c r="AW12" s="91">
        <f>Economic!N24</f>
        <v>7.7</v>
      </c>
      <c r="AX12" s="91">
        <f>Economic!O24</f>
        <v>6.6</v>
      </c>
      <c r="AY12" s="91">
        <f>Economic!P24</f>
        <v>2.6512606468370059E-2</v>
      </c>
      <c r="AZ12" s="91">
        <f>Economic!Q24</f>
        <v>1.6336928169379483E-2</v>
      </c>
      <c r="BA12" s="91">
        <f>Economic!R24</f>
        <v>1.5654981268845347E-2</v>
      </c>
      <c r="BB12" s="91">
        <f>Economic!S24</f>
        <v>3.0620467365028103E-2</v>
      </c>
      <c r="BC12" s="91">
        <f>Economic!T24</f>
        <v>2.7456258411843848E-2</v>
      </c>
      <c r="BD12" s="91">
        <f>Economic!U24</f>
        <v>3.3648790746582558E-2</v>
      </c>
      <c r="BE12" s="91">
        <f>Economic!V24</f>
        <v>3.498694516971268E-2</v>
      </c>
      <c r="BF12" s="91">
        <f>Economic!W24</f>
        <v>16166.599999999977</v>
      </c>
      <c r="BG12" s="91">
        <f>Economic!X24</f>
        <v>107.10000000000036</v>
      </c>
      <c r="BH12" s="91">
        <f>Economic!Y24</f>
        <v>102.79999999999927</v>
      </c>
      <c r="BI12" s="91">
        <f>Economic!Z24</f>
        <v>11.399999999999977</v>
      </c>
      <c r="BJ12" s="91">
        <f>Economic!AA24</f>
        <v>10.199999999999989</v>
      </c>
      <c r="BK12" s="91">
        <f>Economic!AB24</f>
        <v>6.4000000000000057</v>
      </c>
      <c r="BL12" s="91">
        <f>Economic!AC24</f>
        <v>6.6999999999999886</v>
      </c>
      <c r="BM12" s="91">
        <f>Weather!C132</f>
        <v>7.7799999999999994</v>
      </c>
      <c r="BN12" s="91">
        <f>Weather!D132</f>
        <v>366.60000000000008</v>
      </c>
      <c r="BO12" s="91">
        <f>Weather!E132</f>
        <v>0</v>
      </c>
      <c r="BP12" s="91">
        <f>Weather!F132</f>
        <v>306.60000000000008</v>
      </c>
      <c r="BQ12" s="91">
        <f>Weather!G132</f>
        <v>0</v>
      </c>
      <c r="BR12" s="91">
        <f>Weather!H132</f>
        <v>246.60000000000005</v>
      </c>
      <c r="BS12" s="91">
        <f>Weather!I132</f>
        <v>0</v>
      </c>
      <c r="BT12" s="91">
        <f>Weather!J132</f>
        <v>186.60000000000002</v>
      </c>
      <c r="BU12" s="91">
        <f>Weather!K132</f>
        <v>0</v>
      </c>
      <c r="BV12" s="91">
        <f>Weather!L132</f>
        <v>130.69999999999999</v>
      </c>
      <c r="BW12" s="91">
        <f>Weather!M132</f>
        <v>4.1000000000000014</v>
      </c>
      <c r="BX12" s="91">
        <f>Weather!N132</f>
        <v>86.199999999999989</v>
      </c>
      <c r="BY12" s="91">
        <f>Weather!O132</f>
        <v>19.600000000000001</v>
      </c>
    </row>
    <row r="13" spans="1:77" x14ac:dyDescent="0.2">
      <c r="A13" s="66">
        <v>40908</v>
      </c>
      <c r="B13" s="114">
        <f t="shared" si="0"/>
        <v>2011</v>
      </c>
      <c r="C13" s="94">
        <v>16232068.276699999</v>
      </c>
      <c r="D13" s="94">
        <v>0</v>
      </c>
      <c r="E13" s="171">
        <f ca="1">CDM!D34</f>
        <v>80126.818607401146</v>
      </c>
      <c r="F13" s="94">
        <f t="shared" ca="1" si="1"/>
        <v>16312195.0953074</v>
      </c>
      <c r="G13" s="94">
        <f ca="1">VLOOKUP(B13,CDM!$A$3:$G$14,7,FALSE)</f>
        <v>43402.026745675619</v>
      </c>
      <c r="H13" s="94">
        <f t="shared" ca="1" si="2"/>
        <v>16275470.303445674</v>
      </c>
      <c r="I13" s="90">
        <f>Weather!F133</f>
        <v>505.70000000000016</v>
      </c>
      <c r="J13" s="90">
        <f>Weather!G133</f>
        <v>0</v>
      </c>
      <c r="K13" s="108">
        <v>31</v>
      </c>
      <c r="L13" s="108">
        <v>0</v>
      </c>
      <c r="M13" s="108">
        <v>0</v>
      </c>
      <c r="N13" s="108">
        <v>0</v>
      </c>
      <c r="O13" s="108">
        <v>0</v>
      </c>
      <c r="P13" s="108">
        <v>0</v>
      </c>
      <c r="Q13" s="108">
        <v>0</v>
      </c>
      <c r="R13" s="108">
        <v>0</v>
      </c>
      <c r="S13" s="108">
        <v>0</v>
      </c>
      <c r="T13" s="108">
        <v>0</v>
      </c>
      <c r="U13" s="108">
        <v>0</v>
      </c>
      <c r="V13" s="108">
        <v>0</v>
      </c>
      <c r="W13" s="108">
        <v>1</v>
      </c>
      <c r="X13" s="108">
        <v>0</v>
      </c>
      <c r="Y13" s="108">
        <v>0</v>
      </c>
      <c r="Z13" s="108">
        <v>0</v>
      </c>
      <c r="AA13" s="152">
        <v>0</v>
      </c>
      <c r="AB13" s="152">
        <v>0</v>
      </c>
      <c r="AC13" s="152">
        <f t="shared" si="3"/>
        <v>0</v>
      </c>
      <c r="AD13" s="152">
        <f t="shared" si="4"/>
        <v>0</v>
      </c>
      <c r="AE13" s="152">
        <v>0</v>
      </c>
      <c r="AF13" s="150">
        <f>'Customer Count'!I13</f>
        <v>12836</v>
      </c>
      <c r="AG13" s="150">
        <f>AF13-'Customer Count'!G13-'Customer Count'!F13</f>
        <v>10212</v>
      </c>
      <c r="AH13" s="150">
        <f>AF13-'Customer Count'!H13</f>
        <v>12836</v>
      </c>
      <c r="AI13" s="109">
        <f t="shared" si="5"/>
        <v>12</v>
      </c>
      <c r="AJ13" s="109">
        <v>352</v>
      </c>
      <c r="AK13" s="91">
        <v>134.36930388462019</v>
      </c>
      <c r="AL13" s="91">
        <f>Economic!C25</f>
        <v>625936.9</v>
      </c>
      <c r="AM13" s="91">
        <f>Economic!D25</f>
        <v>6667.5</v>
      </c>
      <c r="AN13" s="91">
        <f>Economic!E25</f>
        <v>6668.3</v>
      </c>
      <c r="AO13" s="91">
        <f>Economic!F25</f>
        <v>7.9</v>
      </c>
      <c r="AP13" s="91">
        <f>Economic!G25</f>
        <v>7.2</v>
      </c>
      <c r="AQ13" s="91">
        <f>Economic!H25</f>
        <v>387.6</v>
      </c>
      <c r="AR13" s="91">
        <f>Economic!I25</f>
        <v>386.4</v>
      </c>
      <c r="AS13" s="91">
        <f>Economic!J25</f>
        <v>6.5</v>
      </c>
      <c r="AT13" s="91">
        <f>Economic!K25</f>
        <v>6.3</v>
      </c>
      <c r="AU13" s="91">
        <f>Economic!L25</f>
        <v>195.6</v>
      </c>
      <c r="AV13" s="91">
        <f>Economic!M25</f>
        <v>195.7</v>
      </c>
      <c r="AW13" s="91">
        <f>Economic!N25</f>
        <v>7.6</v>
      </c>
      <c r="AX13" s="91">
        <f>Economic!O25</f>
        <v>6.7</v>
      </c>
      <c r="AY13" s="91">
        <f>Economic!P25</f>
        <v>2.6512606468370059E-2</v>
      </c>
      <c r="AZ13" s="91">
        <f>Economic!Q25</f>
        <v>1.3559734277852842E-2</v>
      </c>
      <c r="BA13" s="91">
        <f>Economic!R25</f>
        <v>1.2788384137543352E-2</v>
      </c>
      <c r="BB13" s="91">
        <f>Economic!S25</f>
        <v>4.5025613372876805E-2</v>
      </c>
      <c r="BC13" s="91">
        <f>Economic!T25</f>
        <v>4.3760129659643487E-2</v>
      </c>
      <c r="BD13" s="91">
        <f>Economic!U25</f>
        <v>1.9280875455966573E-2</v>
      </c>
      <c r="BE13" s="91">
        <f>Economic!V25</f>
        <v>1.9270833333333348E-2</v>
      </c>
      <c r="BF13" s="91">
        <f>Economic!W25</f>
        <v>16166.599999999977</v>
      </c>
      <c r="BG13" s="91">
        <f>Economic!X25</f>
        <v>89.199999999999818</v>
      </c>
      <c r="BH13" s="91">
        <f>Economic!Y25</f>
        <v>84.199999999999818</v>
      </c>
      <c r="BI13" s="91">
        <f>Economic!Z25</f>
        <v>16.700000000000045</v>
      </c>
      <c r="BJ13" s="91">
        <f>Economic!AA25</f>
        <v>16.199999999999989</v>
      </c>
      <c r="BK13" s="91">
        <f>Economic!AB25</f>
        <v>3.6999999999999886</v>
      </c>
      <c r="BL13" s="91">
        <f>Economic!AC25</f>
        <v>3.6999999999999886</v>
      </c>
      <c r="BM13" s="91">
        <f>Weather!C133</f>
        <v>1.6870967741935483</v>
      </c>
      <c r="BN13" s="91">
        <f>Weather!D133</f>
        <v>567.70000000000016</v>
      </c>
      <c r="BO13" s="91">
        <f>Weather!E133</f>
        <v>0</v>
      </c>
      <c r="BP13" s="91">
        <f>Weather!F133</f>
        <v>505.70000000000016</v>
      </c>
      <c r="BQ13" s="91">
        <f>Weather!G133</f>
        <v>0</v>
      </c>
      <c r="BR13" s="91">
        <f>Weather!H133</f>
        <v>443.7000000000001</v>
      </c>
      <c r="BS13" s="91">
        <f>Weather!I133</f>
        <v>0</v>
      </c>
      <c r="BT13" s="91">
        <f>Weather!J133</f>
        <v>381.7</v>
      </c>
      <c r="BU13" s="91">
        <f>Weather!K133</f>
        <v>0</v>
      </c>
      <c r="BV13" s="91">
        <f>Weather!L133</f>
        <v>319.7</v>
      </c>
      <c r="BW13" s="91">
        <f>Weather!M133</f>
        <v>0</v>
      </c>
      <c r="BX13" s="91">
        <f>Weather!N133</f>
        <v>257.70000000000005</v>
      </c>
      <c r="BY13" s="91">
        <f>Weather!O133</f>
        <v>0</v>
      </c>
    </row>
    <row r="14" spans="1:77" x14ac:dyDescent="0.2">
      <c r="A14" s="66">
        <v>40939</v>
      </c>
      <c r="B14" s="114">
        <f t="shared" si="0"/>
        <v>2012</v>
      </c>
      <c r="C14" s="94">
        <v>16429520.481299998</v>
      </c>
      <c r="D14" s="94">
        <v>0</v>
      </c>
      <c r="E14" s="171">
        <f ca="1">CDM!D35</f>
        <v>92021.125628099777</v>
      </c>
      <c r="F14" s="94">
        <f t="shared" ca="1" si="1"/>
        <v>16521541.606928099</v>
      </c>
      <c r="G14" s="94">
        <f ca="1">VLOOKUP(B14,CDM!$A$3:$G$14,7,FALSE)</f>
        <v>127727.04113021668</v>
      </c>
      <c r="H14" s="94">
        <f t="shared" ca="1" si="2"/>
        <v>16557247.522430215</v>
      </c>
      <c r="I14" s="90">
        <f>Weather!F134</f>
        <v>582.6</v>
      </c>
      <c r="J14" s="90">
        <f>Weather!G134</f>
        <v>0</v>
      </c>
      <c r="K14" s="108">
        <v>31</v>
      </c>
      <c r="L14" s="108">
        <f t="shared" ref="L14:V14" si="6">L2</f>
        <v>1</v>
      </c>
      <c r="M14" s="108">
        <f t="shared" si="6"/>
        <v>0</v>
      </c>
      <c r="N14" s="108">
        <f t="shared" si="6"/>
        <v>0</v>
      </c>
      <c r="O14" s="108">
        <f t="shared" si="6"/>
        <v>0</v>
      </c>
      <c r="P14" s="108">
        <f t="shared" si="6"/>
        <v>0</v>
      </c>
      <c r="Q14" s="108">
        <f t="shared" si="6"/>
        <v>0</v>
      </c>
      <c r="R14" s="108">
        <f t="shared" si="6"/>
        <v>0</v>
      </c>
      <c r="S14" s="108">
        <f t="shared" si="6"/>
        <v>0</v>
      </c>
      <c r="T14" s="108">
        <f t="shared" si="6"/>
        <v>0</v>
      </c>
      <c r="U14" s="108">
        <f t="shared" si="6"/>
        <v>0</v>
      </c>
      <c r="V14" s="108">
        <f t="shared" si="6"/>
        <v>0</v>
      </c>
      <c r="W14" s="108">
        <f>W2</f>
        <v>0</v>
      </c>
      <c r="X14" s="108">
        <v>0</v>
      </c>
      <c r="Y14" s="108">
        <f>Y2</f>
        <v>0</v>
      </c>
      <c r="Z14" s="108">
        <f>Z2</f>
        <v>0</v>
      </c>
      <c r="AA14" s="152">
        <v>0</v>
      </c>
      <c r="AB14" s="152">
        <v>0</v>
      </c>
      <c r="AC14" s="152">
        <f t="shared" si="3"/>
        <v>0</v>
      </c>
      <c r="AD14" s="152">
        <f t="shared" si="4"/>
        <v>0</v>
      </c>
      <c r="AE14" s="152">
        <v>0</v>
      </c>
      <c r="AF14" s="150">
        <f>'Customer Count'!I14</f>
        <v>12982</v>
      </c>
      <c r="AG14" s="150">
        <f>AF14-'Customer Count'!G14-'Customer Count'!F14</f>
        <v>10359</v>
      </c>
      <c r="AH14" s="150">
        <f>AF14-'Customer Count'!H14</f>
        <v>12982</v>
      </c>
      <c r="AI14" s="109">
        <f t="shared" si="5"/>
        <v>13</v>
      </c>
      <c r="AJ14" s="109">
        <v>320</v>
      </c>
      <c r="AK14" s="91">
        <v>134.73334561620703</v>
      </c>
      <c r="AL14" s="91">
        <f>Economic!C26</f>
        <v>634944.30000000005</v>
      </c>
      <c r="AM14" s="91">
        <f>Economic!D26</f>
        <v>6673.6</v>
      </c>
      <c r="AN14" s="91">
        <f>Economic!E26</f>
        <v>6635.9</v>
      </c>
      <c r="AO14" s="91">
        <f>Economic!F26</f>
        <v>7.9</v>
      </c>
      <c r="AP14" s="91">
        <f>Economic!G26</f>
        <v>7.4</v>
      </c>
      <c r="AQ14" s="91">
        <f>Economic!H26</f>
        <v>390.1</v>
      </c>
      <c r="AR14" s="91">
        <f>Economic!I26</f>
        <v>387.2</v>
      </c>
      <c r="AS14" s="91">
        <f>Economic!J26</f>
        <v>6.3</v>
      </c>
      <c r="AT14" s="91">
        <f>Economic!K26</f>
        <v>6.1</v>
      </c>
      <c r="AU14" s="91">
        <f>Economic!L26</f>
        <v>195.7</v>
      </c>
      <c r="AV14" s="91">
        <f>Economic!M26</f>
        <v>193.8</v>
      </c>
      <c r="AW14" s="91">
        <f>Economic!N26</f>
        <v>7.6</v>
      </c>
      <c r="AX14" s="91">
        <f>Economic!O26</f>
        <v>7.4</v>
      </c>
      <c r="AY14" s="91">
        <f>Economic!P26</f>
        <v>1.4390268412039608E-2</v>
      </c>
      <c r="AZ14" s="91">
        <f>Economic!Q26</f>
        <v>1.0187245508075593E-2</v>
      </c>
      <c r="BA14" s="91">
        <f>Economic!R26</f>
        <v>9.8459946432918333E-3</v>
      </c>
      <c r="BB14" s="91">
        <f>Economic!S26</f>
        <v>4.8374092985756567E-2</v>
      </c>
      <c r="BC14" s="91">
        <f>Economic!T26</f>
        <v>4.8186247969680629E-2</v>
      </c>
      <c r="BD14" s="91">
        <f>Economic!U26</f>
        <v>1.2939958592132594E-2</v>
      </c>
      <c r="BE14" s="91">
        <f>Economic!V26</f>
        <v>1.3068478829064256E-2</v>
      </c>
      <c r="BF14" s="91">
        <f>Economic!W26</f>
        <v>9007.4000000000233</v>
      </c>
      <c r="BG14" s="91">
        <f>Economic!X26</f>
        <v>67.300000000000182</v>
      </c>
      <c r="BH14" s="91">
        <f>Economic!Y26</f>
        <v>64.699999999999818</v>
      </c>
      <c r="BI14" s="91">
        <f>Economic!Z26</f>
        <v>18</v>
      </c>
      <c r="BJ14" s="91">
        <f>Economic!AA26</f>
        <v>17.800000000000011</v>
      </c>
      <c r="BK14" s="91">
        <f>Economic!AB26</f>
        <v>2.5</v>
      </c>
      <c r="BL14" s="91">
        <f>Economic!AC26</f>
        <v>2.5</v>
      </c>
      <c r="BM14" s="91">
        <f>Weather!C134</f>
        <v>-0.79354838709677411</v>
      </c>
      <c r="BN14" s="91">
        <f>Weather!D134</f>
        <v>644.6</v>
      </c>
      <c r="BO14" s="91">
        <f>Weather!E134</f>
        <v>0</v>
      </c>
      <c r="BP14" s="91">
        <f>Weather!F134</f>
        <v>582.6</v>
      </c>
      <c r="BQ14" s="91">
        <f>Weather!G134</f>
        <v>0</v>
      </c>
      <c r="BR14" s="91">
        <f>Weather!H134</f>
        <v>520.59999999999991</v>
      </c>
      <c r="BS14" s="91">
        <f>Weather!I134</f>
        <v>0</v>
      </c>
      <c r="BT14" s="91">
        <f>Weather!J134</f>
        <v>458.59999999999997</v>
      </c>
      <c r="BU14" s="91">
        <f>Weather!K134</f>
        <v>0</v>
      </c>
      <c r="BV14" s="91">
        <f>Weather!L134</f>
        <v>396.59999999999991</v>
      </c>
      <c r="BW14" s="91">
        <f>Weather!M134</f>
        <v>0</v>
      </c>
      <c r="BX14" s="91">
        <f>Weather!N134</f>
        <v>334.59999999999997</v>
      </c>
      <c r="BY14" s="91">
        <f>Weather!O134</f>
        <v>0</v>
      </c>
    </row>
    <row r="15" spans="1:77" x14ac:dyDescent="0.2">
      <c r="A15" s="66">
        <v>40968</v>
      </c>
      <c r="B15" s="114">
        <f t="shared" si="0"/>
        <v>2012</v>
      </c>
      <c r="C15" s="94">
        <v>14922709.590399999</v>
      </c>
      <c r="D15" s="94">
        <v>0</v>
      </c>
      <c r="E15" s="171">
        <f ca="1">CDM!D36</f>
        <v>98513.110264848307</v>
      </c>
      <c r="F15" s="94">
        <f t="shared" ca="1" si="1"/>
        <v>15021222.700664848</v>
      </c>
      <c r="G15" s="94">
        <f ca="1">VLOOKUP(B15,CDM!$A$3:$G$14,7,FALSE)</f>
        <v>127727.04113021668</v>
      </c>
      <c r="H15" s="94">
        <f t="shared" ca="1" si="2"/>
        <v>15050436.631530216</v>
      </c>
      <c r="I15" s="90">
        <f>Weather!F135</f>
        <v>510.90000000000003</v>
      </c>
      <c r="J15" s="90">
        <f>Weather!G135</f>
        <v>0</v>
      </c>
      <c r="K15" s="108">
        <v>29</v>
      </c>
      <c r="L15" s="108">
        <f t="shared" ref="L15:W15" si="7">L3</f>
        <v>0</v>
      </c>
      <c r="M15" s="108">
        <f t="shared" si="7"/>
        <v>1</v>
      </c>
      <c r="N15" s="108">
        <f t="shared" si="7"/>
        <v>0</v>
      </c>
      <c r="O15" s="108">
        <f t="shared" si="7"/>
        <v>0</v>
      </c>
      <c r="P15" s="108">
        <f t="shared" si="7"/>
        <v>0</v>
      </c>
      <c r="Q15" s="108">
        <f t="shared" si="7"/>
        <v>0</v>
      </c>
      <c r="R15" s="108">
        <f t="shared" si="7"/>
        <v>0</v>
      </c>
      <c r="S15" s="108">
        <f t="shared" si="7"/>
        <v>0</v>
      </c>
      <c r="T15" s="108">
        <f t="shared" si="7"/>
        <v>0</v>
      </c>
      <c r="U15" s="108">
        <f t="shared" si="7"/>
        <v>0</v>
      </c>
      <c r="V15" s="108">
        <f t="shared" si="7"/>
        <v>0</v>
      </c>
      <c r="W15" s="108">
        <f t="shared" si="7"/>
        <v>0</v>
      </c>
      <c r="X15" s="108">
        <v>0</v>
      </c>
      <c r="Y15" s="108">
        <f t="shared" ref="Y15:Z30" si="8">Y3</f>
        <v>0</v>
      </c>
      <c r="Z15" s="108">
        <f t="shared" si="8"/>
        <v>0</v>
      </c>
      <c r="AA15" s="152">
        <v>0</v>
      </c>
      <c r="AB15" s="152">
        <v>0</v>
      </c>
      <c r="AC15" s="152">
        <f t="shared" si="3"/>
        <v>0</v>
      </c>
      <c r="AD15" s="152">
        <f t="shared" si="4"/>
        <v>0</v>
      </c>
      <c r="AE15" s="152">
        <v>0</v>
      </c>
      <c r="AF15" s="150">
        <f>'Customer Count'!I15</f>
        <v>12998</v>
      </c>
      <c r="AG15" s="150">
        <f>AF15-'Customer Count'!G15-'Customer Count'!F15</f>
        <v>10375</v>
      </c>
      <c r="AH15" s="150">
        <f>AF15-'Customer Count'!H15</f>
        <v>12998</v>
      </c>
      <c r="AI15" s="109">
        <f t="shared" si="5"/>
        <v>14</v>
      </c>
      <c r="AJ15" s="109">
        <v>304</v>
      </c>
      <c r="AK15" s="91">
        <v>135.09837363244745</v>
      </c>
      <c r="AL15" s="91">
        <f>Economic!C27</f>
        <v>634944.30000000005</v>
      </c>
      <c r="AM15" s="91">
        <f>Economic!D27</f>
        <v>6670.7</v>
      </c>
      <c r="AN15" s="91">
        <f>Economic!E27</f>
        <v>6598</v>
      </c>
      <c r="AO15" s="91">
        <f>Economic!F27</f>
        <v>7.8</v>
      </c>
      <c r="AP15" s="91">
        <f>Economic!G27</f>
        <v>7.5</v>
      </c>
      <c r="AQ15" s="91">
        <f>Economic!H27</f>
        <v>388.4</v>
      </c>
      <c r="AR15" s="91">
        <f>Economic!I27</f>
        <v>385.8</v>
      </c>
      <c r="AS15" s="91">
        <f>Economic!J27</f>
        <v>6.4</v>
      </c>
      <c r="AT15" s="91">
        <f>Economic!K27</f>
        <v>6.2</v>
      </c>
      <c r="AU15" s="91">
        <f>Economic!L27</f>
        <v>196.5</v>
      </c>
      <c r="AV15" s="91">
        <f>Economic!M27</f>
        <v>193</v>
      </c>
      <c r="AW15" s="91">
        <f>Economic!N27</f>
        <v>7.7</v>
      </c>
      <c r="AX15" s="91">
        <f>Economic!O27</f>
        <v>8.4</v>
      </c>
      <c r="AY15" s="91">
        <f>Economic!P27</f>
        <v>1.4390268412039608E-2</v>
      </c>
      <c r="AZ15" s="91">
        <f>Economic!Q27</f>
        <v>7.7347231664022242E-3</v>
      </c>
      <c r="BA15" s="91">
        <f>Economic!R27</f>
        <v>7.6205311464394576E-3</v>
      </c>
      <c r="BB15" s="91">
        <f>Economic!S27</f>
        <v>5.0865800865800725E-2</v>
      </c>
      <c r="BC15" s="91">
        <f>Economic!T27</f>
        <v>5.58292282430215E-2</v>
      </c>
      <c r="BD15" s="91">
        <f>Economic!U27</f>
        <v>1.6028955532574996E-2</v>
      </c>
      <c r="BE15" s="91">
        <f>Economic!V27</f>
        <v>1.7395888244596813E-2</v>
      </c>
      <c r="BF15" s="91">
        <f>Economic!W27</f>
        <v>9007.4000000000233</v>
      </c>
      <c r="BG15" s="91">
        <f>Economic!X27</f>
        <v>51.199999999999818</v>
      </c>
      <c r="BH15" s="91">
        <f>Economic!Y27</f>
        <v>49.899999999999636</v>
      </c>
      <c r="BI15" s="91">
        <f>Economic!Z27</f>
        <v>18.799999999999955</v>
      </c>
      <c r="BJ15" s="91">
        <f>Economic!AA27</f>
        <v>20.400000000000034</v>
      </c>
      <c r="BK15" s="91">
        <f>Economic!AB27</f>
        <v>3.0999999999999943</v>
      </c>
      <c r="BL15" s="91">
        <f>Economic!AC27</f>
        <v>3.3000000000000114</v>
      </c>
      <c r="BM15" s="91">
        <f>Weather!C135</f>
        <v>0.38275862068965522</v>
      </c>
      <c r="BN15" s="91">
        <f>Weather!D135</f>
        <v>568.9</v>
      </c>
      <c r="BO15" s="91">
        <f>Weather!E135</f>
        <v>0</v>
      </c>
      <c r="BP15" s="91">
        <f>Weather!F135</f>
        <v>510.90000000000003</v>
      </c>
      <c r="BQ15" s="91">
        <f>Weather!G135</f>
        <v>0</v>
      </c>
      <c r="BR15" s="91">
        <f>Weather!H135</f>
        <v>452.90000000000003</v>
      </c>
      <c r="BS15" s="91">
        <f>Weather!I135</f>
        <v>0</v>
      </c>
      <c r="BT15" s="91">
        <f>Weather!J135</f>
        <v>394.9</v>
      </c>
      <c r="BU15" s="91">
        <f>Weather!K135</f>
        <v>0</v>
      </c>
      <c r="BV15" s="91">
        <f>Weather!L135</f>
        <v>336.90000000000003</v>
      </c>
      <c r="BW15" s="91">
        <f>Weather!M135</f>
        <v>0</v>
      </c>
      <c r="BX15" s="91">
        <f>Weather!N135</f>
        <v>278.90000000000003</v>
      </c>
      <c r="BY15" s="91">
        <f>Weather!O135</f>
        <v>0</v>
      </c>
    </row>
    <row r="16" spans="1:77" x14ac:dyDescent="0.2">
      <c r="A16" s="66">
        <v>40999</v>
      </c>
      <c r="B16" s="114">
        <f t="shared" si="0"/>
        <v>2012</v>
      </c>
      <c r="C16" s="94">
        <v>14512774.780449999</v>
      </c>
      <c r="D16" s="94">
        <v>0</v>
      </c>
      <c r="E16" s="171">
        <f ca="1">CDM!D37</f>
        <v>105005.09490159682</v>
      </c>
      <c r="F16" s="94">
        <f t="shared" ca="1" si="1"/>
        <v>14617779.875351597</v>
      </c>
      <c r="G16" s="94">
        <f ca="1">VLOOKUP(B16,CDM!$A$3:$G$14,7,FALSE)</f>
        <v>127727.04113021668</v>
      </c>
      <c r="H16" s="94">
        <f t="shared" ca="1" si="2"/>
        <v>14640501.821580216</v>
      </c>
      <c r="I16" s="90">
        <f>Weather!F136</f>
        <v>341.70000000000005</v>
      </c>
      <c r="J16" s="90">
        <f>Weather!G136</f>
        <v>0.5</v>
      </c>
      <c r="K16" s="108">
        <v>31</v>
      </c>
      <c r="L16" s="108">
        <f t="shared" ref="L16:W16" si="9">L4</f>
        <v>0</v>
      </c>
      <c r="M16" s="108">
        <f t="shared" si="9"/>
        <v>0</v>
      </c>
      <c r="N16" s="108">
        <f t="shared" si="9"/>
        <v>1</v>
      </c>
      <c r="O16" s="108">
        <f t="shared" si="9"/>
        <v>0</v>
      </c>
      <c r="P16" s="108">
        <f t="shared" si="9"/>
        <v>0</v>
      </c>
      <c r="Q16" s="108">
        <f t="shared" si="9"/>
        <v>0</v>
      </c>
      <c r="R16" s="108">
        <f t="shared" si="9"/>
        <v>0</v>
      </c>
      <c r="S16" s="108">
        <f t="shared" si="9"/>
        <v>0</v>
      </c>
      <c r="T16" s="108">
        <f t="shared" si="9"/>
        <v>0</v>
      </c>
      <c r="U16" s="108">
        <f t="shared" si="9"/>
        <v>0</v>
      </c>
      <c r="V16" s="108">
        <f t="shared" si="9"/>
        <v>0</v>
      </c>
      <c r="W16" s="108">
        <f t="shared" si="9"/>
        <v>0</v>
      </c>
      <c r="X16" s="108">
        <v>1</v>
      </c>
      <c r="Y16" s="108">
        <f t="shared" si="8"/>
        <v>1</v>
      </c>
      <c r="Z16" s="108">
        <f t="shared" si="8"/>
        <v>0</v>
      </c>
      <c r="AA16" s="152">
        <v>0</v>
      </c>
      <c r="AB16" s="152">
        <v>0</v>
      </c>
      <c r="AC16" s="152">
        <f t="shared" si="3"/>
        <v>0</v>
      </c>
      <c r="AD16" s="152">
        <f t="shared" si="4"/>
        <v>0</v>
      </c>
      <c r="AE16" s="152">
        <v>0</v>
      </c>
      <c r="AF16" s="150">
        <f>'Customer Count'!I16</f>
        <v>13022</v>
      </c>
      <c r="AG16" s="150">
        <f>AF16-'Customer Count'!G16-'Customer Count'!F16</f>
        <v>10398</v>
      </c>
      <c r="AH16" s="150">
        <f>AF16-'Customer Count'!H16</f>
        <v>13022</v>
      </c>
      <c r="AI16" s="109">
        <f t="shared" si="5"/>
        <v>15</v>
      </c>
      <c r="AJ16" s="109">
        <v>368</v>
      </c>
      <c r="AK16" s="91">
        <v>135.46439060544563</v>
      </c>
      <c r="AL16" s="91">
        <f>Economic!C28</f>
        <v>634944.30000000005</v>
      </c>
      <c r="AM16" s="91">
        <f>Economic!D28</f>
        <v>6674</v>
      </c>
      <c r="AN16" s="91">
        <f>Economic!E28</f>
        <v>6569.8</v>
      </c>
      <c r="AO16" s="91">
        <f>Economic!F28</f>
        <v>7.8</v>
      </c>
      <c r="AP16" s="91">
        <f>Economic!G28</f>
        <v>8</v>
      </c>
      <c r="AQ16" s="91">
        <f>Economic!H28</f>
        <v>385</v>
      </c>
      <c r="AR16" s="91">
        <f>Economic!I28</f>
        <v>380.7</v>
      </c>
      <c r="AS16" s="91">
        <f>Economic!J28</f>
        <v>6.4</v>
      </c>
      <c r="AT16" s="91">
        <f>Economic!K28</f>
        <v>6.5</v>
      </c>
      <c r="AU16" s="91">
        <f>Economic!L28</f>
        <v>197</v>
      </c>
      <c r="AV16" s="91">
        <f>Economic!M28</f>
        <v>192.5</v>
      </c>
      <c r="AW16" s="91">
        <f>Economic!N28</f>
        <v>7.5</v>
      </c>
      <c r="AX16" s="91">
        <f>Economic!O28</f>
        <v>8.4</v>
      </c>
      <c r="AY16" s="91">
        <f>Economic!P28</f>
        <v>1.4390268412039608E-2</v>
      </c>
      <c r="AZ16" s="91">
        <f>Economic!Q28</f>
        <v>6.8491084090154253E-3</v>
      </c>
      <c r="BA16" s="91">
        <f>Economic!R28</f>
        <v>7.066541993040909E-3</v>
      </c>
      <c r="BB16" s="91">
        <f>Economic!S28</f>
        <v>4.1103299080583966E-2</v>
      </c>
      <c r="BC16" s="91">
        <f>Economic!T28</f>
        <v>4.7029702970296849E-2</v>
      </c>
      <c r="BD16" s="91">
        <f>Economic!U28</f>
        <v>1.3896037056098764E-2</v>
      </c>
      <c r="BE16" s="91">
        <f>Economic!V28</f>
        <v>1.4760147601476037E-2</v>
      </c>
      <c r="BF16" s="91">
        <f>Economic!W28</f>
        <v>9007.4000000000233</v>
      </c>
      <c r="BG16" s="91">
        <f>Economic!X28</f>
        <v>45.399999999999636</v>
      </c>
      <c r="BH16" s="91">
        <f>Economic!Y28</f>
        <v>46.100000000000364</v>
      </c>
      <c r="BI16" s="91">
        <f>Economic!Z28</f>
        <v>15.199999999999989</v>
      </c>
      <c r="BJ16" s="91">
        <f>Economic!AA28</f>
        <v>17.099999999999966</v>
      </c>
      <c r="BK16" s="91">
        <f>Economic!AB28</f>
        <v>2.6999999999999886</v>
      </c>
      <c r="BL16" s="91">
        <f>Economic!AC28</f>
        <v>2.8000000000000114</v>
      </c>
      <c r="BM16" s="91">
        <f>Weather!C136</f>
        <v>6.9935483870967747</v>
      </c>
      <c r="BN16" s="91">
        <f>Weather!D136</f>
        <v>403.20000000000005</v>
      </c>
      <c r="BO16" s="91">
        <f>Weather!E136</f>
        <v>0</v>
      </c>
      <c r="BP16" s="91">
        <f>Weather!F136</f>
        <v>341.70000000000005</v>
      </c>
      <c r="BQ16" s="91">
        <f>Weather!G136</f>
        <v>0.5</v>
      </c>
      <c r="BR16" s="91">
        <f>Weather!H136</f>
        <v>281.8</v>
      </c>
      <c r="BS16" s="91">
        <f>Weather!I136</f>
        <v>2.6000000000000014</v>
      </c>
      <c r="BT16" s="91">
        <f>Weather!J136</f>
        <v>224.59999999999997</v>
      </c>
      <c r="BU16" s="91">
        <f>Weather!K136</f>
        <v>7.4000000000000021</v>
      </c>
      <c r="BV16" s="91">
        <f>Weather!L136</f>
        <v>170.89999999999998</v>
      </c>
      <c r="BW16" s="91">
        <f>Weather!M136</f>
        <v>15.700000000000003</v>
      </c>
      <c r="BX16" s="91">
        <f>Weather!N136</f>
        <v>126.29999999999997</v>
      </c>
      <c r="BY16" s="91">
        <f>Weather!O136</f>
        <v>33.100000000000009</v>
      </c>
    </row>
    <row r="17" spans="1:77" x14ac:dyDescent="0.2">
      <c r="A17" s="66">
        <v>41029</v>
      </c>
      <c r="B17" s="114">
        <f t="shared" si="0"/>
        <v>2012</v>
      </c>
      <c r="C17" s="94">
        <v>13420400.940308001</v>
      </c>
      <c r="D17" s="94">
        <v>0</v>
      </c>
      <c r="E17" s="171">
        <f ca="1">CDM!D38</f>
        <v>111497.07953834535</v>
      </c>
      <c r="F17" s="94">
        <f t="shared" ca="1" si="1"/>
        <v>13531898.019846346</v>
      </c>
      <c r="G17" s="94">
        <f ca="1">VLOOKUP(B17,CDM!$A$3:$G$14,7,FALSE)</f>
        <v>127727.04113021668</v>
      </c>
      <c r="H17" s="94">
        <f t="shared" ca="1" si="2"/>
        <v>13548127.981438218</v>
      </c>
      <c r="I17" s="90">
        <f>Weather!F137</f>
        <v>303.59999999999997</v>
      </c>
      <c r="J17" s="90">
        <f>Weather!G137</f>
        <v>2.8000000000000007</v>
      </c>
      <c r="K17" s="108">
        <v>30</v>
      </c>
      <c r="L17" s="108">
        <f t="shared" ref="L17:W17" si="10">L5</f>
        <v>0</v>
      </c>
      <c r="M17" s="108">
        <f t="shared" si="10"/>
        <v>0</v>
      </c>
      <c r="N17" s="108">
        <f t="shared" si="10"/>
        <v>0</v>
      </c>
      <c r="O17" s="108">
        <f t="shared" si="10"/>
        <v>1</v>
      </c>
      <c r="P17" s="108">
        <f t="shared" si="10"/>
        <v>0</v>
      </c>
      <c r="Q17" s="108">
        <f t="shared" si="10"/>
        <v>0</v>
      </c>
      <c r="R17" s="108">
        <f t="shared" si="10"/>
        <v>0</v>
      </c>
      <c r="S17" s="108">
        <f t="shared" si="10"/>
        <v>0</v>
      </c>
      <c r="T17" s="108">
        <f t="shared" si="10"/>
        <v>0</v>
      </c>
      <c r="U17" s="108">
        <f t="shared" si="10"/>
        <v>0</v>
      </c>
      <c r="V17" s="108">
        <f t="shared" si="10"/>
        <v>0</v>
      </c>
      <c r="W17" s="108">
        <f t="shared" si="10"/>
        <v>0</v>
      </c>
      <c r="X17" s="108">
        <v>1</v>
      </c>
      <c r="Y17" s="108">
        <f t="shared" si="8"/>
        <v>1</v>
      </c>
      <c r="Z17" s="108">
        <f t="shared" si="8"/>
        <v>0</v>
      </c>
      <c r="AA17" s="152">
        <v>0</v>
      </c>
      <c r="AB17" s="152">
        <v>0</v>
      </c>
      <c r="AC17" s="152">
        <f t="shared" si="3"/>
        <v>0</v>
      </c>
      <c r="AD17" s="152">
        <f t="shared" si="4"/>
        <v>0</v>
      </c>
      <c r="AE17" s="152">
        <v>0</v>
      </c>
      <c r="AF17" s="150">
        <f>'Customer Count'!I17</f>
        <v>13035</v>
      </c>
      <c r="AG17" s="150">
        <f>AF17-'Customer Count'!G17-'Customer Count'!F17</f>
        <v>10414</v>
      </c>
      <c r="AH17" s="150">
        <f>AF17-'Customer Count'!H17</f>
        <v>13035</v>
      </c>
      <c r="AI17" s="109">
        <f t="shared" si="5"/>
        <v>16</v>
      </c>
      <c r="AJ17" s="109">
        <v>320</v>
      </c>
      <c r="AK17" s="91">
        <v>135.83139921454512</v>
      </c>
      <c r="AL17" s="91">
        <f>Economic!C29</f>
        <v>634944.30000000005</v>
      </c>
      <c r="AM17" s="91">
        <f>Economic!D29</f>
        <v>6685.8</v>
      </c>
      <c r="AN17" s="91">
        <f>Economic!E29</f>
        <v>6603.3</v>
      </c>
      <c r="AO17" s="91">
        <f>Economic!F29</f>
        <v>7.7</v>
      </c>
      <c r="AP17" s="91">
        <f>Economic!G29</f>
        <v>7.9</v>
      </c>
      <c r="AQ17" s="91">
        <f>Economic!H29</f>
        <v>382.5</v>
      </c>
      <c r="AR17" s="91">
        <f>Economic!I29</f>
        <v>378.9</v>
      </c>
      <c r="AS17" s="91">
        <f>Economic!J29</f>
        <v>6.7</v>
      </c>
      <c r="AT17" s="91">
        <f>Economic!K29</f>
        <v>6.6</v>
      </c>
      <c r="AU17" s="91">
        <f>Economic!L29</f>
        <v>198.4</v>
      </c>
      <c r="AV17" s="91">
        <f>Economic!M29</f>
        <v>193.4</v>
      </c>
      <c r="AW17" s="91">
        <f>Economic!N29</f>
        <v>7.7</v>
      </c>
      <c r="AX17" s="91">
        <f>Economic!O29</f>
        <v>8.6</v>
      </c>
      <c r="AY17" s="91">
        <f>Economic!P29</f>
        <v>1.4390268412039608E-2</v>
      </c>
      <c r="AZ17" s="91">
        <f>Economic!Q29</f>
        <v>7.5804385502222793E-3</v>
      </c>
      <c r="BA17" s="91">
        <f>Economic!R29</f>
        <v>8.1374045801527739E-3</v>
      </c>
      <c r="BB17" s="91">
        <f>Economic!S29</f>
        <v>2.8225806451612989E-2</v>
      </c>
      <c r="BC17" s="91">
        <f>Economic!T29</f>
        <v>3.2143830019068176E-2</v>
      </c>
      <c r="BD17" s="91">
        <f>Economic!U29</f>
        <v>1.2761613067891808E-2</v>
      </c>
      <c r="BE17" s="91">
        <f>Economic!V29</f>
        <v>1.4158363922391226E-2</v>
      </c>
      <c r="BF17" s="91">
        <f>Economic!W29</f>
        <v>9007.4000000000233</v>
      </c>
      <c r="BG17" s="91">
        <f>Economic!X29</f>
        <v>50.300000000000182</v>
      </c>
      <c r="BH17" s="91">
        <f>Economic!Y29</f>
        <v>53.300000000000182</v>
      </c>
      <c r="BI17" s="91">
        <f>Economic!Z29</f>
        <v>10.5</v>
      </c>
      <c r="BJ17" s="91">
        <f>Economic!AA29</f>
        <v>11.799999999999955</v>
      </c>
      <c r="BK17" s="91">
        <f>Economic!AB29</f>
        <v>2.5</v>
      </c>
      <c r="BL17" s="91">
        <f>Economic!AC29</f>
        <v>2.7000000000000171</v>
      </c>
      <c r="BM17" s="91">
        <f>Weather!C137</f>
        <v>7.9733333333333354</v>
      </c>
      <c r="BN17" s="91">
        <f>Weather!D137</f>
        <v>361.59999999999997</v>
      </c>
      <c r="BO17" s="91">
        <f>Weather!E137</f>
        <v>0.80000000000000071</v>
      </c>
      <c r="BP17" s="91">
        <f>Weather!F137</f>
        <v>303.59999999999997</v>
      </c>
      <c r="BQ17" s="91">
        <f>Weather!G137</f>
        <v>2.8000000000000007</v>
      </c>
      <c r="BR17" s="91">
        <f>Weather!H137</f>
        <v>246.89999999999992</v>
      </c>
      <c r="BS17" s="91">
        <f>Weather!I137</f>
        <v>6.1000000000000014</v>
      </c>
      <c r="BT17" s="91">
        <f>Weather!J137</f>
        <v>192.89999999999998</v>
      </c>
      <c r="BU17" s="91">
        <f>Weather!K137</f>
        <v>12.100000000000001</v>
      </c>
      <c r="BV17" s="91">
        <f>Weather!L137</f>
        <v>140.00000000000003</v>
      </c>
      <c r="BW17" s="91">
        <f>Weather!M137</f>
        <v>19.200000000000003</v>
      </c>
      <c r="BX17" s="91">
        <f>Weather!N137</f>
        <v>88.600000000000023</v>
      </c>
      <c r="BY17" s="91">
        <f>Weather!O137</f>
        <v>27.800000000000004</v>
      </c>
    </row>
    <row r="18" spans="1:77" x14ac:dyDescent="0.2">
      <c r="A18" s="66">
        <v>41060</v>
      </c>
      <c r="B18" s="114">
        <f t="shared" si="0"/>
        <v>2012</v>
      </c>
      <c r="C18" s="94">
        <v>14603680.867724</v>
      </c>
      <c r="D18" s="94">
        <v>0</v>
      </c>
      <c r="E18" s="171">
        <f ca="1">CDM!D39</f>
        <v>117989.06417509388</v>
      </c>
      <c r="F18" s="94">
        <f t="shared" ca="1" si="1"/>
        <v>14721669.931899093</v>
      </c>
      <c r="G18" s="94">
        <f ca="1">VLOOKUP(B18,CDM!$A$3:$G$14,7,FALSE)</f>
        <v>127727.04113021668</v>
      </c>
      <c r="H18" s="94">
        <f t="shared" ca="1" si="2"/>
        <v>14731407.908854216</v>
      </c>
      <c r="I18" s="90">
        <f>Weather!F138</f>
        <v>77.5</v>
      </c>
      <c r="J18" s="90">
        <f>Weather!G138</f>
        <v>36.500000000000014</v>
      </c>
      <c r="K18" s="108">
        <v>31</v>
      </c>
      <c r="L18" s="108">
        <f t="shared" ref="L18:W18" si="11">L6</f>
        <v>0</v>
      </c>
      <c r="M18" s="108">
        <f t="shared" si="11"/>
        <v>0</v>
      </c>
      <c r="N18" s="108">
        <f t="shared" si="11"/>
        <v>0</v>
      </c>
      <c r="O18" s="108">
        <f t="shared" si="11"/>
        <v>0</v>
      </c>
      <c r="P18" s="108">
        <f t="shared" si="11"/>
        <v>1</v>
      </c>
      <c r="Q18" s="108">
        <f t="shared" si="11"/>
        <v>0</v>
      </c>
      <c r="R18" s="108">
        <f t="shared" si="11"/>
        <v>0</v>
      </c>
      <c r="S18" s="108">
        <f t="shared" si="11"/>
        <v>0</v>
      </c>
      <c r="T18" s="108">
        <f t="shared" si="11"/>
        <v>0</v>
      </c>
      <c r="U18" s="108">
        <f t="shared" si="11"/>
        <v>0</v>
      </c>
      <c r="V18" s="108">
        <f t="shared" si="11"/>
        <v>0</v>
      </c>
      <c r="W18" s="108">
        <f t="shared" si="11"/>
        <v>0</v>
      </c>
      <c r="X18" s="108">
        <v>1</v>
      </c>
      <c r="Y18" s="108">
        <f t="shared" si="8"/>
        <v>1</v>
      </c>
      <c r="Z18" s="108">
        <f t="shared" si="8"/>
        <v>0</v>
      </c>
      <c r="AA18" s="152">
        <v>0</v>
      </c>
      <c r="AB18" s="152">
        <v>0</v>
      </c>
      <c r="AC18" s="152">
        <f t="shared" si="3"/>
        <v>0</v>
      </c>
      <c r="AD18" s="152">
        <f t="shared" si="4"/>
        <v>0</v>
      </c>
      <c r="AE18" s="152">
        <v>0</v>
      </c>
      <c r="AF18" s="150">
        <f>'Customer Count'!I18</f>
        <v>13047</v>
      </c>
      <c r="AG18" s="150">
        <f>AF18-'Customer Count'!G18-'Customer Count'!F18</f>
        <v>10426</v>
      </c>
      <c r="AH18" s="150">
        <f>AF18-'Customer Count'!H18</f>
        <v>13047</v>
      </c>
      <c r="AI18" s="109">
        <f t="shared" si="5"/>
        <v>17</v>
      </c>
      <c r="AJ18" s="109">
        <v>320</v>
      </c>
      <c r="AK18" s="91">
        <v>136.19940214634852</v>
      </c>
      <c r="AL18" s="91">
        <f>Economic!C30</f>
        <v>634944.30000000005</v>
      </c>
      <c r="AM18" s="91">
        <f>Economic!D30</f>
        <v>6690.1</v>
      </c>
      <c r="AN18" s="91">
        <f>Economic!E30</f>
        <v>6658.1</v>
      </c>
      <c r="AO18" s="91">
        <f>Economic!F30</f>
        <v>7.9</v>
      </c>
      <c r="AP18" s="91">
        <f>Economic!G30</f>
        <v>8.1999999999999993</v>
      </c>
      <c r="AQ18" s="91">
        <f>Economic!H30</f>
        <v>376.3</v>
      </c>
      <c r="AR18" s="91">
        <f>Economic!I30</f>
        <v>375.1</v>
      </c>
      <c r="AS18" s="91">
        <f>Economic!J30</f>
        <v>6.9</v>
      </c>
      <c r="AT18" s="91">
        <f>Economic!K30</f>
        <v>6.8</v>
      </c>
      <c r="AU18" s="91">
        <f>Economic!L30</f>
        <v>200.2</v>
      </c>
      <c r="AV18" s="91">
        <f>Economic!M30</f>
        <v>199</v>
      </c>
      <c r="AW18" s="91">
        <f>Economic!N30</f>
        <v>7.9</v>
      </c>
      <c r="AX18" s="91">
        <f>Economic!O30</f>
        <v>8.4</v>
      </c>
      <c r="AY18" s="91">
        <f>Economic!P30</f>
        <v>1.4390268412039608E-2</v>
      </c>
      <c r="AZ18" s="91">
        <f>Economic!Q30</f>
        <v>6.6658641548045239E-3</v>
      </c>
      <c r="BA18" s="91">
        <f>Economic!R30</f>
        <v>6.9721718088324725E-3</v>
      </c>
      <c r="BB18" s="91">
        <f>Economic!S30</f>
        <v>3.466666666666729E-3</v>
      </c>
      <c r="BC18" s="91">
        <f>Economic!T30</f>
        <v>1.3347570742126003E-3</v>
      </c>
      <c r="BD18" s="91">
        <f>Economic!U30</f>
        <v>2.7193432529502237E-2</v>
      </c>
      <c r="BE18" s="91">
        <f>Economic!V30</f>
        <v>2.9487842731505287E-2</v>
      </c>
      <c r="BF18" s="91">
        <f>Economic!W30</f>
        <v>9007.4000000000233</v>
      </c>
      <c r="BG18" s="91">
        <f>Economic!X30</f>
        <v>44.300000000000182</v>
      </c>
      <c r="BH18" s="91">
        <f>Economic!Y30</f>
        <v>46.100000000000364</v>
      </c>
      <c r="BI18" s="91">
        <f>Economic!Z30</f>
        <v>1.3000000000000114</v>
      </c>
      <c r="BJ18" s="91">
        <f>Economic!AA30</f>
        <v>0.5</v>
      </c>
      <c r="BK18" s="91">
        <f>Economic!AB30</f>
        <v>5.2999999999999829</v>
      </c>
      <c r="BL18" s="91">
        <f>Economic!AC30</f>
        <v>5.6999999999999886</v>
      </c>
      <c r="BM18" s="91">
        <f>Weather!C138</f>
        <v>16.677419354838712</v>
      </c>
      <c r="BN18" s="91">
        <f>Weather!D138</f>
        <v>121.39999999999999</v>
      </c>
      <c r="BO18" s="91">
        <f>Weather!E138</f>
        <v>18.400000000000002</v>
      </c>
      <c r="BP18" s="91">
        <f>Weather!F138</f>
        <v>77.5</v>
      </c>
      <c r="BQ18" s="91">
        <f>Weather!G138</f>
        <v>36.500000000000014</v>
      </c>
      <c r="BR18" s="91">
        <f>Weather!H138</f>
        <v>45</v>
      </c>
      <c r="BS18" s="91">
        <f>Weather!I138</f>
        <v>66.000000000000028</v>
      </c>
      <c r="BT18" s="91">
        <f>Weather!J138</f>
        <v>23.700000000000003</v>
      </c>
      <c r="BU18" s="91">
        <f>Weather!K138</f>
        <v>106.7</v>
      </c>
      <c r="BV18" s="91">
        <f>Weather!L138</f>
        <v>8.8999999999999986</v>
      </c>
      <c r="BW18" s="91">
        <f>Weather!M138</f>
        <v>153.9</v>
      </c>
      <c r="BX18" s="91">
        <f>Weather!N138</f>
        <v>0.80000000000000071</v>
      </c>
      <c r="BY18" s="91">
        <f>Weather!O138</f>
        <v>207.79999999999995</v>
      </c>
    </row>
    <row r="19" spans="1:77" x14ac:dyDescent="0.2">
      <c r="A19" s="66">
        <v>41090</v>
      </c>
      <c r="B19" s="114">
        <f t="shared" si="0"/>
        <v>2012</v>
      </c>
      <c r="C19" s="94">
        <v>17157940.412751999</v>
      </c>
      <c r="D19" s="94">
        <v>0</v>
      </c>
      <c r="E19" s="171">
        <f ca="1">CDM!D40</f>
        <v>124481.0488118424</v>
      </c>
      <c r="F19" s="94">
        <f t="shared" ca="1" si="1"/>
        <v>17282421.461563841</v>
      </c>
      <c r="G19" s="94">
        <f ca="1">VLOOKUP(B19,CDM!$A$3:$G$14,7,FALSE)</f>
        <v>127727.04113021668</v>
      </c>
      <c r="H19" s="94">
        <f t="shared" ca="1" si="2"/>
        <v>17285667.453882214</v>
      </c>
      <c r="I19" s="90">
        <f>Weather!F139</f>
        <v>20.699999999999996</v>
      </c>
      <c r="J19" s="90">
        <f>Weather!G139</f>
        <v>112</v>
      </c>
      <c r="K19" s="108">
        <v>30</v>
      </c>
      <c r="L19" s="108">
        <f t="shared" ref="L19:W19" si="12">L7</f>
        <v>0</v>
      </c>
      <c r="M19" s="108">
        <f t="shared" si="12"/>
        <v>0</v>
      </c>
      <c r="N19" s="108">
        <f t="shared" si="12"/>
        <v>0</v>
      </c>
      <c r="O19" s="108">
        <f t="shared" si="12"/>
        <v>0</v>
      </c>
      <c r="P19" s="108">
        <f t="shared" si="12"/>
        <v>0</v>
      </c>
      <c r="Q19" s="108">
        <f t="shared" si="12"/>
        <v>1</v>
      </c>
      <c r="R19" s="108">
        <f t="shared" si="12"/>
        <v>0</v>
      </c>
      <c r="S19" s="108">
        <f t="shared" si="12"/>
        <v>0</v>
      </c>
      <c r="T19" s="108">
        <f t="shared" si="12"/>
        <v>0</v>
      </c>
      <c r="U19" s="108">
        <f t="shared" si="12"/>
        <v>0</v>
      </c>
      <c r="V19" s="108">
        <f t="shared" si="12"/>
        <v>0</v>
      </c>
      <c r="W19" s="108">
        <f t="shared" si="12"/>
        <v>0</v>
      </c>
      <c r="X19" s="108">
        <v>0</v>
      </c>
      <c r="Y19" s="108">
        <f t="shared" si="8"/>
        <v>0</v>
      </c>
      <c r="Z19" s="108">
        <f t="shared" si="8"/>
        <v>0</v>
      </c>
      <c r="AA19" s="152">
        <v>0</v>
      </c>
      <c r="AB19" s="152">
        <v>0</v>
      </c>
      <c r="AC19" s="152">
        <f t="shared" si="3"/>
        <v>0</v>
      </c>
      <c r="AD19" s="152">
        <f t="shared" si="4"/>
        <v>0</v>
      </c>
      <c r="AE19" s="152">
        <v>0</v>
      </c>
      <c r="AF19" s="150">
        <f>'Customer Count'!I19</f>
        <v>13055</v>
      </c>
      <c r="AG19" s="150">
        <f>AF19-'Customer Count'!G19-'Customer Count'!F19</f>
        <v>10434</v>
      </c>
      <c r="AH19" s="150">
        <f>AF19-'Customer Count'!H19</f>
        <v>13055</v>
      </c>
      <c r="AI19" s="109">
        <f t="shared" si="5"/>
        <v>18</v>
      </c>
      <c r="AJ19" s="109">
        <v>352</v>
      </c>
      <c r="AK19" s="91">
        <v>136.56840209473719</v>
      </c>
      <c r="AL19" s="91">
        <f>Economic!C31</f>
        <v>634944.30000000005</v>
      </c>
      <c r="AM19" s="91">
        <f>Economic!D31</f>
        <v>6693.3</v>
      </c>
      <c r="AN19" s="91">
        <f>Economic!E31</f>
        <v>6737.2</v>
      </c>
      <c r="AO19" s="91">
        <f>Economic!F31</f>
        <v>7.9</v>
      </c>
      <c r="AP19" s="91">
        <f>Economic!G31</f>
        <v>8</v>
      </c>
      <c r="AQ19" s="91">
        <f>Economic!H31</f>
        <v>371.5</v>
      </c>
      <c r="AR19" s="91">
        <f>Economic!I31</f>
        <v>373.8</v>
      </c>
      <c r="AS19" s="91">
        <f>Economic!J31</f>
        <v>7.3</v>
      </c>
      <c r="AT19" s="91">
        <f>Economic!K31</f>
        <v>6.9</v>
      </c>
      <c r="AU19" s="91">
        <f>Economic!L31</f>
        <v>203</v>
      </c>
      <c r="AV19" s="91">
        <f>Economic!M31</f>
        <v>205.3</v>
      </c>
      <c r="AW19" s="91">
        <f>Economic!N31</f>
        <v>8.1999999999999993</v>
      </c>
      <c r="AX19" s="91">
        <f>Economic!O31</f>
        <v>7.8</v>
      </c>
      <c r="AY19" s="91">
        <f>Economic!P31</f>
        <v>1.4390268412039608E-2</v>
      </c>
      <c r="AZ19" s="91">
        <f>Economic!Q31</f>
        <v>4.6982888021616098E-3</v>
      </c>
      <c r="BA19" s="91">
        <f>Economic!R31</f>
        <v>4.5327130673344929E-3</v>
      </c>
      <c r="BB19" s="91">
        <f>Economic!S31</f>
        <v>-9.8614072494669358E-3</v>
      </c>
      <c r="BC19" s="91">
        <f>Economic!T31</f>
        <v>-1.4240506329113889E-2</v>
      </c>
      <c r="BD19" s="91">
        <f>Economic!U31</f>
        <v>3.9959016393442681E-2</v>
      </c>
      <c r="BE19" s="91">
        <f>Economic!V31</f>
        <v>4.054738976178407E-2</v>
      </c>
      <c r="BF19" s="91">
        <f>Economic!W31</f>
        <v>9007.4000000000233</v>
      </c>
      <c r="BG19" s="91">
        <f>Economic!X31</f>
        <v>31.300000000000182</v>
      </c>
      <c r="BH19" s="91">
        <f>Economic!Y31</f>
        <v>30.399999999999636</v>
      </c>
      <c r="BI19" s="91">
        <f>Economic!Z31</f>
        <v>-3.6999999999999886</v>
      </c>
      <c r="BJ19" s="91">
        <f>Economic!AA31</f>
        <v>-5.3999999999999773</v>
      </c>
      <c r="BK19" s="91">
        <f>Economic!AB31</f>
        <v>7.8000000000000114</v>
      </c>
      <c r="BL19" s="91">
        <f>Economic!AC31</f>
        <v>8</v>
      </c>
      <c r="BM19" s="91">
        <f>Weather!C139</f>
        <v>21.043333333333333</v>
      </c>
      <c r="BN19" s="91">
        <f>Weather!D139</f>
        <v>40.4</v>
      </c>
      <c r="BO19" s="91">
        <f>Weather!E139</f>
        <v>71.699999999999989</v>
      </c>
      <c r="BP19" s="91">
        <f>Weather!F139</f>
        <v>20.699999999999996</v>
      </c>
      <c r="BQ19" s="91">
        <f>Weather!G139</f>
        <v>112</v>
      </c>
      <c r="BR19" s="91">
        <f>Weather!H139</f>
        <v>6.6999999999999993</v>
      </c>
      <c r="BS19" s="91">
        <f>Weather!I139</f>
        <v>158</v>
      </c>
      <c r="BT19" s="91">
        <f>Weather!J139</f>
        <v>1.0999999999999996</v>
      </c>
      <c r="BU19" s="91">
        <f>Weather!K139</f>
        <v>212.39999999999998</v>
      </c>
      <c r="BV19" s="91">
        <f>Weather!L139</f>
        <v>0</v>
      </c>
      <c r="BW19" s="91">
        <f>Weather!M139</f>
        <v>271.3</v>
      </c>
      <c r="BX19" s="91">
        <f>Weather!N139</f>
        <v>0</v>
      </c>
      <c r="BY19" s="91">
        <f>Weather!O139</f>
        <v>331.30000000000007</v>
      </c>
    </row>
    <row r="20" spans="1:77" x14ac:dyDescent="0.2">
      <c r="A20" s="66">
        <v>41121</v>
      </c>
      <c r="B20" s="114">
        <f t="shared" si="0"/>
        <v>2012</v>
      </c>
      <c r="C20" s="94">
        <v>20944843.982699998</v>
      </c>
      <c r="D20" s="94">
        <v>0</v>
      </c>
      <c r="E20" s="171">
        <f ca="1">CDM!D41</f>
        <v>130973.03344859093</v>
      </c>
      <c r="F20" s="94">
        <f t="shared" ca="1" si="1"/>
        <v>21075817.01614859</v>
      </c>
      <c r="G20" s="94">
        <f ca="1">VLOOKUP(B20,CDM!$A$3:$G$14,7,FALSE)</f>
        <v>127727.04113021668</v>
      </c>
      <c r="H20" s="94">
        <f t="shared" ca="1" si="2"/>
        <v>21072571.023830213</v>
      </c>
      <c r="I20" s="90">
        <f>Weather!F140</f>
        <v>0</v>
      </c>
      <c r="J20" s="90">
        <f>Weather!G140</f>
        <v>205.10000000000008</v>
      </c>
      <c r="K20" s="108">
        <v>31</v>
      </c>
      <c r="L20" s="108">
        <f t="shared" ref="L20:W20" si="13">L8</f>
        <v>0</v>
      </c>
      <c r="M20" s="108">
        <f t="shared" si="13"/>
        <v>0</v>
      </c>
      <c r="N20" s="108">
        <f t="shared" si="13"/>
        <v>0</v>
      </c>
      <c r="O20" s="108">
        <f t="shared" si="13"/>
        <v>0</v>
      </c>
      <c r="P20" s="108">
        <f t="shared" si="13"/>
        <v>0</v>
      </c>
      <c r="Q20" s="108">
        <f t="shared" si="13"/>
        <v>0</v>
      </c>
      <c r="R20" s="108">
        <f t="shared" si="13"/>
        <v>1</v>
      </c>
      <c r="S20" s="108">
        <f t="shared" si="13"/>
        <v>0</v>
      </c>
      <c r="T20" s="108">
        <f t="shared" si="13"/>
        <v>0</v>
      </c>
      <c r="U20" s="108">
        <f t="shared" si="13"/>
        <v>0</v>
      </c>
      <c r="V20" s="108">
        <f t="shared" si="13"/>
        <v>0</v>
      </c>
      <c r="W20" s="108">
        <f t="shared" si="13"/>
        <v>0</v>
      </c>
      <c r="X20" s="108">
        <v>0</v>
      </c>
      <c r="Y20" s="108">
        <f t="shared" si="8"/>
        <v>0</v>
      </c>
      <c r="Z20" s="108">
        <f t="shared" si="8"/>
        <v>0</v>
      </c>
      <c r="AA20" s="152">
        <v>0</v>
      </c>
      <c r="AB20" s="152">
        <v>0</v>
      </c>
      <c r="AC20" s="152">
        <f t="shared" si="3"/>
        <v>0</v>
      </c>
      <c r="AD20" s="152">
        <f t="shared" si="4"/>
        <v>0</v>
      </c>
      <c r="AE20" s="152">
        <v>0</v>
      </c>
      <c r="AF20" s="150">
        <f>'Customer Count'!I20</f>
        <v>13068</v>
      </c>
      <c r="AG20" s="150">
        <f>AF20-'Customer Count'!G20-'Customer Count'!F20</f>
        <v>10447</v>
      </c>
      <c r="AH20" s="150">
        <f>AF20-'Customer Count'!H20</f>
        <v>13068</v>
      </c>
      <c r="AI20" s="109">
        <f t="shared" si="5"/>
        <v>19</v>
      </c>
      <c r="AJ20" s="109">
        <v>336</v>
      </c>
      <c r="AK20" s="91">
        <v>136.93840176089088</v>
      </c>
      <c r="AL20" s="91">
        <f>Economic!C32</f>
        <v>634944.30000000005</v>
      </c>
      <c r="AM20" s="91">
        <f>Economic!D32</f>
        <v>6694.6</v>
      </c>
      <c r="AN20" s="91">
        <f>Economic!E32</f>
        <v>6778.6</v>
      </c>
      <c r="AO20" s="91">
        <f>Economic!F32</f>
        <v>8</v>
      </c>
      <c r="AP20" s="91">
        <f>Economic!G32</f>
        <v>8.3000000000000007</v>
      </c>
      <c r="AQ20" s="91">
        <f>Economic!H32</f>
        <v>368.7</v>
      </c>
      <c r="AR20" s="91">
        <f>Economic!I32</f>
        <v>372.6</v>
      </c>
      <c r="AS20" s="91">
        <f>Economic!J32</f>
        <v>7.4</v>
      </c>
      <c r="AT20" s="91">
        <f>Economic!K32</f>
        <v>7.5</v>
      </c>
      <c r="AU20" s="91">
        <f>Economic!L32</f>
        <v>204.4</v>
      </c>
      <c r="AV20" s="91">
        <f>Economic!M32</f>
        <v>209.1</v>
      </c>
      <c r="AW20" s="91">
        <f>Economic!N32</f>
        <v>8.3000000000000007</v>
      </c>
      <c r="AX20" s="91">
        <f>Economic!O32</f>
        <v>7.9</v>
      </c>
      <c r="AY20" s="91">
        <f>Economic!P32</f>
        <v>1.4390268412039608E-2</v>
      </c>
      <c r="AZ20" s="91">
        <f>Economic!Q32</f>
        <v>4.3205616730175311E-3</v>
      </c>
      <c r="BA20" s="91">
        <f>Economic!R32</f>
        <v>3.4491436353678573E-3</v>
      </c>
      <c r="BB20" s="91">
        <f>Economic!S32</f>
        <v>-1.7585931254996079E-2</v>
      </c>
      <c r="BC20" s="91">
        <f>Economic!T32</f>
        <v>-1.7923036373220791E-2</v>
      </c>
      <c r="BD20" s="91">
        <f>Economic!U32</f>
        <v>4.9281314168377888E-2</v>
      </c>
      <c r="BE20" s="91">
        <f>Economic!V32</f>
        <v>4.4977511244377766E-2</v>
      </c>
      <c r="BF20" s="91">
        <f>Economic!W32</f>
        <v>9007.4000000000233</v>
      </c>
      <c r="BG20" s="91">
        <f>Economic!X32</f>
        <v>28.800000000000182</v>
      </c>
      <c r="BH20" s="91">
        <f>Economic!Y32</f>
        <v>23.300000000000182</v>
      </c>
      <c r="BI20" s="91">
        <f>Economic!Z32</f>
        <v>-6.6000000000000227</v>
      </c>
      <c r="BJ20" s="91">
        <f>Economic!AA32</f>
        <v>-6.7999999999999545</v>
      </c>
      <c r="BK20" s="91">
        <f>Economic!AB32</f>
        <v>9.5999999999999943</v>
      </c>
      <c r="BL20" s="91">
        <f>Economic!AC32</f>
        <v>9</v>
      </c>
      <c r="BM20" s="91">
        <f>Weather!C140</f>
        <v>24.616129032258058</v>
      </c>
      <c r="BN20" s="91">
        <f>Weather!D140</f>
        <v>0</v>
      </c>
      <c r="BO20" s="91">
        <f>Weather!E140</f>
        <v>143.10000000000002</v>
      </c>
      <c r="BP20" s="91">
        <f>Weather!F140</f>
        <v>0</v>
      </c>
      <c r="BQ20" s="91">
        <f>Weather!G140</f>
        <v>205.10000000000008</v>
      </c>
      <c r="BR20" s="91">
        <f>Weather!H140</f>
        <v>0</v>
      </c>
      <c r="BS20" s="91">
        <f>Weather!I140</f>
        <v>267.10000000000008</v>
      </c>
      <c r="BT20" s="91">
        <f>Weather!J140</f>
        <v>0</v>
      </c>
      <c r="BU20" s="91">
        <f>Weather!K140</f>
        <v>329.10000000000008</v>
      </c>
      <c r="BV20" s="91">
        <f>Weather!L140</f>
        <v>0</v>
      </c>
      <c r="BW20" s="91">
        <f>Weather!M140</f>
        <v>391.10000000000008</v>
      </c>
      <c r="BX20" s="91">
        <f>Weather!N140</f>
        <v>0</v>
      </c>
      <c r="BY20" s="91">
        <f>Weather!O140</f>
        <v>453.1</v>
      </c>
    </row>
    <row r="21" spans="1:77" x14ac:dyDescent="0.2">
      <c r="A21" s="66">
        <v>41152</v>
      </c>
      <c r="B21" s="114">
        <f t="shared" si="0"/>
        <v>2012</v>
      </c>
      <c r="C21" s="94">
        <v>18739592.12965</v>
      </c>
      <c r="D21" s="94">
        <v>0</v>
      </c>
      <c r="E21" s="171">
        <f ca="1">CDM!D42</f>
        <v>137465.01808533946</v>
      </c>
      <c r="F21" s="94">
        <f t="shared" ca="1" si="1"/>
        <v>18877057.147735339</v>
      </c>
      <c r="G21" s="94">
        <f ca="1">VLOOKUP(B21,CDM!$A$3:$G$14,7,FALSE)</f>
        <v>127727.04113021668</v>
      </c>
      <c r="H21" s="94">
        <f t="shared" ca="1" si="2"/>
        <v>18867319.170780215</v>
      </c>
      <c r="I21" s="90">
        <f>Weather!F141</f>
        <v>0.80000000000000071</v>
      </c>
      <c r="J21" s="90">
        <f>Weather!G141</f>
        <v>132.50000000000003</v>
      </c>
      <c r="K21" s="108">
        <v>31</v>
      </c>
      <c r="L21" s="108">
        <f t="shared" ref="L21:W21" si="14">L9</f>
        <v>0</v>
      </c>
      <c r="M21" s="108">
        <f t="shared" si="14"/>
        <v>0</v>
      </c>
      <c r="N21" s="108">
        <f t="shared" si="14"/>
        <v>0</v>
      </c>
      <c r="O21" s="108">
        <f t="shared" si="14"/>
        <v>0</v>
      </c>
      <c r="P21" s="108">
        <f t="shared" si="14"/>
        <v>0</v>
      </c>
      <c r="Q21" s="108">
        <f t="shared" si="14"/>
        <v>0</v>
      </c>
      <c r="R21" s="108">
        <f t="shared" si="14"/>
        <v>0</v>
      </c>
      <c r="S21" s="108">
        <f t="shared" si="14"/>
        <v>1</v>
      </c>
      <c r="T21" s="108">
        <f t="shared" si="14"/>
        <v>0</v>
      </c>
      <c r="U21" s="108">
        <f t="shared" si="14"/>
        <v>0</v>
      </c>
      <c r="V21" s="108">
        <f t="shared" si="14"/>
        <v>0</v>
      </c>
      <c r="W21" s="108">
        <f t="shared" si="14"/>
        <v>0</v>
      </c>
      <c r="X21" s="108">
        <v>0</v>
      </c>
      <c r="Y21" s="108">
        <f t="shared" si="8"/>
        <v>0</v>
      </c>
      <c r="Z21" s="108">
        <f t="shared" si="8"/>
        <v>0</v>
      </c>
      <c r="AA21" s="152">
        <v>0</v>
      </c>
      <c r="AB21" s="152">
        <v>0</v>
      </c>
      <c r="AC21" s="152">
        <f t="shared" si="3"/>
        <v>0</v>
      </c>
      <c r="AD21" s="152">
        <f t="shared" si="4"/>
        <v>0</v>
      </c>
      <c r="AE21" s="152">
        <v>0</v>
      </c>
      <c r="AF21" s="150">
        <f>'Customer Count'!I21</f>
        <v>13087</v>
      </c>
      <c r="AG21" s="150">
        <f>AF21-'Customer Count'!G21-'Customer Count'!F21</f>
        <v>10466</v>
      </c>
      <c r="AH21" s="150">
        <f>AF21-'Customer Count'!H21</f>
        <v>13087</v>
      </c>
      <c r="AI21" s="109">
        <f t="shared" si="5"/>
        <v>20</v>
      </c>
      <c r="AJ21" s="109">
        <v>336</v>
      </c>
      <c r="AK21" s="91">
        <v>137.30940385330757</v>
      </c>
      <c r="AL21" s="91">
        <f>Economic!C33</f>
        <v>634944.30000000005</v>
      </c>
      <c r="AM21" s="91">
        <f>Economic!D33</f>
        <v>6703.3</v>
      </c>
      <c r="AN21" s="91">
        <f>Economic!E33</f>
        <v>6797.9</v>
      </c>
      <c r="AO21" s="91">
        <f>Economic!F33</f>
        <v>7.9</v>
      </c>
      <c r="AP21" s="91">
        <f>Economic!G33</f>
        <v>8.3000000000000007</v>
      </c>
      <c r="AQ21" s="91">
        <f>Economic!H33</f>
        <v>371.3</v>
      </c>
      <c r="AR21" s="91">
        <f>Economic!I33</f>
        <v>374.1</v>
      </c>
      <c r="AS21" s="91">
        <f>Economic!J33</f>
        <v>6.9</v>
      </c>
      <c r="AT21" s="91">
        <f>Economic!K33</f>
        <v>7.5</v>
      </c>
      <c r="AU21" s="91">
        <f>Economic!L33</f>
        <v>205.2</v>
      </c>
      <c r="AV21" s="91">
        <f>Economic!M33</f>
        <v>209.5</v>
      </c>
      <c r="AW21" s="91">
        <f>Economic!N33</f>
        <v>8.3000000000000007</v>
      </c>
      <c r="AX21" s="91">
        <f>Economic!O33</f>
        <v>8</v>
      </c>
      <c r="AY21" s="91">
        <f>Economic!P33</f>
        <v>1.4390268412039608E-2</v>
      </c>
      <c r="AZ21" s="91">
        <f>Economic!Q33</f>
        <v>3.8637214526395791E-3</v>
      </c>
      <c r="BA21" s="91">
        <f>Economic!R33</f>
        <v>2.9359693124815234E-3</v>
      </c>
      <c r="BB21" s="91">
        <f>Economic!S33</f>
        <v>-2.6925148088308148E-4</v>
      </c>
      <c r="BC21" s="91">
        <f>Economic!T33</f>
        <v>3.4871244635192866E-3</v>
      </c>
      <c r="BD21" s="91">
        <f>Economic!U33</f>
        <v>4.3213014743263889E-2</v>
      </c>
      <c r="BE21" s="91">
        <f>Economic!V33</f>
        <v>3.8156590683845248E-2</v>
      </c>
      <c r="BF21" s="91">
        <f>Economic!W33</f>
        <v>9007.4000000000233</v>
      </c>
      <c r="BG21" s="91">
        <f>Economic!X33</f>
        <v>25.800000000000182</v>
      </c>
      <c r="BH21" s="91">
        <f>Economic!Y33</f>
        <v>19.899999999999636</v>
      </c>
      <c r="BI21" s="91">
        <f>Economic!Z33</f>
        <v>-9.9999999999965894E-2</v>
      </c>
      <c r="BJ21" s="91">
        <f>Economic!AA33</f>
        <v>1.3000000000000114</v>
      </c>
      <c r="BK21" s="91">
        <f>Economic!AB33</f>
        <v>8.5</v>
      </c>
      <c r="BL21" s="91">
        <f>Economic!AC33</f>
        <v>7.6999999999999886</v>
      </c>
      <c r="BM21" s="91">
        <f>Weather!C141</f>
        <v>22.248387096774191</v>
      </c>
      <c r="BN21" s="91">
        <f>Weather!D141</f>
        <v>7.0000000000000036</v>
      </c>
      <c r="BO21" s="91">
        <f>Weather!E141</f>
        <v>76.699999999999989</v>
      </c>
      <c r="BP21" s="91">
        <f>Weather!F141</f>
        <v>0.80000000000000071</v>
      </c>
      <c r="BQ21" s="91">
        <f>Weather!G141</f>
        <v>132.50000000000003</v>
      </c>
      <c r="BR21" s="91">
        <f>Weather!H141</f>
        <v>0</v>
      </c>
      <c r="BS21" s="91">
        <f>Weather!I141</f>
        <v>193.7</v>
      </c>
      <c r="BT21" s="91">
        <f>Weather!J141</f>
        <v>0</v>
      </c>
      <c r="BU21" s="91">
        <f>Weather!K141</f>
        <v>255.70000000000005</v>
      </c>
      <c r="BV21" s="91">
        <f>Weather!L141</f>
        <v>0</v>
      </c>
      <c r="BW21" s="91">
        <f>Weather!M141</f>
        <v>317.7</v>
      </c>
      <c r="BX21" s="91">
        <f>Weather!N141</f>
        <v>0</v>
      </c>
      <c r="BY21" s="91">
        <f>Weather!O141</f>
        <v>379.7</v>
      </c>
    </row>
    <row r="22" spans="1:77" x14ac:dyDescent="0.2">
      <c r="A22" s="66">
        <v>41182</v>
      </c>
      <c r="B22" s="114">
        <f t="shared" si="0"/>
        <v>2012</v>
      </c>
      <c r="C22" s="94">
        <v>15430254.123528</v>
      </c>
      <c r="D22" s="94">
        <v>0</v>
      </c>
      <c r="E22" s="171">
        <f ca="1">CDM!D43</f>
        <v>143957.00272208799</v>
      </c>
      <c r="F22" s="94">
        <f t="shared" ca="1" si="1"/>
        <v>15574211.126250088</v>
      </c>
      <c r="G22" s="94">
        <f ca="1">VLOOKUP(B22,CDM!$A$3:$G$14,7,FALSE)</f>
        <v>127727.04113021668</v>
      </c>
      <c r="H22" s="94">
        <f t="shared" ca="1" si="2"/>
        <v>15557981.164658217</v>
      </c>
      <c r="I22" s="90">
        <f>Weather!F142</f>
        <v>62.899999999999991</v>
      </c>
      <c r="J22" s="90">
        <f>Weather!G142</f>
        <v>39.299999999999997</v>
      </c>
      <c r="K22" s="108">
        <v>30</v>
      </c>
      <c r="L22" s="108">
        <f t="shared" ref="L22:W22" si="15">L10</f>
        <v>0</v>
      </c>
      <c r="M22" s="108">
        <f t="shared" si="15"/>
        <v>0</v>
      </c>
      <c r="N22" s="108">
        <f t="shared" si="15"/>
        <v>0</v>
      </c>
      <c r="O22" s="108">
        <f t="shared" si="15"/>
        <v>0</v>
      </c>
      <c r="P22" s="108">
        <f t="shared" si="15"/>
        <v>0</v>
      </c>
      <c r="Q22" s="108">
        <f t="shared" si="15"/>
        <v>0</v>
      </c>
      <c r="R22" s="108">
        <f t="shared" si="15"/>
        <v>0</v>
      </c>
      <c r="S22" s="108">
        <f t="shared" si="15"/>
        <v>0</v>
      </c>
      <c r="T22" s="108">
        <f t="shared" si="15"/>
        <v>1</v>
      </c>
      <c r="U22" s="108">
        <f t="shared" si="15"/>
        <v>0</v>
      </c>
      <c r="V22" s="108">
        <f t="shared" si="15"/>
        <v>0</v>
      </c>
      <c r="W22" s="108">
        <f t="shared" si="15"/>
        <v>0</v>
      </c>
      <c r="X22" s="108">
        <v>1</v>
      </c>
      <c r="Y22" s="108">
        <f t="shared" si="8"/>
        <v>0</v>
      </c>
      <c r="Z22" s="108">
        <f t="shared" si="8"/>
        <v>1</v>
      </c>
      <c r="AA22" s="152">
        <v>0</v>
      </c>
      <c r="AB22" s="152">
        <v>0</v>
      </c>
      <c r="AC22" s="152">
        <f t="shared" si="3"/>
        <v>0</v>
      </c>
      <c r="AD22" s="152">
        <f t="shared" si="4"/>
        <v>0</v>
      </c>
      <c r="AE22" s="152">
        <v>0</v>
      </c>
      <c r="AF22" s="150">
        <f>'Customer Count'!I22</f>
        <v>13106</v>
      </c>
      <c r="AG22" s="150">
        <f>AF22-'Customer Count'!G22-'Customer Count'!F22</f>
        <v>10483</v>
      </c>
      <c r="AH22" s="150">
        <f>AF22-'Customer Count'!H22</f>
        <v>13106</v>
      </c>
      <c r="AI22" s="109">
        <f t="shared" si="5"/>
        <v>21</v>
      </c>
      <c r="AJ22" s="109">
        <v>336</v>
      </c>
      <c r="AK22" s="91">
        <v>137.68141108782325</v>
      </c>
      <c r="AL22" s="91">
        <f>Economic!C34</f>
        <v>634944.30000000005</v>
      </c>
      <c r="AM22" s="91">
        <f>Economic!D34</f>
        <v>6707.4</v>
      </c>
      <c r="AN22" s="91">
        <f>Economic!E34</f>
        <v>6763.1</v>
      </c>
      <c r="AO22" s="91">
        <f>Economic!F34</f>
        <v>7.9</v>
      </c>
      <c r="AP22" s="91">
        <f>Economic!G34</f>
        <v>8.1999999999999993</v>
      </c>
      <c r="AQ22" s="91">
        <f>Economic!H34</f>
        <v>376.3</v>
      </c>
      <c r="AR22" s="91">
        <f>Economic!I34</f>
        <v>376.1</v>
      </c>
      <c r="AS22" s="91">
        <f>Economic!J34</f>
        <v>6.4</v>
      </c>
      <c r="AT22" s="91">
        <f>Economic!K34</f>
        <v>7.1</v>
      </c>
      <c r="AU22" s="91">
        <f>Economic!L34</f>
        <v>204.9</v>
      </c>
      <c r="AV22" s="91">
        <f>Economic!M34</f>
        <v>208.7</v>
      </c>
      <c r="AW22" s="91">
        <f>Economic!N34</f>
        <v>8.4</v>
      </c>
      <c r="AX22" s="91">
        <f>Economic!O34</f>
        <v>8.3000000000000007</v>
      </c>
      <c r="AY22" s="91">
        <f>Economic!P34</f>
        <v>1.4390268412039608E-2</v>
      </c>
      <c r="AZ22" s="91">
        <f>Economic!Q34</f>
        <v>4.9442646530024614E-3</v>
      </c>
      <c r="BA22" s="91">
        <f>Economic!R34</f>
        <v>4.2318771716212122E-3</v>
      </c>
      <c r="BB22" s="91">
        <f>Economic!S34</f>
        <v>9.9302200751476555E-3</v>
      </c>
      <c r="BC22" s="91">
        <f>Economic!T34</f>
        <v>1.34734572891404E-2</v>
      </c>
      <c r="BD22" s="91">
        <f>Economic!U34</f>
        <v>3.6418816388467556E-2</v>
      </c>
      <c r="BE22" s="91">
        <f>Economic!V34</f>
        <v>3.5218253968253954E-2</v>
      </c>
      <c r="BF22" s="91">
        <f>Economic!W34</f>
        <v>9007.4000000000233</v>
      </c>
      <c r="BG22" s="91">
        <f>Economic!X34</f>
        <v>33</v>
      </c>
      <c r="BH22" s="91">
        <f>Economic!Y34</f>
        <v>28.5</v>
      </c>
      <c r="BI22" s="91">
        <f>Economic!Z34</f>
        <v>3.6999999999999886</v>
      </c>
      <c r="BJ22" s="91">
        <f>Economic!AA34</f>
        <v>5</v>
      </c>
      <c r="BK22" s="91">
        <f>Economic!AB34</f>
        <v>7.2000000000000171</v>
      </c>
      <c r="BL22" s="91">
        <f>Economic!AC34</f>
        <v>7.0999999999999943</v>
      </c>
      <c r="BM22" s="91">
        <f>Weather!C142</f>
        <v>17.213333333333335</v>
      </c>
      <c r="BN22" s="91">
        <f>Weather!D142</f>
        <v>103.20000000000002</v>
      </c>
      <c r="BO22" s="91">
        <f>Weather!E142</f>
        <v>19.600000000000001</v>
      </c>
      <c r="BP22" s="91">
        <f>Weather!F142</f>
        <v>62.899999999999991</v>
      </c>
      <c r="BQ22" s="91">
        <f>Weather!G142</f>
        <v>39.299999999999997</v>
      </c>
      <c r="BR22" s="91">
        <f>Weather!H142</f>
        <v>29.5</v>
      </c>
      <c r="BS22" s="91">
        <f>Weather!I142</f>
        <v>65.899999999999977</v>
      </c>
      <c r="BT22" s="91">
        <f>Weather!J142</f>
        <v>12.6</v>
      </c>
      <c r="BU22" s="91">
        <f>Weather!K142</f>
        <v>109</v>
      </c>
      <c r="BV22" s="91">
        <f>Weather!L142</f>
        <v>2.7000000000000011</v>
      </c>
      <c r="BW22" s="91">
        <f>Weather!M142</f>
        <v>159.1</v>
      </c>
      <c r="BX22" s="91">
        <f>Weather!N142</f>
        <v>0</v>
      </c>
      <c r="BY22" s="91">
        <f>Weather!O142</f>
        <v>216.39999999999998</v>
      </c>
    </row>
    <row r="23" spans="1:77" x14ac:dyDescent="0.2">
      <c r="A23" s="66">
        <v>41213</v>
      </c>
      <c r="B23" s="114">
        <f t="shared" si="0"/>
        <v>2012</v>
      </c>
      <c r="C23" s="94">
        <v>14418668.859476</v>
      </c>
      <c r="D23" s="94">
        <v>0</v>
      </c>
      <c r="E23" s="171">
        <f ca="1">CDM!D44</f>
        <v>150448.98735883652</v>
      </c>
      <c r="F23" s="94">
        <f t="shared" ca="1" si="1"/>
        <v>14569117.846834837</v>
      </c>
      <c r="G23" s="94">
        <f ca="1">VLOOKUP(B23,CDM!$A$3:$G$14,7,FALSE)</f>
        <v>127727.04113021668</v>
      </c>
      <c r="H23" s="94">
        <f t="shared" ca="1" si="2"/>
        <v>14546395.900606217</v>
      </c>
      <c r="I23" s="90">
        <f>Weather!F143</f>
        <v>220.99999999999994</v>
      </c>
      <c r="J23" s="90">
        <f>Weather!G143</f>
        <v>1.3999999999999986</v>
      </c>
      <c r="K23" s="108">
        <v>31</v>
      </c>
      <c r="L23" s="108">
        <f t="shared" ref="L23:W23" si="16">L11</f>
        <v>0</v>
      </c>
      <c r="M23" s="108">
        <f t="shared" si="16"/>
        <v>0</v>
      </c>
      <c r="N23" s="108">
        <f t="shared" si="16"/>
        <v>0</v>
      </c>
      <c r="O23" s="108">
        <f t="shared" si="16"/>
        <v>0</v>
      </c>
      <c r="P23" s="108">
        <f t="shared" si="16"/>
        <v>0</v>
      </c>
      <c r="Q23" s="108">
        <f t="shared" si="16"/>
        <v>0</v>
      </c>
      <c r="R23" s="108">
        <f t="shared" si="16"/>
        <v>0</v>
      </c>
      <c r="S23" s="108">
        <f t="shared" si="16"/>
        <v>0</v>
      </c>
      <c r="T23" s="108">
        <f t="shared" si="16"/>
        <v>0</v>
      </c>
      <c r="U23" s="108">
        <f t="shared" si="16"/>
        <v>1</v>
      </c>
      <c r="V23" s="108">
        <f t="shared" si="16"/>
        <v>0</v>
      </c>
      <c r="W23" s="108">
        <f t="shared" si="16"/>
        <v>0</v>
      </c>
      <c r="X23" s="108">
        <v>1</v>
      </c>
      <c r="Y23" s="108">
        <f t="shared" si="8"/>
        <v>0</v>
      </c>
      <c r="Z23" s="108">
        <f t="shared" si="8"/>
        <v>1</v>
      </c>
      <c r="AA23" s="152">
        <v>0</v>
      </c>
      <c r="AB23" s="152">
        <v>0</v>
      </c>
      <c r="AC23" s="152">
        <f t="shared" si="3"/>
        <v>0</v>
      </c>
      <c r="AD23" s="152">
        <f t="shared" si="4"/>
        <v>0</v>
      </c>
      <c r="AE23" s="152">
        <v>0</v>
      </c>
      <c r="AF23" s="150">
        <f>'Customer Count'!I23</f>
        <v>13102</v>
      </c>
      <c r="AG23" s="150">
        <f>AF23-'Customer Count'!G23-'Customer Count'!F23</f>
        <v>10479</v>
      </c>
      <c r="AH23" s="150">
        <f>AF23-'Customer Count'!H23</f>
        <v>13102</v>
      </c>
      <c r="AI23" s="109">
        <f t="shared" si="5"/>
        <v>22</v>
      </c>
      <c r="AJ23" s="109">
        <v>320</v>
      </c>
      <c r="AK23" s="91">
        <v>138.0544261876318</v>
      </c>
      <c r="AL23" s="91">
        <f>Economic!C35</f>
        <v>634944.30000000005</v>
      </c>
      <c r="AM23" s="91">
        <f>Economic!D35</f>
        <v>6710</v>
      </c>
      <c r="AN23" s="91">
        <f>Economic!E35</f>
        <v>6740.9</v>
      </c>
      <c r="AO23" s="91">
        <f>Economic!F35</f>
        <v>8</v>
      </c>
      <c r="AP23" s="91">
        <f>Economic!G35</f>
        <v>7.9</v>
      </c>
      <c r="AQ23" s="91">
        <f>Economic!H35</f>
        <v>377.5</v>
      </c>
      <c r="AR23" s="91">
        <f>Economic!I35</f>
        <v>375.9</v>
      </c>
      <c r="AS23" s="91">
        <f>Economic!J35</f>
        <v>6</v>
      </c>
      <c r="AT23" s="91">
        <f>Economic!K35</f>
        <v>6.6</v>
      </c>
      <c r="AU23" s="91">
        <f>Economic!L35</f>
        <v>203.9</v>
      </c>
      <c r="AV23" s="91">
        <f>Economic!M35</f>
        <v>207.9</v>
      </c>
      <c r="AW23" s="91">
        <f>Economic!N35</f>
        <v>8.6999999999999993</v>
      </c>
      <c r="AX23" s="91">
        <f>Economic!O35</f>
        <v>8</v>
      </c>
      <c r="AY23" s="91">
        <f>Economic!P35</f>
        <v>1.4390268412039608E-2</v>
      </c>
      <c r="AZ23" s="91">
        <f>Economic!Q35</f>
        <v>6.2836490154616342E-3</v>
      </c>
      <c r="BA23" s="91">
        <f>Economic!R35</f>
        <v>5.7742233893347539E-3</v>
      </c>
      <c r="BB23" s="91">
        <f>Economic!S35</f>
        <v>7.741591030432371E-3</v>
      </c>
      <c r="BC23" s="91">
        <f>Economic!T35</f>
        <v>6.6952329941081246E-3</v>
      </c>
      <c r="BD23" s="91">
        <f>Economic!U35</f>
        <v>3.4500253678335868E-2</v>
      </c>
      <c r="BE23" s="91">
        <f>Economic!V35</f>
        <v>3.6390827517447821E-2</v>
      </c>
      <c r="BF23" s="91">
        <f>Economic!W35</f>
        <v>9007.4000000000233</v>
      </c>
      <c r="BG23" s="91">
        <f>Economic!X35</f>
        <v>41.899999999999636</v>
      </c>
      <c r="BH23" s="91">
        <f>Economic!Y35</f>
        <v>38.699999999999818</v>
      </c>
      <c r="BI23" s="91">
        <f>Economic!Z35</f>
        <v>2.8999999999999773</v>
      </c>
      <c r="BJ23" s="91">
        <f>Economic!AA35</f>
        <v>2.5</v>
      </c>
      <c r="BK23" s="91">
        <f>Economic!AB35</f>
        <v>6.8000000000000114</v>
      </c>
      <c r="BL23" s="91">
        <f>Economic!AC35</f>
        <v>7.3000000000000114</v>
      </c>
      <c r="BM23" s="91">
        <f>Weather!C143</f>
        <v>10.916129032258064</v>
      </c>
      <c r="BN23" s="91">
        <f>Weather!D143</f>
        <v>281.60000000000002</v>
      </c>
      <c r="BO23" s="91">
        <f>Weather!E143</f>
        <v>0</v>
      </c>
      <c r="BP23" s="91">
        <f>Weather!F143</f>
        <v>220.99999999999994</v>
      </c>
      <c r="BQ23" s="91">
        <f>Weather!G143</f>
        <v>1.3999999999999986</v>
      </c>
      <c r="BR23" s="91">
        <f>Weather!H143</f>
        <v>163.89999999999995</v>
      </c>
      <c r="BS23" s="91">
        <f>Weather!I143</f>
        <v>6.3000000000000007</v>
      </c>
      <c r="BT23" s="91">
        <f>Weather!J143</f>
        <v>113.69999999999997</v>
      </c>
      <c r="BU23" s="91">
        <f>Weather!K143</f>
        <v>18.100000000000001</v>
      </c>
      <c r="BV23" s="91">
        <f>Weather!L143</f>
        <v>71.3</v>
      </c>
      <c r="BW23" s="91">
        <f>Weather!M143</f>
        <v>37.70000000000001</v>
      </c>
      <c r="BX23" s="91">
        <f>Weather!N143</f>
        <v>33.799999999999997</v>
      </c>
      <c r="BY23" s="91">
        <f>Weather!O143</f>
        <v>62.20000000000001</v>
      </c>
    </row>
    <row r="24" spans="1:77" x14ac:dyDescent="0.2">
      <c r="A24" s="66">
        <v>41243</v>
      </c>
      <c r="B24" s="114">
        <f t="shared" si="0"/>
        <v>2012</v>
      </c>
      <c r="C24" s="94">
        <v>14689598.23167</v>
      </c>
      <c r="D24" s="94">
        <v>0</v>
      </c>
      <c r="E24" s="171">
        <f ca="1">CDM!D45</f>
        <v>156940.97199558502</v>
      </c>
      <c r="F24" s="94">
        <f t="shared" ca="1" si="1"/>
        <v>14846539.203665584</v>
      </c>
      <c r="G24" s="94">
        <f ca="1">VLOOKUP(B24,CDM!$A$3:$G$14,7,FALSE)</f>
        <v>127727.04113021668</v>
      </c>
      <c r="H24" s="94">
        <f t="shared" ca="1" si="2"/>
        <v>14817325.272800216</v>
      </c>
      <c r="I24" s="90">
        <f>Weather!F144</f>
        <v>409.40000000000003</v>
      </c>
      <c r="J24" s="90">
        <f>Weather!G144</f>
        <v>0</v>
      </c>
      <c r="K24" s="108">
        <v>30</v>
      </c>
      <c r="L24" s="108">
        <f t="shared" ref="L24:W24" si="17">L12</f>
        <v>0</v>
      </c>
      <c r="M24" s="108">
        <f t="shared" si="17"/>
        <v>0</v>
      </c>
      <c r="N24" s="108">
        <f t="shared" si="17"/>
        <v>0</v>
      </c>
      <c r="O24" s="108">
        <f t="shared" si="17"/>
        <v>0</v>
      </c>
      <c r="P24" s="108">
        <f t="shared" si="17"/>
        <v>0</v>
      </c>
      <c r="Q24" s="108">
        <f t="shared" si="17"/>
        <v>0</v>
      </c>
      <c r="R24" s="108">
        <f t="shared" si="17"/>
        <v>0</v>
      </c>
      <c r="S24" s="108">
        <f t="shared" si="17"/>
        <v>0</v>
      </c>
      <c r="T24" s="108">
        <f t="shared" si="17"/>
        <v>0</v>
      </c>
      <c r="U24" s="108">
        <f t="shared" si="17"/>
        <v>0</v>
      </c>
      <c r="V24" s="108">
        <f t="shared" si="17"/>
        <v>1</v>
      </c>
      <c r="W24" s="108">
        <f t="shared" si="17"/>
        <v>0</v>
      </c>
      <c r="X24" s="108">
        <v>1</v>
      </c>
      <c r="Y24" s="108">
        <f t="shared" si="8"/>
        <v>0</v>
      </c>
      <c r="Z24" s="108">
        <f t="shared" si="8"/>
        <v>1</v>
      </c>
      <c r="AA24" s="152">
        <v>0</v>
      </c>
      <c r="AB24" s="152">
        <v>0</v>
      </c>
      <c r="AC24" s="152">
        <f t="shared" si="3"/>
        <v>0</v>
      </c>
      <c r="AD24" s="152">
        <f t="shared" si="4"/>
        <v>0</v>
      </c>
      <c r="AE24" s="152">
        <v>0</v>
      </c>
      <c r="AF24" s="150">
        <f>'Customer Count'!I24</f>
        <v>13102</v>
      </c>
      <c r="AG24" s="150">
        <f>AF24-'Customer Count'!G24-'Customer Count'!F24</f>
        <v>10479</v>
      </c>
      <c r="AH24" s="150">
        <f>AF24-'Customer Count'!H24</f>
        <v>13102</v>
      </c>
      <c r="AI24" s="109">
        <f t="shared" si="5"/>
        <v>23</v>
      </c>
      <c r="AJ24" s="109">
        <v>336</v>
      </c>
      <c r="AK24" s="91">
        <v>138.42845188330503</v>
      </c>
      <c r="AL24" s="91">
        <f>Economic!C36</f>
        <v>634944.30000000005</v>
      </c>
      <c r="AM24" s="91">
        <f>Economic!D36</f>
        <v>6722.4</v>
      </c>
      <c r="AN24" s="91">
        <f>Economic!E36</f>
        <v>6727.4</v>
      </c>
      <c r="AO24" s="91">
        <f>Economic!F36</f>
        <v>8.1</v>
      </c>
      <c r="AP24" s="91">
        <f>Economic!G36</f>
        <v>7.4</v>
      </c>
      <c r="AQ24" s="91">
        <f>Economic!H36</f>
        <v>377.9</v>
      </c>
      <c r="AR24" s="91">
        <f>Economic!I36</f>
        <v>373.6</v>
      </c>
      <c r="AS24" s="91">
        <f>Economic!J36</f>
        <v>6</v>
      </c>
      <c r="AT24" s="91">
        <f>Economic!K36</f>
        <v>6.1</v>
      </c>
      <c r="AU24" s="91">
        <f>Economic!L36</f>
        <v>201.6</v>
      </c>
      <c r="AV24" s="91">
        <f>Economic!M36</f>
        <v>204</v>
      </c>
      <c r="AW24" s="91">
        <f>Economic!N36</f>
        <v>8.6</v>
      </c>
      <c r="AX24" s="91">
        <f>Economic!O36</f>
        <v>7.3</v>
      </c>
      <c r="AY24" s="91">
        <f>Economic!P36</f>
        <v>1.4390268412039608E-2</v>
      </c>
      <c r="AZ24" s="91">
        <f>Economic!Q36</f>
        <v>8.9451882091611257E-3</v>
      </c>
      <c r="BA24" s="91">
        <f>Economic!R36</f>
        <v>8.696434461870739E-3</v>
      </c>
      <c r="BB24" s="91">
        <f>Economic!S36</f>
        <v>-1.5115976022934574E-2</v>
      </c>
      <c r="BC24" s="91">
        <f>Economic!T36</f>
        <v>-2.1220854073879969E-2</v>
      </c>
      <c r="BD24" s="91">
        <f>Economic!U36</f>
        <v>2.5432349949135347E-2</v>
      </c>
      <c r="BE24" s="91">
        <f>Economic!V36</f>
        <v>2.9263370332996974E-2</v>
      </c>
      <c r="BF24" s="91">
        <f>Economic!W36</f>
        <v>9007.4000000000233</v>
      </c>
      <c r="BG24" s="91">
        <f>Economic!X36</f>
        <v>59.599999999999454</v>
      </c>
      <c r="BH24" s="91">
        <f>Economic!Y36</f>
        <v>58</v>
      </c>
      <c r="BI24" s="91">
        <f>Economic!Z36</f>
        <v>-5.8000000000000114</v>
      </c>
      <c r="BJ24" s="91">
        <f>Economic!AA36</f>
        <v>-8.0999999999999659</v>
      </c>
      <c r="BK24" s="91">
        <f>Economic!AB36</f>
        <v>5</v>
      </c>
      <c r="BL24" s="91">
        <f>Economic!AC36</f>
        <v>5.8000000000000114</v>
      </c>
      <c r="BM24" s="91">
        <f>Weather!C144</f>
        <v>4.3533333333333335</v>
      </c>
      <c r="BN24" s="91">
        <f>Weather!D144</f>
        <v>469.40000000000009</v>
      </c>
      <c r="BO24" s="91">
        <f>Weather!E144</f>
        <v>0</v>
      </c>
      <c r="BP24" s="91">
        <f>Weather!F144</f>
        <v>409.40000000000003</v>
      </c>
      <c r="BQ24" s="91">
        <f>Weather!G144</f>
        <v>0</v>
      </c>
      <c r="BR24" s="91">
        <f>Weather!H144</f>
        <v>349.40000000000003</v>
      </c>
      <c r="BS24" s="91">
        <f>Weather!I144</f>
        <v>0</v>
      </c>
      <c r="BT24" s="91">
        <f>Weather!J144</f>
        <v>289.39999999999998</v>
      </c>
      <c r="BU24" s="91">
        <f>Weather!K144</f>
        <v>0</v>
      </c>
      <c r="BV24" s="91">
        <f>Weather!L144</f>
        <v>232.29999999999998</v>
      </c>
      <c r="BW24" s="91">
        <f>Weather!M144</f>
        <v>2.9000000000000004</v>
      </c>
      <c r="BX24" s="91">
        <f>Weather!N144</f>
        <v>176.3</v>
      </c>
      <c r="BY24" s="91">
        <f>Weather!O144</f>
        <v>6.9</v>
      </c>
    </row>
    <row r="25" spans="1:77" x14ac:dyDescent="0.2">
      <c r="A25" s="66">
        <v>41274</v>
      </c>
      <c r="B25" s="114">
        <f t="shared" si="0"/>
        <v>2012</v>
      </c>
      <c r="C25" s="94">
        <v>16182826.210109999</v>
      </c>
      <c r="D25" s="94">
        <v>0</v>
      </c>
      <c r="E25" s="171">
        <f ca="1">CDM!D46</f>
        <v>163432.95663233357</v>
      </c>
      <c r="F25" s="94">
        <f t="shared" ca="1" si="1"/>
        <v>16346259.166742332</v>
      </c>
      <c r="G25" s="94">
        <f ca="1">VLOOKUP(B25,CDM!$A$3:$G$14,7,FALSE)</f>
        <v>127727.04113021668</v>
      </c>
      <c r="H25" s="94">
        <f t="shared" ca="1" si="2"/>
        <v>16310553.251240216</v>
      </c>
      <c r="I25" s="90">
        <f>Weather!F145</f>
        <v>493.60000000000008</v>
      </c>
      <c r="J25" s="90">
        <f>Weather!G145</f>
        <v>0</v>
      </c>
      <c r="K25" s="108">
        <v>31</v>
      </c>
      <c r="L25" s="108">
        <f t="shared" ref="L25:W25" si="18">L13</f>
        <v>0</v>
      </c>
      <c r="M25" s="108">
        <f t="shared" si="18"/>
        <v>0</v>
      </c>
      <c r="N25" s="108">
        <f t="shared" si="18"/>
        <v>0</v>
      </c>
      <c r="O25" s="108">
        <f t="shared" si="18"/>
        <v>0</v>
      </c>
      <c r="P25" s="108">
        <f t="shared" si="18"/>
        <v>0</v>
      </c>
      <c r="Q25" s="108">
        <f t="shared" si="18"/>
        <v>0</v>
      </c>
      <c r="R25" s="108">
        <f t="shared" si="18"/>
        <v>0</v>
      </c>
      <c r="S25" s="108">
        <f t="shared" si="18"/>
        <v>0</v>
      </c>
      <c r="T25" s="108">
        <f t="shared" si="18"/>
        <v>0</v>
      </c>
      <c r="U25" s="108">
        <f t="shared" si="18"/>
        <v>0</v>
      </c>
      <c r="V25" s="108">
        <f t="shared" si="18"/>
        <v>0</v>
      </c>
      <c r="W25" s="108">
        <f t="shared" si="18"/>
        <v>1</v>
      </c>
      <c r="X25" s="108">
        <v>0</v>
      </c>
      <c r="Y25" s="108">
        <f t="shared" si="8"/>
        <v>0</v>
      </c>
      <c r="Z25" s="108">
        <f t="shared" si="8"/>
        <v>0</v>
      </c>
      <c r="AA25" s="152">
        <v>0</v>
      </c>
      <c r="AB25" s="152">
        <v>0</v>
      </c>
      <c r="AC25" s="152">
        <f t="shared" si="3"/>
        <v>0</v>
      </c>
      <c r="AD25" s="152">
        <f t="shared" si="4"/>
        <v>0</v>
      </c>
      <c r="AE25" s="152">
        <v>0</v>
      </c>
      <c r="AF25" s="150">
        <f>'Customer Count'!I25</f>
        <v>13165</v>
      </c>
      <c r="AG25" s="150">
        <f>AF25-'Customer Count'!G25-'Customer Count'!F25</f>
        <v>10488</v>
      </c>
      <c r="AH25" s="150">
        <f>AF25-'Customer Count'!H25</f>
        <v>13165</v>
      </c>
      <c r="AI25" s="109">
        <f t="shared" si="5"/>
        <v>24</v>
      </c>
      <c r="AJ25" s="109">
        <v>368</v>
      </c>
      <c r="AK25" s="91">
        <v>138.80349091281266</v>
      </c>
      <c r="AL25" s="91">
        <f>Economic!C37</f>
        <v>634944.30000000005</v>
      </c>
      <c r="AM25" s="91">
        <f>Economic!D37</f>
        <v>6740.6</v>
      </c>
      <c r="AN25" s="91">
        <f>Economic!E37</f>
        <v>6740.2</v>
      </c>
      <c r="AO25" s="91">
        <f>Economic!F37</f>
        <v>8.1</v>
      </c>
      <c r="AP25" s="91">
        <f>Economic!G37</f>
        <v>7.3</v>
      </c>
      <c r="AQ25" s="91">
        <f>Economic!H37</f>
        <v>378.6</v>
      </c>
      <c r="AR25" s="91">
        <f>Economic!I37</f>
        <v>375.8</v>
      </c>
      <c r="AS25" s="91">
        <f>Economic!J37</f>
        <v>6.1</v>
      </c>
      <c r="AT25" s="91">
        <f>Economic!K37</f>
        <v>6.1</v>
      </c>
      <c r="AU25" s="91">
        <f>Economic!L37</f>
        <v>200.2</v>
      </c>
      <c r="AV25" s="91">
        <f>Economic!M37</f>
        <v>200.5</v>
      </c>
      <c r="AW25" s="91">
        <f>Economic!N37</f>
        <v>8.4</v>
      </c>
      <c r="AX25" s="91">
        <f>Economic!O37</f>
        <v>7.3</v>
      </c>
      <c r="AY25" s="91">
        <f>Economic!P37</f>
        <v>1.4390268412039608E-2</v>
      </c>
      <c r="AZ25" s="91">
        <f>Economic!Q37</f>
        <v>1.0963629546306697E-2</v>
      </c>
      <c r="BA25" s="91">
        <f>Economic!R37</f>
        <v>1.0782358322211083E-2</v>
      </c>
      <c r="BB25" s="91">
        <f>Economic!S37</f>
        <v>-2.3219814241486114E-2</v>
      </c>
      <c r="BC25" s="91">
        <f>Economic!T37</f>
        <v>-2.7432712215320842E-2</v>
      </c>
      <c r="BD25" s="91">
        <f>Economic!U37</f>
        <v>2.3517382413087873E-2</v>
      </c>
      <c r="BE25" s="91">
        <f>Economic!V37</f>
        <v>2.452733776188043E-2</v>
      </c>
      <c r="BF25" s="91">
        <f>Economic!W37</f>
        <v>9007.4000000000233</v>
      </c>
      <c r="BG25" s="91">
        <f>Economic!X37</f>
        <v>73.100000000000364</v>
      </c>
      <c r="BH25" s="91">
        <f>Economic!Y37</f>
        <v>71.899999999999636</v>
      </c>
      <c r="BI25" s="91">
        <f>Economic!Z37</f>
        <v>-9</v>
      </c>
      <c r="BJ25" s="91">
        <f>Economic!AA37</f>
        <v>-10.599999999999966</v>
      </c>
      <c r="BK25" s="91">
        <f>Economic!AB37</f>
        <v>4.5999999999999943</v>
      </c>
      <c r="BL25" s="91">
        <f>Economic!AC37</f>
        <v>4.8000000000000114</v>
      </c>
      <c r="BM25" s="91">
        <f>Weather!C145</f>
        <v>2.0774193548387103</v>
      </c>
      <c r="BN25" s="91">
        <f>Weather!D145</f>
        <v>555.60000000000014</v>
      </c>
      <c r="BO25" s="91">
        <f>Weather!E145</f>
        <v>0</v>
      </c>
      <c r="BP25" s="91">
        <f>Weather!F145</f>
        <v>493.60000000000008</v>
      </c>
      <c r="BQ25" s="91">
        <f>Weather!G145</f>
        <v>0</v>
      </c>
      <c r="BR25" s="91">
        <f>Weather!H145</f>
        <v>431.60000000000008</v>
      </c>
      <c r="BS25" s="91">
        <f>Weather!I145</f>
        <v>0</v>
      </c>
      <c r="BT25" s="91">
        <f>Weather!J145</f>
        <v>369.60000000000008</v>
      </c>
      <c r="BU25" s="91">
        <f>Weather!K145</f>
        <v>0</v>
      </c>
      <c r="BV25" s="91">
        <f>Weather!L145</f>
        <v>307.90000000000003</v>
      </c>
      <c r="BW25" s="91">
        <f>Weather!M145</f>
        <v>0.30000000000000071</v>
      </c>
      <c r="BX25" s="91">
        <f>Weather!N145</f>
        <v>247.9</v>
      </c>
      <c r="BY25" s="91">
        <f>Weather!O145</f>
        <v>2.3000000000000007</v>
      </c>
    </row>
    <row r="26" spans="1:77" x14ac:dyDescent="0.2">
      <c r="A26" s="66">
        <v>41305</v>
      </c>
      <c r="B26" s="114">
        <f t="shared" si="0"/>
        <v>2013</v>
      </c>
      <c r="C26" s="94">
        <v>16622084.10345</v>
      </c>
      <c r="D26" s="94">
        <v>0</v>
      </c>
      <c r="E26" s="171">
        <f ca="1">CDM!D47</f>
        <v>177234.05246947324</v>
      </c>
      <c r="F26" s="94">
        <f t="shared" ca="1" si="1"/>
        <v>16799318.155919474</v>
      </c>
      <c r="G26" s="94">
        <f ca="1">VLOOKUP(B26,CDM!$A$3:$G$14,7,FALSE)</f>
        <v>221310.91561329123</v>
      </c>
      <c r="H26" s="94">
        <f t="shared" ca="1" si="2"/>
        <v>16843395.01906329</v>
      </c>
      <c r="I26" s="90">
        <f>Weather!F146</f>
        <v>612.29999999999995</v>
      </c>
      <c r="J26" s="90">
        <f>Weather!G146</f>
        <v>0</v>
      </c>
      <c r="K26" s="108">
        <v>31</v>
      </c>
      <c r="L26" s="108">
        <f t="shared" ref="L26:W26" si="19">L14</f>
        <v>1</v>
      </c>
      <c r="M26" s="108">
        <f t="shared" si="19"/>
        <v>0</v>
      </c>
      <c r="N26" s="108">
        <f t="shared" si="19"/>
        <v>0</v>
      </c>
      <c r="O26" s="108">
        <f t="shared" si="19"/>
        <v>0</v>
      </c>
      <c r="P26" s="108">
        <f t="shared" si="19"/>
        <v>0</v>
      </c>
      <c r="Q26" s="108">
        <f t="shared" si="19"/>
        <v>0</v>
      </c>
      <c r="R26" s="108">
        <f t="shared" si="19"/>
        <v>0</v>
      </c>
      <c r="S26" s="108">
        <f t="shared" si="19"/>
        <v>0</v>
      </c>
      <c r="T26" s="108">
        <f t="shared" si="19"/>
        <v>0</v>
      </c>
      <c r="U26" s="108">
        <f t="shared" si="19"/>
        <v>0</v>
      </c>
      <c r="V26" s="108">
        <f t="shared" si="19"/>
        <v>0</v>
      </c>
      <c r="W26" s="108">
        <f t="shared" si="19"/>
        <v>0</v>
      </c>
      <c r="X26" s="109">
        <v>0</v>
      </c>
      <c r="Y26" s="108">
        <f t="shared" si="8"/>
        <v>0</v>
      </c>
      <c r="Z26" s="108">
        <f t="shared" si="8"/>
        <v>0</v>
      </c>
      <c r="AA26" s="152">
        <v>0</v>
      </c>
      <c r="AB26" s="152">
        <v>0</v>
      </c>
      <c r="AC26" s="152">
        <f t="shared" si="3"/>
        <v>0</v>
      </c>
      <c r="AD26" s="152">
        <f t="shared" si="4"/>
        <v>0</v>
      </c>
      <c r="AE26" s="152">
        <v>0</v>
      </c>
      <c r="AF26" s="150">
        <f>'Customer Count'!I26</f>
        <v>13168</v>
      </c>
      <c r="AG26" s="150">
        <f>AF26-'Customer Count'!G26-'Customer Count'!F26</f>
        <v>10491</v>
      </c>
      <c r="AH26" s="150">
        <f>AF26-'Customer Count'!H26</f>
        <v>13168</v>
      </c>
      <c r="AI26" s="109">
        <f t="shared" si="5"/>
        <v>25</v>
      </c>
      <c r="AJ26" s="109">
        <v>336</v>
      </c>
      <c r="AK26" s="91">
        <v>139.10070640604135</v>
      </c>
      <c r="AL26" s="91">
        <f>Economic!C38</f>
        <v>643937</v>
      </c>
      <c r="AM26" s="91">
        <f>Economic!D38</f>
        <v>6758.8</v>
      </c>
      <c r="AN26" s="91">
        <f>Economic!E38</f>
        <v>6721.7</v>
      </c>
      <c r="AO26" s="91">
        <f>Economic!F38</f>
        <v>7.8</v>
      </c>
      <c r="AP26" s="91">
        <f>Economic!G38</f>
        <v>7.3</v>
      </c>
      <c r="AQ26" s="91">
        <f>Economic!H38</f>
        <v>380.4</v>
      </c>
      <c r="AR26" s="91">
        <f>Economic!I38</f>
        <v>378.6</v>
      </c>
      <c r="AS26" s="91">
        <f>Economic!J38</f>
        <v>6.1</v>
      </c>
      <c r="AT26" s="91">
        <f>Economic!K38</f>
        <v>5.9</v>
      </c>
      <c r="AU26" s="91">
        <f>Economic!L38</f>
        <v>200.1</v>
      </c>
      <c r="AV26" s="91">
        <f>Economic!M38</f>
        <v>197.4</v>
      </c>
      <c r="AW26" s="91">
        <f>Economic!N38</f>
        <v>7.6</v>
      </c>
      <c r="AX26" s="91">
        <f>Economic!O38</f>
        <v>7.5</v>
      </c>
      <c r="AY26" s="91">
        <f>Economic!P38</f>
        <v>1.4162974610528734E-2</v>
      </c>
      <c r="AZ26" s="91">
        <f>Economic!Q38</f>
        <v>1.2766722608487102E-2</v>
      </c>
      <c r="BA26" s="91">
        <f>Economic!R38</f>
        <v>1.2929670429030038E-2</v>
      </c>
      <c r="BB26" s="91">
        <f>Economic!S38</f>
        <v>-2.4865419123301868E-2</v>
      </c>
      <c r="BC26" s="91">
        <f>Economic!T38</f>
        <v>-2.2210743801652777E-2</v>
      </c>
      <c r="BD26" s="91">
        <f>Economic!U38</f>
        <v>2.2483392948390524E-2</v>
      </c>
      <c r="BE26" s="91">
        <f>Economic!V38</f>
        <v>1.8575851393188847E-2</v>
      </c>
      <c r="BF26" s="91">
        <f>Economic!W38</f>
        <v>8992.6999999999534</v>
      </c>
      <c r="BG26" s="91">
        <f>Economic!X38</f>
        <v>85.199999999999818</v>
      </c>
      <c r="BH26" s="91">
        <f>Economic!Y38</f>
        <v>85.800000000000182</v>
      </c>
      <c r="BI26" s="91">
        <f>Economic!Z38</f>
        <v>-9.7000000000000455</v>
      </c>
      <c r="BJ26" s="91">
        <f>Economic!AA38</f>
        <v>-8.5999999999999659</v>
      </c>
      <c r="BK26" s="91">
        <f>Economic!AB38</f>
        <v>4.4000000000000057</v>
      </c>
      <c r="BL26" s="91">
        <f>Economic!AC38</f>
        <v>3.5999999999999943</v>
      </c>
      <c r="BM26" s="91">
        <f>Weather!C146</f>
        <v>-1.7516129032258065</v>
      </c>
      <c r="BN26" s="91">
        <f>Weather!D146</f>
        <v>674.3</v>
      </c>
      <c r="BO26" s="91">
        <f>Weather!E146</f>
        <v>0</v>
      </c>
      <c r="BP26" s="91">
        <f>Weather!F146</f>
        <v>612.29999999999995</v>
      </c>
      <c r="BQ26" s="91">
        <f>Weather!G146</f>
        <v>0</v>
      </c>
      <c r="BR26" s="91">
        <f>Weather!H146</f>
        <v>550.29999999999995</v>
      </c>
      <c r="BS26" s="91">
        <f>Weather!I146</f>
        <v>0</v>
      </c>
      <c r="BT26" s="91">
        <f>Weather!J146</f>
        <v>488.3</v>
      </c>
      <c r="BU26" s="91">
        <f>Weather!K146</f>
        <v>0</v>
      </c>
      <c r="BV26" s="91">
        <f>Weather!L146</f>
        <v>426.3</v>
      </c>
      <c r="BW26" s="91">
        <f>Weather!M146</f>
        <v>0</v>
      </c>
      <c r="BX26" s="91">
        <f>Weather!N146</f>
        <v>366.8</v>
      </c>
      <c r="BY26" s="91">
        <f>Weather!O146</f>
        <v>2.5</v>
      </c>
    </row>
    <row r="27" spans="1:77" x14ac:dyDescent="0.2">
      <c r="A27" s="66">
        <v>41333</v>
      </c>
      <c r="B27" s="114">
        <f t="shared" si="0"/>
        <v>2013</v>
      </c>
      <c r="C27" s="94">
        <v>15003411.894210001</v>
      </c>
      <c r="D27" s="94">
        <v>0</v>
      </c>
      <c r="E27" s="171">
        <f ca="1">CDM!D48</f>
        <v>185248.02758653107</v>
      </c>
      <c r="F27" s="94">
        <f t="shared" ca="1" si="1"/>
        <v>15188659.921796532</v>
      </c>
      <c r="G27" s="94">
        <f ca="1">VLOOKUP(B27,CDM!$A$3:$G$14,7,FALSE)</f>
        <v>221310.91561329123</v>
      </c>
      <c r="H27" s="94">
        <f t="shared" ca="1" si="2"/>
        <v>15224722.809823293</v>
      </c>
      <c r="I27" s="90">
        <f>Weather!F147</f>
        <v>590.50000000000011</v>
      </c>
      <c r="J27" s="90">
        <f>Weather!G147</f>
        <v>0</v>
      </c>
      <c r="K27" s="108">
        <v>28</v>
      </c>
      <c r="L27" s="108">
        <f t="shared" ref="L27:W27" si="20">L15</f>
        <v>0</v>
      </c>
      <c r="M27" s="108">
        <f t="shared" si="20"/>
        <v>1</v>
      </c>
      <c r="N27" s="108">
        <f t="shared" si="20"/>
        <v>0</v>
      </c>
      <c r="O27" s="108">
        <f t="shared" si="20"/>
        <v>0</v>
      </c>
      <c r="P27" s="108">
        <f t="shared" si="20"/>
        <v>0</v>
      </c>
      <c r="Q27" s="108">
        <f t="shared" si="20"/>
        <v>0</v>
      </c>
      <c r="R27" s="108">
        <f t="shared" si="20"/>
        <v>0</v>
      </c>
      <c r="S27" s="108">
        <f t="shared" si="20"/>
        <v>0</v>
      </c>
      <c r="T27" s="108">
        <f t="shared" si="20"/>
        <v>0</v>
      </c>
      <c r="U27" s="108">
        <f t="shared" si="20"/>
        <v>0</v>
      </c>
      <c r="V27" s="108">
        <f t="shared" si="20"/>
        <v>0</v>
      </c>
      <c r="W27" s="108">
        <f t="shared" si="20"/>
        <v>0</v>
      </c>
      <c r="X27" s="109">
        <v>0</v>
      </c>
      <c r="Y27" s="108">
        <f t="shared" si="8"/>
        <v>0</v>
      </c>
      <c r="Z27" s="108">
        <f t="shared" si="8"/>
        <v>0</v>
      </c>
      <c r="AA27" s="152">
        <v>0</v>
      </c>
      <c r="AB27" s="152">
        <v>0</v>
      </c>
      <c r="AC27" s="152">
        <f t="shared" si="3"/>
        <v>0</v>
      </c>
      <c r="AD27" s="152">
        <f t="shared" si="4"/>
        <v>0</v>
      </c>
      <c r="AE27" s="152">
        <v>0</v>
      </c>
      <c r="AF27" s="150">
        <f>'Customer Count'!I27</f>
        <v>13175.5</v>
      </c>
      <c r="AG27" s="150">
        <f>AF27-'Customer Count'!G27-'Customer Count'!F27</f>
        <v>10496</v>
      </c>
      <c r="AH27" s="150">
        <f>AF27-'Customer Count'!H27</f>
        <v>13175.5</v>
      </c>
      <c r="AI27" s="109">
        <f t="shared" si="5"/>
        <v>26</v>
      </c>
      <c r="AJ27" s="109">
        <v>304</v>
      </c>
      <c r="AK27" s="91">
        <v>139.39855831733732</v>
      </c>
      <c r="AL27" s="91">
        <f>Economic!C39</f>
        <v>643937</v>
      </c>
      <c r="AM27" s="91">
        <f>Economic!D39</f>
        <v>6775.5</v>
      </c>
      <c r="AN27" s="91">
        <f>Economic!E39</f>
        <v>6702</v>
      </c>
      <c r="AO27" s="91">
        <f>Economic!F39</f>
        <v>7.8</v>
      </c>
      <c r="AP27" s="91">
        <f>Economic!G39</f>
        <v>7.5</v>
      </c>
      <c r="AQ27" s="91">
        <f>Economic!H39</f>
        <v>381.8</v>
      </c>
      <c r="AR27" s="91">
        <f>Economic!I39</f>
        <v>382.7</v>
      </c>
      <c r="AS27" s="91">
        <f>Economic!J39</f>
        <v>6.1</v>
      </c>
      <c r="AT27" s="91">
        <f>Economic!K39</f>
        <v>5.8</v>
      </c>
      <c r="AU27" s="91">
        <f>Economic!L39</f>
        <v>199.6</v>
      </c>
      <c r="AV27" s="91">
        <f>Economic!M39</f>
        <v>195.2</v>
      </c>
      <c r="AW27" s="91">
        <f>Economic!N39</f>
        <v>7.7</v>
      </c>
      <c r="AX27" s="91">
        <f>Economic!O39</f>
        <v>8.5</v>
      </c>
      <c r="AY27" s="91">
        <f>Economic!P39</f>
        <v>1.4162974610528734E-2</v>
      </c>
      <c r="AZ27" s="91">
        <f>Economic!Q39</f>
        <v>1.5710495150434101E-2</v>
      </c>
      <c r="BA27" s="91">
        <f>Economic!R39</f>
        <v>1.5762352227947973E-2</v>
      </c>
      <c r="BB27" s="91">
        <f>Economic!S39</f>
        <v>-1.6992790937178093E-2</v>
      </c>
      <c r="BC27" s="91">
        <f>Economic!T39</f>
        <v>-8.0352514256092356E-3</v>
      </c>
      <c r="BD27" s="91">
        <f>Economic!U39</f>
        <v>1.5776081424936361E-2</v>
      </c>
      <c r="BE27" s="91">
        <f>Economic!V39</f>
        <v>1.1398963730569811E-2</v>
      </c>
      <c r="BF27" s="91">
        <f>Economic!W39</f>
        <v>8992.6999999999534</v>
      </c>
      <c r="BG27" s="91">
        <f>Economic!X39</f>
        <v>104.80000000000018</v>
      </c>
      <c r="BH27" s="91">
        <f>Economic!Y39</f>
        <v>104</v>
      </c>
      <c r="BI27" s="91">
        <f>Economic!Z39</f>
        <v>-6.5999999999999659</v>
      </c>
      <c r="BJ27" s="91">
        <f>Economic!AA39</f>
        <v>-3.1000000000000227</v>
      </c>
      <c r="BK27" s="91">
        <f>Economic!AB39</f>
        <v>3.0999999999999943</v>
      </c>
      <c r="BL27" s="91">
        <f>Economic!AC39</f>
        <v>2.1999999999999886</v>
      </c>
      <c r="BM27" s="91">
        <f>Weather!C147</f>
        <v>-3.089285714285714</v>
      </c>
      <c r="BN27" s="91">
        <f>Weather!D147</f>
        <v>646.5</v>
      </c>
      <c r="BO27" s="91">
        <f>Weather!E147</f>
        <v>0</v>
      </c>
      <c r="BP27" s="91">
        <f>Weather!F147</f>
        <v>590.50000000000011</v>
      </c>
      <c r="BQ27" s="91">
        <f>Weather!G147</f>
        <v>0</v>
      </c>
      <c r="BR27" s="91">
        <f>Weather!H147</f>
        <v>534.5</v>
      </c>
      <c r="BS27" s="91">
        <f>Weather!I147</f>
        <v>0</v>
      </c>
      <c r="BT27" s="91">
        <f>Weather!J147</f>
        <v>478.5</v>
      </c>
      <c r="BU27" s="91">
        <f>Weather!K147</f>
        <v>0</v>
      </c>
      <c r="BV27" s="91">
        <f>Weather!L147</f>
        <v>422.50000000000006</v>
      </c>
      <c r="BW27" s="91">
        <f>Weather!M147</f>
        <v>0</v>
      </c>
      <c r="BX27" s="91">
        <f>Weather!N147</f>
        <v>366.50000000000006</v>
      </c>
      <c r="BY27" s="91">
        <f>Weather!O147</f>
        <v>0</v>
      </c>
    </row>
    <row r="28" spans="1:77" x14ac:dyDescent="0.2">
      <c r="A28" s="66">
        <v>41364</v>
      </c>
      <c r="B28" s="114">
        <f t="shared" si="0"/>
        <v>2013</v>
      </c>
      <c r="C28" s="94">
        <v>15405740.23608</v>
      </c>
      <c r="D28" s="94">
        <v>0</v>
      </c>
      <c r="E28" s="171">
        <f ca="1">CDM!D49</f>
        <v>193262.00270358886</v>
      </c>
      <c r="F28" s="94">
        <f t="shared" ca="1" si="1"/>
        <v>15599002.238783589</v>
      </c>
      <c r="G28" s="94">
        <f ca="1">VLOOKUP(B28,CDM!$A$3:$G$14,7,FALSE)</f>
        <v>221310.91561329123</v>
      </c>
      <c r="H28" s="94">
        <f t="shared" ca="1" si="2"/>
        <v>15627051.151693292</v>
      </c>
      <c r="I28" s="90">
        <f>Weather!F148</f>
        <v>525.20000000000005</v>
      </c>
      <c r="J28" s="90">
        <f>Weather!G148</f>
        <v>0</v>
      </c>
      <c r="K28" s="108">
        <v>31</v>
      </c>
      <c r="L28" s="108">
        <f t="shared" ref="L28:W28" si="21">L16</f>
        <v>0</v>
      </c>
      <c r="M28" s="108">
        <f t="shared" si="21"/>
        <v>0</v>
      </c>
      <c r="N28" s="108">
        <f t="shared" si="21"/>
        <v>1</v>
      </c>
      <c r="O28" s="108">
        <f t="shared" si="21"/>
        <v>0</v>
      </c>
      <c r="P28" s="108">
        <f t="shared" si="21"/>
        <v>0</v>
      </c>
      <c r="Q28" s="108">
        <f t="shared" si="21"/>
        <v>0</v>
      </c>
      <c r="R28" s="108">
        <f t="shared" si="21"/>
        <v>0</v>
      </c>
      <c r="S28" s="108">
        <f t="shared" si="21"/>
        <v>0</v>
      </c>
      <c r="T28" s="108">
        <f t="shared" si="21"/>
        <v>0</v>
      </c>
      <c r="U28" s="108">
        <f t="shared" si="21"/>
        <v>0</v>
      </c>
      <c r="V28" s="108">
        <f t="shared" si="21"/>
        <v>0</v>
      </c>
      <c r="W28" s="108">
        <f t="shared" si="21"/>
        <v>0</v>
      </c>
      <c r="X28" s="109">
        <v>1</v>
      </c>
      <c r="Y28" s="108">
        <f t="shared" si="8"/>
        <v>1</v>
      </c>
      <c r="Z28" s="108">
        <f t="shared" si="8"/>
        <v>0</v>
      </c>
      <c r="AA28" s="152">
        <v>0</v>
      </c>
      <c r="AB28" s="152">
        <v>0</v>
      </c>
      <c r="AC28" s="152">
        <f t="shared" si="3"/>
        <v>0</v>
      </c>
      <c r="AD28" s="152">
        <f t="shared" si="4"/>
        <v>0</v>
      </c>
      <c r="AE28" s="152">
        <v>0</v>
      </c>
      <c r="AF28" s="150">
        <f>'Customer Count'!I28</f>
        <v>13181.5</v>
      </c>
      <c r="AG28" s="150">
        <f>AF28-'Customer Count'!G28-'Customer Count'!F28</f>
        <v>10499.5</v>
      </c>
      <c r="AH28" s="150">
        <f>AF28-'Customer Count'!H28</f>
        <v>13181.5</v>
      </c>
      <c r="AI28" s="109">
        <f t="shared" si="5"/>
        <v>27</v>
      </c>
      <c r="AJ28" s="109">
        <v>368</v>
      </c>
      <c r="AK28" s="91">
        <v>139.69704800944226</v>
      </c>
      <c r="AL28" s="91">
        <f>Economic!C40</f>
        <v>643937</v>
      </c>
      <c r="AM28" s="91">
        <f>Economic!D40</f>
        <v>6781.1</v>
      </c>
      <c r="AN28" s="91">
        <f>Economic!E40</f>
        <v>6675.8</v>
      </c>
      <c r="AO28" s="91">
        <f>Economic!F40</f>
        <v>7.8</v>
      </c>
      <c r="AP28" s="91">
        <f>Economic!G40</f>
        <v>7.9</v>
      </c>
      <c r="AQ28" s="91">
        <f>Economic!H40</f>
        <v>380.1</v>
      </c>
      <c r="AR28" s="91">
        <f>Economic!I40</f>
        <v>379.3</v>
      </c>
      <c r="AS28" s="91">
        <f>Economic!J40</f>
        <v>6.7</v>
      </c>
      <c r="AT28" s="91">
        <f>Economic!K40</f>
        <v>6.6</v>
      </c>
      <c r="AU28" s="91">
        <f>Economic!L40</f>
        <v>198.6</v>
      </c>
      <c r="AV28" s="91">
        <f>Economic!M40</f>
        <v>193.3</v>
      </c>
      <c r="AW28" s="91">
        <f>Economic!N40</f>
        <v>8.3000000000000007</v>
      </c>
      <c r="AX28" s="91">
        <f>Economic!O40</f>
        <v>9.5</v>
      </c>
      <c r="AY28" s="91">
        <f>Economic!P40</f>
        <v>1.4162974610528734E-2</v>
      </c>
      <c r="AZ28" s="91">
        <f>Economic!Q40</f>
        <v>1.6047347917291122E-2</v>
      </c>
      <c r="BA28" s="91">
        <f>Economic!R40</f>
        <v>1.6134433316082664E-2</v>
      </c>
      <c r="BB28" s="91">
        <f>Economic!S40</f>
        <v>-1.2727272727272698E-2</v>
      </c>
      <c r="BC28" s="91">
        <f>Economic!T40</f>
        <v>-3.677436301549708E-3</v>
      </c>
      <c r="BD28" s="91">
        <f>Economic!U40</f>
        <v>8.1218274111674038E-3</v>
      </c>
      <c r="BE28" s="91">
        <f>Economic!V40</f>
        <v>4.155844155844246E-3</v>
      </c>
      <c r="BF28" s="91">
        <f>Economic!W40</f>
        <v>8992.6999999999534</v>
      </c>
      <c r="BG28" s="91">
        <f>Economic!X40</f>
        <v>107.10000000000036</v>
      </c>
      <c r="BH28" s="91">
        <f>Economic!Y40</f>
        <v>106</v>
      </c>
      <c r="BI28" s="91">
        <f>Economic!Z40</f>
        <v>-4.8999999999999773</v>
      </c>
      <c r="BJ28" s="91">
        <f>Economic!AA40</f>
        <v>-1.3999999999999773</v>
      </c>
      <c r="BK28" s="91">
        <f>Economic!AB40</f>
        <v>1.5999999999999943</v>
      </c>
      <c r="BL28" s="91">
        <f>Economic!AC40</f>
        <v>0.80000000000001137</v>
      </c>
      <c r="BM28" s="91">
        <f>Weather!C148</f>
        <v>1.0580645161290323</v>
      </c>
      <c r="BN28" s="91">
        <f>Weather!D148</f>
        <v>587.20000000000005</v>
      </c>
      <c r="BO28" s="91">
        <f>Weather!E148</f>
        <v>0</v>
      </c>
      <c r="BP28" s="91">
        <f>Weather!F148</f>
        <v>525.20000000000005</v>
      </c>
      <c r="BQ28" s="91">
        <f>Weather!G148</f>
        <v>0</v>
      </c>
      <c r="BR28" s="91">
        <f>Weather!H148</f>
        <v>463.2000000000001</v>
      </c>
      <c r="BS28" s="91">
        <f>Weather!I148</f>
        <v>0</v>
      </c>
      <c r="BT28" s="91">
        <f>Weather!J148</f>
        <v>401.20000000000005</v>
      </c>
      <c r="BU28" s="91">
        <f>Weather!K148</f>
        <v>0</v>
      </c>
      <c r="BV28" s="91">
        <f>Weather!L148</f>
        <v>339.20000000000005</v>
      </c>
      <c r="BW28" s="91">
        <f>Weather!M148</f>
        <v>0</v>
      </c>
      <c r="BX28" s="91">
        <f>Weather!N148</f>
        <v>277.30000000000013</v>
      </c>
      <c r="BY28" s="91">
        <f>Weather!O148</f>
        <v>9.9999999999999645E-2</v>
      </c>
    </row>
    <row r="29" spans="1:77" x14ac:dyDescent="0.2">
      <c r="A29" s="66">
        <v>41394</v>
      </c>
      <c r="B29" s="114">
        <f t="shared" si="0"/>
        <v>2013</v>
      </c>
      <c r="C29" s="94">
        <v>13953064.21022</v>
      </c>
      <c r="D29" s="94">
        <v>0</v>
      </c>
      <c r="E29" s="171">
        <f ca="1">CDM!D50</f>
        <v>201275.97782064669</v>
      </c>
      <c r="F29" s="94">
        <f t="shared" ca="1" si="1"/>
        <v>14154340.188040646</v>
      </c>
      <c r="G29" s="94">
        <f ca="1">VLOOKUP(B29,CDM!$A$3:$G$14,7,FALSE)</f>
        <v>221310.91561329123</v>
      </c>
      <c r="H29" s="94">
        <f t="shared" ca="1" si="2"/>
        <v>14174375.125833292</v>
      </c>
      <c r="I29" s="90">
        <f>Weather!F149</f>
        <v>339.99999999999994</v>
      </c>
      <c r="J29" s="90">
        <f>Weather!G149</f>
        <v>0</v>
      </c>
      <c r="K29" s="108">
        <v>30</v>
      </c>
      <c r="L29" s="108">
        <f t="shared" ref="L29:W29" si="22">L17</f>
        <v>0</v>
      </c>
      <c r="M29" s="108">
        <f t="shared" si="22"/>
        <v>0</v>
      </c>
      <c r="N29" s="108">
        <f t="shared" si="22"/>
        <v>0</v>
      </c>
      <c r="O29" s="108">
        <f t="shared" si="22"/>
        <v>1</v>
      </c>
      <c r="P29" s="108">
        <f t="shared" si="22"/>
        <v>0</v>
      </c>
      <c r="Q29" s="108">
        <f t="shared" si="22"/>
        <v>0</v>
      </c>
      <c r="R29" s="108">
        <f t="shared" si="22"/>
        <v>0</v>
      </c>
      <c r="S29" s="108">
        <f t="shared" si="22"/>
        <v>0</v>
      </c>
      <c r="T29" s="108">
        <f t="shared" si="22"/>
        <v>0</v>
      </c>
      <c r="U29" s="108">
        <f t="shared" si="22"/>
        <v>0</v>
      </c>
      <c r="V29" s="108">
        <f t="shared" si="22"/>
        <v>0</v>
      </c>
      <c r="W29" s="108">
        <f t="shared" si="22"/>
        <v>0</v>
      </c>
      <c r="X29" s="109">
        <v>1</v>
      </c>
      <c r="Y29" s="108">
        <f t="shared" si="8"/>
        <v>1</v>
      </c>
      <c r="Z29" s="108">
        <f t="shared" si="8"/>
        <v>0</v>
      </c>
      <c r="AA29" s="152">
        <v>0</v>
      </c>
      <c r="AB29" s="152">
        <v>0</v>
      </c>
      <c r="AC29" s="152">
        <f t="shared" si="3"/>
        <v>0</v>
      </c>
      <c r="AD29" s="152">
        <f t="shared" si="4"/>
        <v>0</v>
      </c>
      <c r="AE29" s="152">
        <v>0</v>
      </c>
      <c r="AF29" s="150">
        <f>'Customer Count'!I29</f>
        <v>13183.5</v>
      </c>
      <c r="AG29" s="150">
        <f>AF29-'Customer Count'!G29-'Customer Count'!F29</f>
        <v>10501.5</v>
      </c>
      <c r="AH29" s="150">
        <f>AF29-'Customer Count'!H29</f>
        <v>13183.5</v>
      </c>
      <c r="AI29" s="109">
        <f t="shared" si="5"/>
        <v>28</v>
      </c>
      <c r="AJ29" s="109">
        <v>320</v>
      </c>
      <c r="AK29" s="91">
        <v>139.99617684801592</v>
      </c>
      <c r="AL29" s="91">
        <f>Economic!C41</f>
        <v>643937</v>
      </c>
      <c r="AM29" s="91">
        <f>Economic!D41</f>
        <v>6788.9</v>
      </c>
      <c r="AN29" s="91">
        <f>Economic!E41</f>
        <v>6703.7</v>
      </c>
      <c r="AO29" s="91">
        <f>Economic!F41</f>
        <v>7.8</v>
      </c>
      <c r="AP29" s="91">
        <f>Economic!G41</f>
        <v>7.9</v>
      </c>
      <c r="AQ29" s="91">
        <f>Economic!H41</f>
        <v>377.1</v>
      </c>
      <c r="AR29" s="91">
        <f>Economic!I41</f>
        <v>375.4</v>
      </c>
      <c r="AS29" s="91">
        <f>Economic!J41</f>
        <v>7</v>
      </c>
      <c r="AT29" s="91">
        <f>Economic!K41</f>
        <v>6.8</v>
      </c>
      <c r="AU29" s="91">
        <f>Economic!L41</f>
        <v>196.4</v>
      </c>
      <c r="AV29" s="91">
        <f>Economic!M41</f>
        <v>191.8</v>
      </c>
      <c r="AW29" s="91">
        <f>Economic!N41</f>
        <v>9</v>
      </c>
      <c r="AX29" s="91">
        <f>Economic!O41</f>
        <v>10</v>
      </c>
      <c r="AY29" s="91">
        <f>Economic!P41</f>
        <v>1.4162974610528734E-2</v>
      </c>
      <c r="AZ29" s="91">
        <f>Economic!Q41</f>
        <v>1.5420742469113513E-2</v>
      </c>
      <c r="BA29" s="91">
        <f>Economic!R41</f>
        <v>1.5204518952644852E-2</v>
      </c>
      <c r="BB29" s="91">
        <f>Economic!S41</f>
        <v>-1.4117647058823457E-2</v>
      </c>
      <c r="BC29" s="91">
        <f>Economic!T41</f>
        <v>-9.2372657693322591E-3</v>
      </c>
      <c r="BD29" s="91">
        <f>Economic!U41</f>
        <v>-1.0080645161290369E-2</v>
      </c>
      <c r="BE29" s="91">
        <f>Economic!V41</f>
        <v>-8.2730093071354815E-3</v>
      </c>
      <c r="BF29" s="91">
        <f>Economic!W41</f>
        <v>8992.6999999999534</v>
      </c>
      <c r="BG29" s="91">
        <f>Economic!X41</f>
        <v>103.09999999999945</v>
      </c>
      <c r="BH29" s="91">
        <f>Economic!Y41</f>
        <v>100.39999999999964</v>
      </c>
      <c r="BI29" s="91">
        <f>Economic!Z41</f>
        <v>-5.3999999999999773</v>
      </c>
      <c r="BJ29" s="91">
        <f>Economic!AA41</f>
        <v>-3.5</v>
      </c>
      <c r="BK29" s="91">
        <f>Economic!AB41</f>
        <v>-2</v>
      </c>
      <c r="BL29" s="91">
        <f>Economic!AC41</f>
        <v>-1.5999999999999943</v>
      </c>
      <c r="BM29" s="91">
        <f>Weather!C149</f>
        <v>6.666666666666667</v>
      </c>
      <c r="BN29" s="91">
        <f>Weather!D149</f>
        <v>400</v>
      </c>
      <c r="BO29" s="91">
        <f>Weather!E149</f>
        <v>0</v>
      </c>
      <c r="BP29" s="91">
        <f>Weather!F149</f>
        <v>339.99999999999994</v>
      </c>
      <c r="BQ29" s="91">
        <f>Weather!G149</f>
        <v>0</v>
      </c>
      <c r="BR29" s="91">
        <f>Weather!H149</f>
        <v>280</v>
      </c>
      <c r="BS29" s="91">
        <f>Weather!I149</f>
        <v>0</v>
      </c>
      <c r="BT29" s="91">
        <f>Weather!J149</f>
        <v>223.00000000000003</v>
      </c>
      <c r="BU29" s="91">
        <f>Weather!K149</f>
        <v>3</v>
      </c>
      <c r="BV29" s="91">
        <f>Weather!L149</f>
        <v>169.7</v>
      </c>
      <c r="BW29" s="91">
        <f>Weather!M149</f>
        <v>9.7000000000000011</v>
      </c>
      <c r="BX29" s="91">
        <f>Weather!N149</f>
        <v>122.20000000000002</v>
      </c>
      <c r="BY29" s="91">
        <f>Weather!O149</f>
        <v>22.200000000000003</v>
      </c>
    </row>
    <row r="30" spans="1:77" x14ac:dyDescent="0.2">
      <c r="A30" s="66">
        <v>41425</v>
      </c>
      <c r="B30" s="114">
        <f t="shared" si="0"/>
        <v>2013</v>
      </c>
      <c r="C30" s="94">
        <v>14135961.105699999</v>
      </c>
      <c r="D30" s="94">
        <v>0</v>
      </c>
      <c r="E30" s="171">
        <f ca="1">CDM!D51</f>
        <v>209289.95293770451</v>
      </c>
      <c r="F30" s="94">
        <f t="shared" ca="1" si="1"/>
        <v>14345251.058637705</v>
      </c>
      <c r="G30" s="94">
        <f ca="1">VLOOKUP(B30,CDM!$A$3:$G$14,7,FALSE)</f>
        <v>221310.91561329123</v>
      </c>
      <c r="H30" s="94">
        <f t="shared" ca="1" si="2"/>
        <v>14357272.021313291</v>
      </c>
      <c r="I30" s="90">
        <f>Weather!F150</f>
        <v>114.60000000000001</v>
      </c>
      <c r="J30" s="90">
        <f>Weather!G150</f>
        <v>25.4</v>
      </c>
      <c r="K30" s="108">
        <v>31</v>
      </c>
      <c r="L30" s="108">
        <f t="shared" ref="L30:W30" si="23">L18</f>
        <v>0</v>
      </c>
      <c r="M30" s="108">
        <f t="shared" si="23"/>
        <v>0</v>
      </c>
      <c r="N30" s="108">
        <f t="shared" si="23"/>
        <v>0</v>
      </c>
      <c r="O30" s="108">
        <f t="shared" si="23"/>
        <v>0</v>
      </c>
      <c r="P30" s="108">
        <f t="shared" si="23"/>
        <v>1</v>
      </c>
      <c r="Q30" s="108">
        <f t="shared" si="23"/>
        <v>0</v>
      </c>
      <c r="R30" s="108">
        <f t="shared" si="23"/>
        <v>0</v>
      </c>
      <c r="S30" s="108">
        <f t="shared" si="23"/>
        <v>0</v>
      </c>
      <c r="T30" s="108">
        <f t="shared" si="23"/>
        <v>0</v>
      </c>
      <c r="U30" s="108">
        <f t="shared" si="23"/>
        <v>0</v>
      </c>
      <c r="V30" s="108">
        <f t="shared" si="23"/>
        <v>0</v>
      </c>
      <c r="W30" s="108">
        <f t="shared" si="23"/>
        <v>0</v>
      </c>
      <c r="X30" s="109">
        <v>1</v>
      </c>
      <c r="Y30" s="108">
        <f t="shared" si="8"/>
        <v>1</v>
      </c>
      <c r="Z30" s="108">
        <f t="shared" si="8"/>
        <v>0</v>
      </c>
      <c r="AA30" s="152">
        <v>0</v>
      </c>
      <c r="AB30" s="152">
        <v>0</v>
      </c>
      <c r="AC30" s="152">
        <f t="shared" si="3"/>
        <v>0</v>
      </c>
      <c r="AD30" s="152">
        <f t="shared" si="4"/>
        <v>0</v>
      </c>
      <c r="AE30" s="152">
        <v>0</v>
      </c>
      <c r="AF30" s="150">
        <f>'Customer Count'!I30</f>
        <v>13186.5</v>
      </c>
      <c r="AG30" s="150">
        <f>AF30-'Customer Count'!G30-'Customer Count'!F30</f>
        <v>10504.5</v>
      </c>
      <c r="AH30" s="150">
        <f>AF30-'Customer Count'!H30</f>
        <v>13186.5</v>
      </c>
      <c r="AI30" s="109">
        <f t="shared" si="5"/>
        <v>29</v>
      </c>
      <c r="AJ30" s="109">
        <v>336</v>
      </c>
      <c r="AK30" s="91">
        <v>140.29594620164227</v>
      </c>
      <c r="AL30" s="91">
        <f>Economic!C42</f>
        <v>643937</v>
      </c>
      <c r="AM30" s="91">
        <f>Economic!D42</f>
        <v>6801.1</v>
      </c>
      <c r="AN30" s="91">
        <f>Economic!E42</f>
        <v>6770.3</v>
      </c>
      <c r="AO30" s="91">
        <f>Economic!F42</f>
        <v>7.7</v>
      </c>
      <c r="AP30" s="91">
        <f>Economic!G42</f>
        <v>7.9</v>
      </c>
      <c r="AQ30" s="91">
        <f>Economic!H42</f>
        <v>378.2</v>
      </c>
      <c r="AR30" s="91">
        <f>Economic!I42</f>
        <v>376.4</v>
      </c>
      <c r="AS30" s="91">
        <f>Economic!J42</f>
        <v>6.9</v>
      </c>
      <c r="AT30" s="91">
        <f>Economic!K42</f>
        <v>6.8</v>
      </c>
      <c r="AU30" s="91">
        <f>Economic!L42</f>
        <v>196.2</v>
      </c>
      <c r="AV30" s="91">
        <f>Economic!M42</f>
        <v>195.4</v>
      </c>
      <c r="AW30" s="91">
        <f>Economic!N42</f>
        <v>8.8000000000000007</v>
      </c>
      <c r="AX30" s="91">
        <f>Economic!O42</f>
        <v>9.1999999999999993</v>
      </c>
      <c r="AY30" s="91">
        <f>Economic!P42</f>
        <v>1.4162974610528734E-2</v>
      </c>
      <c r="AZ30" s="91">
        <f>Economic!Q42</f>
        <v>1.659168024394253E-2</v>
      </c>
      <c r="BA30" s="91">
        <f>Economic!R42</f>
        <v>1.6851654375872993E-2</v>
      </c>
      <c r="BB30" s="91">
        <f>Economic!S42</f>
        <v>5.0491629019397966E-3</v>
      </c>
      <c r="BC30" s="91">
        <f>Economic!T42</f>
        <v>3.4657424686748151E-3</v>
      </c>
      <c r="BD30" s="91">
        <f>Economic!U42</f>
        <v>-1.998001998001997E-2</v>
      </c>
      <c r="BE30" s="91">
        <f>Economic!V42</f>
        <v>-1.8090452261306456E-2</v>
      </c>
      <c r="BF30" s="91">
        <f>Economic!W42</f>
        <v>8992.6999999999534</v>
      </c>
      <c r="BG30" s="91">
        <f>Economic!X42</f>
        <v>111</v>
      </c>
      <c r="BH30" s="91">
        <f>Economic!Y42</f>
        <v>112.19999999999982</v>
      </c>
      <c r="BI30" s="91">
        <f>Economic!Z42</f>
        <v>1.8999999999999773</v>
      </c>
      <c r="BJ30" s="91">
        <f>Economic!AA42</f>
        <v>1.2999999999999545</v>
      </c>
      <c r="BK30" s="91">
        <f>Economic!AB42</f>
        <v>-4</v>
      </c>
      <c r="BL30" s="91">
        <f>Economic!AC42</f>
        <v>-3.5999999999999943</v>
      </c>
      <c r="BM30" s="91">
        <f>Weather!C150</f>
        <v>15.122580645161291</v>
      </c>
      <c r="BN30" s="91">
        <f>Weather!D150</f>
        <v>164.50000000000003</v>
      </c>
      <c r="BO30" s="91">
        <f>Weather!E150</f>
        <v>13.3</v>
      </c>
      <c r="BP30" s="91">
        <f>Weather!F150</f>
        <v>114.60000000000001</v>
      </c>
      <c r="BQ30" s="91">
        <f>Weather!G150</f>
        <v>25.4</v>
      </c>
      <c r="BR30" s="91">
        <f>Weather!H150</f>
        <v>72.2</v>
      </c>
      <c r="BS30" s="91">
        <f>Weather!I150</f>
        <v>45</v>
      </c>
      <c r="BT30" s="91">
        <f>Weather!J150</f>
        <v>39</v>
      </c>
      <c r="BU30" s="91">
        <f>Weather!K150</f>
        <v>73.8</v>
      </c>
      <c r="BV30" s="91">
        <f>Weather!L150</f>
        <v>22</v>
      </c>
      <c r="BW30" s="91">
        <f>Weather!M150</f>
        <v>118.80000000000003</v>
      </c>
      <c r="BX30" s="91">
        <f>Weather!N150</f>
        <v>11.6</v>
      </c>
      <c r="BY30" s="91">
        <f>Weather!O150</f>
        <v>170.39999999999995</v>
      </c>
    </row>
    <row r="31" spans="1:77" x14ac:dyDescent="0.2">
      <c r="A31" s="66">
        <v>41455</v>
      </c>
      <c r="B31" s="114">
        <f t="shared" si="0"/>
        <v>2013</v>
      </c>
      <c r="C31" s="94">
        <v>15880216.29284</v>
      </c>
      <c r="D31" s="94">
        <v>0</v>
      </c>
      <c r="E31" s="171">
        <f ca="1">CDM!D52</f>
        <v>217303.92805476233</v>
      </c>
      <c r="F31" s="94">
        <f t="shared" ca="1" si="1"/>
        <v>16097520.220894763</v>
      </c>
      <c r="G31" s="94">
        <f ca="1">VLOOKUP(B31,CDM!$A$3:$G$14,7,FALSE)</f>
        <v>221310.91561329123</v>
      </c>
      <c r="H31" s="94">
        <f t="shared" ca="1" si="2"/>
        <v>16101527.208453292</v>
      </c>
      <c r="I31" s="90">
        <f>Weather!F151</f>
        <v>34.099999999999994</v>
      </c>
      <c r="J31" s="90">
        <f>Weather!G151</f>
        <v>68.099999999999994</v>
      </c>
      <c r="K31" s="108">
        <v>30</v>
      </c>
      <c r="L31" s="108">
        <f t="shared" ref="L31:W31" si="24">L19</f>
        <v>0</v>
      </c>
      <c r="M31" s="108">
        <f t="shared" si="24"/>
        <v>0</v>
      </c>
      <c r="N31" s="108">
        <f t="shared" si="24"/>
        <v>0</v>
      </c>
      <c r="O31" s="108">
        <f t="shared" si="24"/>
        <v>0</v>
      </c>
      <c r="P31" s="108">
        <f t="shared" si="24"/>
        <v>0</v>
      </c>
      <c r="Q31" s="108">
        <f t="shared" si="24"/>
        <v>1</v>
      </c>
      <c r="R31" s="108">
        <f t="shared" si="24"/>
        <v>0</v>
      </c>
      <c r="S31" s="108">
        <f t="shared" si="24"/>
        <v>0</v>
      </c>
      <c r="T31" s="108">
        <f t="shared" si="24"/>
        <v>0</v>
      </c>
      <c r="U31" s="108">
        <f t="shared" si="24"/>
        <v>0</v>
      </c>
      <c r="V31" s="108">
        <f t="shared" si="24"/>
        <v>0</v>
      </c>
      <c r="W31" s="108">
        <f t="shared" si="24"/>
        <v>0</v>
      </c>
      <c r="X31" s="109">
        <v>0</v>
      </c>
      <c r="Y31" s="108">
        <f t="shared" ref="Y31:Z46" si="25">Y19</f>
        <v>0</v>
      </c>
      <c r="Z31" s="108">
        <f t="shared" si="25"/>
        <v>0</v>
      </c>
      <c r="AA31" s="152">
        <v>0</v>
      </c>
      <c r="AB31" s="152">
        <v>0</v>
      </c>
      <c r="AC31" s="152">
        <f t="shared" si="3"/>
        <v>0</v>
      </c>
      <c r="AD31" s="152">
        <f t="shared" si="4"/>
        <v>0</v>
      </c>
      <c r="AE31" s="152">
        <v>0</v>
      </c>
      <c r="AF31" s="150">
        <f>'Customer Count'!I31</f>
        <v>13193</v>
      </c>
      <c r="AG31" s="150">
        <f>AF31-'Customer Count'!G31-'Customer Count'!F31</f>
        <v>10511</v>
      </c>
      <c r="AH31" s="150">
        <f>AF31-'Customer Count'!H31</f>
        <v>13193</v>
      </c>
      <c r="AI31" s="109">
        <f t="shared" si="5"/>
        <v>30</v>
      </c>
      <c r="AJ31" s="109">
        <v>352</v>
      </c>
      <c r="AK31" s="91">
        <v>140.59635744183578</v>
      </c>
      <c r="AL31" s="91">
        <f>Economic!C43</f>
        <v>643937</v>
      </c>
      <c r="AM31" s="91">
        <f>Economic!D43</f>
        <v>6815.2</v>
      </c>
      <c r="AN31" s="91">
        <f>Economic!E43</f>
        <v>6861.8</v>
      </c>
      <c r="AO31" s="91">
        <f>Economic!F43</f>
        <v>7.6</v>
      </c>
      <c r="AP31" s="91">
        <f>Economic!G43</f>
        <v>7.6</v>
      </c>
      <c r="AQ31" s="91">
        <f>Economic!H43</f>
        <v>376.8</v>
      </c>
      <c r="AR31" s="91">
        <f>Economic!I43</f>
        <v>378.6</v>
      </c>
      <c r="AS31" s="91">
        <f>Economic!J43</f>
        <v>6.2</v>
      </c>
      <c r="AT31" s="91">
        <f>Economic!K43</f>
        <v>5.8</v>
      </c>
      <c r="AU31" s="91">
        <f>Economic!L43</f>
        <v>194.3</v>
      </c>
      <c r="AV31" s="91">
        <f>Economic!M43</f>
        <v>196.8</v>
      </c>
      <c r="AW31" s="91">
        <f>Economic!N43</f>
        <v>8.5</v>
      </c>
      <c r="AX31" s="91">
        <f>Economic!O43</f>
        <v>7.9</v>
      </c>
      <c r="AY31" s="91">
        <f>Economic!P43</f>
        <v>1.4162974610528734E-2</v>
      </c>
      <c r="AZ31" s="91">
        <f>Economic!Q43</f>
        <v>1.8212242092839004E-2</v>
      </c>
      <c r="BA31" s="91">
        <f>Economic!R43</f>
        <v>1.8494329988719471E-2</v>
      </c>
      <c r="BB31" s="91">
        <f>Economic!S43</f>
        <v>1.4266487213997259E-2</v>
      </c>
      <c r="BC31" s="91">
        <f>Economic!T43</f>
        <v>1.2841091492777013E-2</v>
      </c>
      <c r="BD31" s="91">
        <f>Economic!U43</f>
        <v>-4.2857142857142816E-2</v>
      </c>
      <c r="BE31" s="91">
        <f>Economic!V43</f>
        <v>-4.1402825133950327E-2</v>
      </c>
      <c r="BF31" s="91">
        <f>Economic!W43</f>
        <v>8992.6999999999534</v>
      </c>
      <c r="BG31" s="91">
        <f>Economic!X43</f>
        <v>121.89999999999964</v>
      </c>
      <c r="BH31" s="91">
        <f>Economic!Y43</f>
        <v>124.60000000000036</v>
      </c>
      <c r="BI31" s="91">
        <f>Economic!Z43</f>
        <v>5.3000000000000114</v>
      </c>
      <c r="BJ31" s="91">
        <f>Economic!AA43</f>
        <v>4.8000000000000114</v>
      </c>
      <c r="BK31" s="91">
        <f>Economic!AB43</f>
        <v>-8.6999999999999886</v>
      </c>
      <c r="BL31" s="91">
        <f>Economic!AC43</f>
        <v>-8.5</v>
      </c>
      <c r="BM31" s="91">
        <f>Weather!C151</f>
        <v>19.133333333333336</v>
      </c>
      <c r="BN31" s="91">
        <f>Weather!D151</f>
        <v>64.8</v>
      </c>
      <c r="BO31" s="91">
        <f>Weather!E151</f>
        <v>38.800000000000004</v>
      </c>
      <c r="BP31" s="91">
        <f>Weather!F151</f>
        <v>34.099999999999994</v>
      </c>
      <c r="BQ31" s="91">
        <f>Weather!G151</f>
        <v>68.099999999999994</v>
      </c>
      <c r="BR31" s="91">
        <f>Weather!H151</f>
        <v>15.099999999999998</v>
      </c>
      <c r="BS31" s="91">
        <f>Weather!I151</f>
        <v>109.1</v>
      </c>
      <c r="BT31" s="91">
        <f>Weather!J151</f>
        <v>5.1999999999999993</v>
      </c>
      <c r="BU31" s="91">
        <f>Weather!K151</f>
        <v>159.19999999999999</v>
      </c>
      <c r="BV31" s="91">
        <f>Weather!L151</f>
        <v>0.80000000000000071</v>
      </c>
      <c r="BW31" s="91">
        <f>Weather!M151</f>
        <v>214.79999999999998</v>
      </c>
      <c r="BX31" s="91">
        <f>Weather!N151</f>
        <v>0</v>
      </c>
      <c r="BY31" s="91">
        <f>Weather!O151</f>
        <v>274.00000000000006</v>
      </c>
    </row>
    <row r="32" spans="1:77" x14ac:dyDescent="0.2">
      <c r="A32" s="66">
        <v>41486</v>
      </c>
      <c r="B32" s="114">
        <f t="shared" si="0"/>
        <v>2013</v>
      </c>
      <c r="C32" s="94">
        <v>19373764.10244</v>
      </c>
      <c r="D32" s="94">
        <v>0</v>
      </c>
      <c r="E32" s="171">
        <f ca="1">CDM!D53</f>
        <v>225317.90317182016</v>
      </c>
      <c r="F32" s="94">
        <f t="shared" ca="1" si="1"/>
        <v>19599082.005611818</v>
      </c>
      <c r="G32" s="94">
        <f ca="1">VLOOKUP(B32,CDM!$A$3:$G$14,7,FALSE)</f>
        <v>221310.91561329123</v>
      </c>
      <c r="H32" s="94">
        <f t="shared" ca="1" si="2"/>
        <v>19595075.01805329</v>
      </c>
      <c r="I32" s="90">
        <f>Weather!F152</f>
        <v>0.39999999999999858</v>
      </c>
      <c r="J32" s="90">
        <f>Weather!G152</f>
        <v>141.39999999999998</v>
      </c>
      <c r="K32" s="108">
        <v>31</v>
      </c>
      <c r="L32" s="108">
        <f t="shared" ref="L32:W32" si="26">L20</f>
        <v>0</v>
      </c>
      <c r="M32" s="108">
        <f t="shared" si="26"/>
        <v>0</v>
      </c>
      <c r="N32" s="108">
        <f t="shared" si="26"/>
        <v>0</v>
      </c>
      <c r="O32" s="108">
        <f t="shared" si="26"/>
        <v>0</v>
      </c>
      <c r="P32" s="108">
        <f t="shared" si="26"/>
        <v>0</v>
      </c>
      <c r="Q32" s="108">
        <f t="shared" si="26"/>
        <v>0</v>
      </c>
      <c r="R32" s="108">
        <f t="shared" si="26"/>
        <v>1</v>
      </c>
      <c r="S32" s="108">
        <f t="shared" si="26"/>
        <v>0</v>
      </c>
      <c r="T32" s="108">
        <f t="shared" si="26"/>
        <v>0</v>
      </c>
      <c r="U32" s="108">
        <f t="shared" si="26"/>
        <v>0</v>
      </c>
      <c r="V32" s="108">
        <f t="shared" si="26"/>
        <v>0</v>
      </c>
      <c r="W32" s="108">
        <f t="shared" si="26"/>
        <v>0</v>
      </c>
      <c r="X32" s="109">
        <v>0</v>
      </c>
      <c r="Y32" s="108">
        <f t="shared" si="25"/>
        <v>0</v>
      </c>
      <c r="Z32" s="108">
        <f t="shared" si="25"/>
        <v>0</v>
      </c>
      <c r="AA32" s="152">
        <v>0</v>
      </c>
      <c r="AB32" s="152">
        <v>0</v>
      </c>
      <c r="AC32" s="152">
        <f t="shared" si="3"/>
        <v>0</v>
      </c>
      <c r="AD32" s="152">
        <f t="shared" si="4"/>
        <v>0</v>
      </c>
      <c r="AE32" s="152">
        <v>0</v>
      </c>
      <c r="AF32" s="150">
        <f>'Customer Count'!I32</f>
        <v>13197</v>
      </c>
      <c r="AG32" s="150">
        <f>AF32-'Customer Count'!G32-'Customer Count'!F32</f>
        <v>10515</v>
      </c>
      <c r="AH32" s="150">
        <f>AF32-'Customer Count'!H32</f>
        <v>13197</v>
      </c>
      <c r="AI32" s="109">
        <f t="shared" si="5"/>
        <v>31</v>
      </c>
      <c r="AJ32" s="109">
        <v>320</v>
      </c>
      <c r="AK32" s="91">
        <v>140.89741194304773</v>
      </c>
      <c r="AL32" s="91">
        <f>Economic!C44</f>
        <v>643937</v>
      </c>
      <c r="AM32" s="91">
        <f>Economic!D44</f>
        <v>6826.2</v>
      </c>
      <c r="AN32" s="91">
        <f>Economic!E44</f>
        <v>6917.1</v>
      </c>
      <c r="AO32" s="91">
        <f>Economic!F44</f>
        <v>7.6</v>
      </c>
      <c r="AP32" s="91">
        <f>Economic!G44</f>
        <v>7.8</v>
      </c>
      <c r="AQ32" s="91">
        <f>Economic!H44</f>
        <v>375.3</v>
      </c>
      <c r="AR32" s="91">
        <f>Economic!I44</f>
        <v>378.7</v>
      </c>
      <c r="AS32" s="91">
        <f>Economic!J44</f>
        <v>6</v>
      </c>
      <c r="AT32" s="91">
        <f>Economic!K44</f>
        <v>6.1</v>
      </c>
      <c r="AU32" s="91">
        <f>Economic!L44</f>
        <v>193.1</v>
      </c>
      <c r="AV32" s="91">
        <f>Economic!M44</f>
        <v>197.6</v>
      </c>
      <c r="AW32" s="91">
        <f>Economic!N44</f>
        <v>8.6</v>
      </c>
      <c r="AX32" s="91">
        <f>Economic!O44</f>
        <v>8</v>
      </c>
      <c r="AY32" s="91">
        <f>Economic!P44</f>
        <v>1.4162974610528734E-2</v>
      </c>
      <c r="AZ32" s="91">
        <f>Economic!Q44</f>
        <v>1.9657634511397237E-2</v>
      </c>
      <c r="BA32" s="91">
        <f>Economic!R44</f>
        <v>2.0431947599799383E-2</v>
      </c>
      <c r="BB32" s="91">
        <f>Economic!S44</f>
        <v>1.7900732302685185E-2</v>
      </c>
      <c r="BC32" s="91">
        <f>Economic!T44</f>
        <v>1.6371443907675642E-2</v>
      </c>
      <c r="BD32" s="91">
        <f>Economic!U44</f>
        <v>-5.5283757338551953E-2</v>
      </c>
      <c r="BE32" s="91">
        <f>Economic!V44</f>
        <v>-5.4997608799617459E-2</v>
      </c>
      <c r="BF32" s="91">
        <f>Economic!W44</f>
        <v>8992.6999999999534</v>
      </c>
      <c r="BG32" s="91">
        <f>Economic!X44</f>
        <v>131.59999999999945</v>
      </c>
      <c r="BH32" s="91">
        <f>Economic!Y44</f>
        <v>138.5</v>
      </c>
      <c r="BI32" s="91">
        <f>Economic!Z44</f>
        <v>6.6000000000000227</v>
      </c>
      <c r="BJ32" s="91">
        <f>Economic!AA44</f>
        <v>6.0999999999999659</v>
      </c>
      <c r="BK32" s="91">
        <f>Economic!AB44</f>
        <v>-11.300000000000011</v>
      </c>
      <c r="BL32" s="91">
        <f>Economic!AC44</f>
        <v>-11.5</v>
      </c>
      <c r="BM32" s="91">
        <f>Weather!C152</f>
        <v>22.548387096774199</v>
      </c>
      <c r="BN32" s="91">
        <f>Weather!D152</f>
        <v>12.699999999999996</v>
      </c>
      <c r="BO32" s="91">
        <f>Weather!E152</f>
        <v>91.7</v>
      </c>
      <c r="BP32" s="91">
        <f>Weather!F152</f>
        <v>0.39999999999999858</v>
      </c>
      <c r="BQ32" s="91">
        <f>Weather!G152</f>
        <v>141.39999999999998</v>
      </c>
      <c r="BR32" s="91">
        <f>Weather!H152</f>
        <v>0</v>
      </c>
      <c r="BS32" s="91">
        <f>Weather!I152</f>
        <v>202.99999999999994</v>
      </c>
      <c r="BT32" s="91">
        <f>Weather!J152</f>
        <v>0</v>
      </c>
      <c r="BU32" s="91">
        <f>Weather!K152</f>
        <v>264.99999999999994</v>
      </c>
      <c r="BV32" s="91">
        <f>Weather!L152</f>
        <v>0</v>
      </c>
      <c r="BW32" s="91">
        <f>Weather!M152</f>
        <v>327.00000000000006</v>
      </c>
      <c r="BX32" s="91">
        <f>Weather!N152</f>
        <v>0</v>
      </c>
      <c r="BY32" s="91">
        <f>Weather!O152</f>
        <v>389.00000000000006</v>
      </c>
    </row>
    <row r="33" spans="1:77" x14ac:dyDescent="0.2">
      <c r="A33" s="66">
        <v>41517</v>
      </c>
      <c r="B33" s="114">
        <f t="shared" si="0"/>
        <v>2013</v>
      </c>
      <c r="C33" s="94">
        <v>17518528.28576</v>
      </c>
      <c r="D33" s="94">
        <v>0</v>
      </c>
      <c r="E33" s="171">
        <f ca="1">CDM!D54</f>
        <v>233331.87828887795</v>
      </c>
      <c r="F33" s="94">
        <f t="shared" ca="1" si="1"/>
        <v>17751860.164048877</v>
      </c>
      <c r="G33" s="94">
        <f ca="1">VLOOKUP(B33,CDM!$A$3:$G$14,7,FALSE)</f>
        <v>221310.91561329123</v>
      </c>
      <c r="H33" s="94">
        <f t="shared" ca="1" si="2"/>
        <v>17739839.20137329</v>
      </c>
      <c r="I33" s="90">
        <f>Weather!F153</f>
        <v>2.8000000000000007</v>
      </c>
      <c r="J33" s="90">
        <f>Weather!G153</f>
        <v>95.1</v>
      </c>
      <c r="K33" s="108">
        <v>31</v>
      </c>
      <c r="L33" s="108">
        <f t="shared" ref="L33:W33" si="27">L21</f>
        <v>0</v>
      </c>
      <c r="M33" s="108">
        <f t="shared" si="27"/>
        <v>0</v>
      </c>
      <c r="N33" s="108">
        <f t="shared" si="27"/>
        <v>0</v>
      </c>
      <c r="O33" s="108">
        <f t="shared" si="27"/>
        <v>0</v>
      </c>
      <c r="P33" s="108">
        <f t="shared" si="27"/>
        <v>0</v>
      </c>
      <c r="Q33" s="108">
        <f t="shared" si="27"/>
        <v>0</v>
      </c>
      <c r="R33" s="108">
        <f t="shared" si="27"/>
        <v>0</v>
      </c>
      <c r="S33" s="108">
        <f t="shared" si="27"/>
        <v>1</v>
      </c>
      <c r="T33" s="108">
        <f t="shared" si="27"/>
        <v>0</v>
      </c>
      <c r="U33" s="108">
        <f t="shared" si="27"/>
        <v>0</v>
      </c>
      <c r="V33" s="108">
        <f t="shared" si="27"/>
        <v>0</v>
      </c>
      <c r="W33" s="108">
        <f t="shared" si="27"/>
        <v>0</v>
      </c>
      <c r="X33" s="109">
        <v>0</v>
      </c>
      <c r="Y33" s="108">
        <f t="shared" si="25"/>
        <v>0</v>
      </c>
      <c r="Z33" s="108">
        <f t="shared" si="25"/>
        <v>0</v>
      </c>
      <c r="AA33" s="152">
        <v>0</v>
      </c>
      <c r="AB33" s="152">
        <v>0</v>
      </c>
      <c r="AC33" s="152">
        <f t="shared" si="3"/>
        <v>0</v>
      </c>
      <c r="AD33" s="152">
        <f t="shared" si="4"/>
        <v>0</v>
      </c>
      <c r="AE33" s="152">
        <v>0</v>
      </c>
      <c r="AF33" s="150">
        <f>'Customer Count'!I33</f>
        <v>13195.5</v>
      </c>
      <c r="AG33" s="150">
        <f>AF33-'Customer Count'!G33-'Customer Count'!F33</f>
        <v>10515</v>
      </c>
      <c r="AH33" s="150">
        <f>AF33-'Customer Count'!H33</f>
        <v>13195.5</v>
      </c>
      <c r="AI33" s="109">
        <f t="shared" si="5"/>
        <v>32</v>
      </c>
      <c r="AJ33" s="109">
        <v>352</v>
      </c>
      <c r="AK33" s="91">
        <v>141.19911108267243</v>
      </c>
      <c r="AL33" s="91">
        <f>Economic!C45</f>
        <v>643937</v>
      </c>
      <c r="AM33" s="91">
        <f>Economic!D45</f>
        <v>6833.9</v>
      </c>
      <c r="AN33" s="91">
        <f>Economic!E45</f>
        <v>6934.7</v>
      </c>
      <c r="AO33" s="91">
        <f>Economic!F45</f>
        <v>7.6</v>
      </c>
      <c r="AP33" s="91">
        <f>Economic!G45</f>
        <v>8</v>
      </c>
      <c r="AQ33" s="91">
        <f>Economic!H45</f>
        <v>364.2</v>
      </c>
      <c r="AR33" s="91">
        <f>Economic!I45</f>
        <v>368.3</v>
      </c>
      <c r="AS33" s="91">
        <f>Economic!J45</f>
        <v>6.8</v>
      </c>
      <c r="AT33" s="91">
        <f>Economic!K45</f>
        <v>7.3</v>
      </c>
      <c r="AU33" s="91">
        <f>Economic!L45</f>
        <v>191.1</v>
      </c>
      <c r="AV33" s="91">
        <f>Economic!M45</f>
        <v>194.9</v>
      </c>
      <c r="AW33" s="91">
        <f>Economic!N45</f>
        <v>8.8000000000000007</v>
      </c>
      <c r="AX33" s="91">
        <f>Economic!O45</f>
        <v>8.5</v>
      </c>
      <c r="AY33" s="91">
        <f>Economic!P45</f>
        <v>1.4162974610528734E-2</v>
      </c>
      <c r="AZ33" s="91">
        <f>Economic!Q45</f>
        <v>1.9482941237897622E-2</v>
      </c>
      <c r="BA33" s="91">
        <f>Economic!R45</f>
        <v>2.0123861780844132E-2</v>
      </c>
      <c r="BB33" s="91">
        <f>Economic!S45</f>
        <v>-1.9122003770535967E-2</v>
      </c>
      <c r="BC33" s="91">
        <f>Economic!T45</f>
        <v>-1.5503875968992276E-2</v>
      </c>
      <c r="BD33" s="91">
        <f>Economic!U45</f>
        <v>-6.8713450292397615E-2</v>
      </c>
      <c r="BE33" s="91">
        <f>Economic!V45</f>
        <v>-6.9689737470167046E-2</v>
      </c>
      <c r="BF33" s="91">
        <f>Economic!W45</f>
        <v>8992.6999999999534</v>
      </c>
      <c r="BG33" s="91">
        <f>Economic!X45</f>
        <v>130.59999999999945</v>
      </c>
      <c r="BH33" s="91">
        <f>Economic!Y45</f>
        <v>136.80000000000018</v>
      </c>
      <c r="BI33" s="91">
        <f>Economic!Z45</f>
        <v>-7.1000000000000227</v>
      </c>
      <c r="BJ33" s="91">
        <f>Economic!AA45</f>
        <v>-5.8000000000000114</v>
      </c>
      <c r="BK33" s="91">
        <f>Economic!AB45</f>
        <v>-14.099999999999994</v>
      </c>
      <c r="BL33" s="91">
        <f>Economic!AC45</f>
        <v>-14.599999999999994</v>
      </c>
      <c r="BM33" s="91">
        <f>Weather!C153</f>
        <v>20.977419354838705</v>
      </c>
      <c r="BN33" s="91">
        <f>Weather!D153</f>
        <v>18.499999999999996</v>
      </c>
      <c r="BO33" s="91">
        <f>Weather!E153</f>
        <v>48.79999999999999</v>
      </c>
      <c r="BP33" s="91">
        <f>Weather!F153</f>
        <v>2.8000000000000007</v>
      </c>
      <c r="BQ33" s="91">
        <f>Weather!G153</f>
        <v>95.1</v>
      </c>
      <c r="BR33" s="91">
        <f>Weather!H153</f>
        <v>0</v>
      </c>
      <c r="BS33" s="91">
        <f>Weather!I153</f>
        <v>154.30000000000004</v>
      </c>
      <c r="BT33" s="91">
        <f>Weather!J153</f>
        <v>0</v>
      </c>
      <c r="BU33" s="91">
        <f>Weather!K153</f>
        <v>216.30000000000004</v>
      </c>
      <c r="BV33" s="91">
        <f>Weather!L153</f>
        <v>0</v>
      </c>
      <c r="BW33" s="91">
        <f>Weather!M153</f>
        <v>278.29999999999995</v>
      </c>
      <c r="BX33" s="91">
        <f>Weather!N153</f>
        <v>0</v>
      </c>
      <c r="BY33" s="91">
        <f>Weather!O153</f>
        <v>340.3</v>
      </c>
    </row>
    <row r="34" spans="1:77" x14ac:dyDescent="0.2">
      <c r="A34" s="66">
        <v>41547</v>
      </c>
      <c r="B34" s="114">
        <f t="shared" si="0"/>
        <v>2013</v>
      </c>
      <c r="C34" s="94">
        <v>15118315.780299999</v>
      </c>
      <c r="D34" s="94">
        <v>0</v>
      </c>
      <c r="E34" s="171">
        <f ca="1">CDM!D55</f>
        <v>241345.85340593578</v>
      </c>
      <c r="F34" s="94">
        <f t="shared" ca="1" si="1"/>
        <v>15359661.633705935</v>
      </c>
      <c r="G34" s="94">
        <f ca="1">VLOOKUP(B34,CDM!$A$3:$G$14,7,FALSE)</f>
        <v>221310.91561329123</v>
      </c>
      <c r="H34" s="94">
        <f t="shared" ca="1" si="2"/>
        <v>15339626.695913291</v>
      </c>
      <c r="I34" s="90">
        <f>Weather!F154</f>
        <v>75.600000000000009</v>
      </c>
      <c r="J34" s="90">
        <f>Weather!G154</f>
        <v>35.800000000000011</v>
      </c>
      <c r="K34" s="108">
        <v>30</v>
      </c>
      <c r="L34" s="108">
        <f t="shared" ref="L34:W34" si="28">L22</f>
        <v>0</v>
      </c>
      <c r="M34" s="108">
        <f t="shared" si="28"/>
        <v>0</v>
      </c>
      <c r="N34" s="108">
        <f t="shared" si="28"/>
        <v>0</v>
      </c>
      <c r="O34" s="108">
        <f t="shared" si="28"/>
        <v>0</v>
      </c>
      <c r="P34" s="108">
        <f t="shared" si="28"/>
        <v>0</v>
      </c>
      <c r="Q34" s="108">
        <f t="shared" si="28"/>
        <v>0</v>
      </c>
      <c r="R34" s="108">
        <f t="shared" si="28"/>
        <v>0</v>
      </c>
      <c r="S34" s="108">
        <f t="shared" si="28"/>
        <v>0</v>
      </c>
      <c r="T34" s="108">
        <f t="shared" si="28"/>
        <v>1</v>
      </c>
      <c r="U34" s="108">
        <f t="shared" si="28"/>
        <v>0</v>
      </c>
      <c r="V34" s="108">
        <f t="shared" si="28"/>
        <v>0</v>
      </c>
      <c r="W34" s="108">
        <f t="shared" si="28"/>
        <v>0</v>
      </c>
      <c r="X34" s="109">
        <v>1</v>
      </c>
      <c r="Y34" s="108">
        <f t="shared" si="25"/>
        <v>0</v>
      </c>
      <c r="Z34" s="108">
        <f t="shared" si="25"/>
        <v>1</v>
      </c>
      <c r="AA34" s="152">
        <v>0</v>
      </c>
      <c r="AB34" s="152">
        <v>0</v>
      </c>
      <c r="AC34" s="152">
        <f t="shared" si="3"/>
        <v>0</v>
      </c>
      <c r="AD34" s="152">
        <f t="shared" si="4"/>
        <v>0</v>
      </c>
      <c r="AE34" s="152">
        <v>0</v>
      </c>
      <c r="AF34" s="150">
        <f>'Customer Count'!I34</f>
        <v>13199</v>
      </c>
      <c r="AG34" s="150">
        <f>AF34-'Customer Count'!G34-'Customer Count'!F34</f>
        <v>10520</v>
      </c>
      <c r="AH34" s="150">
        <f>AF34-'Customer Count'!H34</f>
        <v>13199</v>
      </c>
      <c r="AI34" s="109">
        <f t="shared" si="5"/>
        <v>33</v>
      </c>
      <c r="AJ34" s="109">
        <v>336</v>
      </c>
      <c r="AK34" s="91">
        <v>141.50145624105357</v>
      </c>
      <c r="AL34" s="91">
        <f>Economic!C46</f>
        <v>643937</v>
      </c>
      <c r="AM34" s="91">
        <f>Economic!D46</f>
        <v>6843.3</v>
      </c>
      <c r="AN34" s="91">
        <f>Economic!E46</f>
        <v>6906.9</v>
      </c>
      <c r="AO34" s="91">
        <f>Economic!F46</f>
        <v>7.5</v>
      </c>
      <c r="AP34" s="91">
        <f>Economic!G46</f>
        <v>7.9</v>
      </c>
      <c r="AQ34" s="91">
        <f>Economic!H46</f>
        <v>362.4</v>
      </c>
      <c r="AR34" s="91">
        <f>Economic!I46</f>
        <v>364.6</v>
      </c>
      <c r="AS34" s="91">
        <f>Economic!J46</f>
        <v>7.1</v>
      </c>
      <c r="AT34" s="91">
        <f>Economic!K46</f>
        <v>7.5</v>
      </c>
      <c r="AU34" s="91">
        <f>Economic!L46</f>
        <v>190.2</v>
      </c>
      <c r="AV34" s="91">
        <f>Economic!M46</f>
        <v>192</v>
      </c>
      <c r="AW34" s="91">
        <f>Economic!N46</f>
        <v>8.9</v>
      </c>
      <c r="AX34" s="91">
        <f>Economic!O46</f>
        <v>8.8000000000000007</v>
      </c>
      <c r="AY34" s="91">
        <f>Economic!P46</f>
        <v>1.4162974610528734E-2</v>
      </c>
      <c r="AZ34" s="91">
        <f>Economic!Q46</f>
        <v>2.0261204043295455E-2</v>
      </c>
      <c r="BA34" s="91">
        <f>Economic!R46</f>
        <v>2.1262438822433394E-2</v>
      </c>
      <c r="BB34" s="91">
        <f>Economic!S46</f>
        <v>-3.6938612808929183E-2</v>
      </c>
      <c r="BC34" s="91">
        <f>Economic!T46</f>
        <v>-3.0576974208986973E-2</v>
      </c>
      <c r="BD34" s="91">
        <f>Economic!U46</f>
        <v>-7.1742313323572504E-2</v>
      </c>
      <c r="BE34" s="91">
        <f>Economic!V46</f>
        <v>-8.0019166267369379E-2</v>
      </c>
      <c r="BF34" s="91">
        <f>Economic!W46</f>
        <v>8992.6999999999534</v>
      </c>
      <c r="BG34" s="91">
        <f>Economic!X46</f>
        <v>135.90000000000055</v>
      </c>
      <c r="BH34" s="91">
        <f>Economic!Y46</f>
        <v>143.79999999999927</v>
      </c>
      <c r="BI34" s="91">
        <f>Economic!Z46</f>
        <v>-13.900000000000034</v>
      </c>
      <c r="BJ34" s="91">
        <f>Economic!AA46</f>
        <v>-11.5</v>
      </c>
      <c r="BK34" s="91">
        <f>Economic!AB46</f>
        <v>-14.700000000000017</v>
      </c>
      <c r="BL34" s="91">
        <f>Economic!AC46</f>
        <v>-16.699999999999989</v>
      </c>
      <c r="BM34" s="91">
        <f>Weather!C154</f>
        <v>16.673333333333336</v>
      </c>
      <c r="BN34" s="91">
        <f>Weather!D154</f>
        <v>119.50000000000001</v>
      </c>
      <c r="BO34" s="91">
        <f>Weather!E154</f>
        <v>19.700000000000006</v>
      </c>
      <c r="BP34" s="91">
        <f>Weather!F154</f>
        <v>75.600000000000009</v>
      </c>
      <c r="BQ34" s="91">
        <f>Weather!G154</f>
        <v>35.800000000000011</v>
      </c>
      <c r="BR34" s="91">
        <f>Weather!H154</f>
        <v>40.6</v>
      </c>
      <c r="BS34" s="91">
        <f>Weather!I154</f>
        <v>60.800000000000011</v>
      </c>
      <c r="BT34" s="91">
        <f>Weather!J154</f>
        <v>16.7</v>
      </c>
      <c r="BU34" s="91">
        <f>Weather!K154</f>
        <v>96.9</v>
      </c>
      <c r="BV34" s="91">
        <f>Weather!L154</f>
        <v>3.5999999999999996</v>
      </c>
      <c r="BW34" s="91">
        <f>Weather!M154</f>
        <v>143.80000000000004</v>
      </c>
      <c r="BX34" s="91">
        <f>Weather!N154</f>
        <v>0</v>
      </c>
      <c r="BY34" s="91">
        <f>Weather!O154</f>
        <v>200.20000000000005</v>
      </c>
    </row>
    <row r="35" spans="1:77" x14ac:dyDescent="0.2">
      <c r="A35" s="66">
        <v>41578</v>
      </c>
      <c r="B35" s="114">
        <f t="shared" si="0"/>
        <v>2013</v>
      </c>
      <c r="C35" s="94">
        <v>14697969.943470001</v>
      </c>
      <c r="D35" s="94">
        <v>0</v>
      </c>
      <c r="E35" s="171">
        <f ca="1">CDM!D56</f>
        <v>249359.8285229936</v>
      </c>
      <c r="F35" s="94">
        <f t="shared" ca="1" si="1"/>
        <v>14947329.771992994</v>
      </c>
      <c r="G35" s="94">
        <f ca="1">VLOOKUP(B35,CDM!$A$3:$G$14,7,FALSE)</f>
        <v>221310.91561329123</v>
      </c>
      <c r="H35" s="94">
        <f t="shared" ca="1" si="2"/>
        <v>14919280.859083293</v>
      </c>
      <c r="I35" s="90">
        <f>Weather!F155</f>
        <v>193.39999999999998</v>
      </c>
      <c r="J35" s="90">
        <f>Weather!G155</f>
        <v>4.3999999999999986</v>
      </c>
      <c r="K35" s="108">
        <v>31</v>
      </c>
      <c r="L35" s="108">
        <f t="shared" ref="L35:W35" si="29">L23</f>
        <v>0</v>
      </c>
      <c r="M35" s="108">
        <f t="shared" si="29"/>
        <v>0</v>
      </c>
      <c r="N35" s="108">
        <f t="shared" si="29"/>
        <v>0</v>
      </c>
      <c r="O35" s="108">
        <f t="shared" si="29"/>
        <v>0</v>
      </c>
      <c r="P35" s="108">
        <f t="shared" si="29"/>
        <v>0</v>
      </c>
      <c r="Q35" s="108">
        <f t="shared" si="29"/>
        <v>0</v>
      </c>
      <c r="R35" s="108">
        <f t="shared" si="29"/>
        <v>0</v>
      </c>
      <c r="S35" s="108">
        <f t="shared" si="29"/>
        <v>0</v>
      </c>
      <c r="T35" s="108">
        <f t="shared" si="29"/>
        <v>0</v>
      </c>
      <c r="U35" s="108">
        <f t="shared" si="29"/>
        <v>1</v>
      </c>
      <c r="V35" s="108">
        <f t="shared" si="29"/>
        <v>0</v>
      </c>
      <c r="W35" s="108">
        <f t="shared" si="29"/>
        <v>0</v>
      </c>
      <c r="X35" s="109">
        <v>1</v>
      </c>
      <c r="Y35" s="108">
        <f t="shared" si="25"/>
        <v>0</v>
      </c>
      <c r="Z35" s="108">
        <f t="shared" si="25"/>
        <v>1</v>
      </c>
      <c r="AA35" s="152">
        <v>0</v>
      </c>
      <c r="AB35" s="152">
        <v>0</v>
      </c>
      <c r="AC35" s="152">
        <f t="shared" si="3"/>
        <v>0</v>
      </c>
      <c r="AD35" s="152">
        <f t="shared" si="4"/>
        <v>0</v>
      </c>
      <c r="AE35" s="152">
        <v>0</v>
      </c>
      <c r="AF35" s="150">
        <f>'Customer Count'!I35</f>
        <v>13209.5</v>
      </c>
      <c r="AG35" s="150">
        <f>AF35-'Customer Count'!G35-'Customer Count'!F35</f>
        <v>10531</v>
      </c>
      <c r="AH35" s="150">
        <f>AF35-'Customer Count'!H35</f>
        <v>13209.5</v>
      </c>
      <c r="AI35" s="109">
        <f t="shared" si="5"/>
        <v>34</v>
      </c>
      <c r="AJ35" s="109">
        <v>320</v>
      </c>
      <c r="AK35" s="91">
        <v>141.80444880149057</v>
      </c>
      <c r="AL35" s="91">
        <f>Economic!C47</f>
        <v>643937</v>
      </c>
      <c r="AM35" s="91">
        <f>Economic!D47</f>
        <v>6850.3</v>
      </c>
      <c r="AN35" s="91">
        <f>Economic!E47</f>
        <v>6889</v>
      </c>
      <c r="AO35" s="91">
        <f>Economic!F47</f>
        <v>7.4</v>
      </c>
      <c r="AP35" s="91">
        <f>Economic!G47</f>
        <v>7.4</v>
      </c>
      <c r="AQ35" s="91">
        <f>Economic!H47</f>
        <v>363.6</v>
      </c>
      <c r="AR35" s="91">
        <f>Economic!I47</f>
        <v>366.5</v>
      </c>
      <c r="AS35" s="91">
        <f>Economic!J47</f>
        <v>7.3</v>
      </c>
      <c r="AT35" s="91">
        <f>Economic!K47</f>
        <v>7.2</v>
      </c>
      <c r="AU35" s="91">
        <f>Economic!L47</f>
        <v>190.7</v>
      </c>
      <c r="AV35" s="91">
        <f>Economic!M47</f>
        <v>192.2</v>
      </c>
      <c r="AW35" s="91">
        <f>Economic!N47</f>
        <v>8.6</v>
      </c>
      <c r="AX35" s="91">
        <f>Economic!O47</f>
        <v>8</v>
      </c>
      <c r="AY35" s="91">
        <f>Economic!P47</f>
        <v>1.4162974610528734E-2</v>
      </c>
      <c r="AZ35" s="91">
        <f>Economic!Q47</f>
        <v>2.0909090909090988E-2</v>
      </c>
      <c r="BA35" s="91">
        <f>Economic!R47</f>
        <v>2.1970360040944215E-2</v>
      </c>
      <c r="BB35" s="91">
        <f>Economic!S47</f>
        <v>-3.6821192052980067E-2</v>
      </c>
      <c r="BC35" s="91">
        <f>Economic!T47</f>
        <v>-2.5006650704974653E-2</v>
      </c>
      <c r="BD35" s="91">
        <f>Economic!U47</f>
        <v>-6.4737616478666049E-2</v>
      </c>
      <c r="BE35" s="91">
        <f>Economic!V47</f>
        <v>-7.5517075517075649E-2</v>
      </c>
      <c r="BF35" s="91">
        <f>Economic!W47</f>
        <v>8992.6999999999534</v>
      </c>
      <c r="BG35" s="91">
        <f>Economic!X47</f>
        <v>140.30000000000018</v>
      </c>
      <c r="BH35" s="91">
        <f>Economic!Y47</f>
        <v>148.10000000000036</v>
      </c>
      <c r="BI35" s="91">
        <f>Economic!Z47</f>
        <v>-13.899999999999977</v>
      </c>
      <c r="BJ35" s="91">
        <f>Economic!AA47</f>
        <v>-9.3999999999999773</v>
      </c>
      <c r="BK35" s="91">
        <f>Economic!AB47</f>
        <v>-13.200000000000017</v>
      </c>
      <c r="BL35" s="91">
        <f>Economic!AC47</f>
        <v>-15.700000000000017</v>
      </c>
      <c r="BM35" s="91">
        <f>Weather!C155</f>
        <v>11.903225806451612</v>
      </c>
      <c r="BN35" s="91">
        <f>Weather!D155</f>
        <v>251.89999999999998</v>
      </c>
      <c r="BO35" s="91">
        <f>Weather!E155</f>
        <v>0.89999999999999858</v>
      </c>
      <c r="BP35" s="91">
        <f>Weather!F155</f>
        <v>193.39999999999998</v>
      </c>
      <c r="BQ35" s="91">
        <f>Weather!G155</f>
        <v>4.3999999999999986</v>
      </c>
      <c r="BR35" s="91">
        <f>Weather!H155</f>
        <v>139.4</v>
      </c>
      <c r="BS35" s="91">
        <f>Weather!I155</f>
        <v>12.399999999999999</v>
      </c>
      <c r="BT35" s="91">
        <f>Weather!J155</f>
        <v>92.200000000000017</v>
      </c>
      <c r="BU35" s="91">
        <f>Weather!K155</f>
        <v>27.2</v>
      </c>
      <c r="BV35" s="91">
        <f>Weather!L155</f>
        <v>61.400000000000006</v>
      </c>
      <c r="BW35" s="91">
        <f>Weather!M155</f>
        <v>58.4</v>
      </c>
      <c r="BX35" s="91">
        <f>Weather!N155</f>
        <v>38.600000000000009</v>
      </c>
      <c r="BY35" s="91">
        <f>Weather!O155</f>
        <v>97.600000000000009</v>
      </c>
    </row>
    <row r="36" spans="1:77" x14ac:dyDescent="0.2">
      <c r="A36" s="66">
        <v>41608</v>
      </c>
      <c r="B36" s="114">
        <f t="shared" si="0"/>
        <v>2013</v>
      </c>
      <c r="C36" s="94">
        <v>15084391.12145</v>
      </c>
      <c r="D36" s="94">
        <v>0</v>
      </c>
      <c r="E36" s="171">
        <f ca="1">CDM!D57</f>
        <v>257373.8036400514</v>
      </c>
      <c r="F36" s="94">
        <f t="shared" ca="1" si="1"/>
        <v>15341764.92509005</v>
      </c>
      <c r="G36" s="94">
        <f ca="1">VLOOKUP(B36,CDM!$A$3:$G$14,7,FALSE)</f>
        <v>221310.91561329123</v>
      </c>
      <c r="H36" s="94">
        <f t="shared" ca="1" si="2"/>
        <v>15305702.037063291</v>
      </c>
      <c r="I36" s="90">
        <f>Weather!F156</f>
        <v>442.19999999999993</v>
      </c>
      <c r="J36" s="90">
        <f>Weather!G156</f>
        <v>0</v>
      </c>
      <c r="K36" s="108">
        <v>30</v>
      </c>
      <c r="L36" s="108">
        <f t="shared" ref="L36:W36" si="30">L24</f>
        <v>0</v>
      </c>
      <c r="M36" s="108">
        <f t="shared" si="30"/>
        <v>0</v>
      </c>
      <c r="N36" s="108">
        <f t="shared" si="30"/>
        <v>0</v>
      </c>
      <c r="O36" s="108">
        <f t="shared" si="30"/>
        <v>0</v>
      </c>
      <c r="P36" s="108">
        <f t="shared" si="30"/>
        <v>0</v>
      </c>
      <c r="Q36" s="108">
        <f t="shared" si="30"/>
        <v>0</v>
      </c>
      <c r="R36" s="108">
        <f t="shared" si="30"/>
        <v>0</v>
      </c>
      <c r="S36" s="108">
        <f t="shared" si="30"/>
        <v>0</v>
      </c>
      <c r="T36" s="108">
        <f t="shared" si="30"/>
        <v>0</v>
      </c>
      <c r="U36" s="108">
        <f t="shared" si="30"/>
        <v>0</v>
      </c>
      <c r="V36" s="108">
        <f t="shared" si="30"/>
        <v>1</v>
      </c>
      <c r="W36" s="108">
        <f t="shared" si="30"/>
        <v>0</v>
      </c>
      <c r="X36" s="109">
        <v>1</v>
      </c>
      <c r="Y36" s="108">
        <f t="shared" si="25"/>
        <v>0</v>
      </c>
      <c r="Z36" s="108">
        <f t="shared" si="25"/>
        <v>1</v>
      </c>
      <c r="AA36" s="152">
        <v>0</v>
      </c>
      <c r="AB36" s="152">
        <v>0</v>
      </c>
      <c r="AC36" s="152">
        <f t="shared" si="3"/>
        <v>0</v>
      </c>
      <c r="AD36" s="152">
        <f t="shared" si="4"/>
        <v>0</v>
      </c>
      <c r="AE36" s="152">
        <v>0</v>
      </c>
      <c r="AF36" s="150">
        <f>'Customer Count'!I36</f>
        <v>13240.5</v>
      </c>
      <c r="AG36" s="150">
        <f>AF36-'Customer Count'!G36-'Customer Count'!F36</f>
        <v>10543</v>
      </c>
      <c r="AH36" s="150">
        <f>AF36-'Customer Count'!H36</f>
        <v>13240.5</v>
      </c>
      <c r="AI36" s="109">
        <f t="shared" si="5"/>
        <v>35</v>
      </c>
      <c r="AJ36" s="109">
        <v>352</v>
      </c>
      <c r="AK36" s="91">
        <v>142.10809015024478</v>
      </c>
      <c r="AL36" s="91">
        <f>Economic!C48</f>
        <v>643937</v>
      </c>
      <c r="AM36" s="91">
        <f>Economic!D48</f>
        <v>6854</v>
      </c>
      <c r="AN36" s="91">
        <f>Economic!E48</f>
        <v>6863.8</v>
      </c>
      <c r="AO36" s="91">
        <f>Economic!F48</f>
        <v>7.4</v>
      </c>
      <c r="AP36" s="91">
        <f>Economic!G48</f>
        <v>6.9</v>
      </c>
      <c r="AQ36" s="91">
        <f>Economic!H48</f>
        <v>369.8</v>
      </c>
      <c r="AR36" s="91">
        <f>Economic!I48</f>
        <v>371.8</v>
      </c>
      <c r="AS36" s="91">
        <f>Economic!J48</f>
        <v>6.6</v>
      </c>
      <c r="AT36" s="91">
        <f>Economic!K48</f>
        <v>5.9</v>
      </c>
      <c r="AU36" s="91">
        <f>Economic!L48</f>
        <v>191.6</v>
      </c>
      <c r="AV36" s="91">
        <f>Economic!M48</f>
        <v>191.1</v>
      </c>
      <c r="AW36" s="91">
        <f>Economic!N48</f>
        <v>8.6</v>
      </c>
      <c r="AX36" s="91">
        <f>Economic!O48</f>
        <v>7.9</v>
      </c>
      <c r="AY36" s="91">
        <f>Economic!P48</f>
        <v>1.4162974610528734E-2</v>
      </c>
      <c r="AZ36" s="91">
        <f>Economic!Q48</f>
        <v>1.9576341782696627E-2</v>
      </c>
      <c r="BA36" s="91">
        <f>Economic!R48</f>
        <v>2.0275292089068753E-2</v>
      </c>
      <c r="BB36" s="91">
        <f>Economic!S48</f>
        <v>-2.143424186292664E-2</v>
      </c>
      <c r="BC36" s="91">
        <f>Economic!T48</f>
        <v>-4.8179871520342976E-3</v>
      </c>
      <c r="BD36" s="91">
        <f>Economic!U48</f>
        <v>-4.9603174603174649E-2</v>
      </c>
      <c r="BE36" s="91">
        <f>Economic!V48</f>
        <v>-6.3235294117647056E-2</v>
      </c>
      <c r="BF36" s="91">
        <f>Economic!W48</f>
        <v>8992.6999999999534</v>
      </c>
      <c r="BG36" s="91">
        <f>Economic!X48</f>
        <v>131.60000000000036</v>
      </c>
      <c r="BH36" s="91">
        <f>Economic!Y48</f>
        <v>136.40000000000055</v>
      </c>
      <c r="BI36" s="91">
        <f>Economic!Z48</f>
        <v>-8.0999999999999659</v>
      </c>
      <c r="BJ36" s="91">
        <f>Economic!AA48</f>
        <v>-1.8000000000000114</v>
      </c>
      <c r="BK36" s="91">
        <f>Economic!AB48</f>
        <v>-10</v>
      </c>
      <c r="BL36" s="91">
        <f>Economic!AC48</f>
        <v>-12.900000000000006</v>
      </c>
      <c r="BM36" s="91">
        <f>Weather!C156</f>
        <v>3.26</v>
      </c>
      <c r="BN36" s="91">
        <f>Weather!D156</f>
        <v>502.2</v>
      </c>
      <c r="BO36" s="91">
        <f>Weather!E156</f>
        <v>0</v>
      </c>
      <c r="BP36" s="91">
        <f>Weather!F156</f>
        <v>442.19999999999993</v>
      </c>
      <c r="BQ36" s="91">
        <f>Weather!G156</f>
        <v>0</v>
      </c>
      <c r="BR36" s="91">
        <f>Weather!H156</f>
        <v>382.2</v>
      </c>
      <c r="BS36" s="91">
        <f>Weather!I156</f>
        <v>0</v>
      </c>
      <c r="BT36" s="91">
        <f>Weather!J156</f>
        <v>322.19999999999993</v>
      </c>
      <c r="BU36" s="91">
        <f>Weather!K156</f>
        <v>0</v>
      </c>
      <c r="BV36" s="91">
        <f>Weather!L156</f>
        <v>264.59999999999997</v>
      </c>
      <c r="BW36" s="91">
        <f>Weather!M156</f>
        <v>2.4000000000000004</v>
      </c>
      <c r="BX36" s="91">
        <f>Weather!N156</f>
        <v>210.29999999999998</v>
      </c>
      <c r="BY36" s="91">
        <f>Weather!O156</f>
        <v>8.1</v>
      </c>
    </row>
    <row r="37" spans="1:77" x14ac:dyDescent="0.2">
      <c r="A37" s="66">
        <v>41639</v>
      </c>
      <c r="B37" s="114">
        <f t="shared" si="0"/>
        <v>2013</v>
      </c>
      <c r="C37" s="94">
        <v>17188140.099020001</v>
      </c>
      <c r="D37" s="94">
        <v>0</v>
      </c>
      <c r="E37" s="171">
        <f ca="1">CDM!D58</f>
        <v>265387.77875710925</v>
      </c>
      <c r="F37" s="94">
        <f t="shared" ca="1" si="1"/>
        <v>17453527.877777111</v>
      </c>
      <c r="G37" s="94">
        <f ca="1">VLOOKUP(B37,CDM!$A$3:$G$14,7,FALSE)</f>
        <v>221310.91561329123</v>
      </c>
      <c r="H37" s="94">
        <f t="shared" ca="1" si="2"/>
        <v>17409451.01463329</v>
      </c>
      <c r="I37" s="90">
        <f>Weather!F157</f>
        <v>639.70000000000016</v>
      </c>
      <c r="J37" s="90">
        <f>Weather!G157</f>
        <v>0</v>
      </c>
      <c r="K37" s="108">
        <v>31</v>
      </c>
      <c r="L37" s="108">
        <f t="shared" ref="L37:W37" si="31">L25</f>
        <v>0</v>
      </c>
      <c r="M37" s="108">
        <f t="shared" si="31"/>
        <v>0</v>
      </c>
      <c r="N37" s="108">
        <f t="shared" si="31"/>
        <v>0</v>
      </c>
      <c r="O37" s="108">
        <f t="shared" si="31"/>
        <v>0</v>
      </c>
      <c r="P37" s="108">
        <f t="shared" si="31"/>
        <v>0</v>
      </c>
      <c r="Q37" s="108">
        <f t="shared" si="31"/>
        <v>0</v>
      </c>
      <c r="R37" s="108">
        <f t="shared" si="31"/>
        <v>0</v>
      </c>
      <c r="S37" s="108">
        <f t="shared" si="31"/>
        <v>0</v>
      </c>
      <c r="T37" s="108">
        <f t="shared" si="31"/>
        <v>0</v>
      </c>
      <c r="U37" s="108">
        <f t="shared" si="31"/>
        <v>0</v>
      </c>
      <c r="V37" s="108">
        <f t="shared" si="31"/>
        <v>0</v>
      </c>
      <c r="W37" s="108">
        <f t="shared" si="31"/>
        <v>1</v>
      </c>
      <c r="X37" s="109">
        <v>0</v>
      </c>
      <c r="Y37" s="108">
        <f t="shared" si="25"/>
        <v>0</v>
      </c>
      <c r="Z37" s="108">
        <f t="shared" si="25"/>
        <v>0</v>
      </c>
      <c r="AA37" s="152">
        <v>0</v>
      </c>
      <c r="AB37" s="152">
        <v>0</v>
      </c>
      <c r="AC37" s="152">
        <f t="shared" si="3"/>
        <v>0</v>
      </c>
      <c r="AD37" s="152">
        <f t="shared" si="4"/>
        <v>0</v>
      </c>
      <c r="AE37" s="152">
        <v>0</v>
      </c>
      <c r="AF37" s="150">
        <f>'Customer Count'!I37</f>
        <v>13289</v>
      </c>
      <c r="AG37" s="150">
        <f>AF37-'Customer Count'!G37-'Customer Count'!F37</f>
        <v>10572</v>
      </c>
      <c r="AH37" s="150">
        <f>AF37-'Customer Count'!H37</f>
        <v>13289</v>
      </c>
      <c r="AI37" s="109">
        <f t="shared" si="5"/>
        <v>36</v>
      </c>
      <c r="AJ37" s="109">
        <v>336</v>
      </c>
      <c r="AK37" s="91">
        <v>142.41238167654581</v>
      </c>
      <c r="AL37" s="91">
        <f>Economic!C49</f>
        <v>643937</v>
      </c>
      <c r="AM37" s="91">
        <f>Economic!D49</f>
        <v>6850.4</v>
      </c>
      <c r="AN37" s="91">
        <f>Economic!E49</f>
        <v>6849.3</v>
      </c>
      <c r="AO37" s="91">
        <f>Economic!F49</f>
        <v>7.5</v>
      </c>
      <c r="AP37" s="91">
        <f>Economic!G49</f>
        <v>6.9</v>
      </c>
      <c r="AQ37" s="91">
        <f>Economic!H49</f>
        <v>373.6</v>
      </c>
      <c r="AR37" s="91">
        <f>Economic!I49</f>
        <v>376.6</v>
      </c>
      <c r="AS37" s="91">
        <f>Economic!J49</f>
        <v>6.6</v>
      </c>
      <c r="AT37" s="91">
        <f>Economic!K49</f>
        <v>5.9</v>
      </c>
      <c r="AU37" s="91">
        <f>Economic!L49</f>
        <v>193.6</v>
      </c>
      <c r="AV37" s="91">
        <f>Economic!M49</f>
        <v>192.1</v>
      </c>
      <c r="AW37" s="91">
        <f>Economic!N49</f>
        <v>8.6</v>
      </c>
      <c r="AX37" s="91">
        <f>Economic!O49</f>
        <v>8.3000000000000007</v>
      </c>
      <c r="AY37" s="91">
        <f>Economic!P49</f>
        <v>1.4162974610528734E-2</v>
      </c>
      <c r="AZ37" s="91">
        <f>Economic!Q49</f>
        <v>1.6289351096341553E-2</v>
      </c>
      <c r="BA37" s="91">
        <f>Economic!R49</f>
        <v>1.6186463309694199E-2</v>
      </c>
      <c r="BB37" s="91">
        <f>Economic!S49</f>
        <v>-1.3206550449022747E-2</v>
      </c>
      <c r="BC37" s="91">
        <f>Economic!T49</f>
        <v>2.1287919105907882E-3</v>
      </c>
      <c r="BD37" s="91">
        <f>Economic!U49</f>
        <v>-3.2967032967032961E-2</v>
      </c>
      <c r="BE37" s="91">
        <f>Economic!V49</f>
        <v>-4.1895261845386611E-2</v>
      </c>
      <c r="BF37" s="91">
        <f>Economic!W49</f>
        <v>8992.6999999999534</v>
      </c>
      <c r="BG37" s="91">
        <f>Economic!X49</f>
        <v>109.79999999999927</v>
      </c>
      <c r="BH37" s="91">
        <f>Economic!Y49</f>
        <v>109.10000000000036</v>
      </c>
      <c r="BI37" s="91">
        <f>Economic!Z49</f>
        <v>-5</v>
      </c>
      <c r="BJ37" s="91">
        <f>Economic!AA49</f>
        <v>0.80000000000001137</v>
      </c>
      <c r="BK37" s="91">
        <f>Economic!AB49</f>
        <v>-6.5999999999999943</v>
      </c>
      <c r="BL37" s="91">
        <f>Economic!AC49</f>
        <v>-8.4000000000000057</v>
      </c>
      <c r="BM37" s="91">
        <f>Weather!C157</f>
        <v>-2.6354838709677422</v>
      </c>
      <c r="BN37" s="91">
        <f>Weather!D157</f>
        <v>701.70000000000016</v>
      </c>
      <c r="BO37" s="91">
        <f>Weather!E157</f>
        <v>0</v>
      </c>
      <c r="BP37" s="91">
        <f>Weather!F157</f>
        <v>639.70000000000016</v>
      </c>
      <c r="BQ37" s="91">
        <f>Weather!G157</f>
        <v>0</v>
      </c>
      <c r="BR37" s="91">
        <f>Weather!H157</f>
        <v>577.70000000000016</v>
      </c>
      <c r="BS37" s="91">
        <f>Weather!I157</f>
        <v>0</v>
      </c>
      <c r="BT37" s="91">
        <f>Weather!J157</f>
        <v>515.70000000000005</v>
      </c>
      <c r="BU37" s="91">
        <f>Weather!K157</f>
        <v>0</v>
      </c>
      <c r="BV37" s="91">
        <f>Weather!L157</f>
        <v>453.70000000000005</v>
      </c>
      <c r="BW37" s="91">
        <f>Weather!M157</f>
        <v>0</v>
      </c>
      <c r="BX37" s="91">
        <f>Weather!N157</f>
        <v>391.7</v>
      </c>
      <c r="BY37" s="91">
        <f>Weather!O157</f>
        <v>0</v>
      </c>
    </row>
    <row r="38" spans="1:77" x14ac:dyDescent="0.2">
      <c r="A38" s="66">
        <v>41670</v>
      </c>
      <c r="B38" s="114">
        <f t="shared" si="0"/>
        <v>2014</v>
      </c>
      <c r="C38" s="94">
        <v>17832921.899999999</v>
      </c>
      <c r="D38" s="94">
        <v>0</v>
      </c>
      <c r="E38" s="171">
        <f ca="1">CDM!D59</f>
        <v>277670.04482652136</v>
      </c>
      <c r="F38" s="94">
        <f t="shared" ca="1" si="1"/>
        <v>18110591.944826521</v>
      </c>
      <c r="G38" s="94">
        <f ca="1">VLOOKUP(B38,CDM!$A$3:$G$14,7,FALSE)</f>
        <v>313726.49821218144</v>
      </c>
      <c r="H38" s="94">
        <f t="shared" ca="1" si="2"/>
        <v>18146648.39821218</v>
      </c>
      <c r="I38" s="90">
        <f>Weather!F158</f>
        <v>779.50000000000034</v>
      </c>
      <c r="J38" s="90">
        <f>Weather!G158</f>
        <v>0</v>
      </c>
      <c r="K38" s="108">
        <v>31</v>
      </c>
      <c r="L38" s="108">
        <f t="shared" ref="L38:W38" si="32">L26</f>
        <v>1</v>
      </c>
      <c r="M38" s="108">
        <f t="shared" si="32"/>
        <v>0</v>
      </c>
      <c r="N38" s="108">
        <f t="shared" si="32"/>
        <v>0</v>
      </c>
      <c r="O38" s="108">
        <f t="shared" si="32"/>
        <v>0</v>
      </c>
      <c r="P38" s="108">
        <f t="shared" si="32"/>
        <v>0</v>
      </c>
      <c r="Q38" s="108">
        <f t="shared" si="32"/>
        <v>0</v>
      </c>
      <c r="R38" s="108">
        <f t="shared" si="32"/>
        <v>0</v>
      </c>
      <c r="S38" s="108">
        <f t="shared" si="32"/>
        <v>0</v>
      </c>
      <c r="T38" s="108">
        <f t="shared" si="32"/>
        <v>0</v>
      </c>
      <c r="U38" s="108">
        <f t="shared" si="32"/>
        <v>0</v>
      </c>
      <c r="V38" s="108">
        <f t="shared" si="32"/>
        <v>0</v>
      </c>
      <c r="W38" s="108">
        <f t="shared" si="32"/>
        <v>0</v>
      </c>
      <c r="X38" s="109">
        <v>0</v>
      </c>
      <c r="Y38" s="108">
        <f t="shared" si="25"/>
        <v>0</v>
      </c>
      <c r="Z38" s="108">
        <f t="shared" si="25"/>
        <v>0</v>
      </c>
      <c r="AA38" s="152">
        <v>0</v>
      </c>
      <c r="AB38" s="152">
        <v>0</v>
      </c>
      <c r="AC38" s="152">
        <f t="shared" si="3"/>
        <v>0</v>
      </c>
      <c r="AD38" s="152">
        <f t="shared" si="4"/>
        <v>0</v>
      </c>
      <c r="AE38" s="152">
        <v>0</v>
      </c>
      <c r="AF38" s="150">
        <f>'Customer Count'!I38</f>
        <v>13317</v>
      </c>
      <c r="AG38" s="150">
        <f>AF38-'Customer Count'!G38-'Customer Count'!F38</f>
        <v>10600</v>
      </c>
      <c r="AH38" s="150">
        <f>AF38-'Customer Count'!H38</f>
        <v>13317</v>
      </c>
      <c r="AI38" s="109">
        <f t="shared" si="5"/>
        <v>37</v>
      </c>
      <c r="AJ38" s="109">
        <v>336</v>
      </c>
      <c r="AK38" s="91">
        <v>142.61257743956915</v>
      </c>
      <c r="AL38" s="91">
        <f>Economic!C50</f>
        <v>659861.19999999995</v>
      </c>
      <c r="AM38" s="91">
        <f>Economic!D50</f>
        <v>6848.3</v>
      </c>
      <c r="AN38" s="91">
        <f>Economic!E50</f>
        <v>6806.1</v>
      </c>
      <c r="AO38" s="91">
        <f>Economic!F50</f>
        <v>7.5</v>
      </c>
      <c r="AP38" s="91">
        <f>Economic!G50</f>
        <v>7.1</v>
      </c>
      <c r="AQ38" s="91">
        <f>Economic!H50</f>
        <v>375.1</v>
      </c>
      <c r="AR38" s="91">
        <f>Economic!I50</f>
        <v>376.3</v>
      </c>
      <c r="AS38" s="91">
        <f>Economic!J50</f>
        <v>6</v>
      </c>
      <c r="AT38" s="91">
        <f>Economic!K50</f>
        <v>5.5</v>
      </c>
      <c r="AU38" s="91">
        <f>Economic!L50</f>
        <v>194.4</v>
      </c>
      <c r="AV38" s="91">
        <f>Economic!M50</f>
        <v>190.4</v>
      </c>
      <c r="AW38" s="91">
        <f>Economic!N50</f>
        <v>8.6</v>
      </c>
      <c r="AX38" s="91">
        <f>Economic!O50</f>
        <v>9.1</v>
      </c>
      <c r="AY38" s="91">
        <f>Economic!P50</f>
        <v>2.472943781767456E-2</v>
      </c>
      <c r="AZ38" s="91">
        <f>Economic!Q50</f>
        <v>1.3241995620524305E-2</v>
      </c>
      <c r="BA38" s="91">
        <f>Economic!R50</f>
        <v>1.2556347352604247E-2</v>
      </c>
      <c r="BB38" s="91">
        <f>Economic!S50</f>
        <v>-1.3932702418506748E-2</v>
      </c>
      <c r="BC38" s="91">
        <f>Economic!T50</f>
        <v>-6.0750132065504614E-3</v>
      </c>
      <c r="BD38" s="91">
        <f>Economic!U50</f>
        <v>-2.8485757121439192E-2</v>
      </c>
      <c r="BE38" s="91">
        <f>Economic!V50</f>
        <v>-3.546099290780147E-2</v>
      </c>
      <c r="BF38" s="91">
        <f>Economic!W50</f>
        <v>15924.199999999953</v>
      </c>
      <c r="BG38" s="91">
        <f>Economic!X50</f>
        <v>89.5</v>
      </c>
      <c r="BH38" s="91">
        <f>Economic!Y50</f>
        <v>84.400000000000546</v>
      </c>
      <c r="BI38" s="91">
        <f>Economic!Z50</f>
        <v>-5.2999999999999545</v>
      </c>
      <c r="BJ38" s="91">
        <f>Economic!AA50</f>
        <v>-2.3000000000000114</v>
      </c>
      <c r="BK38" s="91">
        <f>Economic!AB50</f>
        <v>-5.6999999999999886</v>
      </c>
      <c r="BL38" s="91">
        <f>Economic!AC50</f>
        <v>-7</v>
      </c>
      <c r="BM38" s="91">
        <f>Weather!C158</f>
        <v>-7.1451612903225783</v>
      </c>
      <c r="BN38" s="91">
        <f>Weather!D158</f>
        <v>841.50000000000034</v>
      </c>
      <c r="BO38" s="91">
        <f>Weather!E158</f>
        <v>0</v>
      </c>
      <c r="BP38" s="91">
        <f>Weather!F158</f>
        <v>779.50000000000034</v>
      </c>
      <c r="BQ38" s="91">
        <f>Weather!G158</f>
        <v>0</v>
      </c>
      <c r="BR38" s="91">
        <f>Weather!H158</f>
        <v>717.50000000000023</v>
      </c>
      <c r="BS38" s="91">
        <f>Weather!I158</f>
        <v>0</v>
      </c>
      <c r="BT38" s="91">
        <f>Weather!J158</f>
        <v>655.50000000000023</v>
      </c>
      <c r="BU38" s="91">
        <f>Weather!K158</f>
        <v>0</v>
      </c>
      <c r="BV38" s="91">
        <f>Weather!L158</f>
        <v>593.50000000000023</v>
      </c>
      <c r="BW38" s="91">
        <f>Weather!M158</f>
        <v>0</v>
      </c>
      <c r="BX38" s="91">
        <f>Weather!N158</f>
        <v>531.50000000000011</v>
      </c>
      <c r="BY38" s="91">
        <f>Weather!O158</f>
        <v>0</v>
      </c>
    </row>
    <row r="39" spans="1:77" x14ac:dyDescent="0.2">
      <c r="A39" s="66">
        <v>41698</v>
      </c>
      <c r="B39" s="114">
        <f t="shared" si="0"/>
        <v>2014</v>
      </c>
      <c r="C39" s="94">
        <v>15630733.610000001</v>
      </c>
      <c r="D39" s="94">
        <v>0</v>
      </c>
      <c r="E39" s="171">
        <f ca="1">CDM!D60</f>
        <v>284225.7636239141</v>
      </c>
      <c r="F39" s="94">
        <f t="shared" ca="1" si="1"/>
        <v>15914959.373623915</v>
      </c>
      <c r="G39" s="94">
        <f ca="1">VLOOKUP(B39,CDM!$A$3:$G$14,7,FALSE)</f>
        <v>313726.49821218144</v>
      </c>
      <c r="H39" s="94">
        <f t="shared" ca="1" si="2"/>
        <v>15944460.108212182</v>
      </c>
      <c r="I39" s="90">
        <f>Weather!F159</f>
        <v>683.09999999999991</v>
      </c>
      <c r="J39" s="90">
        <f>Weather!G159</f>
        <v>0</v>
      </c>
      <c r="K39" s="108">
        <v>29</v>
      </c>
      <c r="L39" s="108">
        <f t="shared" ref="L39:W39" si="33">L27</f>
        <v>0</v>
      </c>
      <c r="M39" s="108">
        <f t="shared" si="33"/>
        <v>1</v>
      </c>
      <c r="N39" s="108">
        <f t="shared" si="33"/>
        <v>0</v>
      </c>
      <c r="O39" s="108">
        <f t="shared" si="33"/>
        <v>0</v>
      </c>
      <c r="P39" s="108">
        <f t="shared" si="33"/>
        <v>0</v>
      </c>
      <c r="Q39" s="108">
        <f t="shared" si="33"/>
        <v>0</v>
      </c>
      <c r="R39" s="108">
        <f t="shared" si="33"/>
        <v>0</v>
      </c>
      <c r="S39" s="108">
        <f t="shared" si="33"/>
        <v>0</v>
      </c>
      <c r="T39" s="108">
        <f t="shared" si="33"/>
        <v>0</v>
      </c>
      <c r="U39" s="108">
        <f t="shared" si="33"/>
        <v>0</v>
      </c>
      <c r="V39" s="108">
        <f t="shared" si="33"/>
        <v>0</v>
      </c>
      <c r="W39" s="108">
        <f t="shared" si="33"/>
        <v>0</v>
      </c>
      <c r="X39" s="109">
        <v>0</v>
      </c>
      <c r="Y39" s="108">
        <f t="shared" si="25"/>
        <v>0</v>
      </c>
      <c r="Z39" s="108">
        <f t="shared" si="25"/>
        <v>0</v>
      </c>
      <c r="AA39" s="152">
        <v>0</v>
      </c>
      <c r="AB39" s="152">
        <v>0</v>
      </c>
      <c r="AC39" s="152">
        <f t="shared" si="3"/>
        <v>0</v>
      </c>
      <c r="AD39" s="152">
        <f t="shared" si="4"/>
        <v>0</v>
      </c>
      <c r="AE39" s="152">
        <v>0</v>
      </c>
      <c r="AF39" s="150">
        <f>'Customer Count'!I39</f>
        <v>13348</v>
      </c>
      <c r="AG39" s="150">
        <f>AF39-'Customer Count'!G39-'Customer Count'!F39</f>
        <v>10631</v>
      </c>
      <c r="AH39" s="150">
        <f>AF39-'Customer Count'!H39</f>
        <v>13348</v>
      </c>
      <c r="AI39" s="109">
        <f t="shared" si="5"/>
        <v>38</v>
      </c>
      <c r="AJ39" s="109">
        <v>320</v>
      </c>
      <c r="AK39" s="91">
        <v>142.81305462716429</v>
      </c>
      <c r="AL39" s="91">
        <f>Economic!C51</f>
        <v>659861.19999999995</v>
      </c>
      <c r="AM39" s="91">
        <f>Economic!D51</f>
        <v>6850</v>
      </c>
      <c r="AN39" s="91">
        <f>Economic!E51</f>
        <v>6772.3</v>
      </c>
      <c r="AO39" s="91">
        <f>Economic!F51</f>
        <v>7.5</v>
      </c>
      <c r="AP39" s="91">
        <f>Economic!G51</f>
        <v>7.4</v>
      </c>
      <c r="AQ39" s="91">
        <f>Economic!H51</f>
        <v>379.9</v>
      </c>
      <c r="AR39" s="91">
        <f>Economic!I51</f>
        <v>382.3</v>
      </c>
      <c r="AS39" s="91">
        <f>Economic!J51</f>
        <v>5.9</v>
      </c>
      <c r="AT39" s="91">
        <f>Economic!K51</f>
        <v>5.4</v>
      </c>
      <c r="AU39" s="91">
        <f>Economic!L51</f>
        <v>196.6</v>
      </c>
      <c r="AV39" s="91">
        <f>Economic!M51</f>
        <v>191.6</v>
      </c>
      <c r="AW39" s="91">
        <f>Economic!N51</f>
        <v>8.3000000000000007</v>
      </c>
      <c r="AX39" s="91">
        <f>Economic!O51</f>
        <v>9.4</v>
      </c>
      <c r="AY39" s="91">
        <f>Economic!P51</f>
        <v>2.472943781767456E-2</v>
      </c>
      <c r="AZ39" s="91">
        <f>Economic!Q51</f>
        <v>1.0995498487196498E-2</v>
      </c>
      <c r="BA39" s="91">
        <f>Economic!R51</f>
        <v>1.0489406147418778E-2</v>
      </c>
      <c r="BB39" s="91">
        <f>Economic!S51</f>
        <v>-4.976427448926235E-3</v>
      </c>
      <c r="BC39" s="91">
        <f>Economic!T51</f>
        <v>-1.0452051215050773E-3</v>
      </c>
      <c r="BD39" s="91">
        <f>Economic!U51</f>
        <v>-1.503006012024044E-2</v>
      </c>
      <c r="BE39" s="91">
        <f>Economic!V51</f>
        <v>-1.8442622950819665E-2</v>
      </c>
      <c r="BF39" s="91">
        <f>Economic!W51</f>
        <v>15924.199999999953</v>
      </c>
      <c r="BG39" s="91">
        <f>Economic!X51</f>
        <v>74.5</v>
      </c>
      <c r="BH39" s="91">
        <f>Economic!Y51</f>
        <v>70.300000000000182</v>
      </c>
      <c r="BI39" s="91">
        <f>Economic!Z51</f>
        <v>-1.9000000000000341</v>
      </c>
      <c r="BJ39" s="91">
        <f>Economic!AA51</f>
        <v>-0.39999999999997726</v>
      </c>
      <c r="BK39" s="91">
        <f>Economic!AB51</f>
        <v>-3</v>
      </c>
      <c r="BL39" s="91">
        <f>Economic!AC51</f>
        <v>-3.5999999999999943</v>
      </c>
      <c r="BM39" s="91">
        <f>Weather!C159</f>
        <v>-6.3964285714285722</v>
      </c>
      <c r="BN39" s="91">
        <f>Weather!D159</f>
        <v>739.09999999999991</v>
      </c>
      <c r="BO39" s="91">
        <f>Weather!E159</f>
        <v>0</v>
      </c>
      <c r="BP39" s="91">
        <f>Weather!F159</f>
        <v>683.09999999999991</v>
      </c>
      <c r="BQ39" s="91">
        <f>Weather!G159</f>
        <v>0</v>
      </c>
      <c r="BR39" s="91">
        <f>Weather!H159</f>
        <v>627.09999999999991</v>
      </c>
      <c r="BS39" s="91">
        <f>Weather!I159</f>
        <v>0</v>
      </c>
      <c r="BT39" s="91">
        <f>Weather!J159</f>
        <v>571.09999999999991</v>
      </c>
      <c r="BU39" s="91">
        <f>Weather!K159</f>
        <v>0</v>
      </c>
      <c r="BV39" s="91">
        <f>Weather!L159</f>
        <v>515.09999999999991</v>
      </c>
      <c r="BW39" s="91">
        <f>Weather!M159</f>
        <v>0</v>
      </c>
      <c r="BX39" s="91">
        <f>Weather!N159</f>
        <v>459.09999999999997</v>
      </c>
      <c r="BY39" s="91">
        <f>Weather!O159</f>
        <v>0</v>
      </c>
    </row>
    <row r="40" spans="1:77" x14ac:dyDescent="0.2">
      <c r="A40" s="66">
        <v>41729</v>
      </c>
      <c r="B40" s="114">
        <f t="shared" si="0"/>
        <v>2014</v>
      </c>
      <c r="C40" s="94">
        <v>16233179.18</v>
      </c>
      <c r="D40" s="94">
        <v>0</v>
      </c>
      <c r="E40" s="171">
        <f ca="1">CDM!D61</f>
        <v>290781.48242130684</v>
      </c>
      <c r="F40" s="94">
        <f t="shared" ca="1" si="1"/>
        <v>16523960.662421307</v>
      </c>
      <c r="G40" s="94">
        <f ca="1">VLOOKUP(B40,CDM!$A$3:$G$14,7,FALSE)</f>
        <v>313726.49821218144</v>
      </c>
      <c r="H40" s="94">
        <f t="shared" ca="1" si="2"/>
        <v>16546905.678212181</v>
      </c>
      <c r="I40" s="90">
        <f>Weather!F160</f>
        <v>647.89999999999986</v>
      </c>
      <c r="J40" s="90">
        <f>Weather!G160</f>
        <v>0</v>
      </c>
      <c r="K40" s="108">
        <v>31</v>
      </c>
      <c r="L40" s="108">
        <f t="shared" ref="L40:W40" si="34">L28</f>
        <v>0</v>
      </c>
      <c r="M40" s="108">
        <f t="shared" si="34"/>
        <v>0</v>
      </c>
      <c r="N40" s="108">
        <f t="shared" si="34"/>
        <v>1</v>
      </c>
      <c r="O40" s="108">
        <f t="shared" si="34"/>
        <v>0</v>
      </c>
      <c r="P40" s="108">
        <f t="shared" si="34"/>
        <v>0</v>
      </c>
      <c r="Q40" s="108">
        <f t="shared" si="34"/>
        <v>0</v>
      </c>
      <c r="R40" s="108">
        <f t="shared" si="34"/>
        <v>0</v>
      </c>
      <c r="S40" s="108">
        <f t="shared" si="34"/>
        <v>0</v>
      </c>
      <c r="T40" s="108">
        <f t="shared" si="34"/>
        <v>0</v>
      </c>
      <c r="U40" s="108">
        <f t="shared" si="34"/>
        <v>0</v>
      </c>
      <c r="V40" s="108">
        <f t="shared" si="34"/>
        <v>0</v>
      </c>
      <c r="W40" s="108">
        <f t="shared" si="34"/>
        <v>0</v>
      </c>
      <c r="X40" s="109">
        <v>1</v>
      </c>
      <c r="Y40" s="108">
        <f t="shared" si="25"/>
        <v>1</v>
      </c>
      <c r="Z40" s="108">
        <f t="shared" si="25"/>
        <v>0</v>
      </c>
      <c r="AA40" s="152">
        <v>0</v>
      </c>
      <c r="AB40" s="152">
        <v>0</v>
      </c>
      <c r="AC40" s="152">
        <f t="shared" si="3"/>
        <v>0</v>
      </c>
      <c r="AD40" s="152">
        <f t="shared" si="4"/>
        <v>0</v>
      </c>
      <c r="AE40" s="152">
        <v>0</v>
      </c>
      <c r="AF40" s="150">
        <f>'Customer Count'!I40</f>
        <v>13384.5</v>
      </c>
      <c r="AG40" s="150">
        <f>AF40-'Customer Count'!G40-'Customer Count'!F40</f>
        <v>10667</v>
      </c>
      <c r="AH40" s="150">
        <f>AF40-'Customer Count'!H40</f>
        <v>13384.5</v>
      </c>
      <c r="AI40" s="109">
        <f t="shared" si="5"/>
        <v>39</v>
      </c>
      <c r="AJ40" s="109">
        <v>352</v>
      </c>
      <c r="AK40" s="91">
        <v>143.01381363494295</v>
      </c>
      <c r="AL40" s="91">
        <f>Economic!C52</f>
        <v>659861.19999999995</v>
      </c>
      <c r="AM40" s="91">
        <f>Economic!D52</f>
        <v>6856.4</v>
      </c>
      <c r="AN40" s="91">
        <f>Economic!E52</f>
        <v>6751.3</v>
      </c>
      <c r="AO40" s="91">
        <f>Economic!F52</f>
        <v>7.4</v>
      </c>
      <c r="AP40" s="91">
        <f>Economic!G52</f>
        <v>7.6</v>
      </c>
      <c r="AQ40" s="91">
        <f>Economic!H52</f>
        <v>382.2</v>
      </c>
      <c r="AR40" s="91">
        <f>Economic!I52</f>
        <v>382.2</v>
      </c>
      <c r="AS40" s="91">
        <f>Economic!J52</f>
        <v>5.9</v>
      </c>
      <c r="AT40" s="91">
        <f>Economic!K52</f>
        <v>5.6</v>
      </c>
      <c r="AU40" s="91">
        <f>Economic!L52</f>
        <v>197.6</v>
      </c>
      <c r="AV40" s="91">
        <f>Economic!M52</f>
        <v>192.2</v>
      </c>
      <c r="AW40" s="91">
        <f>Economic!N52</f>
        <v>8.1</v>
      </c>
      <c r="AX40" s="91">
        <f>Economic!O52</f>
        <v>9.4</v>
      </c>
      <c r="AY40" s="91">
        <f>Economic!P52</f>
        <v>2.472943781767456E-2</v>
      </c>
      <c r="AZ40" s="91">
        <f>Economic!Q52</f>
        <v>1.1104393092566056E-2</v>
      </c>
      <c r="BA40" s="91">
        <f>Economic!R52</f>
        <v>1.1309505976811796E-2</v>
      </c>
      <c r="BB40" s="91">
        <f>Economic!S52</f>
        <v>5.5248618784529135E-3</v>
      </c>
      <c r="BC40" s="91">
        <f>Economic!T52</f>
        <v>7.6456630635379774E-3</v>
      </c>
      <c r="BD40" s="91">
        <f>Economic!U52</f>
        <v>-5.0352467270896595E-3</v>
      </c>
      <c r="BE40" s="91">
        <f>Economic!V52</f>
        <v>-5.6906363166063789E-3</v>
      </c>
      <c r="BF40" s="91">
        <f>Economic!W52</f>
        <v>15924.199999999953</v>
      </c>
      <c r="BG40" s="91">
        <f>Economic!X52</f>
        <v>75.299999999999272</v>
      </c>
      <c r="BH40" s="91">
        <f>Economic!Y52</f>
        <v>75.5</v>
      </c>
      <c r="BI40" s="91">
        <f>Economic!Z52</f>
        <v>2.0999999999999659</v>
      </c>
      <c r="BJ40" s="91">
        <f>Economic!AA52</f>
        <v>2.8999999999999773</v>
      </c>
      <c r="BK40" s="91">
        <f>Economic!AB52</f>
        <v>-1</v>
      </c>
      <c r="BL40" s="91">
        <f>Economic!AC52</f>
        <v>-1.1000000000000227</v>
      </c>
      <c r="BM40" s="91">
        <f>Weather!C160</f>
        <v>-2.8999999999999995</v>
      </c>
      <c r="BN40" s="91">
        <f>Weather!D160</f>
        <v>709.9</v>
      </c>
      <c r="BO40" s="91">
        <f>Weather!E160</f>
        <v>0</v>
      </c>
      <c r="BP40" s="91">
        <f>Weather!F160</f>
        <v>647.89999999999986</v>
      </c>
      <c r="BQ40" s="91">
        <f>Weather!G160</f>
        <v>0</v>
      </c>
      <c r="BR40" s="91">
        <f>Weather!H160</f>
        <v>585.9</v>
      </c>
      <c r="BS40" s="91">
        <f>Weather!I160</f>
        <v>0</v>
      </c>
      <c r="BT40" s="91">
        <f>Weather!J160</f>
        <v>523.9</v>
      </c>
      <c r="BU40" s="91">
        <f>Weather!K160</f>
        <v>0</v>
      </c>
      <c r="BV40" s="91">
        <f>Weather!L160</f>
        <v>461.90000000000003</v>
      </c>
      <c r="BW40" s="91">
        <f>Weather!M160</f>
        <v>0</v>
      </c>
      <c r="BX40" s="91">
        <f>Weather!N160</f>
        <v>399.90000000000009</v>
      </c>
      <c r="BY40" s="91">
        <f>Weather!O160</f>
        <v>0</v>
      </c>
    </row>
    <row r="41" spans="1:77" x14ac:dyDescent="0.2">
      <c r="A41" s="66">
        <v>41759</v>
      </c>
      <c r="B41" s="114">
        <f t="shared" si="0"/>
        <v>2014</v>
      </c>
      <c r="C41" s="94">
        <v>13779375.02</v>
      </c>
      <c r="D41" s="94">
        <v>0</v>
      </c>
      <c r="E41" s="171">
        <f ca="1">CDM!D62</f>
        <v>297337.20121869957</v>
      </c>
      <c r="F41" s="94">
        <f t="shared" ca="1" si="1"/>
        <v>14076712.2212187</v>
      </c>
      <c r="G41" s="94">
        <f ca="1">VLOOKUP(B41,CDM!$A$3:$G$14,7,FALSE)</f>
        <v>313726.49821218144</v>
      </c>
      <c r="H41" s="94">
        <f t="shared" ca="1" si="2"/>
        <v>14093101.518212181</v>
      </c>
      <c r="I41" s="90">
        <f>Weather!F161</f>
        <v>331.7</v>
      </c>
      <c r="J41" s="90">
        <f>Weather!G161</f>
        <v>0</v>
      </c>
      <c r="K41" s="108">
        <v>30</v>
      </c>
      <c r="L41" s="108">
        <f t="shared" ref="L41:W41" si="35">L29</f>
        <v>0</v>
      </c>
      <c r="M41" s="108">
        <f t="shared" si="35"/>
        <v>0</v>
      </c>
      <c r="N41" s="108">
        <f t="shared" si="35"/>
        <v>0</v>
      </c>
      <c r="O41" s="108">
        <f t="shared" si="35"/>
        <v>1</v>
      </c>
      <c r="P41" s="108">
        <f t="shared" si="35"/>
        <v>0</v>
      </c>
      <c r="Q41" s="108">
        <f t="shared" si="35"/>
        <v>0</v>
      </c>
      <c r="R41" s="108">
        <f t="shared" si="35"/>
        <v>0</v>
      </c>
      <c r="S41" s="108">
        <f t="shared" si="35"/>
        <v>0</v>
      </c>
      <c r="T41" s="108">
        <f t="shared" si="35"/>
        <v>0</v>
      </c>
      <c r="U41" s="108">
        <f t="shared" si="35"/>
        <v>0</v>
      </c>
      <c r="V41" s="108">
        <f t="shared" si="35"/>
        <v>0</v>
      </c>
      <c r="W41" s="108">
        <f t="shared" si="35"/>
        <v>0</v>
      </c>
      <c r="X41" s="109">
        <v>1</v>
      </c>
      <c r="Y41" s="108">
        <f t="shared" si="25"/>
        <v>1</v>
      </c>
      <c r="Z41" s="108">
        <f t="shared" si="25"/>
        <v>0</v>
      </c>
      <c r="AA41" s="152">
        <v>0</v>
      </c>
      <c r="AB41" s="152">
        <v>0</v>
      </c>
      <c r="AC41" s="152">
        <f t="shared" si="3"/>
        <v>0</v>
      </c>
      <c r="AD41" s="152">
        <f t="shared" si="4"/>
        <v>0</v>
      </c>
      <c r="AE41" s="152">
        <v>0</v>
      </c>
      <c r="AF41" s="150">
        <f>'Customer Count'!I41</f>
        <v>13413</v>
      </c>
      <c r="AG41" s="150">
        <f>AF41-'Customer Count'!G41-'Customer Count'!F41</f>
        <v>10695</v>
      </c>
      <c r="AH41" s="150">
        <f>AF41-'Customer Count'!H41</f>
        <v>13413</v>
      </c>
      <c r="AI41" s="109">
        <f t="shared" si="5"/>
        <v>40</v>
      </c>
      <c r="AJ41" s="109">
        <v>320</v>
      </c>
      <c r="AK41" s="91">
        <v>143.21485485907297</v>
      </c>
      <c r="AL41" s="91">
        <f>Economic!C53</f>
        <v>659861.19999999995</v>
      </c>
      <c r="AM41" s="91">
        <f>Economic!D53</f>
        <v>6869.6</v>
      </c>
      <c r="AN41" s="91">
        <f>Economic!E53</f>
        <v>6785</v>
      </c>
      <c r="AO41" s="91">
        <f>Economic!F53</f>
        <v>7.4</v>
      </c>
      <c r="AP41" s="91">
        <f>Economic!G53</f>
        <v>7.5</v>
      </c>
      <c r="AQ41" s="91">
        <f>Economic!H53</f>
        <v>383.2</v>
      </c>
      <c r="AR41" s="91">
        <f>Economic!I53</f>
        <v>382.5</v>
      </c>
      <c r="AS41" s="91">
        <f>Economic!J53</f>
        <v>6.1</v>
      </c>
      <c r="AT41" s="91">
        <f>Economic!K53</f>
        <v>5.9</v>
      </c>
      <c r="AU41" s="91">
        <f>Economic!L53</f>
        <v>198.1</v>
      </c>
      <c r="AV41" s="91">
        <f>Economic!M53</f>
        <v>193.4</v>
      </c>
      <c r="AW41" s="91">
        <f>Economic!N53</f>
        <v>8.1</v>
      </c>
      <c r="AX41" s="91">
        <f>Economic!O53</f>
        <v>9.1999999999999993</v>
      </c>
      <c r="AY41" s="91">
        <f>Economic!P53</f>
        <v>2.472943781767456E-2</v>
      </c>
      <c r="AZ41" s="91">
        <f>Economic!Q53</f>
        <v>1.1887050921357112E-2</v>
      </c>
      <c r="BA41" s="91">
        <f>Economic!R53</f>
        <v>1.2127631009740902E-2</v>
      </c>
      <c r="BB41" s="91">
        <f>Economic!S53</f>
        <v>1.6176080615221355E-2</v>
      </c>
      <c r="BC41" s="91">
        <f>Economic!T53</f>
        <v>1.8913159296750193E-2</v>
      </c>
      <c r="BD41" s="91">
        <f>Economic!U53</f>
        <v>8.6558044806517298E-3</v>
      </c>
      <c r="BE41" s="91">
        <f>Economic!V53</f>
        <v>8.3420229405630764E-3</v>
      </c>
      <c r="BF41" s="91">
        <f>Economic!W53</f>
        <v>15924.199999999953</v>
      </c>
      <c r="BG41" s="91">
        <f>Economic!X53</f>
        <v>80.700000000000728</v>
      </c>
      <c r="BH41" s="91">
        <f>Economic!Y53</f>
        <v>81.300000000000182</v>
      </c>
      <c r="BI41" s="91">
        <f>Economic!Z53</f>
        <v>6.0999999999999659</v>
      </c>
      <c r="BJ41" s="91">
        <f>Economic!AA53</f>
        <v>7.1000000000000227</v>
      </c>
      <c r="BK41" s="91">
        <f>Economic!AB53</f>
        <v>1.6999999999999886</v>
      </c>
      <c r="BL41" s="91">
        <f>Economic!AC53</f>
        <v>1.5999999999999943</v>
      </c>
      <c r="BM41" s="91">
        <f>Weather!C161</f>
        <v>6.943333333333336</v>
      </c>
      <c r="BN41" s="91">
        <f>Weather!D161</f>
        <v>391.70000000000005</v>
      </c>
      <c r="BO41" s="91">
        <f>Weather!E161</f>
        <v>0</v>
      </c>
      <c r="BP41" s="91">
        <f>Weather!F161</f>
        <v>331.7</v>
      </c>
      <c r="BQ41" s="91">
        <f>Weather!G161</f>
        <v>0</v>
      </c>
      <c r="BR41" s="91">
        <f>Weather!H161</f>
        <v>272.09999999999991</v>
      </c>
      <c r="BS41" s="91">
        <f>Weather!I161</f>
        <v>0.39999999999999858</v>
      </c>
      <c r="BT41" s="91">
        <f>Weather!J161</f>
        <v>214.59999999999994</v>
      </c>
      <c r="BU41" s="91">
        <f>Weather!K161</f>
        <v>2.8999999999999986</v>
      </c>
      <c r="BV41" s="91">
        <f>Weather!L161</f>
        <v>160.09999999999994</v>
      </c>
      <c r="BW41" s="91">
        <f>Weather!M161</f>
        <v>8.3999999999999986</v>
      </c>
      <c r="BX41" s="91">
        <f>Weather!N161</f>
        <v>108.59999999999997</v>
      </c>
      <c r="BY41" s="91">
        <f>Weather!O161</f>
        <v>16.899999999999999</v>
      </c>
    </row>
    <row r="42" spans="1:77" x14ac:dyDescent="0.2">
      <c r="A42" s="66">
        <v>41790</v>
      </c>
      <c r="B42" s="114">
        <f t="shared" si="0"/>
        <v>2014</v>
      </c>
      <c r="C42" s="94">
        <v>13816260.479999999</v>
      </c>
      <c r="D42" s="94">
        <v>0</v>
      </c>
      <c r="E42" s="171">
        <f ca="1">CDM!D63</f>
        <v>303892.92001609231</v>
      </c>
      <c r="F42" s="94">
        <f t="shared" ca="1" si="1"/>
        <v>14120153.400016092</v>
      </c>
      <c r="G42" s="94">
        <f ca="1">VLOOKUP(B42,CDM!$A$3:$G$14,7,FALSE)</f>
        <v>313726.49821218144</v>
      </c>
      <c r="H42" s="94">
        <f t="shared" ca="1" si="2"/>
        <v>14129986.97821218</v>
      </c>
      <c r="I42" s="90">
        <f>Weather!F162</f>
        <v>129.60000000000002</v>
      </c>
      <c r="J42" s="90">
        <f>Weather!G162</f>
        <v>11.899999999999999</v>
      </c>
      <c r="K42" s="108">
        <v>31</v>
      </c>
      <c r="L42" s="108">
        <f t="shared" ref="L42:W42" si="36">L30</f>
        <v>0</v>
      </c>
      <c r="M42" s="108">
        <f t="shared" si="36"/>
        <v>0</v>
      </c>
      <c r="N42" s="108">
        <f t="shared" si="36"/>
        <v>0</v>
      </c>
      <c r="O42" s="108">
        <f t="shared" si="36"/>
        <v>0</v>
      </c>
      <c r="P42" s="108">
        <f t="shared" si="36"/>
        <v>1</v>
      </c>
      <c r="Q42" s="108">
        <f t="shared" si="36"/>
        <v>0</v>
      </c>
      <c r="R42" s="108">
        <f t="shared" si="36"/>
        <v>0</v>
      </c>
      <c r="S42" s="108">
        <f t="shared" si="36"/>
        <v>0</v>
      </c>
      <c r="T42" s="108">
        <f t="shared" si="36"/>
        <v>0</v>
      </c>
      <c r="U42" s="108">
        <f t="shared" si="36"/>
        <v>0</v>
      </c>
      <c r="V42" s="108">
        <f t="shared" si="36"/>
        <v>0</v>
      </c>
      <c r="W42" s="108">
        <f t="shared" si="36"/>
        <v>0</v>
      </c>
      <c r="X42" s="109">
        <v>1</v>
      </c>
      <c r="Y42" s="108">
        <f t="shared" si="25"/>
        <v>1</v>
      </c>
      <c r="Z42" s="108">
        <f t="shared" si="25"/>
        <v>0</v>
      </c>
      <c r="AA42" s="152">
        <v>0</v>
      </c>
      <c r="AB42" s="152">
        <v>0</v>
      </c>
      <c r="AC42" s="152">
        <f t="shared" si="3"/>
        <v>0</v>
      </c>
      <c r="AD42" s="152">
        <f t="shared" si="4"/>
        <v>0</v>
      </c>
      <c r="AE42" s="152">
        <v>0</v>
      </c>
      <c r="AF42" s="150">
        <f>'Customer Count'!I42</f>
        <v>13446</v>
      </c>
      <c r="AG42" s="150">
        <f>AF42-'Customer Count'!G42-'Customer Count'!F42</f>
        <v>10728</v>
      </c>
      <c r="AH42" s="150">
        <f>AF42-'Customer Count'!H42</f>
        <v>13446</v>
      </c>
      <c r="AI42" s="109">
        <f t="shared" si="5"/>
        <v>41</v>
      </c>
      <c r="AJ42" s="109">
        <v>352</v>
      </c>
      <c r="AK42" s="91">
        <v>143.41617869627913</v>
      </c>
      <c r="AL42" s="91">
        <f>Economic!C54</f>
        <v>659861.19999999995</v>
      </c>
      <c r="AM42" s="91">
        <f>Economic!D54</f>
        <v>6870.6</v>
      </c>
      <c r="AN42" s="91">
        <f>Economic!E54</f>
        <v>6842.6</v>
      </c>
      <c r="AO42" s="91">
        <f>Economic!F54</f>
        <v>7.3</v>
      </c>
      <c r="AP42" s="91">
        <f>Economic!G54</f>
        <v>7.6</v>
      </c>
      <c r="AQ42" s="91">
        <f>Economic!H54</f>
        <v>381.5</v>
      </c>
      <c r="AR42" s="91">
        <f>Economic!I54</f>
        <v>379.7</v>
      </c>
      <c r="AS42" s="91">
        <f>Economic!J54</f>
        <v>6.4</v>
      </c>
      <c r="AT42" s="91">
        <f>Economic!K54</f>
        <v>6.4</v>
      </c>
      <c r="AU42" s="91">
        <f>Economic!L54</f>
        <v>197.1</v>
      </c>
      <c r="AV42" s="91">
        <f>Economic!M54</f>
        <v>195.7</v>
      </c>
      <c r="AW42" s="91">
        <f>Economic!N54</f>
        <v>7.9</v>
      </c>
      <c r="AX42" s="91">
        <f>Economic!O54</f>
        <v>8.5</v>
      </c>
      <c r="AY42" s="91">
        <f>Economic!P54</f>
        <v>2.472943781767456E-2</v>
      </c>
      <c r="AZ42" s="91">
        <f>Economic!Q54</f>
        <v>1.0218935172251475E-2</v>
      </c>
      <c r="BA42" s="91">
        <f>Economic!R54</f>
        <v>1.0678995022377125E-2</v>
      </c>
      <c r="BB42" s="91">
        <f>Economic!S54</f>
        <v>8.7255420412479801E-3</v>
      </c>
      <c r="BC42" s="91">
        <f>Economic!T54</f>
        <v>8.7672688629119033E-3</v>
      </c>
      <c r="BD42" s="91">
        <f>Economic!U54</f>
        <v>4.5871559633028358E-3</v>
      </c>
      <c r="BE42" s="91">
        <f>Economic!V54</f>
        <v>1.5353121801431335E-3</v>
      </c>
      <c r="BF42" s="91">
        <f>Economic!W54</f>
        <v>15924.199999999953</v>
      </c>
      <c r="BG42" s="91">
        <f>Economic!X54</f>
        <v>69.5</v>
      </c>
      <c r="BH42" s="91">
        <f>Economic!Y54</f>
        <v>72.300000000000182</v>
      </c>
      <c r="BI42" s="91">
        <f>Economic!Z54</f>
        <v>3.3000000000000114</v>
      </c>
      <c r="BJ42" s="91">
        <f>Economic!AA54</f>
        <v>3.3000000000000114</v>
      </c>
      <c r="BK42" s="91">
        <f>Economic!AB54</f>
        <v>0.90000000000000568</v>
      </c>
      <c r="BL42" s="91">
        <f>Economic!AC54</f>
        <v>0.29999999999998295</v>
      </c>
      <c r="BM42" s="91">
        <f>Weather!C162</f>
        <v>14.203225806451613</v>
      </c>
      <c r="BN42" s="91">
        <f>Weather!D162</f>
        <v>187.19999999999993</v>
      </c>
      <c r="BO42" s="91">
        <f>Weather!E162</f>
        <v>7.5</v>
      </c>
      <c r="BP42" s="91">
        <f>Weather!F162</f>
        <v>129.60000000000002</v>
      </c>
      <c r="BQ42" s="91">
        <f>Weather!G162</f>
        <v>11.899999999999999</v>
      </c>
      <c r="BR42" s="91">
        <f>Weather!H162</f>
        <v>80.000000000000014</v>
      </c>
      <c r="BS42" s="91">
        <f>Weather!I162</f>
        <v>24.299999999999997</v>
      </c>
      <c r="BT42" s="91">
        <f>Weather!J162</f>
        <v>47</v>
      </c>
      <c r="BU42" s="91">
        <f>Weather!K162</f>
        <v>53.3</v>
      </c>
      <c r="BV42" s="91">
        <f>Weather!L162</f>
        <v>23.6</v>
      </c>
      <c r="BW42" s="91">
        <f>Weather!M162</f>
        <v>91.899999999999991</v>
      </c>
      <c r="BX42" s="91">
        <f>Weather!N162</f>
        <v>6.8</v>
      </c>
      <c r="BY42" s="91">
        <f>Weather!O162</f>
        <v>137.09999999999997</v>
      </c>
    </row>
    <row r="43" spans="1:77" x14ac:dyDescent="0.2">
      <c r="A43" s="66">
        <v>41820</v>
      </c>
      <c r="B43" s="114">
        <f t="shared" si="0"/>
        <v>2014</v>
      </c>
      <c r="C43" s="94">
        <v>15763795.030000001</v>
      </c>
      <c r="D43" s="94">
        <v>0</v>
      </c>
      <c r="E43" s="171">
        <f ca="1">CDM!D64</f>
        <v>310448.63881348504</v>
      </c>
      <c r="F43" s="94">
        <f t="shared" ca="1" si="1"/>
        <v>16074243.668813486</v>
      </c>
      <c r="G43" s="94">
        <f ca="1">VLOOKUP(B43,CDM!$A$3:$G$14,7,FALSE)</f>
        <v>313726.49821218144</v>
      </c>
      <c r="H43" s="94">
        <f t="shared" ca="1" si="2"/>
        <v>16077521.528212182</v>
      </c>
      <c r="I43" s="90">
        <f>Weather!F163</f>
        <v>13.499999999999998</v>
      </c>
      <c r="J43" s="90">
        <f>Weather!G163</f>
        <v>72.8</v>
      </c>
      <c r="K43" s="108">
        <v>30</v>
      </c>
      <c r="L43" s="108">
        <f t="shared" ref="L43:W43" si="37">L31</f>
        <v>0</v>
      </c>
      <c r="M43" s="108">
        <f t="shared" si="37"/>
        <v>0</v>
      </c>
      <c r="N43" s="108">
        <f t="shared" si="37"/>
        <v>0</v>
      </c>
      <c r="O43" s="108">
        <f t="shared" si="37"/>
        <v>0</v>
      </c>
      <c r="P43" s="108">
        <f t="shared" si="37"/>
        <v>0</v>
      </c>
      <c r="Q43" s="108">
        <f t="shared" si="37"/>
        <v>1</v>
      </c>
      <c r="R43" s="108">
        <f t="shared" si="37"/>
        <v>0</v>
      </c>
      <c r="S43" s="108">
        <f t="shared" si="37"/>
        <v>0</v>
      </c>
      <c r="T43" s="108">
        <f t="shared" si="37"/>
        <v>0</v>
      </c>
      <c r="U43" s="108">
        <f t="shared" si="37"/>
        <v>0</v>
      </c>
      <c r="V43" s="108">
        <f t="shared" si="37"/>
        <v>0</v>
      </c>
      <c r="W43" s="108">
        <f t="shared" si="37"/>
        <v>0</v>
      </c>
      <c r="X43" s="109">
        <v>0</v>
      </c>
      <c r="Y43" s="108">
        <f t="shared" si="25"/>
        <v>0</v>
      </c>
      <c r="Z43" s="108">
        <f t="shared" si="25"/>
        <v>0</v>
      </c>
      <c r="AA43" s="152">
        <v>0</v>
      </c>
      <c r="AB43" s="152">
        <v>0</v>
      </c>
      <c r="AC43" s="152">
        <f t="shared" si="3"/>
        <v>0</v>
      </c>
      <c r="AD43" s="152">
        <f t="shared" si="4"/>
        <v>0</v>
      </c>
      <c r="AE43" s="152">
        <v>0</v>
      </c>
      <c r="AF43" s="150">
        <f>'Customer Count'!I43</f>
        <v>13471.5</v>
      </c>
      <c r="AG43" s="150">
        <f>AF43-'Customer Count'!G43-'Customer Count'!F43</f>
        <v>10753.5</v>
      </c>
      <c r="AH43" s="150">
        <f>AF43-'Customer Count'!H43</f>
        <v>13471.5</v>
      </c>
      <c r="AI43" s="109">
        <f t="shared" si="5"/>
        <v>42</v>
      </c>
      <c r="AJ43" s="109">
        <v>336</v>
      </c>
      <c r="AK43" s="91">
        <v>143.61778554384387</v>
      </c>
      <c r="AL43" s="91">
        <f>Economic!C55</f>
        <v>659861.19999999995</v>
      </c>
      <c r="AM43" s="91">
        <f>Economic!D55</f>
        <v>6865.4</v>
      </c>
      <c r="AN43" s="91">
        <f>Economic!E55</f>
        <v>6912.9</v>
      </c>
      <c r="AO43" s="91">
        <f>Economic!F55</f>
        <v>7.3</v>
      </c>
      <c r="AP43" s="91">
        <f>Economic!G55</f>
        <v>7.5</v>
      </c>
      <c r="AQ43" s="91">
        <f>Economic!H55</f>
        <v>382</v>
      </c>
      <c r="AR43" s="91">
        <f>Economic!I55</f>
        <v>383.3</v>
      </c>
      <c r="AS43" s="91">
        <f>Economic!J55</f>
        <v>6.5</v>
      </c>
      <c r="AT43" s="91">
        <f>Economic!K55</f>
        <v>6.6</v>
      </c>
      <c r="AU43" s="91">
        <f>Economic!L55</f>
        <v>195.3</v>
      </c>
      <c r="AV43" s="91">
        <f>Economic!M55</f>
        <v>197.1</v>
      </c>
      <c r="AW43" s="91">
        <f>Economic!N55</f>
        <v>8</v>
      </c>
      <c r="AX43" s="91">
        <f>Economic!O55</f>
        <v>7.6</v>
      </c>
      <c r="AY43" s="91">
        <f>Economic!P55</f>
        <v>2.472943781767456E-2</v>
      </c>
      <c r="AZ43" s="91">
        <f>Economic!Q55</f>
        <v>7.3658880150251349E-3</v>
      </c>
      <c r="BA43" s="91">
        <f>Economic!R55</f>
        <v>7.4470255618057646E-3</v>
      </c>
      <c r="BB43" s="91">
        <f>Economic!S55</f>
        <v>1.3800424628449992E-2</v>
      </c>
      <c r="BC43" s="91">
        <f>Economic!T55</f>
        <v>1.2414157422081296E-2</v>
      </c>
      <c r="BD43" s="91">
        <f>Economic!U55</f>
        <v>5.1466803911477399E-3</v>
      </c>
      <c r="BE43" s="91">
        <f>Economic!V55</f>
        <v>1.5243902439023849E-3</v>
      </c>
      <c r="BF43" s="91">
        <f>Economic!W55</f>
        <v>15924.199999999953</v>
      </c>
      <c r="BG43" s="91">
        <f>Economic!X55</f>
        <v>50.199999999999818</v>
      </c>
      <c r="BH43" s="91">
        <f>Economic!Y55</f>
        <v>51.099999999999454</v>
      </c>
      <c r="BI43" s="91">
        <f>Economic!Z55</f>
        <v>5.1999999999999886</v>
      </c>
      <c r="BJ43" s="91">
        <f>Economic!AA55</f>
        <v>4.6999999999999886</v>
      </c>
      <c r="BK43" s="91">
        <f>Economic!AB55</f>
        <v>1</v>
      </c>
      <c r="BL43" s="91">
        <f>Economic!AC55</f>
        <v>0.29999999999998295</v>
      </c>
      <c r="BM43" s="91">
        <f>Weather!C163</f>
        <v>19.976666666666667</v>
      </c>
      <c r="BN43" s="91">
        <f>Weather!D163</f>
        <v>38.499999999999993</v>
      </c>
      <c r="BO43" s="91">
        <f>Weather!E163</f>
        <v>37.799999999999997</v>
      </c>
      <c r="BP43" s="91">
        <f>Weather!F163</f>
        <v>13.499999999999998</v>
      </c>
      <c r="BQ43" s="91">
        <f>Weather!G163</f>
        <v>72.8</v>
      </c>
      <c r="BR43" s="91">
        <f>Weather!H163</f>
        <v>2.4999999999999982</v>
      </c>
      <c r="BS43" s="91">
        <f>Weather!I163</f>
        <v>121.8</v>
      </c>
      <c r="BT43" s="91">
        <f>Weather!J163</f>
        <v>0</v>
      </c>
      <c r="BU43" s="91">
        <f>Weather!K163</f>
        <v>179.3</v>
      </c>
      <c r="BV43" s="91">
        <f>Weather!L163</f>
        <v>0</v>
      </c>
      <c r="BW43" s="91">
        <f>Weather!M163</f>
        <v>239.3</v>
      </c>
      <c r="BX43" s="91">
        <f>Weather!N163</f>
        <v>0</v>
      </c>
      <c r="BY43" s="91">
        <f>Weather!O163</f>
        <v>299.3</v>
      </c>
    </row>
    <row r="44" spans="1:77" x14ac:dyDescent="0.2">
      <c r="A44" s="66">
        <v>41851</v>
      </c>
      <c r="B44" s="114">
        <f t="shared" si="0"/>
        <v>2014</v>
      </c>
      <c r="C44" s="94">
        <v>17256405.399999999</v>
      </c>
      <c r="D44" s="94">
        <v>0</v>
      </c>
      <c r="E44" s="171">
        <f ca="1">CDM!D65</f>
        <v>317004.35761087778</v>
      </c>
      <c r="F44" s="94">
        <f t="shared" ca="1" si="1"/>
        <v>17573409.757610876</v>
      </c>
      <c r="G44" s="94">
        <f ca="1">VLOOKUP(B44,CDM!$A$3:$G$14,7,FALSE)</f>
        <v>313726.49821218144</v>
      </c>
      <c r="H44" s="94">
        <f t="shared" ca="1" si="2"/>
        <v>17570131.89821218</v>
      </c>
      <c r="I44" s="90">
        <f>Weather!F164</f>
        <v>1.6999999999999993</v>
      </c>
      <c r="J44" s="90">
        <f>Weather!G164</f>
        <v>89.600000000000023</v>
      </c>
      <c r="K44" s="108">
        <v>31</v>
      </c>
      <c r="L44" s="108">
        <f t="shared" ref="L44:W44" si="38">L32</f>
        <v>0</v>
      </c>
      <c r="M44" s="108">
        <f t="shared" si="38"/>
        <v>0</v>
      </c>
      <c r="N44" s="108">
        <f t="shared" si="38"/>
        <v>0</v>
      </c>
      <c r="O44" s="108">
        <f t="shared" si="38"/>
        <v>0</v>
      </c>
      <c r="P44" s="108">
        <f t="shared" si="38"/>
        <v>0</v>
      </c>
      <c r="Q44" s="108">
        <f t="shared" si="38"/>
        <v>0</v>
      </c>
      <c r="R44" s="108">
        <f t="shared" si="38"/>
        <v>1</v>
      </c>
      <c r="S44" s="108">
        <f t="shared" si="38"/>
        <v>0</v>
      </c>
      <c r="T44" s="108">
        <f t="shared" si="38"/>
        <v>0</v>
      </c>
      <c r="U44" s="108">
        <f t="shared" si="38"/>
        <v>0</v>
      </c>
      <c r="V44" s="108">
        <f t="shared" si="38"/>
        <v>0</v>
      </c>
      <c r="W44" s="108">
        <f t="shared" si="38"/>
        <v>0</v>
      </c>
      <c r="X44" s="109">
        <v>0</v>
      </c>
      <c r="Y44" s="108">
        <f t="shared" si="25"/>
        <v>0</v>
      </c>
      <c r="Z44" s="108">
        <f t="shared" si="25"/>
        <v>0</v>
      </c>
      <c r="AA44" s="152">
        <v>0</v>
      </c>
      <c r="AB44" s="152">
        <v>0</v>
      </c>
      <c r="AC44" s="152">
        <f t="shared" si="3"/>
        <v>0</v>
      </c>
      <c r="AD44" s="152">
        <f t="shared" si="4"/>
        <v>0</v>
      </c>
      <c r="AE44" s="152">
        <v>0</v>
      </c>
      <c r="AF44" s="150">
        <f>'Customer Count'!I44</f>
        <v>13503</v>
      </c>
      <c r="AG44" s="150">
        <f>AF44-'Customer Count'!G44-'Customer Count'!F44</f>
        <v>10785</v>
      </c>
      <c r="AH44" s="150">
        <f>AF44-'Customer Count'!H44</f>
        <v>13503</v>
      </c>
      <c r="AI44" s="109">
        <f t="shared" si="5"/>
        <v>43</v>
      </c>
      <c r="AJ44" s="109">
        <v>336</v>
      </c>
      <c r="AK44" s="91">
        <v>143.81967579960809</v>
      </c>
      <c r="AL44" s="91">
        <f>Economic!C56</f>
        <v>659861.19999999995</v>
      </c>
      <c r="AM44" s="91">
        <f>Economic!D56</f>
        <v>6864.4</v>
      </c>
      <c r="AN44" s="91">
        <f>Economic!E56</f>
        <v>6957.8</v>
      </c>
      <c r="AO44" s="91">
        <f>Economic!F56</f>
        <v>7.4</v>
      </c>
      <c r="AP44" s="91">
        <f>Economic!G56</f>
        <v>7.8</v>
      </c>
      <c r="AQ44" s="91">
        <f>Economic!H56</f>
        <v>383.8</v>
      </c>
      <c r="AR44" s="91">
        <f>Economic!I56</f>
        <v>386.4</v>
      </c>
      <c r="AS44" s="91">
        <f>Economic!J56</f>
        <v>6.4</v>
      </c>
      <c r="AT44" s="91">
        <f>Economic!K56</f>
        <v>6.8</v>
      </c>
      <c r="AU44" s="91">
        <f>Economic!L56</f>
        <v>194</v>
      </c>
      <c r="AV44" s="91">
        <f>Economic!M56</f>
        <v>197.9</v>
      </c>
      <c r="AW44" s="91">
        <f>Economic!N56</f>
        <v>7.8</v>
      </c>
      <c r="AX44" s="91">
        <f>Economic!O56</f>
        <v>7.4</v>
      </c>
      <c r="AY44" s="91">
        <f>Economic!P56</f>
        <v>2.472943781767456E-2</v>
      </c>
      <c r="AZ44" s="91">
        <f>Economic!Q56</f>
        <v>5.596085669918871E-3</v>
      </c>
      <c r="BA44" s="91">
        <f>Economic!R56</f>
        <v>5.8839687152130171E-3</v>
      </c>
      <c r="BB44" s="91">
        <f>Economic!S56</f>
        <v>2.2648547828403975E-2</v>
      </c>
      <c r="BC44" s="91">
        <f>Economic!T56</f>
        <v>2.0332717190388205E-2</v>
      </c>
      <c r="BD44" s="91">
        <f>Economic!U56</f>
        <v>4.6607975142414215E-3</v>
      </c>
      <c r="BE44" s="91">
        <f>Economic!V56</f>
        <v>1.5182186234818928E-3</v>
      </c>
      <c r="BF44" s="91">
        <f>Economic!W56</f>
        <v>15924.199999999953</v>
      </c>
      <c r="BG44" s="91">
        <f>Economic!X56</f>
        <v>38.199999999999818</v>
      </c>
      <c r="BH44" s="91">
        <f>Economic!Y56</f>
        <v>40.699999999999818</v>
      </c>
      <c r="BI44" s="91">
        <f>Economic!Z56</f>
        <v>8.5</v>
      </c>
      <c r="BJ44" s="91">
        <f>Economic!AA56</f>
        <v>7.6999999999999886</v>
      </c>
      <c r="BK44" s="91">
        <f>Economic!AB56</f>
        <v>0.90000000000000568</v>
      </c>
      <c r="BL44" s="91">
        <f>Economic!AC56</f>
        <v>0.30000000000001137</v>
      </c>
      <c r="BM44" s="91">
        <f>Weather!C164</f>
        <v>20.835483870967746</v>
      </c>
      <c r="BN44" s="91">
        <f>Weather!D164</f>
        <v>22.199999999999996</v>
      </c>
      <c r="BO44" s="91">
        <f>Weather!E164</f>
        <v>48.099999999999994</v>
      </c>
      <c r="BP44" s="91">
        <f>Weather!F164</f>
        <v>1.6999999999999993</v>
      </c>
      <c r="BQ44" s="91">
        <f>Weather!G164</f>
        <v>89.600000000000023</v>
      </c>
      <c r="BR44" s="91">
        <f>Weather!H164</f>
        <v>0</v>
      </c>
      <c r="BS44" s="91">
        <f>Weather!I164</f>
        <v>149.90000000000003</v>
      </c>
      <c r="BT44" s="91">
        <f>Weather!J164</f>
        <v>0</v>
      </c>
      <c r="BU44" s="91">
        <f>Weather!K164</f>
        <v>211.89999999999998</v>
      </c>
      <c r="BV44" s="91">
        <f>Weather!L164</f>
        <v>0</v>
      </c>
      <c r="BW44" s="91">
        <f>Weather!M164</f>
        <v>273.89999999999998</v>
      </c>
      <c r="BX44" s="91">
        <f>Weather!N164</f>
        <v>0</v>
      </c>
      <c r="BY44" s="91">
        <f>Weather!O164</f>
        <v>335.89999999999992</v>
      </c>
    </row>
    <row r="45" spans="1:77" x14ac:dyDescent="0.2">
      <c r="A45" s="66">
        <v>41882</v>
      </c>
      <c r="B45" s="114">
        <f t="shared" si="0"/>
        <v>2014</v>
      </c>
      <c r="C45" s="94">
        <v>17022827.640000001</v>
      </c>
      <c r="D45" s="94">
        <v>0</v>
      </c>
      <c r="E45" s="171">
        <f ca="1">CDM!D66</f>
        <v>323560.07640827051</v>
      </c>
      <c r="F45" s="94">
        <f t="shared" ca="1" si="1"/>
        <v>17346387.716408271</v>
      </c>
      <c r="G45" s="94">
        <f ca="1">VLOOKUP(B45,CDM!$A$3:$G$14,7,FALSE)</f>
        <v>313726.49821218144</v>
      </c>
      <c r="H45" s="94">
        <f t="shared" ca="1" si="2"/>
        <v>17336554.138212182</v>
      </c>
      <c r="I45" s="90">
        <f>Weather!F165</f>
        <v>4.0999999999999996</v>
      </c>
      <c r="J45" s="90">
        <f>Weather!G165</f>
        <v>88.800000000000011</v>
      </c>
      <c r="K45" s="108">
        <v>31</v>
      </c>
      <c r="L45" s="108">
        <f t="shared" ref="L45:W45" si="39">L33</f>
        <v>0</v>
      </c>
      <c r="M45" s="108">
        <f t="shared" si="39"/>
        <v>0</v>
      </c>
      <c r="N45" s="108">
        <f t="shared" si="39"/>
        <v>0</v>
      </c>
      <c r="O45" s="108">
        <f t="shared" si="39"/>
        <v>0</v>
      </c>
      <c r="P45" s="108">
        <f t="shared" si="39"/>
        <v>0</v>
      </c>
      <c r="Q45" s="108">
        <f t="shared" si="39"/>
        <v>0</v>
      </c>
      <c r="R45" s="108">
        <f t="shared" si="39"/>
        <v>0</v>
      </c>
      <c r="S45" s="108">
        <f t="shared" si="39"/>
        <v>1</v>
      </c>
      <c r="T45" s="108">
        <f t="shared" si="39"/>
        <v>0</v>
      </c>
      <c r="U45" s="108">
        <f t="shared" si="39"/>
        <v>0</v>
      </c>
      <c r="V45" s="108">
        <f t="shared" si="39"/>
        <v>0</v>
      </c>
      <c r="W45" s="108">
        <f t="shared" si="39"/>
        <v>0</v>
      </c>
      <c r="X45" s="109">
        <v>0</v>
      </c>
      <c r="Y45" s="108">
        <f t="shared" si="25"/>
        <v>0</v>
      </c>
      <c r="Z45" s="108">
        <f t="shared" si="25"/>
        <v>0</v>
      </c>
      <c r="AA45" s="152">
        <v>0</v>
      </c>
      <c r="AB45" s="152">
        <v>0</v>
      </c>
      <c r="AC45" s="152">
        <f t="shared" si="3"/>
        <v>0</v>
      </c>
      <c r="AD45" s="152">
        <f t="shared" si="4"/>
        <v>0</v>
      </c>
      <c r="AE45" s="152">
        <v>0</v>
      </c>
      <c r="AF45" s="150">
        <f>'Customer Count'!I45</f>
        <v>13541.5</v>
      </c>
      <c r="AG45" s="150">
        <f>AF45-'Customer Count'!G45-'Customer Count'!F45</f>
        <v>10823.5</v>
      </c>
      <c r="AH45" s="150">
        <f>AF45-'Customer Count'!H45</f>
        <v>13541.5</v>
      </c>
      <c r="AI45" s="109">
        <f t="shared" si="5"/>
        <v>44</v>
      </c>
      <c r="AJ45" s="109">
        <v>352</v>
      </c>
      <c r="AK45" s="91">
        <v>144.02184986197204</v>
      </c>
      <c r="AL45" s="91">
        <f>Economic!C57</f>
        <v>659861.19999999995</v>
      </c>
      <c r="AM45" s="91">
        <f>Economic!D57</f>
        <v>6869.9</v>
      </c>
      <c r="AN45" s="91">
        <f>Economic!E57</f>
        <v>6969.7</v>
      </c>
      <c r="AO45" s="91">
        <f>Economic!F57</f>
        <v>7.4</v>
      </c>
      <c r="AP45" s="91">
        <f>Economic!G57</f>
        <v>7.9</v>
      </c>
      <c r="AQ45" s="91">
        <f>Economic!H57</f>
        <v>385.2</v>
      </c>
      <c r="AR45" s="91">
        <f>Economic!I57</f>
        <v>388.9</v>
      </c>
      <c r="AS45" s="91">
        <f>Economic!J57</f>
        <v>6.2</v>
      </c>
      <c r="AT45" s="91">
        <f>Economic!K57</f>
        <v>6.9</v>
      </c>
      <c r="AU45" s="91">
        <f>Economic!L57</f>
        <v>193.1</v>
      </c>
      <c r="AV45" s="91">
        <f>Economic!M57</f>
        <v>196.7</v>
      </c>
      <c r="AW45" s="91">
        <f>Economic!N57</f>
        <v>7.9</v>
      </c>
      <c r="AX45" s="91">
        <f>Economic!O57</f>
        <v>7.6</v>
      </c>
      <c r="AY45" s="91">
        <f>Economic!P57</f>
        <v>2.472943781767456E-2</v>
      </c>
      <c r="AZ45" s="91">
        <f>Economic!Q57</f>
        <v>5.2678558363452588E-3</v>
      </c>
      <c r="BA45" s="91">
        <f>Economic!R57</f>
        <v>5.0470820655543758E-3</v>
      </c>
      <c r="BB45" s="91">
        <f>Economic!S57</f>
        <v>5.7660626029653939E-2</v>
      </c>
      <c r="BC45" s="91">
        <f>Economic!T57</f>
        <v>5.5932663589465026E-2</v>
      </c>
      <c r="BD45" s="91">
        <f>Economic!U57</f>
        <v>1.0465724751439032E-2</v>
      </c>
      <c r="BE45" s="91">
        <f>Economic!V57</f>
        <v>9.2355053873780513E-3</v>
      </c>
      <c r="BF45" s="91">
        <f>Economic!W57</f>
        <v>15924.199999999953</v>
      </c>
      <c r="BG45" s="91">
        <f>Economic!X57</f>
        <v>36</v>
      </c>
      <c r="BH45" s="91">
        <f>Economic!Y57</f>
        <v>35</v>
      </c>
      <c r="BI45" s="91">
        <f>Economic!Z57</f>
        <v>21</v>
      </c>
      <c r="BJ45" s="91">
        <f>Economic!AA57</f>
        <v>20.599999999999966</v>
      </c>
      <c r="BK45" s="91">
        <f>Economic!AB57</f>
        <v>2</v>
      </c>
      <c r="BL45" s="91">
        <f>Economic!AC57</f>
        <v>1.7999999999999829</v>
      </c>
      <c r="BM45" s="91">
        <f>Weather!C165</f>
        <v>20.732258064516131</v>
      </c>
      <c r="BN45" s="91">
        <f>Weather!D165</f>
        <v>21</v>
      </c>
      <c r="BO45" s="91">
        <f>Weather!E165</f>
        <v>43.7</v>
      </c>
      <c r="BP45" s="91">
        <f>Weather!F165</f>
        <v>4.0999999999999996</v>
      </c>
      <c r="BQ45" s="91">
        <f>Weather!G165</f>
        <v>88.800000000000011</v>
      </c>
      <c r="BR45" s="91">
        <f>Weather!H165</f>
        <v>9.9999999999999645E-2</v>
      </c>
      <c r="BS45" s="91">
        <f>Weather!I165</f>
        <v>146.79999999999998</v>
      </c>
      <c r="BT45" s="91">
        <f>Weather!J165</f>
        <v>0</v>
      </c>
      <c r="BU45" s="91">
        <f>Weather!K165</f>
        <v>208.7</v>
      </c>
      <c r="BV45" s="91">
        <f>Weather!L165</f>
        <v>0</v>
      </c>
      <c r="BW45" s="91">
        <f>Weather!M165</f>
        <v>270.70000000000005</v>
      </c>
      <c r="BX45" s="91">
        <f>Weather!N165</f>
        <v>0</v>
      </c>
      <c r="BY45" s="91">
        <f>Weather!O165</f>
        <v>332.7</v>
      </c>
    </row>
    <row r="46" spans="1:77" x14ac:dyDescent="0.2">
      <c r="A46" s="66">
        <v>41912</v>
      </c>
      <c r="B46" s="114">
        <f t="shared" si="0"/>
        <v>2014</v>
      </c>
      <c r="C46" s="94">
        <v>15128454.74</v>
      </c>
      <c r="D46" s="94">
        <v>0</v>
      </c>
      <c r="E46" s="171">
        <f ca="1">CDM!D67</f>
        <v>330115.79520566325</v>
      </c>
      <c r="F46" s="94">
        <f t="shared" ca="1" si="1"/>
        <v>15458570.535205664</v>
      </c>
      <c r="G46" s="94">
        <f ca="1">VLOOKUP(B46,CDM!$A$3:$G$14,7,FALSE)</f>
        <v>313726.49821218144</v>
      </c>
      <c r="H46" s="94">
        <f t="shared" ca="1" si="2"/>
        <v>15442181.238212181</v>
      </c>
      <c r="I46" s="90">
        <f>Weather!F166</f>
        <v>59.7</v>
      </c>
      <c r="J46" s="90">
        <f>Weather!G166</f>
        <v>42.599999999999994</v>
      </c>
      <c r="K46" s="108">
        <v>30</v>
      </c>
      <c r="L46" s="108">
        <f t="shared" ref="L46:W46" si="40">L34</f>
        <v>0</v>
      </c>
      <c r="M46" s="108">
        <f t="shared" si="40"/>
        <v>0</v>
      </c>
      <c r="N46" s="108">
        <f t="shared" si="40"/>
        <v>0</v>
      </c>
      <c r="O46" s="108">
        <f t="shared" si="40"/>
        <v>0</v>
      </c>
      <c r="P46" s="108">
        <f t="shared" si="40"/>
        <v>0</v>
      </c>
      <c r="Q46" s="108">
        <f t="shared" si="40"/>
        <v>0</v>
      </c>
      <c r="R46" s="108">
        <f t="shared" si="40"/>
        <v>0</v>
      </c>
      <c r="S46" s="108">
        <f t="shared" si="40"/>
        <v>0</v>
      </c>
      <c r="T46" s="108">
        <f t="shared" si="40"/>
        <v>1</v>
      </c>
      <c r="U46" s="108">
        <f t="shared" si="40"/>
        <v>0</v>
      </c>
      <c r="V46" s="108">
        <f t="shared" si="40"/>
        <v>0</v>
      </c>
      <c r="W46" s="108">
        <f t="shared" si="40"/>
        <v>0</v>
      </c>
      <c r="X46" s="109">
        <v>1</v>
      </c>
      <c r="Y46" s="108">
        <f t="shared" si="25"/>
        <v>0</v>
      </c>
      <c r="Z46" s="108">
        <f t="shared" si="25"/>
        <v>1</v>
      </c>
      <c r="AA46" s="152">
        <v>0</v>
      </c>
      <c r="AB46" s="152">
        <v>0</v>
      </c>
      <c r="AC46" s="152">
        <f t="shared" si="3"/>
        <v>0</v>
      </c>
      <c r="AD46" s="152">
        <f t="shared" si="4"/>
        <v>0</v>
      </c>
      <c r="AE46" s="152">
        <v>0</v>
      </c>
      <c r="AF46" s="150">
        <f>'Customer Count'!I46</f>
        <v>13605.5</v>
      </c>
      <c r="AG46" s="150">
        <f>AF46-'Customer Count'!G46-'Customer Count'!F46</f>
        <v>10887.5</v>
      </c>
      <c r="AH46" s="150">
        <f>AF46-'Customer Count'!H46</f>
        <v>13605.5</v>
      </c>
      <c r="AI46" s="109">
        <f t="shared" si="5"/>
        <v>45</v>
      </c>
      <c r="AJ46" s="109">
        <v>304</v>
      </c>
      <c r="AK46" s="91">
        <v>144.22430812989595</v>
      </c>
      <c r="AL46" s="91">
        <f>Economic!C58</f>
        <v>659861.19999999995</v>
      </c>
      <c r="AM46" s="91">
        <f>Economic!D58</f>
        <v>6884.5</v>
      </c>
      <c r="AN46" s="91">
        <f>Economic!E58</f>
        <v>6944.1</v>
      </c>
      <c r="AO46" s="91">
        <f>Economic!F58</f>
        <v>7.3</v>
      </c>
      <c r="AP46" s="91">
        <f>Economic!G58</f>
        <v>7.7</v>
      </c>
      <c r="AQ46" s="91">
        <f>Economic!H58</f>
        <v>385.2</v>
      </c>
      <c r="AR46" s="91">
        <f>Economic!I58</f>
        <v>386.9</v>
      </c>
      <c r="AS46" s="91">
        <f>Economic!J58</f>
        <v>5.8</v>
      </c>
      <c r="AT46" s="91">
        <f>Economic!K58</f>
        <v>6.4</v>
      </c>
      <c r="AU46" s="91">
        <f>Economic!L58</f>
        <v>194.2</v>
      </c>
      <c r="AV46" s="91">
        <f>Economic!M58</f>
        <v>196.3</v>
      </c>
      <c r="AW46" s="91">
        <f>Economic!N58</f>
        <v>7.4</v>
      </c>
      <c r="AX46" s="91">
        <f>Economic!O58</f>
        <v>7.3</v>
      </c>
      <c r="AY46" s="91">
        <f>Economic!P58</f>
        <v>2.472943781767456E-2</v>
      </c>
      <c r="AZ46" s="91">
        <f>Economic!Q58</f>
        <v>6.0204871918518865E-3</v>
      </c>
      <c r="BA46" s="91">
        <f>Economic!R58</f>
        <v>5.3859184293967299E-3</v>
      </c>
      <c r="BB46" s="91">
        <f>Economic!S58</f>
        <v>6.29139072847682E-2</v>
      </c>
      <c r="BC46" s="91">
        <f>Economic!T58</f>
        <v>6.1162918266593369E-2</v>
      </c>
      <c r="BD46" s="91">
        <f>Economic!U58</f>
        <v>2.1030494216614182E-2</v>
      </c>
      <c r="BE46" s="91">
        <f>Economic!V58</f>
        <v>2.2395833333333393E-2</v>
      </c>
      <c r="BF46" s="91">
        <f>Economic!W58</f>
        <v>15924.199999999953</v>
      </c>
      <c r="BG46" s="91">
        <f>Economic!X58</f>
        <v>41.199999999999818</v>
      </c>
      <c r="BH46" s="91">
        <f>Economic!Y58</f>
        <v>37.200000000000728</v>
      </c>
      <c r="BI46" s="91">
        <f>Economic!Z58</f>
        <v>22.800000000000011</v>
      </c>
      <c r="BJ46" s="91">
        <f>Economic!AA58</f>
        <v>22.299999999999955</v>
      </c>
      <c r="BK46" s="91">
        <f>Economic!AB58</f>
        <v>4</v>
      </c>
      <c r="BL46" s="91">
        <f>Economic!AC58</f>
        <v>4.3000000000000114</v>
      </c>
      <c r="BM46" s="91">
        <f>Weather!C166</f>
        <v>17.43</v>
      </c>
      <c r="BN46" s="91">
        <f>Weather!D166</f>
        <v>101</v>
      </c>
      <c r="BO46" s="91">
        <f>Weather!E166</f>
        <v>23.9</v>
      </c>
      <c r="BP46" s="91">
        <f>Weather!F166</f>
        <v>59.7</v>
      </c>
      <c r="BQ46" s="91">
        <f>Weather!G166</f>
        <v>42.599999999999994</v>
      </c>
      <c r="BR46" s="91">
        <f>Weather!H166</f>
        <v>28.4</v>
      </c>
      <c r="BS46" s="91">
        <f>Weather!I166</f>
        <v>71.299999999999983</v>
      </c>
      <c r="BT46" s="91">
        <f>Weather!J166</f>
        <v>11.2</v>
      </c>
      <c r="BU46" s="91">
        <f>Weather!K166</f>
        <v>114.09999999999997</v>
      </c>
      <c r="BV46" s="91">
        <f>Weather!L166</f>
        <v>1.4000000000000004</v>
      </c>
      <c r="BW46" s="91">
        <f>Weather!M166</f>
        <v>164.29999999999998</v>
      </c>
      <c r="BX46" s="91">
        <f>Weather!N166</f>
        <v>0</v>
      </c>
      <c r="BY46" s="91">
        <f>Weather!O166</f>
        <v>222.89999999999998</v>
      </c>
    </row>
    <row r="47" spans="1:77" x14ac:dyDescent="0.2">
      <c r="A47" s="66">
        <v>41943</v>
      </c>
      <c r="B47" s="114">
        <f t="shared" si="0"/>
        <v>2014</v>
      </c>
      <c r="C47" s="94">
        <v>14319576.609999999</v>
      </c>
      <c r="D47" s="94">
        <v>0</v>
      </c>
      <c r="E47" s="171">
        <f ca="1">CDM!D68</f>
        <v>336671.51400305599</v>
      </c>
      <c r="F47" s="94">
        <f t="shared" ca="1" si="1"/>
        <v>14656248.124003055</v>
      </c>
      <c r="G47" s="94">
        <f ca="1">VLOOKUP(B47,CDM!$A$3:$G$14,7,FALSE)</f>
        <v>313726.49821218144</v>
      </c>
      <c r="H47" s="94">
        <f t="shared" ca="1" si="2"/>
        <v>14633303.10821218</v>
      </c>
      <c r="I47" s="90">
        <f>Weather!F167</f>
        <v>199.59999999999997</v>
      </c>
      <c r="J47" s="90">
        <f>Weather!G167</f>
        <v>5.1000000000000014</v>
      </c>
      <c r="K47" s="108">
        <v>31</v>
      </c>
      <c r="L47" s="108">
        <f t="shared" ref="L47:W47" si="41">L35</f>
        <v>0</v>
      </c>
      <c r="M47" s="108">
        <f t="shared" si="41"/>
        <v>0</v>
      </c>
      <c r="N47" s="108">
        <f t="shared" si="41"/>
        <v>0</v>
      </c>
      <c r="O47" s="108">
        <f t="shared" si="41"/>
        <v>0</v>
      </c>
      <c r="P47" s="108">
        <f t="shared" si="41"/>
        <v>0</v>
      </c>
      <c r="Q47" s="108">
        <f t="shared" si="41"/>
        <v>0</v>
      </c>
      <c r="R47" s="108">
        <f t="shared" si="41"/>
        <v>0</v>
      </c>
      <c r="S47" s="108">
        <f t="shared" si="41"/>
        <v>0</v>
      </c>
      <c r="T47" s="108">
        <f t="shared" si="41"/>
        <v>0</v>
      </c>
      <c r="U47" s="108">
        <f t="shared" si="41"/>
        <v>1</v>
      </c>
      <c r="V47" s="108">
        <f t="shared" si="41"/>
        <v>0</v>
      </c>
      <c r="W47" s="108">
        <f t="shared" si="41"/>
        <v>0</v>
      </c>
      <c r="X47" s="109">
        <v>1</v>
      </c>
      <c r="Y47" s="108">
        <f t="shared" ref="Y47:Z62" si="42">Y35</f>
        <v>0</v>
      </c>
      <c r="Z47" s="108">
        <f t="shared" si="42"/>
        <v>1</v>
      </c>
      <c r="AA47" s="152">
        <v>0</v>
      </c>
      <c r="AB47" s="152">
        <v>0</v>
      </c>
      <c r="AC47" s="152">
        <f t="shared" si="3"/>
        <v>0</v>
      </c>
      <c r="AD47" s="152">
        <f t="shared" si="4"/>
        <v>0</v>
      </c>
      <c r="AE47" s="152">
        <v>0</v>
      </c>
      <c r="AF47" s="150">
        <f>'Customer Count'!I47</f>
        <v>13677.5</v>
      </c>
      <c r="AG47" s="150">
        <f>AF47-'Customer Count'!G47-'Customer Count'!F47</f>
        <v>10959.5</v>
      </c>
      <c r="AH47" s="150">
        <f>AF47-'Customer Count'!H47</f>
        <v>13677.5</v>
      </c>
      <c r="AI47" s="109">
        <f t="shared" si="5"/>
        <v>46</v>
      </c>
      <c r="AJ47" s="109">
        <v>352</v>
      </c>
      <c r="AK47" s="91">
        <v>144.42705100290087</v>
      </c>
      <c r="AL47" s="91">
        <f>Economic!C59</f>
        <v>659861.19999999995</v>
      </c>
      <c r="AM47" s="91">
        <f>Economic!D59</f>
        <v>6901.5</v>
      </c>
      <c r="AN47" s="91">
        <f>Economic!E59</f>
        <v>6936.6</v>
      </c>
      <c r="AO47" s="91">
        <f>Economic!F59</f>
        <v>7</v>
      </c>
      <c r="AP47" s="91">
        <f>Economic!G59</f>
        <v>7</v>
      </c>
      <c r="AQ47" s="91">
        <f>Economic!H59</f>
        <v>385.1</v>
      </c>
      <c r="AR47" s="91">
        <f>Economic!I59</f>
        <v>387.2</v>
      </c>
      <c r="AS47" s="91">
        <f>Economic!J59</f>
        <v>5.4</v>
      </c>
      <c r="AT47" s="91">
        <f>Economic!K59</f>
        <v>5.5</v>
      </c>
      <c r="AU47" s="91">
        <f>Economic!L59</f>
        <v>194.9</v>
      </c>
      <c r="AV47" s="91">
        <f>Economic!M59</f>
        <v>197.1</v>
      </c>
      <c r="AW47" s="91">
        <f>Economic!N59</f>
        <v>7.2</v>
      </c>
      <c r="AX47" s="91">
        <f>Economic!O59</f>
        <v>6.5</v>
      </c>
      <c r="AY47" s="91">
        <f>Economic!P59</f>
        <v>2.472943781767456E-2</v>
      </c>
      <c r="AZ47" s="91">
        <f>Economic!Q59</f>
        <v>7.4741252207932707E-3</v>
      </c>
      <c r="BA47" s="91">
        <f>Economic!R59</f>
        <v>6.9095659747424598E-3</v>
      </c>
      <c r="BB47" s="91">
        <f>Economic!S59</f>
        <v>5.9130913091309134E-2</v>
      </c>
      <c r="BC47" s="91">
        <f>Economic!T59</f>
        <v>5.6480218281036887E-2</v>
      </c>
      <c r="BD47" s="91">
        <f>Economic!U59</f>
        <v>2.2024121657053142E-2</v>
      </c>
      <c r="BE47" s="91">
        <f>Economic!V59</f>
        <v>2.5494276795005266E-2</v>
      </c>
      <c r="BF47" s="91">
        <f>Economic!W59</f>
        <v>15924.199999999953</v>
      </c>
      <c r="BG47" s="91">
        <f>Economic!X59</f>
        <v>51.199999999999818</v>
      </c>
      <c r="BH47" s="91">
        <f>Economic!Y59</f>
        <v>47.600000000000364</v>
      </c>
      <c r="BI47" s="91">
        <f>Economic!Z59</f>
        <v>21.5</v>
      </c>
      <c r="BJ47" s="91">
        <f>Economic!AA59</f>
        <v>20.699999999999989</v>
      </c>
      <c r="BK47" s="91">
        <f>Economic!AB59</f>
        <v>4.2000000000000171</v>
      </c>
      <c r="BL47" s="91">
        <f>Economic!AC59</f>
        <v>4.9000000000000057</v>
      </c>
      <c r="BM47" s="91">
        <f>Weather!C167</f>
        <v>11.725806451612906</v>
      </c>
      <c r="BN47" s="91">
        <f>Weather!D167</f>
        <v>257.60000000000002</v>
      </c>
      <c r="BO47" s="91">
        <f>Weather!E167</f>
        <v>1.1000000000000014</v>
      </c>
      <c r="BP47" s="91">
        <f>Weather!F167</f>
        <v>199.59999999999997</v>
      </c>
      <c r="BQ47" s="91">
        <f>Weather!G167</f>
        <v>5.1000000000000014</v>
      </c>
      <c r="BR47" s="91">
        <f>Weather!H167</f>
        <v>142.9</v>
      </c>
      <c r="BS47" s="91">
        <f>Weather!I167</f>
        <v>10.400000000000002</v>
      </c>
      <c r="BT47" s="91">
        <f>Weather!J167</f>
        <v>95.7</v>
      </c>
      <c r="BU47" s="91">
        <f>Weather!K167</f>
        <v>25.200000000000006</v>
      </c>
      <c r="BV47" s="91">
        <f>Weather!L167</f>
        <v>56.20000000000001</v>
      </c>
      <c r="BW47" s="91">
        <f>Weather!M167</f>
        <v>47.7</v>
      </c>
      <c r="BX47" s="91">
        <f>Weather!N167</f>
        <v>23.6</v>
      </c>
      <c r="BY47" s="91">
        <f>Weather!O167</f>
        <v>77.099999999999994</v>
      </c>
    </row>
    <row r="48" spans="1:77" x14ac:dyDescent="0.2">
      <c r="A48" s="66">
        <v>41973</v>
      </c>
      <c r="B48" s="114">
        <f t="shared" si="0"/>
        <v>2014</v>
      </c>
      <c r="C48" s="94">
        <v>15066567.450000001</v>
      </c>
      <c r="D48" s="94">
        <v>0</v>
      </c>
      <c r="E48" s="171">
        <f ca="1">CDM!D69</f>
        <v>343227.23280044872</v>
      </c>
      <c r="F48" s="94">
        <f t="shared" ca="1" si="1"/>
        <v>15409794.682800449</v>
      </c>
      <c r="G48" s="94">
        <f ca="1">VLOOKUP(B48,CDM!$A$3:$G$14,7,FALSE)</f>
        <v>313726.49821218144</v>
      </c>
      <c r="H48" s="94">
        <f t="shared" ca="1" si="2"/>
        <v>15380293.948212182</v>
      </c>
      <c r="I48" s="90">
        <f>Weather!F168</f>
        <v>451.89999999999992</v>
      </c>
      <c r="J48" s="90">
        <f>Weather!G168</f>
        <v>0</v>
      </c>
      <c r="K48" s="108">
        <v>30</v>
      </c>
      <c r="L48" s="108">
        <f t="shared" ref="L48:W48" si="43">L36</f>
        <v>0</v>
      </c>
      <c r="M48" s="108">
        <f t="shared" si="43"/>
        <v>0</v>
      </c>
      <c r="N48" s="108">
        <f t="shared" si="43"/>
        <v>0</v>
      </c>
      <c r="O48" s="108">
        <f t="shared" si="43"/>
        <v>0</v>
      </c>
      <c r="P48" s="108">
        <f t="shared" si="43"/>
        <v>0</v>
      </c>
      <c r="Q48" s="108">
        <f t="shared" si="43"/>
        <v>0</v>
      </c>
      <c r="R48" s="108">
        <f t="shared" si="43"/>
        <v>0</v>
      </c>
      <c r="S48" s="108">
        <f t="shared" si="43"/>
        <v>0</v>
      </c>
      <c r="T48" s="108">
        <f t="shared" si="43"/>
        <v>0</v>
      </c>
      <c r="U48" s="108">
        <f t="shared" si="43"/>
        <v>0</v>
      </c>
      <c r="V48" s="108">
        <f t="shared" si="43"/>
        <v>1</v>
      </c>
      <c r="W48" s="108">
        <f t="shared" si="43"/>
        <v>0</v>
      </c>
      <c r="X48" s="109">
        <v>1</v>
      </c>
      <c r="Y48" s="108">
        <f t="shared" si="42"/>
        <v>0</v>
      </c>
      <c r="Z48" s="108">
        <f t="shared" si="42"/>
        <v>1</v>
      </c>
      <c r="AA48" s="152">
        <v>0</v>
      </c>
      <c r="AB48" s="152">
        <v>0</v>
      </c>
      <c r="AC48" s="152">
        <f t="shared" si="3"/>
        <v>0</v>
      </c>
      <c r="AD48" s="152">
        <f t="shared" si="4"/>
        <v>0</v>
      </c>
      <c r="AE48" s="152">
        <v>0</v>
      </c>
      <c r="AF48" s="150">
        <f>'Customer Count'!I48</f>
        <v>13706.5</v>
      </c>
      <c r="AG48" s="150">
        <f>AF48-'Customer Count'!G48-'Customer Count'!F48</f>
        <v>10989</v>
      </c>
      <c r="AH48" s="150">
        <f>AF48-'Customer Count'!H48</f>
        <v>13706.5</v>
      </c>
      <c r="AI48" s="109">
        <f t="shared" si="5"/>
        <v>47</v>
      </c>
      <c r="AJ48" s="109">
        <v>352</v>
      </c>
      <c r="AK48" s="91">
        <v>144.63007888106955</v>
      </c>
      <c r="AL48" s="91">
        <f>Economic!C60</f>
        <v>659861.19999999995</v>
      </c>
      <c r="AM48" s="91">
        <f>Economic!D60</f>
        <v>6907.5</v>
      </c>
      <c r="AN48" s="91">
        <f>Economic!E60</f>
        <v>6914.3</v>
      </c>
      <c r="AO48" s="91">
        <f>Economic!F60</f>
        <v>7</v>
      </c>
      <c r="AP48" s="91">
        <f>Economic!G60</f>
        <v>6.5</v>
      </c>
      <c r="AQ48" s="91">
        <f>Economic!H60</f>
        <v>383</v>
      </c>
      <c r="AR48" s="91">
        <f>Economic!I60</f>
        <v>384.2</v>
      </c>
      <c r="AS48" s="91">
        <f>Economic!J60</f>
        <v>5.0999999999999996</v>
      </c>
      <c r="AT48" s="91">
        <f>Economic!K60</f>
        <v>4.7</v>
      </c>
      <c r="AU48" s="91">
        <f>Economic!L60</f>
        <v>196.3</v>
      </c>
      <c r="AV48" s="91">
        <f>Economic!M60</f>
        <v>197.2</v>
      </c>
      <c r="AW48" s="91">
        <f>Economic!N60</f>
        <v>6.6</v>
      </c>
      <c r="AX48" s="91">
        <f>Economic!O60</f>
        <v>5.8</v>
      </c>
      <c r="AY48" s="91">
        <f>Economic!P60</f>
        <v>2.472943781767456E-2</v>
      </c>
      <c r="AZ48" s="91">
        <f>Economic!Q60</f>
        <v>7.8056609279253397E-3</v>
      </c>
      <c r="BA48" s="91">
        <f>Economic!R60</f>
        <v>7.3574404848626429E-3</v>
      </c>
      <c r="BB48" s="91">
        <f>Economic!S60</f>
        <v>3.5694970254191327E-2</v>
      </c>
      <c r="BC48" s="91">
        <f>Economic!T60</f>
        <v>3.3351264120494717E-2</v>
      </c>
      <c r="BD48" s="91">
        <f>Economic!U60</f>
        <v>2.4530271398747416E-2</v>
      </c>
      <c r="BE48" s="91">
        <f>Economic!V60</f>
        <v>3.1920460491889013E-2</v>
      </c>
      <c r="BF48" s="91">
        <f>Economic!W60</f>
        <v>15924.199999999953</v>
      </c>
      <c r="BG48" s="91">
        <f>Economic!X60</f>
        <v>53.5</v>
      </c>
      <c r="BH48" s="91">
        <f>Economic!Y60</f>
        <v>50.5</v>
      </c>
      <c r="BI48" s="91">
        <f>Economic!Z60</f>
        <v>13.199999999999989</v>
      </c>
      <c r="BJ48" s="91">
        <f>Economic!AA60</f>
        <v>12.399999999999977</v>
      </c>
      <c r="BK48" s="91">
        <f>Economic!AB60</f>
        <v>4.7000000000000171</v>
      </c>
      <c r="BL48" s="91">
        <f>Economic!AC60</f>
        <v>6.0999999999999943</v>
      </c>
      <c r="BM48" s="91">
        <f>Weather!C168</f>
        <v>2.9366666666666665</v>
      </c>
      <c r="BN48" s="91">
        <f>Weather!D168</f>
        <v>511.89999999999992</v>
      </c>
      <c r="BO48" s="91">
        <f>Weather!E168</f>
        <v>0</v>
      </c>
      <c r="BP48" s="91">
        <f>Weather!F168</f>
        <v>451.89999999999992</v>
      </c>
      <c r="BQ48" s="91">
        <f>Weather!G168</f>
        <v>0</v>
      </c>
      <c r="BR48" s="91">
        <f>Weather!H168</f>
        <v>391.89999999999992</v>
      </c>
      <c r="BS48" s="91">
        <f>Weather!I168</f>
        <v>0</v>
      </c>
      <c r="BT48" s="91">
        <f>Weather!J168</f>
        <v>331.89999999999992</v>
      </c>
      <c r="BU48" s="91">
        <f>Weather!K168</f>
        <v>0</v>
      </c>
      <c r="BV48" s="91">
        <f>Weather!L168</f>
        <v>273.2</v>
      </c>
      <c r="BW48" s="91">
        <f>Weather!M168</f>
        <v>1.3000000000000007</v>
      </c>
      <c r="BX48" s="91">
        <f>Weather!N168</f>
        <v>218.80000000000004</v>
      </c>
      <c r="BY48" s="91">
        <f>Weather!O168</f>
        <v>6.9</v>
      </c>
    </row>
    <row r="49" spans="1:77" x14ac:dyDescent="0.2">
      <c r="A49" s="66">
        <v>42004</v>
      </c>
      <c r="B49" s="114">
        <f t="shared" si="0"/>
        <v>2014</v>
      </c>
      <c r="C49" s="94">
        <v>16465915.779999999</v>
      </c>
      <c r="D49" s="94">
        <v>0</v>
      </c>
      <c r="E49" s="171">
        <f ca="1">CDM!D70</f>
        <v>349782.95159784146</v>
      </c>
      <c r="F49" s="94">
        <f t="shared" ca="1" si="1"/>
        <v>16815698.731597841</v>
      </c>
      <c r="G49" s="94">
        <f ca="1">VLOOKUP(B49,CDM!$A$3:$G$14,7,FALSE)</f>
        <v>313726.49821218144</v>
      </c>
      <c r="H49" s="94">
        <f t="shared" ca="1" si="2"/>
        <v>16779642.278212182</v>
      </c>
      <c r="I49" s="90">
        <f>Weather!F169</f>
        <v>534.4</v>
      </c>
      <c r="J49" s="90">
        <f>Weather!G169</f>
        <v>0</v>
      </c>
      <c r="K49" s="108">
        <v>31</v>
      </c>
      <c r="L49" s="108">
        <f t="shared" ref="L49:W49" si="44">L37</f>
        <v>0</v>
      </c>
      <c r="M49" s="108">
        <f t="shared" si="44"/>
        <v>0</v>
      </c>
      <c r="N49" s="108">
        <f t="shared" si="44"/>
        <v>0</v>
      </c>
      <c r="O49" s="108">
        <f t="shared" si="44"/>
        <v>0</v>
      </c>
      <c r="P49" s="108">
        <f t="shared" si="44"/>
        <v>0</v>
      </c>
      <c r="Q49" s="108">
        <f t="shared" si="44"/>
        <v>0</v>
      </c>
      <c r="R49" s="108">
        <f t="shared" si="44"/>
        <v>0</v>
      </c>
      <c r="S49" s="108">
        <f t="shared" si="44"/>
        <v>0</v>
      </c>
      <c r="T49" s="108">
        <f t="shared" si="44"/>
        <v>0</v>
      </c>
      <c r="U49" s="108">
        <f t="shared" si="44"/>
        <v>0</v>
      </c>
      <c r="V49" s="108">
        <f t="shared" si="44"/>
        <v>0</v>
      </c>
      <c r="W49" s="108">
        <f t="shared" si="44"/>
        <v>1</v>
      </c>
      <c r="X49" s="109">
        <v>0</v>
      </c>
      <c r="Y49" s="108">
        <f t="shared" si="42"/>
        <v>0</v>
      </c>
      <c r="Z49" s="108">
        <f t="shared" si="42"/>
        <v>0</v>
      </c>
      <c r="AA49" s="152">
        <v>0</v>
      </c>
      <c r="AB49" s="152">
        <v>0</v>
      </c>
      <c r="AC49" s="152">
        <f t="shared" si="3"/>
        <v>0</v>
      </c>
      <c r="AD49" s="152">
        <f t="shared" si="4"/>
        <v>0</v>
      </c>
      <c r="AE49" s="152">
        <v>0</v>
      </c>
      <c r="AF49" s="150">
        <f>'Customer Count'!I49</f>
        <v>13732.5</v>
      </c>
      <c r="AG49" s="150">
        <f>AF49-'Customer Count'!G49-'Customer Count'!F49</f>
        <v>11015.5</v>
      </c>
      <c r="AH49" s="150">
        <f>AF49-'Customer Count'!H49</f>
        <v>13732.5</v>
      </c>
      <c r="AI49" s="109">
        <f t="shared" si="5"/>
        <v>48</v>
      </c>
      <c r="AJ49" s="109">
        <v>304</v>
      </c>
      <c r="AK49" s="91">
        <v>144.83339216504706</v>
      </c>
      <c r="AL49" s="91">
        <f>Economic!C61</f>
        <v>659861.19999999995</v>
      </c>
      <c r="AM49" s="91">
        <f>Economic!D61</f>
        <v>6903.1</v>
      </c>
      <c r="AN49" s="91">
        <f>Economic!E61</f>
        <v>6903.2</v>
      </c>
      <c r="AO49" s="91">
        <f>Economic!F61</f>
        <v>6.9</v>
      </c>
      <c r="AP49" s="91">
        <f>Economic!G61</f>
        <v>6.4</v>
      </c>
      <c r="AQ49" s="91">
        <f>Economic!H61</f>
        <v>380</v>
      </c>
      <c r="AR49" s="91">
        <f>Economic!I61</f>
        <v>382.5</v>
      </c>
      <c r="AS49" s="91">
        <f>Economic!J61</f>
        <v>5.3</v>
      </c>
      <c r="AT49" s="91">
        <f>Economic!K61</f>
        <v>4.7</v>
      </c>
      <c r="AU49" s="91">
        <f>Economic!L61</f>
        <v>196.2</v>
      </c>
      <c r="AV49" s="91">
        <f>Economic!M61</f>
        <v>196</v>
      </c>
      <c r="AW49" s="91">
        <f>Economic!N61</f>
        <v>6.7</v>
      </c>
      <c r="AX49" s="91">
        <f>Economic!O61</f>
        <v>6.4</v>
      </c>
      <c r="AY49" s="91">
        <f>Economic!P61</f>
        <v>2.472943781767456E-2</v>
      </c>
      <c r="AZ49" s="91">
        <f>Economic!Q61</f>
        <v>7.6929814317412415E-3</v>
      </c>
      <c r="BA49" s="91">
        <f>Economic!R61</f>
        <v>7.8694173127180633E-3</v>
      </c>
      <c r="BB49" s="91">
        <f>Economic!S61</f>
        <v>1.7130620985010614E-2</v>
      </c>
      <c r="BC49" s="91">
        <f>Economic!T61</f>
        <v>1.5666489644184711E-2</v>
      </c>
      <c r="BD49" s="91">
        <f>Economic!U61</f>
        <v>1.3429752066115741E-2</v>
      </c>
      <c r="BE49" s="91">
        <f>Economic!V61</f>
        <v>2.0301926080166677E-2</v>
      </c>
      <c r="BF49" s="91">
        <f>Economic!W61</f>
        <v>15924.199999999953</v>
      </c>
      <c r="BG49" s="91">
        <f>Economic!X61</f>
        <v>52.700000000000728</v>
      </c>
      <c r="BH49" s="91">
        <f>Economic!Y61</f>
        <v>53.899999999999636</v>
      </c>
      <c r="BI49" s="91">
        <f>Economic!Z61</f>
        <v>6.3999999999999773</v>
      </c>
      <c r="BJ49" s="91">
        <f>Economic!AA61</f>
        <v>5.8999999999999773</v>
      </c>
      <c r="BK49" s="91">
        <f>Economic!AB61</f>
        <v>2.5999999999999943</v>
      </c>
      <c r="BL49" s="91">
        <f>Economic!AC61</f>
        <v>3.9000000000000057</v>
      </c>
      <c r="BM49" s="91">
        <f>Weather!C169</f>
        <v>0.76129032258064544</v>
      </c>
      <c r="BN49" s="91">
        <f>Weather!D169</f>
        <v>596.39999999999986</v>
      </c>
      <c r="BO49" s="91">
        <f>Weather!E169</f>
        <v>0</v>
      </c>
      <c r="BP49" s="91">
        <f>Weather!F169</f>
        <v>534.4</v>
      </c>
      <c r="BQ49" s="91">
        <f>Weather!G169</f>
        <v>0</v>
      </c>
      <c r="BR49" s="91">
        <f>Weather!H169</f>
        <v>472.4</v>
      </c>
      <c r="BS49" s="91">
        <f>Weather!I169</f>
        <v>0</v>
      </c>
      <c r="BT49" s="91">
        <f>Weather!J169</f>
        <v>410.4</v>
      </c>
      <c r="BU49" s="91">
        <f>Weather!K169</f>
        <v>0</v>
      </c>
      <c r="BV49" s="91">
        <f>Weather!L169</f>
        <v>348.4</v>
      </c>
      <c r="BW49" s="91">
        <f>Weather!M169</f>
        <v>0</v>
      </c>
      <c r="BX49" s="91">
        <f>Weather!N169</f>
        <v>286.39999999999998</v>
      </c>
      <c r="BY49" s="91">
        <f>Weather!O169</f>
        <v>0</v>
      </c>
    </row>
    <row r="50" spans="1:77" x14ac:dyDescent="0.2">
      <c r="A50" s="66">
        <v>42035</v>
      </c>
      <c r="B50" s="114">
        <f t="shared" si="0"/>
        <v>2015</v>
      </c>
      <c r="C50" s="94">
        <v>17410556.84</v>
      </c>
      <c r="D50" s="94">
        <v>0</v>
      </c>
      <c r="E50" s="171">
        <f ca="1">CDM!D71</f>
        <v>365944.52587267006</v>
      </c>
      <c r="F50" s="94">
        <f t="shared" ca="1" si="1"/>
        <v>17776501.36587267</v>
      </c>
      <c r="G50" s="94">
        <f ca="1">VLOOKUP(B50,CDM!$A$3:$G$14,7,FALSE)</f>
        <v>477688.83677010593</v>
      </c>
      <c r="H50" s="94">
        <f t="shared" ca="1" si="2"/>
        <v>17888245.676770106</v>
      </c>
      <c r="I50" s="90">
        <f>Weather!F170</f>
        <v>758.9</v>
      </c>
      <c r="J50" s="90">
        <f>Weather!G170</f>
        <v>0</v>
      </c>
      <c r="K50" s="108">
        <v>31</v>
      </c>
      <c r="L50" s="108">
        <f t="shared" ref="L50:W50" si="45">L38</f>
        <v>1</v>
      </c>
      <c r="M50" s="108">
        <f t="shared" si="45"/>
        <v>0</v>
      </c>
      <c r="N50" s="108">
        <f t="shared" si="45"/>
        <v>0</v>
      </c>
      <c r="O50" s="108">
        <f t="shared" si="45"/>
        <v>0</v>
      </c>
      <c r="P50" s="108">
        <f t="shared" si="45"/>
        <v>0</v>
      </c>
      <c r="Q50" s="108">
        <f t="shared" si="45"/>
        <v>0</v>
      </c>
      <c r="R50" s="108">
        <f t="shared" si="45"/>
        <v>0</v>
      </c>
      <c r="S50" s="108">
        <f t="shared" si="45"/>
        <v>0</v>
      </c>
      <c r="T50" s="108">
        <f t="shared" si="45"/>
        <v>0</v>
      </c>
      <c r="U50" s="108">
        <f t="shared" si="45"/>
        <v>0</v>
      </c>
      <c r="V50" s="108">
        <f t="shared" si="45"/>
        <v>0</v>
      </c>
      <c r="W50" s="108">
        <f t="shared" si="45"/>
        <v>0</v>
      </c>
      <c r="X50" s="109">
        <v>0</v>
      </c>
      <c r="Y50" s="108">
        <f t="shared" si="42"/>
        <v>0</v>
      </c>
      <c r="Z50" s="108">
        <f t="shared" si="42"/>
        <v>0</v>
      </c>
      <c r="AA50" s="152">
        <v>0</v>
      </c>
      <c r="AB50" s="152">
        <v>0</v>
      </c>
      <c r="AC50" s="152">
        <f t="shared" si="3"/>
        <v>0</v>
      </c>
      <c r="AD50" s="152">
        <f t="shared" si="4"/>
        <v>0</v>
      </c>
      <c r="AE50" s="152">
        <v>0</v>
      </c>
      <c r="AF50" s="150">
        <f>'Customer Count'!I50</f>
        <v>13760.5</v>
      </c>
      <c r="AG50" s="150">
        <f>AF50-'Customer Count'!G50-'Customer Count'!F50</f>
        <v>11044</v>
      </c>
      <c r="AH50" s="150">
        <f>AF50-'Customer Count'!H50</f>
        <v>13760.5</v>
      </c>
      <c r="AI50" s="109">
        <f t="shared" si="5"/>
        <v>49</v>
      </c>
      <c r="AJ50" s="109">
        <v>352</v>
      </c>
      <c r="AK50" s="91">
        <v>144.98936781896037</v>
      </c>
      <c r="AL50" s="91">
        <f>Economic!C62</f>
        <v>677384</v>
      </c>
      <c r="AM50" s="91">
        <f>Economic!D62</f>
        <v>6885.7</v>
      </c>
      <c r="AN50" s="91">
        <f>Economic!E62</f>
        <v>6845.1</v>
      </c>
      <c r="AO50" s="91">
        <f>Economic!F62</f>
        <v>7</v>
      </c>
      <c r="AP50" s="91">
        <f>Economic!G62</f>
        <v>6.6</v>
      </c>
      <c r="AQ50" s="91">
        <f>Economic!H62</f>
        <v>379.5</v>
      </c>
      <c r="AR50" s="91">
        <f>Economic!I62</f>
        <v>379.3</v>
      </c>
      <c r="AS50" s="91">
        <f>Economic!J62</f>
        <v>5.4</v>
      </c>
      <c r="AT50" s="91">
        <f>Economic!K62</f>
        <v>5.0999999999999996</v>
      </c>
      <c r="AU50" s="91">
        <f>Economic!L62</f>
        <v>196.6</v>
      </c>
      <c r="AV50" s="91">
        <f>Economic!M62</f>
        <v>193.5</v>
      </c>
      <c r="AW50" s="91">
        <f>Economic!N62</f>
        <v>6.6</v>
      </c>
      <c r="AX50" s="91">
        <f>Economic!O62</f>
        <v>7</v>
      </c>
      <c r="AY50" s="91">
        <f>Economic!P62</f>
        <v>2.6555281625893601E-2</v>
      </c>
      <c r="AZ50" s="91">
        <f>Economic!Q62</f>
        <v>5.4612093512258486E-3</v>
      </c>
      <c r="BA50" s="91">
        <f>Economic!R62</f>
        <v>5.7301538325913448E-3</v>
      </c>
      <c r="BB50" s="91">
        <f>Economic!S62</f>
        <v>1.1730205278592365E-2</v>
      </c>
      <c r="BC50" s="91">
        <f>Economic!T62</f>
        <v>7.9723624767473744E-3</v>
      </c>
      <c r="BD50" s="91">
        <f>Economic!U62</f>
        <v>1.1316872427983515E-2</v>
      </c>
      <c r="BE50" s="91">
        <f>Economic!V62</f>
        <v>1.6281512605041959E-2</v>
      </c>
      <c r="BF50" s="91">
        <f>Economic!W62</f>
        <v>17522.800000000047</v>
      </c>
      <c r="BG50" s="91">
        <f>Economic!X62</f>
        <v>37.399999999999636</v>
      </c>
      <c r="BH50" s="91">
        <f>Economic!Y62</f>
        <v>39</v>
      </c>
      <c r="BI50" s="91">
        <f>Economic!Z62</f>
        <v>4.3999999999999773</v>
      </c>
      <c r="BJ50" s="91">
        <f>Economic!AA62</f>
        <v>3</v>
      </c>
      <c r="BK50" s="91">
        <f>Economic!AB62</f>
        <v>2.1999999999999886</v>
      </c>
      <c r="BL50" s="91">
        <f>Economic!AC62</f>
        <v>3.0999999999999943</v>
      </c>
      <c r="BM50" s="91">
        <f>Weather!C170</f>
        <v>-6.4806451612903224</v>
      </c>
      <c r="BN50" s="91">
        <f>Weather!D170</f>
        <v>820.9</v>
      </c>
      <c r="BO50" s="91">
        <f>Weather!E170</f>
        <v>0</v>
      </c>
      <c r="BP50" s="91">
        <f>Weather!F170</f>
        <v>758.9</v>
      </c>
      <c r="BQ50" s="91">
        <f>Weather!G170</f>
        <v>0</v>
      </c>
      <c r="BR50" s="91">
        <f>Weather!H170</f>
        <v>696.89999999999986</v>
      </c>
      <c r="BS50" s="91">
        <f>Weather!I170</f>
        <v>0</v>
      </c>
      <c r="BT50" s="91">
        <f>Weather!J170</f>
        <v>634.9</v>
      </c>
      <c r="BU50" s="91">
        <f>Weather!K170</f>
        <v>0</v>
      </c>
      <c r="BV50" s="91">
        <f>Weather!L170</f>
        <v>572.9</v>
      </c>
      <c r="BW50" s="91">
        <f>Weather!M170</f>
        <v>0</v>
      </c>
      <c r="BX50" s="91">
        <f>Weather!N170</f>
        <v>510.90000000000003</v>
      </c>
      <c r="BY50" s="91">
        <f>Weather!O170</f>
        <v>0</v>
      </c>
    </row>
    <row r="51" spans="1:77" x14ac:dyDescent="0.2">
      <c r="A51" s="66">
        <v>42063</v>
      </c>
      <c r="B51" s="114">
        <f t="shared" si="0"/>
        <v>2015</v>
      </c>
      <c r="C51" s="94">
        <v>16200376.42</v>
      </c>
      <c r="D51" s="94">
        <v>0</v>
      </c>
      <c r="E51" s="171">
        <f ca="1">CDM!D72</f>
        <v>386261.67330856749</v>
      </c>
      <c r="F51" s="94">
        <f ca="1">C51+E51-D51</f>
        <v>16586638.093308568</v>
      </c>
      <c r="G51" s="94">
        <f ca="1">VLOOKUP(B51,CDM!$A$3:$G$14,7,FALSE)</f>
        <v>477688.83677010593</v>
      </c>
      <c r="H51" s="94">
        <f t="shared" ca="1" si="2"/>
        <v>16678065.256770106</v>
      </c>
      <c r="I51" s="90">
        <f>Weather!F171</f>
        <v>814.99999999999989</v>
      </c>
      <c r="J51" s="90">
        <f>Weather!G171</f>
        <v>0</v>
      </c>
      <c r="K51" s="108">
        <v>28</v>
      </c>
      <c r="L51" s="108">
        <f t="shared" ref="L51:W51" si="46">L39</f>
        <v>0</v>
      </c>
      <c r="M51" s="108">
        <f t="shared" si="46"/>
        <v>1</v>
      </c>
      <c r="N51" s="108">
        <f t="shared" si="46"/>
        <v>0</v>
      </c>
      <c r="O51" s="108">
        <f t="shared" si="46"/>
        <v>0</v>
      </c>
      <c r="P51" s="108">
        <f t="shared" si="46"/>
        <v>0</v>
      </c>
      <c r="Q51" s="108">
        <f t="shared" si="46"/>
        <v>0</v>
      </c>
      <c r="R51" s="108">
        <f t="shared" si="46"/>
        <v>0</v>
      </c>
      <c r="S51" s="108">
        <f t="shared" si="46"/>
        <v>0</v>
      </c>
      <c r="T51" s="108">
        <f t="shared" si="46"/>
        <v>0</v>
      </c>
      <c r="U51" s="108">
        <f t="shared" si="46"/>
        <v>0</v>
      </c>
      <c r="V51" s="108">
        <f t="shared" si="46"/>
        <v>0</v>
      </c>
      <c r="W51" s="108">
        <f t="shared" si="46"/>
        <v>0</v>
      </c>
      <c r="X51" s="109">
        <v>0</v>
      </c>
      <c r="Y51" s="108">
        <f t="shared" si="42"/>
        <v>0</v>
      </c>
      <c r="Z51" s="108">
        <f t="shared" si="42"/>
        <v>0</v>
      </c>
      <c r="AA51" s="152">
        <v>0</v>
      </c>
      <c r="AB51" s="152">
        <v>0</v>
      </c>
      <c r="AC51" s="152">
        <f t="shared" si="3"/>
        <v>0</v>
      </c>
      <c r="AD51" s="152">
        <f t="shared" si="4"/>
        <v>0</v>
      </c>
      <c r="AE51" s="152">
        <v>0</v>
      </c>
      <c r="AF51" s="150">
        <f>'Customer Count'!I51</f>
        <v>13767.5</v>
      </c>
      <c r="AG51" s="150">
        <f>AF51-'Customer Count'!G51-'Customer Count'!F51</f>
        <v>11051.5</v>
      </c>
      <c r="AH51" s="150">
        <f>AF51-'Customer Count'!H51</f>
        <v>13767.5</v>
      </c>
      <c r="AI51" s="109">
        <f t="shared" si="5"/>
        <v>50</v>
      </c>
      <c r="AJ51" s="109">
        <v>304</v>
      </c>
      <c r="AK51" s="91">
        <v>145.14551144798114</v>
      </c>
      <c r="AL51" s="91">
        <f>Economic!C63</f>
        <v>677384</v>
      </c>
      <c r="AM51" s="91">
        <f>Economic!D63</f>
        <v>6885.3</v>
      </c>
      <c r="AN51" s="91">
        <f>Economic!E63</f>
        <v>6810.3</v>
      </c>
      <c r="AO51" s="91">
        <f>Economic!F63</f>
        <v>6.9</v>
      </c>
      <c r="AP51" s="91">
        <f>Economic!G63</f>
        <v>6.8</v>
      </c>
      <c r="AQ51" s="91">
        <f>Economic!H63</f>
        <v>378.6</v>
      </c>
      <c r="AR51" s="91">
        <f>Economic!I63</f>
        <v>376.2</v>
      </c>
      <c r="AS51" s="91">
        <f>Economic!J63</f>
        <v>5.4</v>
      </c>
      <c r="AT51" s="91">
        <f>Economic!K63</f>
        <v>5.0999999999999996</v>
      </c>
      <c r="AU51" s="91">
        <f>Economic!L63</f>
        <v>196.7</v>
      </c>
      <c r="AV51" s="91">
        <f>Economic!M63</f>
        <v>192.8</v>
      </c>
      <c r="AW51" s="91">
        <f>Economic!N63</f>
        <v>6.7</v>
      </c>
      <c r="AX51" s="91">
        <f>Economic!O63</f>
        <v>7.6</v>
      </c>
      <c r="AY51" s="91">
        <f>Economic!P63</f>
        <v>2.6555281625893601E-2</v>
      </c>
      <c r="AZ51" s="91">
        <f>Economic!Q63</f>
        <v>5.1532846715329761E-3</v>
      </c>
      <c r="BA51" s="91">
        <f>Economic!R63</f>
        <v>5.6110922434031707E-3</v>
      </c>
      <c r="BB51" s="91">
        <f>Economic!S63</f>
        <v>-3.4219531455644825E-3</v>
      </c>
      <c r="BC51" s="91">
        <f>Economic!T63</f>
        <v>-1.5956055453832163E-2</v>
      </c>
      <c r="BD51" s="91">
        <f>Economic!U63</f>
        <v>5.0864699898278687E-4</v>
      </c>
      <c r="BE51" s="91">
        <f>Economic!V63</f>
        <v>6.2630480167016334E-3</v>
      </c>
      <c r="BF51" s="91">
        <f>Economic!W63</f>
        <v>17522.800000000047</v>
      </c>
      <c r="BG51" s="91">
        <f>Economic!X63</f>
        <v>35.300000000000182</v>
      </c>
      <c r="BH51" s="91">
        <f>Economic!Y63</f>
        <v>38</v>
      </c>
      <c r="BI51" s="91">
        <f>Economic!Z63</f>
        <v>-1.2999999999999545</v>
      </c>
      <c r="BJ51" s="91">
        <f>Economic!AA63</f>
        <v>-6.1000000000000227</v>
      </c>
      <c r="BK51" s="91">
        <f>Economic!AB63</f>
        <v>9.9999999999994316E-2</v>
      </c>
      <c r="BL51" s="91">
        <f>Economic!AC63</f>
        <v>1.2000000000000171</v>
      </c>
      <c r="BM51" s="91">
        <f>Weather!C171</f>
        <v>-11.107142857142858</v>
      </c>
      <c r="BN51" s="91">
        <f>Weather!D171</f>
        <v>871</v>
      </c>
      <c r="BO51" s="91">
        <f>Weather!E171</f>
        <v>0</v>
      </c>
      <c r="BP51" s="91">
        <f>Weather!F171</f>
        <v>814.99999999999989</v>
      </c>
      <c r="BQ51" s="91">
        <f>Weather!G171</f>
        <v>0</v>
      </c>
      <c r="BR51" s="91">
        <f>Weather!H171</f>
        <v>758.99999999999989</v>
      </c>
      <c r="BS51" s="91">
        <f>Weather!I171</f>
        <v>0</v>
      </c>
      <c r="BT51" s="91">
        <f>Weather!J171</f>
        <v>703</v>
      </c>
      <c r="BU51" s="91">
        <f>Weather!K171</f>
        <v>0</v>
      </c>
      <c r="BV51" s="91">
        <f>Weather!L171</f>
        <v>647</v>
      </c>
      <c r="BW51" s="91">
        <f>Weather!M171</f>
        <v>0</v>
      </c>
      <c r="BX51" s="91">
        <f>Weather!N171</f>
        <v>590.99999999999989</v>
      </c>
      <c r="BY51" s="91">
        <f>Weather!O171</f>
        <v>0</v>
      </c>
    </row>
    <row r="52" spans="1:77" x14ac:dyDescent="0.2">
      <c r="A52" s="66">
        <v>42094</v>
      </c>
      <c r="B52" s="114">
        <f t="shared" si="0"/>
        <v>2015</v>
      </c>
      <c r="C52" s="94">
        <v>15791088.430000002</v>
      </c>
      <c r="D52" s="94">
        <v>0</v>
      </c>
      <c r="E52" s="171">
        <f ca="1">CDM!D73</f>
        <v>406578.82074446493</v>
      </c>
      <c r="F52" s="94">
        <f t="shared" ca="1" si="1"/>
        <v>16197667.250744466</v>
      </c>
      <c r="G52" s="94">
        <f ca="1">VLOOKUP(B52,CDM!$A$3:$G$14,7,FALSE)</f>
        <v>477688.83677010593</v>
      </c>
      <c r="H52" s="94">
        <f t="shared" ca="1" si="2"/>
        <v>16268777.266770108</v>
      </c>
      <c r="I52" s="90">
        <f>Weather!F172</f>
        <v>581.4</v>
      </c>
      <c r="J52" s="90">
        <f>Weather!G172</f>
        <v>0</v>
      </c>
      <c r="K52" s="108">
        <v>31</v>
      </c>
      <c r="L52" s="108">
        <f t="shared" ref="L52:W52" si="47">L40</f>
        <v>0</v>
      </c>
      <c r="M52" s="108">
        <f t="shared" si="47"/>
        <v>0</v>
      </c>
      <c r="N52" s="108">
        <f t="shared" si="47"/>
        <v>1</v>
      </c>
      <c r="O52" s="108">
        <f t="shared" si="47"/>
        <v>0</v>
      </c>
      <c r="P52" s="108">
        <f t="shared" si="47"/>
        <v>0</v>
      </c>
      <c r="Q52" s="108">
        <f t="shared" si="47"/>
        <v>0</v>
      </c>
      <c r="R52" s="108">
        <f t="shared" si="47"/>
        <v>0</v>
      </c>
      <c r="S52" s="108">
        <f t="shared" si="47"/>
        <v>0</v>
      </c>
      <c r="T52" s="108">
        <f t="shared" si="47"/>
        <v>0</v>
      </c>
      <c r="U52" s="108">
        <f t="shared" si="47"/>
        <v>0</v>
      </c>
      <c r="V52" s="108">
        <f t="shared" si="47"/>
        <v>0</v>
      </c>
      <c r="W52" s="108">
        <f t="shared" si="47"/>
        <v>0</v>
      </c>
      <c r="X52" s="109">
        <v>1</v>
      </c>
      <c r="Y52" s="108">
        <f t="shared" si="42"/>
        <v>1</v>
      </c>
      <c r="Z52" s="108">
        <f t="shared" si="42"/>
        <v>0</v>
      </c>
      <c r="AA52" s="152">
        <v>0</v>
      </c>
      <c r="AB52" s="152">
        <v>0</v>
      </c>
      <c r="AC52" s="152">
        <f t="shared" si="3"/>
        <v>0</v>
      </c>
      <c r="AD52" s="152">
        <f t="shared" si="4"/>
        <v>0</v>
      </c>
      <c r="AE52" s="152">
        <v>0</v>
      </c>
      <c r="AF52" s="150">
        <f>'Customer Count'!I52</f>
        <v>13776</v>
      </c>
      <c r="AG52" s="150">
        <f>AF52-'Customer Count'!G52-'Customer Count'!F52</f>
        <v>11066.5</v>
      </c>
      <c r="AH52" s="150">
        <f>AF52-'Customer Count'!H52</f>
        <v>13776</v>
      </c>
      <c r="AI52" s="109">
        <f t="shared" si="5"/>
        <v>51</v>
      </c>
      <c r="AJ52" s="109">
        <v>320</v>
      </c>
      <c r="AK52" s="91">
        <v>145.30182323300707</v>
      </c>
      <c r="AL52" s="91">
        <f>Economic!C64</f>
        <v>677384</v>
      </c>
      <c r="AM52" s="91">
        <f>Economic!D64</f>
        <v>6892.1</v>
      </c>
      <c r="AN52" s="91">
        <f>Economic!E64</f>
        <v>6783.7</v>
      </c>
      <c r="AO52" s="91">
        <f>Economic!F64</f>
        <v>6.9</v>
      </c>
      <c r="AP52" s="91">
        <f>Economic!G64</f>
        <v>7.1</v>
      </c>
      <c r="AQ52" s="91">
        <f>Economic!H64</f>
        <v>379.4</v>
      </c>
      <c r="AR52" s="91">
        <f>Economic!I64</f>
        <v>373.1</v>
      </c>
      <c r="AS52" s="91">
        <f>Economic!J64</f>
        <v>5.4</v>
      </c>
      <c r="AT52" s="91">
        <f>Economic!K64</f>
        <v>5.5</v>
      </c>
      <c r="AU52" s="91">
        <f>Economic!L64</f>
        <v>199.2</v>
      </c>
      <c r="AV52" s="91">
        <f>Economic!M64</f>
        <v>195</v>
      </c>
      <c r="AW52" s="91">
        <f>Economic!N64</f>
        <v>6.6</v>
      </c>
      <c r="AX52" s="91">
        <f>Economic!O64</f>
        <v>7.6</v>
      </c>
      <c r="AY52" s="91">
        <f>Economic!P64</f>
        <v>2.6555281625893601E-2</v>
      </c>
      <c r="AZ52" s="91">
        <f>Economic!Q64</f>
        <v>5.2068140715244571E-3</v>
      </c>
      <c r="BA52" s="91">
        <f>Economic!R64</f>
        <v>4.799075733562308E-3</v>
      </c>
      <c r="BB52" s="91">
        <f>Economic!S64</f>
        <v>-7.326007326007411E-3</v>
      </c>
      <c r="BC52" s="91">
        <f>Economic!T64</f>
        <v>-2.3809523809523725E-2</v>
      </c>
      <c r="BD52" s="91">
        <f>Economic!U64</f>
        <v>8.0971659919029104E-3</v>
      </c>
      <c r="BE52" s="91">
        <f>Economic!V64</f>
        <v>1.4568158168574374E-2</v>
      </c>
      <c r="BF52" s="91">
        <f>Economic!W64</f>
        <v>17522.800000000047</v>
      </c>
      <c r="BG52" s="91">
        <f>Economic!X64</f>
        <v>35.700000000000728</v>
      </c>
      <c r="BH52" s="91">
        <f>Economic!Y64</f>
        <v>32.399999999999636</v>
      </c>
      <c r="BI52" s="91">
        <f>Economic!Z64</f>
        <v>-2.8000000000000114</v>
      </c>
      <c r="BJ52" s="91">
        <f>Economic!AA64</f>
        <v>-9.0999999999999659</v>
      </c>
      <c r="BK52" s="91">
        <f>Economic!AB64</f>
        <v>1.5999999999999943</v>
      </c>
      <c r="BL52" s="91">
        <f>Economic!AC64</f>
        <v>2.8000000000000114</v>
      </c>
      <c r="BM52" s="91">
        <f>Weather!C172</f>
        <v>-0.75483870967741939</v>
      </c>
      <c r="BN52" s="91">
        <f>Weather!D172</f>
        <v>643.4</v>
      </c>
      <c r="BO52" s="91">
        <f>Weather!E172</f>
        <v>0</v>
      </c>
      <c r="BP52" s="91">
        <f>Weather!F172</f>
        <v>581.4</v>
      </c>
      <c r="BQ52" s="91">
        <f>Weather!G172</f>
        <v>0</v>
      </c>
      <c r="BR52" s="91">
        <f>Weather!H172</f>
        <v>519.4</v>
      </c>
      <c r="BS52" s="91">
        <f>Weather!I172</f>
        <v>0</v>
      </c>
      <c r="BT52" s="91">
        <f>Weather!J172</f>
        <v>457.4</v>
      </c>
      <c r="BU52" s="91">
        <f>Weather!K172</f>
        <v>0</v>
      </c>
      <c r="BV52" s="91">
        <f>Weather!L172</f>
        <v>395.4</v>
      </c>
      <c r="BW52" s="91">
        <f>Weather!M172</f>
        <v>0</v>
      </c>
      <c r="BX52" s="91">
        <f>Weather!N172</f>
        <v>333.4</v>
      </c>
      <c r="BY52" s="91">
        <f>Weather!O172</f>
        <v>0</v>
      </c>
    </row>
    <row r="53" spans="1:77" x14ac:dyDescent="0.2">
      <c r="A53" s="66">
        <v>42124</v>
      </c>
      <c r="B53" s="114">
        <f t="shared" si="0"/>
        <v>2015</v>
      </c>
      <c r="C53" s="94">
        <v>13751123.979999999</v>
      </c>
      <c r="D53" s="94">
        <v>0</v>
      </c>
      <c r="E53" s="171">
        <f ca="1">CDM!D74</f>
        <v>426895.96818036237</v>
      </c>
      <c r="F53" s="94">
        <f t="shared" ca="1" si="1"/>
        <v>14178019.948180361</v>
      </c>
      <c r="G53" s="94">
        <f ca="1">VLOOKUP(B53,CDM!$A$3:$G$14,7,FALSE)</f>
        <v>477688.83677010593</v>
      </c>
      <c r="H53" s="94">
        <f t="shared" ca="1" si="2"/>
        <v>14228812.816770105</v>
      </c>
      <c r="I53" s="90">
        <f>Weather!F173</f>
        <v>299.8</v>
      </c>
      <c r="J53" s="90">
        <f>Weather!G173</f>
        <v>0</v>
      </c>
      <c r="K53" s="108">
        <v>30</v>
      </c>
      <c r="L53" s="108">
        <f t="shared" ref="L53:W53" si="48">L41</f>
        <v>0</v>
      </c>
      <c r="M53" s="108">
        <f t="shared" si="48"/>
        <v>0</v>
      </c>
      <c r="N53" s="108">
        <f t="shared" si="48"/>
        <v>0</v>
      </c>
      <c r="O53" s="108">
        <f t="shared" si="48"/>
        <v>1</v>
      </c>
      <c r="P53" s="108">
        <f t="shared" si="48"/>
        <v>0</v>
      </c>
      <c r="Q53" s="108">
        <f t="shared" si="48"/>
        <v>0</v>
      </c>
      <c r="R53" s="108">
        <f t="shared" si="48"/>
        <v>0</v>
      </c>
      <c r="S53" s="108">
        <f t="shared" si="48"/>
        <v>0</v>
      </c>
      <c r="T53" s="108">
        <f t="shared" si="48"/>
        <v>0</v>
      </c>
      <c r="U53" s="108">
        <f t="shared" si="48"/>
        <v>0</v>
      </c>
      <c r="V53" s="108">
        <f t="shared" si="48"/>
        <v>0</v>
      </c>
      <c r="W53" s="108">
        <f t="shared" si="48"/>
        <v>0</v>
      </c>
      <c r="X53" s="109">
        <v>1</v>
      </c>
      <c r="Y53" s="108">
        <f t="shared" si="42"/>
        <v>1</v>
      </c>
      <c r="Z53" s="108">
        <f t="shared" si="42"/>
        <v>0</v>
      </c>
      <c r="AA53" s="152">
        <v>0</v>
      </c>
      <c r="AB53" s="152">
        <v>0</v>
      </c>
      <c r="AC53" s="152">
        <f t="shared" si="3"/>
        <v>0</v>
      </c>
      <c r="AD53" s="152">
        <f t="shared" si="4"/>
        <v>0</v>
      </c>
      <c r="AE53" s="152">
        <v>0</v>
      </c>
      <c r="AF53" s="150">
        <f>'Customer Count'!I53</f>
        <v>13787.5</v>
      </c>
      <c r="AG53" s="150">
        <f>AF53-'Customer Count'!G53-'Customer Count'!F53</f>
        <v>11084.5</v>
      </c>
      <c r="AH53" s="150">
        <f>AF53-'Customer Count'!H53</f>
        <v>13787.5</v>
      </c>
      <c r="AI53" s="109">
        <f t="shared" si="5"/>
        <v>52</v>
      </c>
      <c r="AJ53" s="109">
        <v>352</v>
      </c>
      <c r="AK53" s="91">
        <v>145.45830335513068</v>
      </c>
      <c r="AL53" s="91">
        <f>Economic!C65</f>
        <v>677384</v>
      </c>
      <c r="AM53" s="91">
        <f>Economic!D65</f>
        <v>6897.3</v>
      </c>
      <c r="AN53" s="91">
        <f>Economic!E65</f>
        <v>6805.6</v>
      </c>
      <c r="AO53" s="91">
        <f>Economic!F65</f>
        <v>6.8</v>
      </c>
      <c r="AP53" s="91">
        <f>Economic!G65</f>
        <v>7</v>
      </c>
      <c r="AQ53" s="91">
        <f>Economic!H65</f>
        <v>379.6</v>
      </c>
      <c r="AR53" s="91">
        <f>Economic!I65</f>
        <v>374.7</v>
      </c>
      <c r="AS53" s="91">
        <f>Economic!J65</f>
        <v>5.3</v>
      </c>
      <c r="AT53" s="91">
        <f>Economic!K65</f>
        <v>5.2</v>
      </c>
      <c r="AU53" s="91">
        <f>Economic!L65</f>
        <v>202.1</v>
      </c>
      <c r="AV53" s="91">
        <f>Economic!M65</f>
        <v>198.1</v>
      </c>
      <c r="AW53" s="91">
        <f>Economic!N65</f>
        <v>6.3</v>
      </c>
      <c r="AX53" s="91">
        <f>Economic!O65</f>
        <v>7.2</v>
      </c>
      <c r="AY53" s="91">
        <f>Economic!P65</f>
        <v>2.6555281625893601E-2</v>
      </c>
      <c r="AZ53" s="91">
        <f>Economic!Q65</f>
        <v>4.0322580645160144E-3</v>
      </c>
      <c r="BA53" s="91">
        <f>Economic!R65</f>
        <v>3.0361090641120025E-3</v>
      </c>
      <c r="BB53" s="91">
        <f>Economic!S65</f>
        <v>-9.394572025052117E-3</v>
      </c>
      <c r="BC53" s="91">
        <f>Economic!T65</f>
        <v>-2.0392156862745092E-2</v>
      </c>
      <c r="BD53" s="91">
        <f>Economic!U65</f>
        <v>2.0191822311963703E-2</v>
      </c>
      <c r="BE53" s="91">
        <f>Economic!V65</f>
        <v>2.4301964839710477E-2</v>
      </c>
      <c r="BF53" s="91">
        <f>Economic!W65</f>
        <v>17522.800000000047</v>
      </c>
      <c r="BG53" s="91">
        <f>Economic!X65</f>
        <v>27.699999999999818</v>
      </c>
      <c r="BH53" s="91">
        <f>Economic!Y65</f>
        <v>20.600000000000364</v>
      </c>
      <c r="BI53" s="91">
        <f>Economic!Z65</f>
        <v>-3.5999999999999659</v>
      </c>
      <c r="BJ53" s="91">
        <f>Economic!AA65</f>
        <v>-7.8000000000000114</v>
      </c>
      <c r="BK53" s="91">
        <f>Economic!AB65</f>
        <v>4</v>
      </c>
      <c r="BL53" s="91">
        <f>Economic!AC65</f>
        <v>4.6999999999999886</v>
      </c>
      <c r="BM53" s="91">
        <f>Weather!C173</f>
        <v>8.0066666666666659</v>
      </c>
      <c r="BN53" s="91">
        <f>Weather!D173</f>
        <v>359.8</v>
      </c>
      <c r="BO53" s="91">
        <f>Weather!E173</f>
        <v>0</v>
      </c>
      <c r="BP53" s="91">
        <f>Weather!F173</f>
        <v>299.8</v>
      </c>
      <c r="BQ53" s="91">
        <f>Weather!G173</f>
        <v>0</v>
      </c>
      <c r="BR53" s="91">
        <f>Weather!H173</f>
        <v>240.10000000000002</v>
      </c>
      <c r="BS53" s="91">
        <f>Weather!I173</f>
        <v>0.30000000000000071</v>
      </c>
      <c r="BT53" s="91">
        <f>Weather!J173</f>
        <v>184.5</v>
      </c>
      <c r="BU53" s="91">
        <f>Weather!K173</f>
        <v>4.7000000000000011</v>
      </c>
      <c r="BV53" s="91">
        <f>Weather!L173</f>
        <v>131.79999999999998</v>
      </c>
      <c r="BW53" s="91">
        <f>Weather!M173</f>
        <v>12.000000000000002</v>
      </c>
      <c r="BX53" s="91">
        <f>Weather!N173</f>
        <v>85.899999999999977</v>
      </c>
      <c r="BY53" s="91">
        <f>Weather!O173</f>
        <v>26.100000000000005</v>
      </c>
    </row>
    <row r="54" spans="1:77" x14ac:dyDescent="0.2">
      <c r="A54" s="66">
        <v>42155</v>
      </c>
      <c r="B54" s="114">
        <f t="shared" si="0"/>
        <v>2015</v>
      </c>
      <c r="C54" s="94">
        <v>14187561.25</v>
      </c>
      <c r="D54" s="94">
        <v>0</v>
      </c>
      <c r="E54" s="171">
        <f ca="1">CDM!D75</f>
        <v>447213.11561625981</v>
      </c>
      <c r="F54" s="94">
        <f t="shared" ca="1" si="1"/>
        <v>14634774.36561626</v>
      </c>
      <c r="G54" s="94">
        <f ca="1">VLOOKUP(B54,CDM!$A$3:$G$14,7,FALSE)</f>
        <v>477688.83677010593</v>
      </c>
      <c r="H54" s="94">
        <f t="shared" ca="1" si="2"/>
        <v>14665250.086770106</v>
      </c>
      <c r="I54" s="90">
        <f>Weather!F174</f>
        <v>86.600000000000023</v>
      </c>
      <c r="J54" s="90">
        <f>Weather!G174</f>
        <v>42.199999999999996</v>
      </c>
      <c r="K54" s="108">
        <v>31</v>
      </c>
      <c r="L54" s="108">
        <f t="shared" ref="L54:W54" si="49">L42</f>
        <v>0</v>
      </c>
      <c r="M54" s="108">
        <f t="shared" si="49"/>
        <v>0</v>
      </c>
      <c r="N54" s="108">
        <f t="shared" si="49"/>
        <v>0</v>
      </c>
      <c r="O54" s="108">
        <f t="shared" si="49"/>
        <v>0</v>
      </c>
      <c r="P54" s="108">
        <f t="shared" si="49"/>
        <v>1</v>
      </c>
      <c r="Q54" s="108">
        <f t="shared" si="49"/>
        <v>0</v>
      </c>
      <c r="R54" s="108">
        <f t="shared" si="49"/>
        <v>0</v>
      </c>
      <c r="S54" s="108">
        <f t="shared" si="49"/>
        <v>0</v>
      </c>
      <c r="T54" s="108">
        <f t="shared" si="49"/>
        <v>0</v>
      </c>
      <c r="U54" s="108">
        <f t="shared" si="49"/>
        <v>0</v>
      </c>
      <c r="V54" s="108">
        <f t="shared" si="49"/>
        <v>0</v>
      </c>
      <c r="W54" s="108">
        <f t="shared" si="49"/>
        <v>0</v>
      </c>
      <c r="X54" s="109">
        <v>1</v>
      </c>
      <c r="Y54" s="108">
        <f t="shared" si="42"/>
        <v>1</v>
      </c>
      <c r="Z54" s="108">
        <f t="shared" si="42"/>
        <v>0</v>
      </c>
      <c r="AA54" s="152">
        <v>0</v>
      </c>
      <c r="AB54" s="152">
        <v>0</v>
      </c>
      <c r="AC54" s="152">
        <f t="shared" si="3"/>
        <v>0</v>
      </c>
      <c r="AD54" s="152">
        <f t="shared" si="4"/>
        <v>0</v>
      </c>
      <c r="AE54" s="152">
        <v>0</v>
      </c>
      <c r="AF54" s="150">
        <f>'Customer Count'!I54</f>
        <v>13792.5</v>
      </c>
      <c r="AG54" s="150">
        <f>AF54-'Customer Count'!G54-'Customer Count'!F54</f>
        <v>11089.5</v>
      </c>
      <c r="AH54" s="150">
        <f>AF54-'Customer Count'!H54</f>
        <v>13792.5</v>
      </c>
      <c r="AI54" s="109">
        <f t="shared" si="5"/>
        <v>53</v>
      </c>
      <c r="AJ54" s="109">
        <v>352</v>
      </c>
      <c r="AK54" s="91">
        <v>145.6149519956395</v>
      </c>
      <c r="AL54" s="91">
        <f>Economic!C66</f>
        <v>677384</v>
      </c>
      <c r="AM54" s="91">
        <f>Economic!D66</f>
        <v>6906.5</v>
      </c>
      <c r="AN54" s="91">
        <f>Economic!E66</f>
        <v>6870.9</v>
      </c>
      <c r="AO54" s="91">
        <f>Economic!F66</f>
        <v>6.7</v>
      </c>
      <c r="AP54" s="91">
        <f>Economic!G66</f>
        <v>7</v>
      </c>
      <c r="AQ54" s="91">
        <f>Economic!H66</f>
        <v>385</v>
      </c>
      <c r="AR54" s="91">
        <f>Economic!I66</f>
        <v>382.4</v>
      </c>
      <c r="AS54" s="91">
        <f>Economic!J66</f>
        <v>5.0999999999999996</v>
      </c>
      <c r="AT54" s="91">
        <f>Economic!K66</f>
        <v>5.2</v>
      </c>
      <c r="AU54" s="91">
        <f>Economic!L66</f>
        <v>202.7</v>
      </c>
      <c r="AV54" s="91">
        <f>Economic!M66</f>
        <v>200.6</v>
      </c>
      <c r="AW54" s="91">
        <f>Economic!N66</f>
        <v>6.2</v>
      </c>
      <c r="AX54" s="91">
        <f>Economic!O66</f>
        <v>6.6</v>
      </c>
      <c r="AY54" s="91">
        <f>Economic!P66</f>
        <v>2.6555281625893601E-2</v>
      </c>
      <c r="AZ54" s="91">
        <f>Economic!Q66</f>
        <v>5.2251622856809288E-3</v>
      </c>
      <c r="BA54" s="91">
        <f>Economic!R66</f>
        <v>4.1358547920380406E-3</v>
      </c>
      <c r="BB54" s="91">
        <f>Economic!S66</f>
        <v>9.1743119266054496E-3</v>
      </c>
      <c r="BC54" s="91">
        <f>Economic!T66</f>
        <v>7.1108770081642625E-3</v>
      </c>
      <c r="BD54" s="91">
        <f>Economic!U66</f>
        <v>2.8411973617453068E-2</v>
      </c>
      <c r="BE54" s="91">
        <f>Economic!V66</f>
        <v>2.5038323965252962E-2</v>
      </c>
      <c r="BF54" s="91">
        <f>Economic!W66</f>
        <v>17522.800000000047</v>
      </c>
      <c r="BG54" s="91">
        <f>Economic!X66</f>
        <v>35.899999999999636</v>
      </c>
      <c r="BH54" s="91">
        <f>Economic!Y66</f>
        <v>28.299999999999272</v>
      </c>
      <c r="BI54" s="91">
        <f>Economic!Z66</f>
        <v>3.5</v>
      </c>
      <c r="BJ54" s="91">
        <f>Economic!AA66</f>
        <v>2.6999999999999886</v>
      </c>
      <c r="BK54" s="91">
        <f>Economic!AB66</f>
        <v>5.5999999999999943</v>
      </c>
      <c r="BL54" s="91">
        <f>Economic!AC66</f>
        <v>4.9000000000000057</v>
      </c>
      <c r="BM54" s="91">
        <f>Weather!C174</f>
        <v>16.56774193548387</v>
      </c>
      <c r="BN54" s="91">
        <f>Weather!D174</f>
        <v>127.1</v>
      </c>
      <c r="BO54" s="91">
        <f>Weather!E174</f>
        <v>20.7</v>
      </c>
      <c r="BP54" s="91">
        <f>Weather!F174</f>
        <v>86.600000000000023</v>
      </c>
      <c r="BQ54" s="91">
        <f>Weather!G174</f>
        <v>42.199999999999996</v>
      </c>
      <c r="BR54" s="91">
        <f>Weather!H174</f>
        <v>54.4</v>
      </c>
      <c r="BS54" s="91">
        <f>Weather!I174</f>
        <v>72</v>
      </c>
      <c r="BT54" s="91">
        <f>Weather!J174</f>
        <v>28.699999999999996</v>
      </c>
      <c r="BU54" s="91">
        <f>Weather!K174</f>
        <v>108.30000000000001</v>
      </c>
      <c r="BV54" s="91">
        <f>Weather!L174</f>
        <v>11.5</v>
      </c>
      <c r="BW54" s="91">
        <f>Weather!M174</f>
        <v>153.1</v>
      </c>
      <c r="BX54" s="91">
        <f>Weather!N174</f>
        <v>2.9000000000000004</v>
      </c>
      <c r="BY54" s="91">
        <f>Weather!O174</f>
        <v>206.49999999999997</v>
      </c>
    </row>
    <row r="55" spans="1:77" x14ac:dyDescent="0.2">
      <c r="A55" s="66">
        <v>42185</v>
      </c>
      <c r="B55" s="114">
        <f t="shared" ref="B55:B118" si="50">YEAR(A55)</f>
        <v>2015</v>
      </c>
      <c r="C55" s="94">
        <v>14895713.270000001</v>
      </c>
      <c r="D55" s="94">
        <v>0</v>
      </c>
      <c r="E55" s="171">
        <f ca="1">CDM!D76</f>
        <v>467530.26305215724</v>
      </c>
      <c r="F55" s="94">
        <f t="shared" ref="F55:F118" ca="1" si="51">C55+E55-D55</f>
        <v>15363243.533052159</v>
      </c>
      <c r="G55" s="94">
        <f ca="1">VLOOKUP(B55,CDM!$A$3:$G$14,7,FALSE)</f>
        <v>477688.83677010593</v>
      </c>
      <c r="H55" s="94">
        <f t="shared" ca="1" si="2"/>
        <v>15373402.106770108</v>
      </c>
      <c r="I55" s="90">
        <f>Weather!F175</f>
        <v>43.599999999999994</v>
      </c>
      <c r="J55" s="90">
        <f>Weather!G175</f>
        <v>42.099999999999994</v>
      </c>
      <c r="K55" s="108">
        <v>30</v>
      </c>
      <c r="L55" s="108">
        <f t="shared" ref="L55:W55" si="52">L43</f>
        <v>0</v>
      </c>
      <c r="M55" s="108">
        <f t="shared" si="52"/>
        <v>0</v>
      </c>
      <c r="N55" s="108">
        <f t="shared" si="52"/>
        <v>0</v>
      </c>
      <c r="O55" s="108">
        <f t="shared" si="52"/>
        <v>0</v>
      </c>
      <c r="P55" s="108">
        <f t="shared" si="52"/>
        <v>0</v>
      </c>
      <c r="Q55" s="108">
        <f t="shared" si="52"/>
        <v>1</v>
      </c>
      <c r="R55" s="108">
        <f t="shared" si="52"/>
        <v>0</v>
      </c>
      <c r="S55" s="108">
        <f t="shared" si="52"/>
        <v>0</v>
      </c>
      <c r="T55" s="108">
        <f t="shared" si="52"/>
        <v>0</v>
      </c>
      <c r="U55" s="108">
        <f t="shared" si="52"/>
        <v>0</v>
      </c>
      <c r="V55" s="108">
        <f t="shared" si="52"/>
        <v>0</v>
      </c>
      <c r="W55" s="108">
        <f t="shared" si="52"/>
        <v>0</v>
      </c>
      <c r="X55" s="109">
        <v>0</v>
      </c>
      <c r="Y55" s="108">
        <f t="shared" si="42"/>
        <v>0</v>
      </c>
      <c r="Z55" s="108">
        <f t="shared" si="42"/>
        <v>0</v>
      </c>
      <c r="AA55" s="152">
        <v>0</v>
      </c>
      <c r="AB55" s="152">
        <v>0</v>
      </c>
      <c r="AC55" s="152">
        <f t="shared" si="3"/>
        <v>0</v>
      </c>
      <c r="AD55" s="152">
        <f t="shared" si="4"/>
        <v>0</v>
      </c>
      <c r="AE55" s="152">
        <v>0</v>
      </c>
      <c r="AF55" s="150">
        <f>'Customer Count'!I55</f>
        <v>13793.5</v>
      </c>
      <c r="AG55" s="150">
        <f>AF55-'Customer Count'!G55-'Customer Count'!F55</f>
        <v>11090.5</v>
      </c>
      <c r="AH55" s="150">
        <f>AF55-'Customer Count'!H55</f>
        <v>13793.5</v>
      </c>
      <c r="AI55" s="109">
        <f t="shared" si="5"/>
        <v>54</v>
      </c>
      <c r="AJ55" s="109">
        <v>320</v>
      </c>
      <c r="AK55" s="91">
        <v>145.77176933601632</v>
      </c>
      <c r="AL55" s="91">
        <f>Economic!C67</f>
        <v>677384</v>
      </c>
      <c r="AM55" s="91">
        <f>Economic!D67</f>
        <v>6921.3</v>
      </c>
      <c r="AN55" s="91">
        <f>Economic!E67</f>
        <v>6965.8</v>
      </c>
      <c r="AO55" s="91">
        <f>Economic!F67</f>
        <v>6.6</v>
      </c>
      <c r="AP55" s="91">
        <f>Economic!G67</f>
        <v>6.7</v>
      </c>
      <c r="AQ55" s="91">
        <f>Economic!H67</f>
        <v>387.9</v>
      </c>
      <c r="AR55" s="91">
        <f>Economic!I67</f>
        <v>389.3</v>
      </c>
      <c r="AS55" s="91">
        <f>Economic!J67</f>
        <v>5.2</v>
      </c>
      <c r="AT55" s="91">
        <f>Economic!K67</f>
        <v>5.3</v>
      </c>
      <c r="AU55" s="91">
        <f>Economic!L67</f>
        <v>203.8</v>
      </c>
      <c r="AV55" s="91">
        <f>Economic!M67</f>
        <v>204.5</v>
      </c>
      <c r="AW55" s="91">
        <f>Economic!N67</f>
        <v>6</v>
      </c>
      <c r="AX55" s="91">
        <f>Economic!O67</f>
        <v>5.8</v>
      </c>
      <c r="AY55" s="91">
        <f>Economic!P67</f>
        <v>2.6555281625893601E-2</v>
      </c>
      <c r="AZ55" s="91">
        <f>Economic!Q67</f>
        <v>8.1422786727649576E-3</v>
      </c>
      <c r="BA55" s="91">
        <f>Economic!R67</f>
        <v>7.6523600804294656E-3</v>
      </c>
      <c r="BB55" s="91">
        <f>Economic!S67</f>
        <v>1.5445026178010357E-2</v>
      </c>
      <c r="BC55" s="91">
        <f>Economic!T67</f>
        <v>1.5653535090007775E-2</v>
      </c>
      <c r="BD55" s="91">
        <f>Economic!U67</f>
        <v>4.3522785458269375E-2</v>
      </c>
      <c r="BE55" s="91">
        <f>Economic!V67</f>
        <v>3.7544393708777379E-2</v>
      </c>
      <c r="BF55" s="91">
        <f>Economic!W67</f>
        <v>17522.800000000047</v>
      </c>
      <c r="BG55" s="91">
        <f>Economic!X67</f>
        <v>55.900000000000546</v>
      </c>
      <c r="BH55" s="91">
        <f>Economic!Y67</f>
        <v>52.900000000000546</v>
      </c>
      <c r="BI55" s="91">
        <f>Economic!Z67</f>
        <v>5.8999999999999773</v>
      </c>
      <c r="BJ55" s="91">
        <f>Economic!AA67</f>
        <v>6</v>
      </c>
      <c r="BK55" s="91">
        <f>Economic!AB67</f>
        <v>8.5</v>
      </c>
      <c r="BL55" s="91">
        <f>Economic!AC67</f>
        <v>7.4000000000000057</v>
      </c>
      <c r="BM55" s="91">
        <f>Weather!C175</f>
        <v>17.95</v>
      </c>
      <c r="BN55" s="91">
        <f>Weather!D175</f>
        <v>75.999999999999986</v>
      </c>
      <c r="BO55" s="91">
        <f>Weather!E175</f>
        <v>14.5</v>
      </c>
      <c r="BP55" s="91">
        <f>Weather!F175</f>
        <v>43.599999999999994</v>
      </c>
      <c r="BQ55" s="91">
        <f>Weather!G175</f>
        <v>42.099999999999994</v>
      </c>
      <c r="BR55" s="91">
        <f>Weather!H175</f>
        <v>21.500000000000004</v>
      </c>
      <c r="BS55" s="91">
        <f>Weather!I175</f>
        <v>80.000000000000014</v>
      </c>
      <c r="BT55" s="91">
        <f>Weather!J175</f>
        <v>7.7000000000000011</v>
      </c>
      <c r="BU55" s="91">
        <f>Weather!K175</f>
        <v>126.20000000000003</v>
      </c>
      <c r="BV55" s="91">
        <f>Weather!L175</f>
        <v>1.4000000000000004</v>
      </c>
      <c r="BW55" s="91">
        <f>Weather!M175</f>
        <v>179.89999999999992</v>
      </c>
      <c r="BX55" s="91">
        <f>Weather!N175</f>
        <v>0</v>
      </c>
      <c r="BY55" s="91">
        <f>Weather!O175</f>
        <v>238.49999999999997</v>
      </c>
    </row>
    <row r="56" spans="1:77" x14ac:dyDescent="0.2">
      <c r="A56" s="66">
        <v>42216</v>
      </c>
      <c r="B56" s="114">
        <f t="shared" si="50"/>
        <v>2015</v>
      </c>
      <c r="C56" s="94">
        <v>18727962.900000002</v>
      </c>
      <c r="D56" s="94">
        <v>0</v>
      </c>
      <c r="E56" s="171">
        <f ca="1">CDM!D77</f>
        <v>487847.41048805468</v>
      </c>
      <c r="F56" s="94">
        <f t="shared" ca="1" si="51"/>
        <v>19215810.310488056</v>
      </c>
      <c r="G56" s="94">
        <f ca="1">VLOOKUP(B56,CDM!$A$3:$G$14,7,FALSE)</f>
        <v>477688.83677010593</v>
      </c>
      <c r="H56" s="94">
        <f t="shared" ca="1" si="2"/>
        <v>19205651.736770108</v>
      </c>
      <c r="I56" s="90">
        <f>Weather!F176</f>
        <v>3.4000000000000021</v>
      </c>
      <c r="J56" s="90">
        <f>Weather!G176</f>
        <v>128.9</v>
      </c>
      <c r="K56" s="108">
        <v>31</v>
      </c>
      <c r="L56" s="108">
        <f t="shared" ref="L56:W56" si="53">L44</f>
        <v>0</v>
      </c>
      <c r="M56" s="108">
        <f t="shared" si="53"/>
        <v>0</v>
      </c>
      <c r="N56" s="108">
        <f t="shared" si="53"/>
        <v>0</v>
      </c>
      <c r="O56" s="108">
        <f t="shared" si="53"/>
        <v>0</v>
      </c>
      <c r="P56" s="108">
        <f t="shared" si="53"/>
        <v>0</v>
      </c>
      <c r="Q56" s="108">
        <f t="shared" si="53"/>
        <v>0</v>
      </c>
      <c r="R56" s="108">
        <f t="shared" si="53"/>
        <v>1</v>
      </c>
      <c r="S56" s="108">
        <f t="shared" si="53"/>
        <v>0</v>
      </c>
      <c r="T56" s="108">
        <f t="shared" si="53"/>
        <v>0</v>
      </c>
      <c r="U56" s="108">
        <f t="shared" si="53"/>
        <v>0</v>
      </c>
      <c r="V56" s="108">
        <f t="shared" si="53"/>
        <v>0</v>
      </c>
      <c r="W56" s="108">
        <f t="shared" si="53"/>
        <v>0</v>
      </c>
      <c r="X56" s="109">
        <v>0</v>
      </c>
      <c r="Y56" s="108">
        <f t="shared" si="42"/>
        <v>0</v>
      </c>
      <c r="Z56" s="108">
        <f t="shared" si="42"/>
        <v>0</v>
      </c>
      <c r="AA56" s="152">
        <v>0</v>
      </c>
      <c r="AB56" s="152">
        <v>0</v>
      </c>
      <c r="AC56" s="152">
        <f t="shared" si="3"/>
        <v>0</v>
      </c>
      <c r="AD56" s="152">
        <f t="shared" si="4"/>
        <v>0</v>
      </c>
      <c r="AE56" s="152">
        <v>0</v>
      </c>
      <c r="AF56" s="150">
        <f>'Customer Count'!I56</f>
        <v>13794.5</v>
      </c>
      <c r="AG56" s="150">
        <f>AF56-'Customer Count'!G56-'Customer Count'!F56</f>
        <v>11092.5</v>
      </c>
      <c r="AH56" s="150">
        <f>AF56-'Customer Count'!H56</f>
        <v>13794.5</v>
      </c>
      <c r="AI56" s="109">
        <f t="shared" si="5"/>
        <v>55</v>
      </c>
      <c r="AJ56" s="109">
        <v>352</v>
      </c>
      <c r="AK56" s="91">
        <v>145.92875555793933</v>
      </c>
      <c r="AL56" s="91">
        <f>Economic!C68</f>
        <v>677384</v>
      </c>
      <c r="AM56" s="91">
        <f>Economic!D68</f>
        <v>6941.2</v>
      </c>
      <c r="AN56" s="91">
        <f>Economic!E68</f>
        <v>7032.3</v>
      </c>
      <c r="AO56" s="91">
        <f>Economic!F68</f>
        <v>6.5</v>
      </c>
      <c r="AP56" s="91">
        <f>Economic!G68</f>
        <v>6.8</v>
      </c>
      <c r="AQ56" s="91">
        <f>Economic!H68</f>
        <v>392.4</v>
      </c>
      <c r="AR56" s="91">
        <f>Economic!I68</f>
        <v>395.3</v>
      </c>
      <c r="AS56" s="91">
        <f>Economic!J68</f>
        <v>5.3</v>
      </c>
      <c r="AT56" s="91">
        <f>Economic!K68</f>
        <v>5.7</v>
      </c>
      <c r="AU56" s="91">
        <f>Economic!L68</f>
        <v>205.4</v>
      </c>
      <c r="AV56" s="91">
        <f>Economic!M68</f>
        <v>209.6</v>
      </c>
      <c r="AW56" s="91">
        <f>Economic!N68</f>
        <v>6.4</v>
      </c>
      <c r="AX56" s="91">
        <f>Economic!O68</f>
        <v>6</v>
      </c>
      <c r="AY56" s="91">
        <f>Economic!P68</f>
        <v>2.6555281625893601E-2</v>
      </c>
      <c r="AZ56" s="91">
        <f>Economic!Q68</f>
        <v>1.1188159198181946E-2</v>
      </c>
      <c r="BA56" s="91">
        <f>Economic!R68</f>
        <v>1.0707407513869338E-2</v>
      </c>
      <c r="BB56" s="91">
        <f>Economic!S68</f>
        <v>2.2407503908285387E-2</v>
      </c>
      <c r="BC56" s="91">
        <f>Economic!T68</f>
        <v>2.3033126293996009E-2</v>
      </c>
      <c r="BD56" s="91">
        <f>Economic!U68</f>
        <v>5.8762886597938158E-2</v>
      </c>
      <c r="BE56" s="91">
        <f>Economic!V68</f>
        <v>5.912076806467903E-2</v>
      </c>
      <c r="BF56" s="91">
        <f>Economic!W68</f>
        <v>17522.800000000047</v>
      </c>
      <c r="BG56" s="91">
        <f>Economic!X68</f>
        <v>76.800000000000182</v>
      </c>
      <c r="BH56" s="91">
        <f>Economic!Y68</f>
        <v>74.5</v>
      </c>
      <c r="BI56" s="91">
        <f>Economic!Z68</f>
        <v>8.5999999999999659</v>
      </c>
      <c r="BJ56" s="91">
        <f>Economic!AA68</f>
        <v>8.9000000000000341</v>
      </c>
      <c r="BK56" s="91">
        <f>Economic!AB68</f>
        <v>11.400000000000006</v>
      </c>
      <c r="BL56" s="91">
        <f>Economic!AC68</f>
        <v>11.699999999999989</v>
      </c>
      <c r="BM56" s="91">
        <f>Weather!C176</f>
        <v>22.048387096774196</v>
      </c>
      <c r="BN56" s="91">
        <f>Weather!D176</f>
        <v>15.700000000000003</v>
      </c>
      <c r="BO56" s="91">
        <f>Weather!E176</f>
        <v>79.200000000000017</v>
      </c>
      <c r="BP56" s="91">
        <f>Weather!F176</f>
        <v>3.4000000000000021</v>
      </c>
      <c r="BQ56" s="91">
        <f>Weather!G176</f>
        <v>128.9</v>
      </c>
      <c r="BR56" s="91">
        <f>Weather!H176</f>
        <v>0</v>
      </c>
      <c r="BS56" s="91">
        <f>Weather!I176</f>
        <v>187.49999999999997</v>
      </c>
      <c r="BT56" s="91">
        <f>Weather!J176</f>
        <v>0</v>
      </c>
      <c r="BU56" s="91">
        <f>Weather!K176</f>
        <v>249.49999999999994</v>
      </c>
      <c r="BV56" s="91">
        <f>Weather!L176</f>
        <v>0</v>
      </c>
      <c r="BW56" s="91">
        <f>Weather!M176</f>
        <v>311.49999999999994</v>
      </c>
      <c r="BX56" s="91">
        <f>Weather!N176</f>
        <v>0</v>
      </c>
      <c r="BY56" s="91">
        <f>Weather!O176</f>
        <v>373.5</v>
      </c>
    </row>
    <row r="57" spans="1:77" x14ac:dyDescent="0.2">
      <c r="A57" s="66">
        <v>42247</v>
      </c>
      <c r="B57" s="114">
        <f t="shared" si="50"/>
        <v>2015</v>
      </c>
      <c r="C57" s="94">
        <v>17447202.449999999</v>
      </c>
      <c r="D57" s="94">
        <v>0</v>
      </c>
      <c r="E57" s="171">
        <f ca="1">CDM!D78</f>
        <v>508164.55792395212</v>
      </c>
      <c r="F57" s="94">
        <f t="shared" ca="1" si="51"/>
        <v>17955367.007923953</v>
      </c>
      <c r="G57" s="94">
        <f ca="1">VLOOKUP(B57,CDM!$A$3:$G$14,7,FALSE)</f>
        <v>477688.83677010593</v>
      </c>
      <c r="H57" s="94">
        <f t="shared" ca="1" si="2"/>
        <v>17924891.286770105</v>
      </c>
      <c r="I57" s="90">
        <f>Weather!F177</f>
        <v>1.3999999999999986</v>
      </c>
      <c r="J57" s="90">
        <f>Weather!G177</f>
        <v>101.19999999999999</v>
      </c>
      <c r="K57" s="108">
        <v>31</v>
      </c>
      <c r="L57" s="108">
        <f t="shared" ref="L57:W57" si="54">L45</f>
        <v>0</v>
      </c>
      <c r="M57" s="108">
        <f t="shared" si="54"/>
        <v>0</v>
      </c>
      <c r="N57" s="108">
        <f t="shared" si="54"/>
        <v>0</v>
      </c>
      <c r="O57" s="108">
        <f t="shared" si="54"/>
        <v>0</v>
      </c>
      <c r="P57" s="108">
        <f t="shared" si="54"/>
        <v>0</v>
      </c>
      <c r="Q57" s="108">
        <f t="shared" si="54"/>
        <v>0</v>
      </c>
      <c r="R57" s="108">
        <f t="shared" si="54"/>
        <v>0</v>
      </c>
      <c r="S57" s="108">
        <f t="shared" si="54"/>
        <v>1</v>
      </c>
      <c r="T57" s="108">
        <f t="shared" si="54"/>
        <v>0</v>
      </c>
      <c r="U57" s="108">
        <f t="shared" si="54"/>
        <v>0</v>
      </c>
      <c r="V57" s="108">
        <f t="shared" si="54"/>
        <v>0</v>
      </c>
      <c r="W57" s="108">
        <f t="shared" si="54"/>
        <v>0</v>
      </c>
      <c r="X57" s="109">
        <v>0</v>
      </c>
      <c r="Y57" s="108">
        <f t="shared" si="42"/>
        <v>0</v>
      </c>
      <c r="Z57" s="108">
        <f t="shared" si="42"/>
        <v>0</v>
      </c>
      <c r="AA57" s="152">
        <v>0</v>
      </c>
      <c r="AB57" s="152">
        <v>0</v>
      </c>
      <c r="AC57" s="152">
        <f t="shared" si="3"/>
        <v>0</v>
      </c>
      <c r="AD57" s="152">
        <f t="shared" si="4"/>
        <v>0</v>
      </c>
      <c r="AE57" s="152">
        <v>0</v>
      </c>
      <c r="AF57" s="150">
        <f>'Customer Count'!I57</f>
        <v>13800.5</v>
      </c>
      <c r="AG57" s="150">
        <f>AF57-'Customer Count'!G57-'Customer Count'!F57</f>
        <v>11099.5</v>
      </c>
      <c r="AH57" s="150">
        <f>AF57-'Customer Count'!H57</f>
        <v>13800.5</v>
      </c>
      <c r="AI57" s="109">
        <f t="shared" si="5"/>
        <v>56</v>
      </c>
      <c r="AJ57" s="109">
        <v>336</v>
      </c>
      <c r="AK57" s="91">
        <v>146.08591084328242</v>
      </c>
      <c r="AL57" s="91">
        <f>Economic!C69</f>
        <v>677384</v>
      </c>
      <c r="AM57" s="91">
        <f>Economic!D69</f>
        <v>6949.2</v>
      </c>
      <c r="AN57" s="91">
        <f>Economic!E69</f>
        <v>7045.7</v>
      </c>
      <c r="AO57" s="91">
        <f>Economic!F69</f>
        <v>6.6</v>
      </c>
      <c r="AP57" s="91">
        <f>Economic!G69</f>
        <v>7.1</v>
      </c>
      <c r="AQ57" s="91">
        <f>Economic!H69</f>
        <v>392.6</v>
      </c>
      <c r="AR57" s="91">
        <f>Economic!I69</f>
        <v>397.2</v>
      </c>
      <c r="AS57" s="91">
        <f>Economic!J69</f>
        <v>5.2</v>
      </c>
      <c r="AT57" s="91">
        <f>Economic!K69</f>
        <v>5.9</v>
      </c>
      <c r="AU57" s="91">
        <f>Economic!L69</f>
        <v>206.9</v>
      </c>
      <c r="AV57" s="91">
        <f>Economic!M69</f>
        <v>211.4</v>
      </c>
      <c r="AW57" s="91">
        <f>Economic!N69</f>
        <v>6.8</v>
      </c>
      <c r="AX57" s="91">
        <f>Economic!O69</f>
        <v>6.4</v>
      </c>
      <c r="AY57" s="91">
        <f>Economic!P69</f>
        <v>2.6555281625893601E-2</v>
      </c>
      <c r="AZ57" s="91">
        <f>Economic!Q69</f>
        <v>1.1543108342188413E-2</v>
      </c>
      <c r="BA57" s="91">
        <f>Economic!R69</f>
        <v>1.0904343085068158E-2</v>
      </c>
      <c r="BB57" s="91">
        <f>Economic!S69</f>
        <v>1.9210799584631344E-2</v>
      </c>
      <c r="BC57" s="91">
        <f>Economic!T69</f>
        <v>2.1342247364360967E-2</v>
      </c>
      <c r="BD57" s="91">
        <f>Economic!U69</f>
        <v>7.1465561885033724E-2</v>
      </c>
      <c r="BE57" s="91">
        <f>Economic!V69</f>
        <v>7.4733096085409345E-2</v>
      </c>
      <c r="BF57" s="91">
        <f>Economic!W69</f>
        <v>17522.800000000047</v>
      </c>
      <c r="BG57" s="91">
        <f>Economic!X69</f>
        <v>79.300000000000182</v>
      </c>
      <c r="BH57" s="91">
        <f>Economic!Y69</f>
        <v>76</v>
      </c>
      <c r="BI57" s="91">
        <f>Economic!Z69</f>
        <v>7.4000000000000341</v>
      </c>
      <c r="BJ57" s="91">
        <f>Economic!AA69</f>
        <v>8.3000000000000114</v>
      </c>
      <c r="BK57" s="91">
        <f>Economic!AB69</f>
        <v>13.800000000000011</v>
      </c>
      <c r="BL57" s="91">
        <f>Economic!AC69</f>
        <v>14.700000000000017</v>
      </c>
      <c r="BM57" s="91">
        <f>Weather!C177</f>
        <v>21.21935483870968</v>
      </c>
      <c r="BN57" s="91">
        <f>Weather!D177</f>
        <v>16.799999999999994</v>
      </c>
      <c r="BO57" s="91">
        <f>Weather!E177</f>
        <v>54.599999999999994</v>
      </c>
      <c r="BP57" s="91">
        <f>Weather!F177</f>
        <v>1.3999999999999986</v>
      </c>
      <c r="BQ57" s="91">
        <f>Weather!G177</f>
        <v>101.19999999999999</v>
      </c>
      <c r="BR57" s="91">
        <f>Weather!H177</f>
        <v>0</v>
      </c>
      <c r="BS57" s="91">
        <f>Weather!I177</f>
        <v>161.79999999999998</v>
      </c>
      <c r="BT57" s="91">
        <f>Weather!J177</f>
        <v>0</v>
      </c>
      <c r="BU57" s="91">
        <f>Weather!K177</f>
        <v>223.79999999999998</v>
      </c>
      <c r="BV57" s="91">
        <f>Weather!L177</f>
        <v>0</v>
      </c>
      <c r="BW57" s="91">
        <f>Weather!M177</f>
        <v>285.8</v>
      </c>
      <c r="BX57" s="91">
        <f>Weather!N177</f>
        <v>0</v>
      </c>
      <c r="BY57" s="91">
        <f>Weather!O177</f>
        <v>347.80000000000013</v>
      </c>
    </row>
    <row r="58" spans="1:77" x14ac:dyDescent="0.2">
      <c r="A58" s="66">
        <v>42277</v>
      </c>
      <c r="B58" s="114">
        <f t="shared" si="50"/>
        <v>2015</v>
      </c>
      <c r="C58" s="94">
        <v>16730321.560000001</v>
      </c>
      <c r="D58" s="94">
        <v>0</v>
      </c>
      <c r="E58" s="171">
        <f ca="1">CDM!D79</f>
        <v>528481.70535984961</v>
      </c>
      <c r="F58" s="94">
        <f t="shared" ca="1" si="51"/>
        <v>17258803.265359849</v>
      </c>
      <c r="G58" s="94">
        <f ca="1">VLOOKUP(B58,CDM!$A$3:$G$14,7,FALSE)</f>
        <v>477688.83677010593</v>
      </c>
      <c r="H58" s="94">
        <f t="shared" ca="1" si="2"/>
        <v>17208010.396770105</v>
      </c>
      <c r="I58" s="90">
        <f>Weather!F178</f>
        <v>24.200000000000006</v>
      </c>
      <c r="J58" s="90">
        <f>Weather!G178</f>
        <v>93.500000000000014</v>
      </c>
      <c r="K58" s="108">
        <v>30</v>
      </c>
      <c r="L58" s="108">
        <f t="shared" ref="L58:W58" si="55">L46</f>
        <v>0</v>
      </c>
      <c r="M58" s="108">
        <f t="shared" si="55"/>
        <v>0</v>
      </c>
      <c r="N58" s="108">
        <f t="shared" si="55"/>
        <v>0</v>
      </c>
      <c r="O58" s="108">
        <f t="shared" si="55"/>
        <v>0</v>
      </c>
      <c r="P58" s="108">
        <f t="shared" si="55"/>
        <v>0</v>
      </c>
      <c r="Q58" s="108">
        <f t="shared" si="55"/>
        <v>0</v>
      </c>
      <c r="R58" s="108">
        <f t="shared" si="55"/>
        <v>0</v>
      </c>
      <c r="S58" s="108">
        <f t="shared" si="55"/>
        <v>0</v>
      </c>
      <c r="T58" s="108">
        <f t="shared" si="55"/>
        <v>1</v>
      </c>
      <c r="U58" s="108">
        <f t="shared" si="55"/>
        <v>0</v>
      </c>
      <c r="V58" s="108">
        <f t="shared" si="55"/>
        <v>0</v>
      </c>
      <c r="W58" s="108">
        <f t="shared" si="55"/>
        <v>0</v>
      </c>
      <c r="X58" s="109">
        <v>1</v>
      </c>
      <c r="Y58" s="108">
        <f t="shared" si="42"/>
        <v>0</v>
      </c>
      <c r="Z58" s="108">
        <f t="shared" si="42"/>
        <v>1</v>
      </c>
      <c r="AA58" s="152">
        <v>0</v>
      </c>
      <c r="AB58" s="152">
        <v>0</v>
      </c>
      <c r="AC58" s="152">
        <f t="shared" si="3"/>
        <v>0</v>
      </c>
      <c r="AD58" s="152">
        <f t="shared" si="4"/>
        <v>0</v>
      </c>
      <c r="AE58" s="152">
        <v>0</v>
      </c>
      <c r="AF58" s="150">
        <f>'Customer Count'!I58</f>
        <v>13815.5</v>
      </c>
      <c r="AG58" s="150">
        <f>AF58-'Customer Count'!G58-'Customer Count'!F58</f>
        <v>11114.5</v>
      </c>
      <c r="AH58" s="150">
        <f>AF58-'Customer Count'!H58</f>
        <v>13815.5</v>
      </c>
      <c r="AI58" s="109">
        <f t="shared" si="5"/>
        <v>57</v>
      </c>
      <c r="AJ58" s="109">
        <v>320</v>
      </c>
      <c r="AK58" s="91">
        <v>146.2432353741153</v>
      </c>
      <c r="AL58" s="91">
        <f>Economic!C70</f>
        <v>677384</v>
      </c>
      <c r="AM58" s="91">
        <f>Economic!D70</f>
        <v>6941.1</v>
      </c>
      <c r="AN58" s="91">
        <f>Economic!E70</f>
        <v>6994.9</v>
      </c>
      <c r="AO58" s="91">
        <f>Economic!F70</f>
        <v>6.8</v>
      </c>
      <c r="AP58" s="91">
        <f>Economic!G70</f>
        <v>7.1</v>
      </c>
      <c r="AQ58" s="91">
        <f>Economic!H70</f>
        <v>390.5</v>
      </c>
      <c r="AR58" s="91">
        <f>Economic!I70</f>
        <v>393.9</v>
      </c>
      <c r="AS58" s="91">
        <f>Economic!J70</f>
        <v>5.3</v>
      </c>
      <c r="AT58" s="91">
        <f>Economic!K70</f>
        <v>5.7</v>
      </c>
      <c r="AU58" s="91">
        <f>Economic!L70</f>
        <v>207.2</v>
      </c>
      <c r="AV58" s="91">
        <f>Economic!M70</f>
        <v>210.4</v>
      </c>
      <c r="AW58" s="91">
        <f>Economic!N70</f>
        <v>7.3</v>
      </c>
      <c r="AX58" s="91">
        <f>Economic!O70</f>
        <v>6.9</v>
      </c>
      <c r="AY58" s="91">
        <f>Economic!P70</f>
        <v>2.6555281625893601E-2</v>
      </c>
      <c r="AZ58" s="91">
        <f>Economic!Q70</f>
        <v>8.221366838550459E-3</v>
      </c>
      <c r="BA58" s="91">
        <f>Economic!R70</f>
        <v>7.3155628519172566E-3</v>
      </c>
      <c r="BB58" s="91">
        <f>Economic!S70</f>
        <v>1.3759086188992686E-2</v>
      </c>
      <c r="BC58" s="91">
        <f>Economic!T70</f>
        <v>1.8092530369604454E-2</v>
      </c>
      <c r="BD58" s="91">
        <f>Economic!U70</f>
        <v>6.6941297631307961E-2</v>
      </c>
      <c r="BE58" s="91">
        <f>Economic!V70</f>
        <v>7.1828833418237314E-2</v>
      </c>
      <c r="BF58" s="91">
        <f>Economic!W70</f>
        <v>17522.800000000047</v>
      </c>
      <c r="BG58" s="91">
        <f>Economic!X70</f>
        <v>56.600000000000364</v>
      </c>
      <c r="BH58" s="91">
        <f>Economic!Y70</f>
        <v>50.799999999999272</v>
      </c>
      <c r="BI58" s="91">
        <f>Economic!Z70</f>
        <v>5.3000000000000114</v>
      </c>
      <c r="BJ58" s="91">
        <f>Economic!AA70</f>
        <v>7</v>
      </c>
      <c r="BK58" s="91">
        <f>Economic!AB70</f>
        <v>13</v>
      </c>
      <c r="BL58" s="91">
        <f>Economic!AC70</f>
        <v>14.099999999999994</v>
      </c>
      <c r="BM58" s="91">
        <f>Weather!C178</f>
        <v>20.309999999999999</v>
      </c>
      <c r="BN58" s="91">
        <f>Weather!D178</f>
        <v>50.400000000000006</v>
      </c>
      <c r="BO58" s="91">
        <f>Weather!E178</f>
        <v>59.7</v>
      </c>
      <c r="BP58" s="91">
        <f>Weather!F178</f>
        <v>24.200000000000006</v>
      </c>
      <c r="BQ58" s="91">
        <f>Weather!G178</f>
        <v>93.500000000000014</v>
      </c>
      <c r="BR58" s="91">
        <f>Weather!H178</f>
        <v>7.5000000000000018</v>
      </c>
      <c r="BS58" s="91">
        <f>Weather!I178</f>
        <v>136.80000000000004</v>
      </c>
      <c r="BT58" s="91">
        <f>Weather!J178</f>
        <v>0.90000000000000036</v>
      </c>
      <c r="BU58" s="91">
        <f>Weather!K178</f>
        <v>190.20000000000005</v>
      </c>
      <c r="BV58" s="91">
        <f>Weather!L178</f>
        <v>0</v>
      </c>
      <c r="BW58" s="91">
        <f>Weather!M178</f>
        <v>249.29999999999998</v>
      </c>
      <c r="BX58" s="91">
        <f>Weather!N178</f>
        <v>0</v>
      </c>
      <c r="BY58" s="91">
        <f>Weather!O178</f>
        <v>309.3</v>
      </c>
    </row>
    <row r="59" spans="1:77" x14ac:dyDescent="0.2">
      <c r="A59" s="66">
        <v>42308</v>
      </c>
      <c r="B59" s="114">
        <f t="shared" si="50"/>
        <v>2015</v>
      </c>
      <c r="C59" s="94">
        <v>14060097.34</v>
      </c>
      <c r="D59" s="94">
        <v>0</v>
      </c>
      <c r="E59" s="171">
        <f ca="1">CDM!D80</f>
        <v>548798.85279574699</v>
      </c>
      <c r="F59" s="94">
        <f t="shared" ca="1" si="51"/>
        <v>14608896.192795746</v>
      </c>
      <c r="G59" s="94">
        <f ca="1">VLOOKUP(B59,CDM!$A$3:$G$14,7,FALSE)</f>
        <v>477688.83677010593</v>
      </c>
      <c r="H59" s="94">
        <f t="shared" ca="1" si="2"/>
        <v>14537786.176770106</v>
      </c>
      <c r="I59" s="90">
        <f>Weather!F179</f>
        <v>207.39999999999995</v>
      </c>
      <c r="J59" s="90">
        <f>Weather!G179</f>
        <v>0.89999999999999858</v>
      </c>
      <c r="K59" s="108">
        <v>31</v>
      </c>
      <c r="L59" s="108">
        <f t="shared" ref="L59:W59" si="56">L47</f>
        <v>0</v>
      </c>
      <c r="M59" s="108">
        <f t="shared" si="56"/>
        <v>0</v>
      </c>
      <c r="N59" s="108">
        <f t="shared" si="56"/>
        <v>0</v>
      </c>
      <c r="O59" s="108">
        <f t="shared" si="56"/>
        <v>0</v>
      </c>
      <c r="P59" s="108">
        <f t="shared" si="56"/>
        <v>0</v>
      </c>
      <c r="Q59" s="108">
        <f t="shared" si="56"/>
        <v>0</v>
      </c>
      <c r="R59" s="108">
        <f t="shared" si="56"/>
        <v>0</v>
      </c>
      <c r="S59" s="108">
        <f t="shared" si="56"/>
        <v>0</v>
      </c>
      <c r="T59" s="108">
        <f t="shared" si="56"/>
        <v>0</v>
      </c>
      <c r="U59" s="108">
        <f t="shared" si="56"/>
        <v>1</v>
      </c>
      <c r="V59" s="108">
        <f t="shared" si="56"/>
        <v>0</v>
      </c>
      <c r="W59" s="108">
        <f t="shared" si="56"/>
        <v>0</v>
      </c>
      <c r="X59" s="109">
        <v>1</v>
      </c>
      <c r="Y59" s="108">
        <f t="shared" si="42"/>
        <v>0</v>
      </c>
      <c r="Z59" s="108">
        <f t="shared" si="42"/>
        <v>1</v>
      </c>
      <c r="AA59" s="152">
        <v>0</v>
      </c>
      <c r="AB59" s="152">
        <v>0</v>
      </c>
      <c r="AC59" s="152">
        <f t="shared" si="3"/>
        <v>0</v>
      </c>
      <c r="AD59" s="152">
        <f t="shared" si="4"/>
        <v>0</v>
      </c>
      <c r="AE59" s="152">
        <v>0</v>
      </c>
      <c r="AF59" s="150">
        <f>'Customer Count'!I59</f>
        <v>13826.5</v>
      </c>
      <c r="AG59" s="150">
        <f>AF59-'Customer Count'!G59-'Customer Count'!F59</f>
        <v>11125.5</v>
      </c>
      <c r="AH59" s="150">
        <f>AF59-'Customer Count'!H59</f>
        <v>13826.5</v>
      </c>
      <c r="AI59" s="109">
        <f t="shared" si="5"/>
        <v>58</v>
      </c>
      <c r="AJ59" s="109">
        <v>352</v>
      </c>
      <c r="AK59" s="91">
        <v>146.4007293327038</v>
      </c>
      <c r="AL59" s="91">
        <f>Economic!C71</f>
        <v>677384</v>
      </c>
      <c r="AM59" s="91">
        <f>Economic!D71</f>
        <v>6934.8</v>
      </c>
      <c r="AN59" s="91">
        <f>Economic!E71</f>
        <v>6969</v>
      </c>
      <c r="AO59" s="91">
        <f>Economic!F71</f>
        <v>6.8</v>
      </c>
      <c r="AP59" s="91">
        <f>Economic!G71</f>
        <v>6.8</v>
      </c>
      <c r="AQ59" s="91">
        <f>Economic!H71</f>
        <v>385.6</v>
      </c>
      <c r="AR59" s="91">
        <f>Economic!I71</f>
        <v>388.2</v>
      </c>
      <c r="AS59" s="91">
        <f>Economic!J71</f>
        <v>5.7</v>
      </c>
      <c r="AT59" s="91">
        <f>Economic!K71</f>
        <v>5.6</v>
      </c>
      <c r="AU59" s="91">
        <f>Economic!L71</f>
        <v>205.6</v>
      </c>
      <c r="AV59" s="91">
        <f>Economic!M71</f>
        <v>208.5</v>
      </c>
      <c r="AW59" s="91">
        <f>Economic!N71</f>
        <v>7.6</v>
      </c>
      <c r="AX59" s="91">
        <f>Economic!O71</f>
        <v>6.8</v>
      </c>
      <c r="AY59" s="91">
        <f>Economic!P71</f>
        <v>2.6555281625893601E-2</v>
      </c>
      <c r="AZ59" s="91">
        <f>Economic!Q71</f>
        <v>4.8250380352097277E-3</v>
      </c>
      <c r="BA59" s="91">
        <f>Economic!R71</f>
        <v>4.6708762217799737E-3</v>
      </c>
      <c r="BB59" s="91">
        <f>Economic!S71</f>
        <v>1.2983640612826974E-3</v>
      </c>
      <c r="BC59" s="91">
        <f>Economic!T71</f>
        <v>2.5826446280992066E-3</v>
      </c>
      <c r="BD59" s="91">
        <f>Economic!U71</f>
        <v>5.4899948691636613E-2</v>
      </c>
      <c r="BE59" s="91">
        <f>Economic!V71</f>
        <v>5.7838660578386714E-2</v>
      </c>
      <c r="BF59" s="91">
        <f>Economic!W71</f>
        <v>17522.800000000047</v>
      </c>
      <c r="BG59" s="91">
        <f>Economic!X71</f>
        <v>33.300000000000182</v>
      </c>
      <c r="BH59" s="91">
        <f>Economic!Y71</f>
        <v>32.399999999999636</v>
      </c>
      <c r="BI59" s="91">
        <f>Economic!Z71</f>
        <v>0.5</v>
      </c>
      <c r="BJ59" s="91">
        <f>Economic!AA71</f>
        <v>1</v>
      </c>
      <c r="BK59" s="91">
        <f>Economic!AB71</f>
        <v>10.699999999999989</v>
      </c>
      <c r="BL59" s="91">
        <f>Economic!AC71</f>
        <v>11.400000000000006</v>
      </c>
      <c r="BM59" s="91">
        <f>Weather!C179</f>
        <v>11.338709677419354</v>
      </c>
      <c r="BN59" s="91">
        <f>Weather!D179</f>
        <v>268.49999999999994</v>
      </c>
      <c r="BO59" s="91">
        <f>Weather!E179</f>
        <v>0</v>
      </c>
      <c r="BP59" s="91">
        <f>Weather!F179</f>
        <v>207.39999999999995</v>
      </c>
      <c r="BQ59" s="91">
        <f>Weather!G179</f>
        <v>0.89999999999999858</v>
      </c>
      <c r="BR59" s="91">
        <f>Weather!H179</f>
        <v>149.19999999999999</v>
      </c>
      <c r="BS59" s="91">
        <f>Weather!I179</f>
        <v>4.6999999999999957</v>
      </c>
      <c r="BT59" s="91">
        <f>Weather!J179</f>
        <v>99.899999999999991</v>
      </c>
      <c r="BU59" s="91">
        <f>Weather!K179</f>
        <v>17.399999999999995</v>
      </c>
      <c r="BV59" s="91">
        <f>Weather!L179</f>
        <v>58.900000000000006</v>
      </c>
      <c r="BW59" s="91">
        <f>Weather!M179</f>
        <v>38.399999999999991</v>
      </c>
      <c r="BX59" s="91">
        <f>Weather!N179</f>
        <v>32.599999999999994</v>
      </c>
      <c r="BY59" s="91">
        <f>Weather!O179</f>
        <v>74.100000000000009</v>
      </c>
    </row>
    <row r="60" spans="1:77" x14ac:dyDescent="0.2">
      <c r="A60" s="66">
        <v>42338</v>
      </c>
      <c r="B60" s="114">
        <f t="shared" si="50"/>
        <v>2015</v>
      </c>
      <c r="C60" s="94">
        <v>14124167.139999999</v>
      </c>
      <c r="D60" s="94">
        <v>0</v>
      </c>
      <c r="E60" s="171">
        <f ca="1">CDM!D81</f>
        <v>569116.00023164437</v>
      </c>
      <c r="F60" s="94">
        <f t="shared" ca="1" si="51"/>
        <v>14693283.140231643</v>
      </c>
      <c r="G60" s="94">
        <f ca="1">VLOOKUP(B60,CDM!$A$3:$G$14,7,FALSE)</f>
        <v>477688.83677010593</v>
      </c>
      <c r="H60" s="94">
        <f t="shared" ca="1" si="2"/>
        <v>14601855.976770105</v>
      </c>
      <c r="I60" s="90">
        <f>Weather!F180</f>
        <v>303.70000000000005</v>
      </c>
      <c r="J60" s="90">
        <f>Weather!G180</f>
        <v>0</v>
      </c>
      <c r="K60" s="108">
        <v>30</v>
      </c>
      <c r="L60" s="108">
        <f t="shared" ref="L60:W60" si="57">L48</f>
        <v>0</v>
      </c>
      <c r="M60" s="108">
        <f t="shared" si="57"/>
        <v>0</v>
      </c>
      <c r="N60" s="108">
        <f t="shared" si="57"/>
        <v>0</v>
      </c>
      <c r="O60" s="108">
        <f t="shared" si="57"/>
        <v>0</v>
      </c>
      <c r="P60" s="108">
        <f t="shared" si="57"/>
        <v>0</v>
      </c>
      <c r="Q60" s="108">
        <f t="shared" si="57"/>
        <v>0</v>
      </c>
      <c r="R60" s="108">
        <f t="shared" si="57"/>
        <v>0</v>
      </c>
      <c r="S60" s="108">
        <f t="shared" si="57"/>
        <v>0</v>
      </c>
      <c r="T60" s="108">
        <f t="shared" si="57"/>
        <v>0</v>
      </c>
      <c r="U60" s="108">
        <f t="shared" si="57"/>
        <v>0</v>
      </c>
      <c r="V60" s="108">
        <f t="shared" si="57"/>
        <v>1</v>
      </c>
      <c r="W60" s="108">
        <f t="shared" si="57"/>
        <v>0</v>
      </c>
      <c r="X60" s="109">
        <v>1</v>
      </c>
      <c r="Y60" s="108">
        <f t="shared" si="42"/>
        <v>0</v>
      </c>
      <c r="Z60" s="108">
        <f t="shared" si="42"/>
        <v>1</v>
      </c>
      <c r="AA60" s="152">
        <v>0</v>
      </c>
      <c r="AB60" s="152">
        <v>0</v>
      </c>
      <c r="AC60" s="152">
        <f t="shared" si="3"/>
        <v>0</v>
      </c>
      <c r="AD60" s="152">
        <f t="shared" si="4"/>
        <v>0</v>
      </c>
      <c r="AE60" s="152">
        <v>0</v>
      </c>
      <c r="AF60" s="150">
        <f>'Customer Count'!I60</f>
        <v>13834.5</v>
      </c>
      <c r="AG60" s="150">
        <f>AF60-'Customer Count'!G60-'Customer Count'!F60</f>
        <v>11133.5</v>
      </c>
      <c r="AH60" s="150">
        <f>AF60-'Customer Count'!H60</f>
        <v>13834.5</v>
      </c>
      <c r="AI60" s="109">
        <f t="shared" si="5"/>
        <v>59</v>
      </c>
      <c r="AJ60" s="109">
        <v>336</v>
      </c>
      <c r="AK60" s="91">
        <v>146.55839290151005</v>
      </c>
      <c r="AL60" s="91">
        <f>Economic!C72</f>
        <v>677384</v>
      </c>
      <c r="AM60" s="91">
        <f>Economic!D72</f>
        <v>6928.3</v>
      </c>
      <c r="AN60" s="91">
        <f>Economic!E72</f>
        <v>6936.9</v>
      </c>
      <c r="AO60" s="91">
        <f>Economic!F72</f>
        <v>6.9</v>
      </c>
      <c r="AP60" s="91">
        <f>Economic!G72</f>
        <v>6.4</v>
      </c>
      <c r="AQ60" s="91">
        <f>Economic!H72</f>
        <v>384.5</v>
      </c>
      <c r="AR60" s="91">
        <f>Economic!I72</f>
        <v>385.6</v>
      </c>
      <c r="AS60" s="91">
        <f>Economic!J72</f>
        <v>6.1</v>
      </c>
      <c r="AT60" s="91">
        <f>Economic!K72</f>
        <v>5.6</v>
      </c>
      <c r="AU60" s="91">
        <f>Economic!L72</f>
        <v>205.8</v>
      </c>
      <c r="AV60" s="91">
        <f>Economic!M72</f>
        <v>207.7</v>
      </c>
      <c r="AW60" s="91">
        <f>Economic!N72</f>
        <v>7.9</v>
      </c>
      <c r="AX60" s="91">
        <f>Economic!O72</f>
        <v>7.1</v>
      </c>
      <c r="AY60" s="91">
        <f>Economic!P72</f>
        <v>2.6555281625893601E-2</v>
      </c>
      <c r="AZ60" s="91">
        <f>Economic!Q72</f>
        <v>3.0112196887441822E-3</v>
      </c>
      <c r="BA60" s="91">
        <f>Economic!R72</f>
        <v>3.2685882880405526E-3</v>
      </c>
      <c r="BB60" s="91">
        <f>Economic!S72</f>
        <v>3.916449086161844E-3</v>
      </c>
      <c r="BC60" s="91">
        <f>Economic!T72</f>
        <v>3.6439354502864063E-3</v>
      </c>
      <c r="BD60" s="91">
        <f>Economic!U72</f>
        <v>4.8395313295975573E-2</v>
      </c>
      <c r="BE60" s="91">
        <f>Economic!V72</f>
        <v>5.3245436105476607E-2</v>
      </c>
      <c r="BF60" s="91">
        <f>Economic!W72</f>
        <v>17522.800000000047</v>
      </c>
      <c r="BG60" s="91">
        <f>Economic!X72</f>
        <v>20.800000000000182</v>
      </c>
      <c r="BH60" s="91">
        <f>Economic!Y72</f>
        <v>22.599999999999454</v>
      </c>
      <c r="BI60" s="91">
        <f>Economic!Z72</f>
        <v>1.5</v>
      </c>
      <c r="BJ60" s="91">
        <f>Economic!AA72</f>
        <v>1.4000000000000341</v>
      </c>
      <c r="BK60" s="91">
        <f>Economic!AB72</f>
        <v>9.5</v>
      </c>
      <c r="BL60" s="91">
        <f>Economic!AC72</f>
        <v>10.5</v>
      </c>
      <c r="BM60" s="91">
        <f>Weather!C180</f>
        <v>7.8766666666666652</v>
      </c>
      <c r="BN60" s="91">
        <f>Weather!D180</f>
        <v>363.7</v>
      </c>
      <c r="BO60" s="91">
        <f>Weather!E180</f>
        <v>0</v>
      </c>
      <c r="BP60" s="91">
        <f>Weather!F180</f>
        <v>303.70000000000005</v>
      </c>
      <c r="BQ60" s="91">
        <f>Weather!G180</f>
        <v>0</v>
      </c>
      <c r="BR60" s="91">
        <f>Weather!H180</f>
        <v>246.00000000000006</v>
      </c>
      <c r="BS60" s="91">
        <f>Weather!I180</f>
        <v>2.3000000000000007</v>
      </c>
      <c r="BT60" s="91">
        <f>Weather!J180</f>
        <v>191.60000000000005</v>
      </c>
      <c r="BU60" s="91">
        <f>Weather!K180</f>
        <v>7.9</v>
      </c>
      <c r="BV60" s="91">
        <f>Weather!L180</f>
        <v>139.30000000000001</v>
      </c>
      <c r="BW60" s="91">
        <f>Weather!M180</f>
        <v>15.6</v>
      </c>
      <c r="BX60" s="91">
        <f>Weather!N180</f>
        <v>94.999999999999986</v>
      </c>
      <c r="BY60" s="91">
        <f>Weather!O180</f>
        <v>31.299999999999997</v>
      </c>
    </row>
    <row r="61" spans="1:77" x14ac:dyDescent="0.2">
      <c r="A61" s="66">
        <v>42369</v>
      </c>
      <c r="B61" s="114">
        <f t="shared" si="50"/>
        <v>2015</v>
      </c>
      <c r="C61" s="94">
        <v>15469283.82</v>
      </c>
      <c r="D61" s="94">
        <v>0</v>
      </c>
      <c r="E61" s="171">
        <f ca="1">CDM!D82</f>
        <v>589433.14766754187</v>
      </c>
      <c r="F61" s="94">
        <f t="shared" ca="1" si="51"/>
        <v>16058716.967667542</v>
      </c>
      <c r="G61" s="94">
        <f ca="1">VLOOKUP(B61,CDM!$A$3:$G$14,7,FALSE)</f>
        <v>477688.83677010593</v>
      </c>
      <c r="H61" s="94">
        <f t="shared" ca="1" si="2"/>
        <v>15946972.656770106</v>
      </c>
      <c r="I61" s="90">
        <f>Weather!F181</f>
        <v>400.79999999999995</v>
      </c>
      <c r="J61" s="90">
        <f>Weather!G181</f>
        <v>0</v>
      </c>
      <c r="K61" s="108">
        <v>31</v>
      </c>
      <c r="L61" s="108">
        <f t="shared" ref="L61:W61" si="58">L49</f>
        <v>0</v>
      </c>
      <c r="M61" s="108">
        <f t="shared" si="58"/>
        <v>0</v>
      </c>
      <c r="N61" s="108">
        <f t="shared" si="58"/>
        <v>0</v>
      </c>
      <c r="O61" s="108">
        <f t="shared" si="58"/>
        <v>0</v>
      </c>
      <c r="P61" s="108">
        <f t="shared" si="58"/>
        <v>0</v>
      </c>
      <c r="Q61" s="108">
        <f t="shared" si="58"/>
        <v>0</v>
      </c>
      <c r="R61" s="108">
        <f t="shared" si="58"/>
        <v>0</v>
      </c>
      <c r="S61" s="108">
        <f t="shared" si="58"/>
        <v>0</v>
      </c>
      <c r="T61" s="108">
        <f t="shared" si="58"/>
        <v>0</v>
      </c>
      <c r="U61" s="108">
        <f t="shared" si="58"/>
        <v>0</v>
      </c>
      <c r="V61" s="108">
        <f t="shared" si="58"/>
        <v>0</v>
      </c>
      <c r="W61" s="108">
        <f t="shared" si="58"/>
        <v>1</v>
      </c>
      <c r="X61" s="109">
        <v>0</v>
      </c>
      <c r="Y61" s="108">
        <f t="shared" si="42"/>
        <v>0</v>
      </c>
      <c r="Z61" s="108">
        <f t="shared" si="42"/>
        <v>0</v>
      </c>
      <c r="AA61" s="152">
        <v>0</v>
      </c>
      <c r="AB61" s="152">
        <v>0</v>
      </c>
      <c r="AC61" s="152">
        <f t="shared" si="3"/>
        <v>0</v>
      </c>
      <c r="AD61" s="152">
        <f t="shared" si="4"/>
        <v>0</v>
      </c>
      <c r="AE61" s="152">
        <v>0</v>
      </c>
      <c r="AF61" s="150">
        <f>'Customer Count'!I61</f>
        <v>13843</v>
      </c>
      <c r="AG61" s="150">
        <f>AF61-'Customer Count'!G61-'Customer Count'!F61</f>
        <v>11142</v>
      </c>
      <c r="AH61" s="150">
        <f>AF61-'Customer Count'!H61</f>
        <v>13843</v>
      </c>
      <c r="AI61" s="109">
        <f t="shared" si="5"/>
        <v>60</v>
      </c>
      <c r="AJ61" s="109">
        <v>320</v>
      </c>
      <c r="AK61" s="91">
        <v>146.71622626319265</v>
      </c>
      <c r="AL61" s="91">
        <f>Economic!C73</f>
        <v>677384</v>
      </c>
      <c r="AM61" s="91">
        <f>Economic!D73</f>
        <v>6942.8</v>
      </c>
      <c r="AN61" s="91">
        <f>Economic!E73</f>
        <v>6948.2</v>
      </c>
      <c r="AO61" s="91">
        <f>Economic!F73</f>
        <v>6.8</v>
      </c>
      <c r="AP61" s="91">
        <f>Economic!G73</f>
        <v>6.2</v>
      </c>
      <c r="AQ61" s="91">
        <f>Economic!H73</f>
        <v>383.7</v>
      </c>
      <c r="AR61" s="91">
        <f>Economic!I73</f>
        <v>385.4</v>
      </c>
      <c r="AS61" s="91">
        <f>Economic!J73</f>
        <v>6</v>
      </c>
      <c r="AT61" s="91">
        <f>Economic!K73</f>
        <v>5.4</v>
      </c>
      <c r="AU61" s="91">
        <f>Economic!L73</f>
        <v>205.4</v>
      </c>
      <c r="AV61" s="91">
        <f>Economic!M73</f>
        <v>206.4</v>
      </c>
      <c r="AW61" s="91">
        <f>Economic!N73</f>
        <v>8</v>
      </c>
      <c r="AX61" s="91">
        <f>Economic!O73</f>
        <v>7.7</v>
      </c>
      <c r="AY61" s="91">
        <f>Economic!P73</f>
        <v>2.6555281625893601E-2</v>
      </c>
      <c r="AZ61" s="91">
        <f>Economic!Q73</f>
        <v>5.7510393881010646E-3</v>
      </c>
      <c r="BA61" s="91">
        <f>Economic!R73</f>
        <v>6.5187159578166121E-3</v>
      </c>
      <c r="BB61" s="91">
        <f>Economic!S73</f>
        <v>9.7368421052630438E-3</v>
      </c>
      <c r="BC61" s="91">
        <f>Economic!T73</f>
        <v>7.5816993464050686E-3</v>
      </c>
      <c r="BD61" s="91">
        <f>Economic!U73</f>
        <v>4.6890927624872569E-2</v>
      </c>
      <c r="BE61" s="91">
        <f>Economic!V73</f>
        <v>5.3061224489795888E-2</v>
      </c>
      <c r="BF61" s="91">
        <f>Economic!W73</f>
        <v>17522.800000000047</v>
      </c>
      <c r="BG61" s="91">
        <f>Economic!X73</f>
        <v>39.699999999999818</v>
      </c>
      <c r="BH61" s="91">
        <f>Economic!Y73</f>
        <v>45</v>
      </c>
      <c r="BI61" s="91">
        <f>Economic!Z73</f>
        <v>3.6999999999999886</v>
      </c>
      <c r="BJ61" s="91">
        <f>Economic!AA73</f>
        <v>2.8999999999999773</v>
      </c>
      <c r="BK61" s="91">
        <f>Economic!AB73</f>
        <v>9.2000000000000171</v>
      </c>
      <c r="BL61" s="91">
        <f>Economic!AC73</f>
        <v>10.400000000000006</v>
      </c>
      <c r="BM61" s="91">
        <f>Weather!C181</f>
        <v>5.0709677419354833</v>
      </c>
      <c r="BN61" s="91">
        <f>Weather!D181</f>
        <v>462.8</v>
      </c>
      <c r="BO61" s="91">
        <f>Weather!E181</f>
        <v>0</v>
      </c>
      <c r="BP61" s="91">
        <f>Weather!F181</f>
        <v>400.79999999999995</v>
      </c>
      <c r="BQ61" s="91">
        <f>Weather!G181</f>
        <v>0</v>
      </c>
      <c r="BR61" s="91">
        <f>Weather!H181</f>
        <v>338.79999999999995</v>
      </c>
      <c r="BS61" s="91">
        <f>Weather!I181</f>
        <v>0</v>
      </c>
      <c r="BT61" s="91">
        <f>Weather!J181</f>
        <v>276.8</v>
      </c>
      <c r="BU61" s="91">
        <f>Weather!K181</f>
        <v>0</v>
      </c>
      <c r="BV61" s="91">
        <f>Weather!L181</f>
        <v>214.79999999999998</v>
      </c>
      <c r="BW61" s="91">
        <f>Weather!M181</f>
        <v>0</v>
      </c>
      <c r="BX61" s="91">
        <f>Weather!N181</f>
        <v>156.19999999999999</v>
      </c>
      <c r="BY61" s="91">
        <f>Weather!O181</f>
        <v>3.4000000000000004</v>
      </c>
    </row>
    <row r="62" spans="1:77" x14ac:dyDescent="0.2">
      <c r="A62" s="66">
        <v>42400</v>
      </c>
      <c r="B62" s="114">
        <f t="shared" si="50"/>
        <v>2016</v>
      </c>
      <c r="C62" s="104">
        <v>16335083.52</v>
      </c>
      <c r="D62" s="94">
        <v>0</v>
      </c>
      <c r="E62" s="171">
        <f ca="1">CDM!D83</f>
        <v>604292.67941233143</v>
      </c>
      <c r="F62" s="94">
        <f t="shared" ca="1" si="51"/>
        <v>16939376.199412331</v>
      </c>
      <c r="G62" s="94">
        <f ca="1">VLOOKUP(B62,CDM!$A$3:$G$14,7,FALSE)</f>
        <v>702494.9326174598</v>
      </c>
      <c r="H62" s="94">
        <f t="shared" ca="1" si="2"/>
        <v>17037578.452617459</v>
      </c>
      <c r="I62" s="90">
        <f>Weather!F182</f>
        <v>637.5999999999998</v>
      </c>
      <c r="J62" s="90">
        <f>Weather!G182</f>
        <v>0</v>
      </c>
      <c r="K62" s="108">
        <v>31</v>
      </c>
      <c r="L62" s="108">
        <f t="shared" ref="L62:W62" si="59">L50</f>
        <v>1</v>
      </c>
      <c r="M62" s="108">
        <f t="shared" si="59"/>
        <v>0</v>
      </c>
      <c r="N62" s="108">
        <f t="shared" si="59"/>
        <v>0</v>
      </c>
      <c r="O62" s="108">
        <f t="shared" si="59"/>
        <v>0</v>
      </c>
      <c r="P62" s="108">
        <f t="shared" si="59"/>
        <v>0</v>
      </c>
      <c r="Q62" s="108">
        <f t="shared" si="59"/>
        <v>0</v>
      </c>
      <c r="R62" s="108">
        <f t="shared" si="59"/>
        <v>0</v>
      </c>
      <c r="S62" s="108">
        <f t="shared" si="59"/>
        <v>0</v>
      </c>
      <c r="T62" s="108">
        <f t="shared" si="59"/>
        <v>0</v>
      </c>
      <c r="U62" s="108">
        <f t="shared" si="59"/>
        <v>0</v>
      </c>
      <c r="V62" s="108">
        <f t="shared" si="59"/>
        <v>0</v>
      </c>
      <c r="W62" s="108">
        <f t="shared" si="59"/>
        <v>0</v>
      </c>
      <c r="X62" s="109">
        <v>0</v>
      </c>
      <c r="Y62" s="108">
        <f t="shared" si="42"/>
        <v>0</v>
      </c>
      <c r="Z62" s="108">
        <f t="shared" si="42"/>
        <v>0</v>
      </c>
      <c r="AA62" s="152">
        <v>0</v>
      </c>
      <c r="AB62" s="152">
        <v>0</v>
      </c>
      <c r="AC62" s="152">
        <f t="shared" si="3"/>
        <v>0</v>
      </c>
      <c r="AD62" s="152">
        <f t="shared" si="4"/>
        <v>0</v>
      </c>
      <c r="AE62" s="152">
        <v>0</v>
      </c>
      <c r="AF62" s="150">
        <f>'Customer Count'!I62</f>
        <v>13847</v>
      </c>
      <c r="AG62" s="150">
        <f>AF62-'Customer Count'!G62-'Customer Count'!F62</f>
        <v>11146.5</v>
      </c>
      <c r="AH62" s="150">
        <f>AF62-'Customer Count'!H62</f>
        <v>13847</v>
      </c>
      <c r="AI62" s="109">
        <f t="shared" si="5"/>
        <v>61</v>
      </c>
      <c r="AJ62" s="109">
        <v>352</v>
      </c>
      <c r="AK62" s="91">
        <v>147.04232175221028</v>
      </c>
      <c r="AL62" s="91">
        <f>Economic!C74</f>
        <v>692620.80000000005</v>
      </c>
      <c r="AM62" s="91">
        <f>Economic!D74</f>
        <v>6957.7</v>
      </c>
      <c r="AN62" s="91">
        <f>Economic!E74</f>
        <v>6919.2</v>
      </c>
      <c r="AO62" s="91">
        <f>Economic!F74</f>
        <v>6.8</v>
      </c>
      <c r="AP62" s="91">
        <f>Economic!G74</f>
        <v>6.4</v>
      </c>
      <c r="AQ62" s="91">
        <f>Economic!H74</f>
        <v>382.6</v>
      </c>
      <c r="AR62" s="91">
        <f>Economic!I74</f>
        <v>381.7</v>
      </c>
      <c r="AS62" s="91">
        <f>Economic!J74</f>
        <v>6.4</v>
      </c>
      <c r="AT62" s="91">
        <f>Economic!K74</f>
        <v>6.1</v>
      </c>
      <c r="AU62" s="91">
        <f>Economic!L74</f>
        <v>204.7</v>
      </c>
      <c r="AV62" s="91">
        <f>Economic!M74</f>
        <v>202.3</v>
      </c>
      <c r="AW62" s="91">
        <f>Economic!N74</f>
        <v>8.6999999999999993</v>
      </c>
      <c r="AX62" s="91">
        <f>Economic!O74</f>
        <v>9</v>
      </c>
      <c r="AY62" s="91">
        <f>Economic!P74</f>
        <v>2.249359299894893E-2</v>
      </c>
      <c r="AZ62" s="91">
        <f>Economic!Q74</f>
        <v>1.0456453229156004E-2</v>
      </c>
      <c r="BA62" s="91">
        <f>Economic!R74</f>
        <v>1.0825261866152402E-2</v>
      </c>
      <c r="BB62" s="91">
        <f>Economic!S74</f>
        <v>8.1686429512517478E-3</v>
      </c>
      <c r="BC62" s="91">
        <f>Economic!T74</f>
        <v>6.3274452939625636E-3</v>
      </c>
      <c r="BD62" s="91">
        <f>Economic!U74</f>
        <v>4.1200406917599075E-2</v>
      </c>
      <c r="BE62" s="91">
        <f>Economic!V74</f>
        <v>4.5478036175710557E-2</v>
      </c>
      <c r="BF62" s="91">
        <f>Economic!W74</f>
        <v>15236.800000000047</v>
      </c>
      <c r="BG62" s="91">
        <f>Economic!X74</f>
        <v>72</v>
      </c>
      <c r="BH62" s="91">
        <f>Economic!Y74</f>
        <v>74.099999999999454</v>
      </c>
      <c r="BI62" s="91">
        <f>Economic!Z74</f>
        <v>3.1000000000000227</v>
      </c>
      <c r="BJ62" s="91">
        <f>Economic!AA74</f>
        <v>2.3999999999999773</v>
      </c>
      <c r="BK62" s="91">
        <f>Economic!AB74</f>
        <v>8.0999999999999943</v>
      </c>
      <c r="BL62" s="91">
        <f>Economic!AC74</f>
        <v>8.8000000000000114</v>
      </c>
      <c r="BM62" s="91">
        <f>Weather!C182</f>
        <v>-2.5677419354838702</v>
      </c>
      <c r="BN62" s="91">
        <f>Weather!D182</f>
        <v>699.5999999999998</v>
      </c>
      <c r="BO62" s="91">
        <f>Weather!E182</f>
        <v>0</v>
      </c>
      <c r="BP62" s="91">
        <f>Weather!F182</f>
        <v>637.5999999999998</v>
      </c>
      <c r="BQ62" s="91">
        <f>Weather!G182</f>
        <v>0</v>
      </c>
      <c r="BR62" s="91">
        <f>Weather!H182</f>
        <v>575.59999999999991</v>
      </c>
      <c r="BS62" s="91">
        <f>Weather!I182</f>
        <v>0</v>
      </c>
      <c r="BT62" s="91">
        <f>Weather!J182</f>
        <v>513.6</v>
      </c>
      <c r="BU62" s="91">
        <f>Weather!K182</f>
        <v>0</v>
      </c>
      <c r="BV62" s="91">
        <f>Weather!L182</f>
        <v>451.6</v>
      </c>
      <c r="BW62" s="91">
        <f>Weather!M182</f>
        <v>0</v>
      </c>
      <c r="BX62" s="91">
        <f>Weather!N182</f>
        <v>389.6</v>
      </c>
      <c r="BY62" s="91">
        <f>Weather!O182</f>
        <v>0</v>
      </c>
    </row>
    <row r="63" spans="1:77" x14ac:dyDescent="0.2">
      <c r="A63" s="66">
        <v>42429</v>
      </c>
      <c r="B63" s="114">
        <f t="shared" si="50"/>
        <v>2016</v>
      </c>
      <c r="C63" s="104">
        <v>14794270.139999997</v>
      </c>
      <c r="D63" s="94">
        <v>0</v>
      </c>
      <c r="E63" s="171">
        <f ca="1">CDM!D84</f>
        <v>622147.63454053656</v>
      </c>
      <c r="F63" s="94">
        <f t="shared" ca="1" si="51"/>
        <v>15416417.774540534</v>
      </c>
      <c r="G63" s="94">
        <f ca="1">VLOOKUP(B63,CDM!$A$3:$G$14,7,FALSE)</f>
        <v>702494.9326174598</v>
      </c>
      <c r="H63" s="94">
        <f t="shared" ca="1" si="2"/>
        <v>15496765.072617456</v>
      </c>
      <c r="I63" s="90">
        <f>Weather!F183</f>
        <v>550.59999999999991</v>
      </c>
      <c r="J63" s="90">
        <f>Weather!G183</f>
        <v>0</v>
      </c>
      <c r="K63" s="108">
        <v>29</v>
      </c>
      <c r="L63" s="108">
        <f t="shared" ref="L63:W63" si="60">L51</f>
        <v>0</v>
      </c>
      <c r="M63" s="108">
        <f t="shared" si="60"/>
        <v>1</v>
      </c>
      <c r="N63" s="108">
        <f t="shared" si="60"/>
        <v>0</v>
      </c>
      <c r="O63" s="108">
        <f t="shared" si="60"/>
        <v>0</v>
      </c>
      <c r="P63" s="108">
        <f t="shared" si="60"/>
        <v>0</v>
      </c>
      <c r="Q63" s="108">
        <f t="shared" si="60"/>
        <v>0</v>
      </c>
      <c r="R63" s="108">
        <f t="shared" si="60"/>
        <v>0</v>
      </c>
      <c r="S63" s="108">
        <f t="shared" si="60"/>
        <v>0</v>
      </c>
      <c r="T63" s="108">
        <f t="shared" si="60"/>
        <v>0</v>
      </c>
      <c r="U63" s="108">
        <f t="shared" si="60"/>
        <v>0</v>
      </c>
      <c r="V63" s="108">
        <f t="shared" si="60"/>
        <v>0</v>
      </c>
      <c r="W63" s="108">
        <f t="shared" si="60"/>
        <v>0</v>
      </c>
      <c r="X63" s="109">
        <v>0</v>
      </c>
      <c r="Y63" s="108">
        <f t="shared" ref="Y63:Z78" si="61">Y51</f>
        <v>0</v>
      </c>
      <c r="Z63" s="108">
        <f t="shared" si="61"/>
        <v>0</v>
      </c>
      <c r="AA63" s="152">
        <v>0</v>
      </c>
      <c r="AB63" s="152">
        <v>0</v>
      </c>
      <c r="AC63" s="152">
        <f t="shared" si="3"/>
        <v>0</v>
      </c>
      <c r="AD63" s="152">
        <f t="shared" si="4"/>
        <v>0</v>
      </c>
      <c r="AE63" s="152">
        <v>0</v>
      </c>
      <c r="AF63" s="150">
        <f>'Customer Count'!I63</f>
        <v>13849.5</v>
      </c>
      <c r="AG63" s="150">
        <f>AF63-'Customer Count'!G63-'Customer Count'!F63</f>
        <v>11149.5</v>
      </c>
      <c r="AH63" s="150">
        <f>AF63-'Customer Count'!H63</f>
        <v>13849.5</v>
      </c>
      <c r="AI63" s="109">
        <f t="shared" si="5"/>
        <v>62</v>
      </c>
      <c r="AJ63" s="109">
        <v>304</v>
      </c>
      <c r="AK63" s="91">
        <v>147.36914202996238</v>
      </c>
      <c r="AL63" s="91">
        <f>Economic!C75</f>
        <v>692620.80000000005</v>
      </c>
      <c r="AM63" s="91">
        <f>Economic!D75</f>
        <v>6970.6</v>
      </c>
      <c r="AN63" s="91">
        <f>Economic!E75</f>
        <v>6896.8</v>
      </c>
      <c r="AO63" s="91">
        <f>Economic!F75</f>
        <v>6.8</v>
      </c>
      <c r="AP63" s="91">
        <f>Economic!G75</f>
        <v>6.6</v>
      </c>
      <c r="AQ63" s="91">
        <f>Economic!H75</f>
        <v>384.2</v>
      </c>
      <c r="AR63" s="91">
        <f>Economic!I75</f>
        <v>380.8</v>
      </c>
      <c r="AS63" s="91">
        <f>Economic!J75</f>
        <v>5.9</v>
      </c>
      <c r="AT63" s="91">
        <f>Economic!K75</f>
        <v>5.8</v>
      </c>
      <c r="AU63" s="91">
        <f>Economic!L75</f>
        <v>205.4</v>
      </c>
      <c r="AV63" s="91">
        <f>Economic!M75</f>
        <v>201.5</v>
      </c>
      <c r="AW63" s="91">
        <f>Economic!N75</f>
        <v>8.6</v>
      </c>
      <c r="AX63" s="91">
        <f>Economic!O75</f>
        <v>9.3000000000000007</v>
      </c>
      <c r="AY63" s="91">
        <f>Economic!P75</f>
        <v>2.249359299894893E-2</v>
      </c>
      <c r="AZ63" s="91">
        <f>Economic!Q75</f>
        <v>1.2388712183928119E-2</v>
      </c>
      <c r="BA63" s="91">
        <f>Economic!R75</f>
        <v>1.2701349426603725E-2</v>
      </c>
      <c r="BB63" s="91">
        <f>Economic!S75</f>
        <v>1.4791336502905317E-2</v>
      </c>
      <c r="BC63" s="91">
        <f>Economic!T75</f>
        <v>1.2227538543328142E-2</v>
      </c>
      <c r="BD63" s="91">
        <f>Economic!U75</f>
        <v>4.4229791560752574E-2</v>
      </c>
      <c r="BE63" s="91">
        <f>Economic!V75</f>
        <v>4.512448132780067E-2</v>
      </c>
      <c r="BF63" s="91">
        <f>Economic!W75</f>
        <v>15236.800000000047</v>
      </c>
      <c r="BG63" s="91">
        <f>Economic!X75</f>
        <v>85.300000000000182</v>
      </c>
      <c r="BH63" s="91">
        <f>Economic!Y75</f>
        <v>86.5</v>
      </c>
      <c r="BI63" s="91">
        <f>Economic!Z75</f>
        <v>5.5999999999999659</v>
      </c>
      <c r="BJ63" s="91">
        <f>Economic!AA75</f>
        <v>4.6000000000000227</v>
      </c>
      <c r="BK63" s="91">
        <f>Economic!AB75</f>
        <v>8.7000000000000171</v>
      </c>
      <c r="BL63" s="91">
        <f>Economic!AC75</f>
        <v>8.6999999999999886</v>
      </c>
      <c r="BM63" s="91">
        <f>Weather!C183</f>
        <v>-0.98620689655172389</v>
      </c>
      <c r="BN63" s="91">
        <f>Weather!D183</f>
        <v>608.59999999999991</v>
      </c>
      <c r="BO63" s="91">
        <f>Weather!E183</f>
        <v>0</v>
      </c>
      <c r="BP63" s="91">
        <f>Weather!F183</f>
        <v>550.59999999999991</v>
      </c>
      <c r="BQ63" s="91">
        <f>Weather!G183</f>
        <v>0</v>
      </c>
      <c r="BR63" s="91">
        <f>Weather!H183</f>
        <v>492.59999999999997</v>
      </c>
      <c r="BS63" s="91">
        <f>Weather!I183</f>
        <v>0</v>
      </c>
      <c r="BT63" s="91">
        <f>Weather!J183</f>
        <v>434.59999999999997</v>
      </c>
      <c r="BU63" s="91">
        <f>Weather!K183</f>
        <v>0</v>
      </c>
      <c r="BV63" s="91">
        <f>Weather!L183</f>
        <v>376.59999999999997</v>
      </c>
      <c r="BW63" s="91">
        <f>Weather!M183</f>
        <v>0</v>
      </c>
      <c r="BX63" s="91">
        <f>Weather!N183</f>
        <v>318.60000000000008</v>
      </c>
      <c r="BY63" s="91">
        <f>Weather!O183</f>
        <v>0</v>
      </c>
    </row>
    <row r="64" spans="1:77" x14ac:dyDescent="0.2">
      <c r="A64" s="66">
        <v>42460</v>
      </c>
      <c r="B64" s="114">
        <f t="shared" si="50"/>
        <v>2016</v>
      </c>
      <c r="C64" s="104">
        <v>14632046.780000001</v>
      </c>
      <c r="D64" s="94">
        <v>0</v>
      </c>
      <c r="E64" s="171">
        <f ca="1">CDM!D85</f>
        <v>640002.58966874168</v>
      </c>
      <c r="F64" s="94">
        <f t="shared" ca="1" si="51"/>
        <v>15272049.369668743</v>
      </c>
      <c r="G64" s="94">
        <f ca="1">VLOOKUP(B64,CDM!$A$3:$G$14,7,FALSE)</f>
        <v>702494.9326174598</v>
      </c>
      <c r="H64" s="94">
        <f t="shared" ca="1" si="2"/>
        <v>15334541.712617461</v>
      </c>
      <c r="I64" s="90">
        <f>Weather!F184</f>
        <v>433.59999999999997</v>
      </c>
      <c r="J64" s="90">
        <f>Weather!G184</f>
        <v>0</v>
      </c>
      <c r="K64" s="108">
        <v>31</v>
      </c>
      <c r="L64" s="108">
        <f t="shared" ref="L64:W64" si="62">L52</f>
        <v>0</v>
      </c>
      <c r="M64" s="108">
        <f t="shared" si="62"/>
        <v>0</v>
      </c>
      <c r="N64" s="108">
        <f t="shared" si="62"/>
        <v>1</v>
      </c>
      <c r="O64" s="108">
        <f t="shared" si="62"/>
        <v>0</v>
      </c>
      <c r="P64" s="108">
        <f t="shared" si="62"/>
        <v>0</v>
      </c>
      <c r="Q64" s="108">
        <f t="shared" si="62"/>
        <v>0</v>
      </c>
      <c r="R64" s="108">
        <f t="shared" si="62"/>
        <v>0</v>
      </c>
      <c r="S64" s="108">
        <f t="shared" si="62"/>
        <v>0</v>
      </c>
      <c r="T64" s="108">
        <f t="shared" si="62"/>
        <v>0</v>
      </c>
      <c r="U64" s="108">
        <f t="shared" si="62"/>
        <v>0</v>
      </c>
      <c r="V64" s="108">
        <f t="shared" si="62"/>
        <v>0</v>
      </c>
      <c r="W64" s="108">
        <f t="shared" si="62"/>
        <v>0</v>
      </c>
      <c r="X64" s="109">
        <v>1</v>
      </c>
      <c r="Y64" s="108">
        <f t="shared" si="61"/>
        <v>1</v>
      </c>
      <c r="Z64" s="108">
        <f t="shared" si="61"/>
        <v>0</v>
      </c>
      <c r="AA64" s="152">
        <v>0</v>
      </c>
      <c r="AB64" s="152">
        <v>0</v>
      </c>
      <c r="AC64" s="152">
        <f t="shared" si="3"/>
        <v>0</v>
      </c>
      <c r="AD64" s="152">
        <f t="shared" si="4"/>
        <v>0</v>
      </c>
      <c r="AE64" s="152">
        <v>0</v>
      </c>
      <c r="AF64" s="150">
        <f>'Customer Count'!I64</f>
        <v>13853.5</v>
      </c>
      <c r="AG64" s="150">
        <f>AF64-'Customer Count'!G64-'Customer Count'!F64</f>
        <v>11153.5</v>
      </c>
      <c r="AH64" s="150">
        <f>AF64-'Customer Count'!H64</f>
        <v>13853.5</v>
      </c>
      <c r="AI64" s="109">
        <f t="shared" si="5"/>
        <v>63</v>
      </c>
      <c r="AJ64" s="109">
        <v>336</v>
      </c>
      <c r="AK64" s="91">
        <v>147.69668870738414</v>
      </c>
      <c r="AL64" s="91">
        <f>Economic!C76</f>
        <v>692620.80000000005</v>
      </c>
      <c r="AM64" s="91">
        <f>Economic!D76</f>
        <v>6978.1</v>
      </c>
      <c r="AN64" s="91">
        <f>Economic!E76</f>
        <v>6872.4</v>
      </c>
      <c r="AO64" s="91">
        <f>Economic!F76</f>
        <v>6.8</v>
      </c>
      <c r="AP64" s="91">
        <f>Economic!G76</f>
        <v>6.9</v>
      </c>
      <c r="AQ64" s="91">
        <f>Economic!H76</f>
        <v>385.2</v>
      </c>
      <c r="AR64" s="91">
        <f>Economic!I76</f>
        <v>378.9</v>
      </c>
      <c r="AS64" s="91">
        <f>Economic!J76</f>
        <v>5.7</v>
      </c>
      <c r="AT64" s="91">
        <f>Economic!K76</f>
        <v>5.8</v>
      </c>
      <c r="AU64" s="91">
        <f>Economic!L76</f>
        <v>203.4</v>
      </c>
      <c r="AV64" s="91">
        <f>Economic!M76</f>
        <v>198.5</v>
      </c>
      <c r="AW64" s="91">
        <f>Economic!N76</f>
        <v>8.4</v>
      </c>
      <c r="AX64" s="91">
        <f>Economic!O76</f>
        <v>9.3000000000000007</v>
      </c>
      <c r="AY64" s="91">
        <f>Economic!P76</f>
        <v>2.249359299894893E-2</v>
      </c>
      <c r="AZ64" s="91">
        <f>Economic!Q76</f>
        <v>1.2478054584234233E-2</v>
      </c>
      <c r="BA64" s="91">
        <f>Economic!R76</f>
        <v>1.3075460294529551E-2</v>
      </c>
      <c r="BB64" s="91">
        <f>Economic!S76</f>
        <v>1.5287295730100237E-2</v>
      </c>
      <c r="BC64" s="91">
        <f>Economic!T76</f>
        <v>1.5545430179576325E-2</v>
      </c>
      <c r="BD64" s="91">
        <f>Economic!U76</f>
        <v>2.108433734939763E-2</v>
      </c>
      <c r="BE64" s="91">
        <f>Economic!V76</f>
        <v>1.7948717948717885E-2</v>
      </c>
      <c r="BF64" s="91">
        <f>Economic!W76</f>
        <v>15236.800000000047</v>
      </c>
      <c r="BG64" s="91">
        <f>Economic!X76</f>
        <v>86</v>
      </c>
      <c r="BH64" s="91">
        <f>Economic!Y76</f>
        <v>88.699999999999818</v>
      </c>
      <c r="BI64" s="91">
        <f>Economic!Z76</f>
        <v>5.8000000000000114</v>
      </c>
      <c r="BJ64" s="91">
        <f>Economic!AA76</f>
        <v>5.7999999999999545</v>
      </c>
      <c r="BK64" s="91">
        <f>Economic!AB76</f>
        <v>4.2000000000000171</v>
      </c>
      <c r="BL64" s="91">
        <f>Economic!AC76</f>
        <v>3.5</v>
      </c>
      <c r="BM64" s="91">
        <f>Weather!C184</f>
        <v>4.0129032258064514</v>
      </c>
      <c r="BN64" s="91">
        <f>Weather!D184</f>
        <v>495.59999999999997</v>
      </c>
      <c r="BO64" s="91">
        <f>Weather!E184</f>
        <v>0</v>
      </c>
      <c r="BP64" s="91">
        <f>Weather!F184</f>
        <v>433.59999999999997</v>
      </c>
      <c r="BQ64" s="91">
        <f>Weather!G184</f>
        <v>0</v>
      </c>
      <c r="BR64" s="91">
        <f>Weather!H184</f>
        <v>371.59999999999991</v>
      </c>
      <c r="BS64" s="91">
        <f>Weather!I184</f>
        <v>0</v>
      </c>
      <c r="BT64" s="91">
        <f>Weather!J184</f>
        <v>310.69999999999993</v>
      </c>
      <c r="BU64" s="91">
        <f>Weather!K184</f>
        <v>1.0999999999999996</v>
      </c>
      <c r="BV64" s="91">
        <f>Weather!L184</f>
        <v>251.49999999999991</v>
      </c>
      <c r="BW64" s="91">
        <f>Weather!M184</f>
        <v>3.9000000000000004</v>
      </c>
      <c r="BX64" s="91">
        <f>Weather!N184</f>
        <v>194.59999999999994</v>
      </c>
      <c r="BY64" s="91">
        <f>Weather!O184</f>
        <v>9</v>
      </c>
    </row>
    <row r="65" spans="1:77" x14ac:dyDescent="0.2">
      <c r="A65" s="66">
        <v>42490</v>
      </c>
      <c r="B65" s="114">
        <f t="shared" si="50"/>
        <v>2016</v>
      </c>
      <c r="C65" s="104">
        <v>13549514.359999999</v>
      </c>
      <c r="D65" s="94">
        <v>0</v>
      </c>
      <c r="E65" s="171">
        <f ca="1">CDM!D86</f>
        <v>657857.54479694681</v>
      </c>
      <c r="F65" s="94">
        <f t="shared" ca="1" si="51"/>
        <v>14207371.904796947</v>
      </c>
      <c r="G65" s="94">
        <f ca="1">VLOOKUP(B65,CDM!$A$3:$G$14,7,FALSE)</f>
        <v>702494.9326174598</v>
      </c>
      <c r="H65" s="94">
        <f t="shared" ca="1" si="2"/>
        <v>14252009.292617459</v>
      </c>
      <c r="I65" s="90">
        <f>Weather!F185</f>
        <v>377.99999999999989</v>
      </c>
      <c r="J65" s="90">
        <f>Weather!G185</f>
        <v>0</v>
      </c>
      <c r="K65" s="108">
        <v>30</v>
      </c>
      <c r="L65" s="108">
        <f t="shared" ref="L65:W65" si="63">L53</f>
        <v>0</v>
      </c>
      <c r="M65" s="108">
        <f t="shared" si="63"/>
        <v>0</v>
      </c>
      <c r="N65" s="108">
        <f t="shared" si="63"/>
        <v>0</v>
      </c>
      <c r="O65" s="108">
        <f t="shared" si="63"/>
        <v>1</v>
      </c>
      <c r="P65" s="108">
        <f t="shared" si="63"/>
        <v>0</v>
      </c>
      <c r="Q65" s="108">
        <f t="shared" si="63"/>
        <v>0</v>
      </c>
      <c r="R65" s="108">
        <f t="shared" si="63"/>
        <v>0</v>
      </c>
      <c r="S65" s="108">
        <f t="shared" si="63"/>
        <v>0</v>
      </c>
      <c r="T65" s="108">
        <f t="shared" si="63"/>
        <v>0</v>
      </c>
      <c r="U65" s="108">
        <f t="shared" si="63"/>
        <v>0</v>
      </c>
      <c r="V65" s="108">
        <f t="shared" si="63"/>
        <v>0</v>
      </c>
      <c r="W65" s="108">
        <f t="shared" si="63"/>
        <v>0</v>
      </c>
      <c r="X65" s="109">
        <v>1</v>
      </c>
      <c r="Y65" s="108">
        <f t="shared" si="61"/>
        <v>1</v>
      </c>
      <c r="Z65" s="108">
        <f t="shared" si="61"/>
        <v>0</v>
      </c>
      <c r="AA65" s="152">
        <v>0</v>
      </c>
      <c r="AB65" s="152">
        <v>0</v>
      </c>
      <c r="AC65" s="152">
        <f t="shared" si="3"/>
        <v>0</v>
      </c>
      <c r="AD65" s="152">
        <f t="shared" si="4"/>
        <v>0</v>
      </c>
      <c r="AE65" s="152">
        <v>0</v>
      </c>
      <c r="AF65" s="150">
        <f>'Customer Count'!I65</f>
        <v>13855.5</v>
      </c>
      <c r="AG65" s="150">
        <f>AF65-'Customer Count'!G65-'Customer Count'!F65</f>
        <v>11155.5</v>
      </c>
      <c r="AH65" s="150">
        <f>AF65-'Customer Count'!H65</f>
        <v>13855.5</v>
      </c>
      <c r="AI65" s="109">
        <f t="shared" si="5"/>
        <v>64</v>
      </c>
      <c r="AJ65" s="109">
        <v>320</v>
      </c>
      <c r="AK65" s="91">
        <v>148.02496339899133</v>
      </c>
      <c r="AL65" s="91">
        <f>Economic!C77</f>
        <v>692620.80000000005</v>
      </c>
      <c r="AM65" s="91">
        <f>Economic!D77</f>
        <v>6981.8</v>
      </c>
      <c r="AN65" s="91">
        <f>Economic!E77</f>
        <v>6890.3</v>
      </c>
      <c r="AO65" s="91">
        <f>Economic!F77</f>
        <v>6.9</v>
      </c>
      <c r="AP65" s="91">
        <f>Economic!G77</f>
        <v>7</v>
      </c>
      <c r="AQ65" s="91">
        <f>Economic!H77</f>
        <v>387.9</v>
      </c>
      <c r="AR65" s="91">
        <f>Economic!I77</f>
        <v>383.7</v>
      </c>
      <c r="AS65" s="91">
        <f>Economic!J77</f>
        <v>5.6</v>
      </c>
      <c r="AT65" s="91">
        <f>Economic!K77</f>
        <v>5.5</v>
      </c>
      <c r="AU65" s="91">
        <f>Economic!L77</f>
        <v>201.4</v>
      </c>
      <c r="AV65" s="91">
        <f>Economic!M77</f>
        <v>196.6</v>
      </c>
      <c r="AW65" s="91">
        <f>Economic!N77</f>
        <v>7.5</v>
      </c>
      <c r="AX65" s="91">
        <f>Economic!O77</f>
        <v>8.3000000000000007</v>
      </c>
      <c r="AY65" s="91">
        <f>Economic!P77</f>
        <v>2.249359299894893E-2</v>
      </c>
      <c r="AZ65" s="91">
        <f>Economic!Q77</f>
        <v>1.2251170747973772E-2</v>
      </c>
      <c r="BA65" s="91">
        <f>Economic!R77</f>
        <v>1.2445633008110857E-2</v>
      </c>
      <c r="BB65" s="91">
        <f>Economic!S77</f>
        <v>2.1865121180189462E-2</v>
      </c>
      <c r="BC65" s="91">
        <f>Economic!T77</f>
        <v>2.4019215372297786E-2</v>
      </c>
      <c r="BD65" s="91">
        <f>Economic!U77</f>
        <v>-3.4636318654130971E-3</v>
      </c>
      <c r="BE65" s="91">
        <f>Economic!V77</f>
        <v>-7.5719333669863609E-3</v>
      </c>
      <c r="BF65" s="91">
        <f>Economic!W77</f>
        <v>15236.800000000047</v>
      </c>
      <c r="BG65" s="91">
        <f>Economic!X77</f>
        <v>84.5</v>
      </c>
      <c r="BH65" s="91">
        <f>Economic!Y77</f>
        <v>84.699999999999818</v>
      </c>
      <c r="BI65" s="91">
        <f>Economic!Z77</f>
        <v>8.2999999999999545</v>
      </c>
      <c r="BJ65" s="91">
        <f>Economic!AA77</f>
        <v>9</v>
      </c>
      <c r="BK65" s="91">
        <f>Economic!AB77</f>
        <v>-0.69999999999998863</v>
      </c>
      <c r="BL65" s="91">
        <f>Economic!AC77</f>
        <v>-1.5</v>
      </c>
      <c r="BM65" s="91">
        <f>Weather!C185</f>
        <v>5.4000000000000012</v>
      </c>
      <c r="BN65" s="91">
        <f>Weather!D185</f>
        <v>437.99999999999989</v>
      </c>
      <c r="BO65" s="91">
        <f>Weather!E185</f>
        <v>0</v>
      </c>
      <c r="BP65" s="91">
        <f>Weather!F185</f>
        <v>377.99999999999989</v>
      </c>
      <c r="BQ65" s="91">
        <f>Weather!G185</f>
        <v>0</v>
      </c>
      <c r="BR65" s="91">
        <f>Weather!H185</f>
        <v>318.49999999999989</v>
      </c>
      <c r="BS65" s="91">
        <f>Weather!I185</f>
        <v>0.5</v>
      </c>
      <c r="BT65" s="91">
        <f>Weather!J185</f>
        <v>261.99999999999989</v>
      </c>
      <c r="BU65" s="91">
        <f>Weather!K185</f>
        <v>4</v>
      </c>
      <c r="BV65" s="91">
        <f>Weather!L185</f>
        <v>206.2999999999999</v>
      </c>
      <c r="BW65" s="91">
        <f>Weather!M185</f>
        <v>8.3000000000000007</v>
      </c>
      <c r="BX65" s="91">
        <f>Weather!N185</f>
        <v>153.59999999999997</v>
      </c>
      <c r="BY65" s="91">
        <f>Weather!O185</f>
        <v>15.600000000000001</v>
      </c>
    </row>
    <row r="66" spans="1:77" x14ac:dyDescent="0.2">
      <c r="A66" s="66">
        <v>42521</v>
      </c>
      <c r="B66" s="114">
        <f t="shared" si="50"/>
        <v>2016</v>
      </c>
      <c r="C66" s="104">
        <v>14337851.494000001</v>
      </c>
      <c r="D66" s="94">
        <v>0</v>
      </c>
      <c r="E66" s="171">
        <f ca="1">CDM!D87</f>
        <v>675712.49992515193</v>
      </c>
      <c r="F66" s="94">
        <f t="shared" ca="1" si="51"/>
        <v>15013563.993925152</v>
      </c>
      <c r="G66" s="94">
        <f ca="1">VLOOKUP(B66,CDM!$A$3:$G$14,7,FALSE)</f>
        <v>702494.9326174598</v>
      </c>
      <c r="H66" s="94">
        <f t="shared" ca="1" si="2"/>
        <v>15040346.42661746</v>
      </c>
      <c r="I66" s="90">
        <f>Weather!F186</f>
        <v>135.70000000000002</v>
      </c>
      <c r="J66" s="90">
        <f>Weather!G186</f>
        <v>46.900000000000006</v>
      </c>
      <c r="K66" s="108">
        <v>31</v>
      </c>
      <c r="L66" s="108">
        <f t="shared" ref="L66:W66" si="64">L54</f>
        <v>0</v>
      </c>
      <c r="M66" s="108">
        <f t="shared" si="64"/>
        <v>0</v>
      </c>
      <c r="N66" s="108">
        <f t="shared" si="64"/>
        <v>0</v>
      </c>
      <c r="O66" s="108">
        <f t="shared" si="64"/>
        <v>0</v>
      </c>
      <c r="P66" s="108">
        <f t="shared" si="64"/>
        <v>1</v>
      </c>
      <c r="Q66" s="108">
        <f t="shared" si="64"/>
        <v>0</v>
      </c>
      <c r="R66" s="108">
        <f t="shared" si="64"/>
        <v>0</v>
      </c>
      <c r="S66" s="108">
        <f t="shared" si="64"/>
        <v>0</v>
      </c>
      <c r="T66" s="108">
        <f t="shared" si="64"/>
        <v>0</v>
      </c>
      <c r="U66" s="108">
        <f t="shared" si="64"/>
        <v>0</v>
      </c>
      <c r="V66" s="108">
        <f t="shared" si="64"/>
        <v>0</v>
      </c>
      <c r="W66" s="108">
        <f t="shared" si="64"/>
        <v>0</v>
      </c>
      <c r="X66" s="109">
        <v>1</v>
      </c>
      <c r="Y66" s="108">
        <f t="shared" si="61"/>
        <v>1</v>
      </c>
      <c r="Z66" s="108">
        <f t="shared" si="61"/>
        <v>0</v>
      </c>
      <c r="AA66" s="152">
        <v>0</v>
      </c>
      <c r="AB66" s="152">
        <v>0</v>
      </c>
      <c r="AC66" s="152">
        <f t="shared" si="3"/>
        <v>0</v>
      </c>
      <c r="AD66" s="152">
        <f t="shared" si="4"/>
        <v>0</v>
      </c>
      <c r="AE66" s="152">
        <v>0</v>
      </c>
      <c r="AF66" s="150">
        <f>'Customer Count'!I66</f>
        <v>13857</v>
      </c>
      <c r="AG66" s="150">
        <f>AF66-'Customer Count'!G66-'Customer Count'!F66</f>
        <v>11157</v>
      </c>
      <c r="AH66" s="150">
        <f>AF66-'Customer Count'!H66</f>
        <v>13857</v>
      </c>
      <c r="AI66" s="109">
        <f t="shared" si="5"/>
        <v>65</v>
      </c>
      <c r="AJ66" s="109">
        <v>336</v>
      </c>
      <c r="AK66" s="91">
        <v>148.35396772288814</v>
      </c>
      <c r="AL66" s="91">
        <f>Economic!C78</f>
        <v>692620.80000000005</v>
      </c>
      <c r="AM66" s="91">
        <f>Economic!D78</f>
        <v>6994.4</v>
      </c>
      <c r="AN66" s="91">
        <f>Economic!E78</f>
        <v>6962.5</v>
      </c>
      <c r="AO66" s="91">
        <f>Economic!F78</f>
        <v>6.7</v>
      </c>
      <c r="AP66" s="91">
        <f>Economic!G78</f>
        <v>6.9</v>
      </c>
      <c r="AQ66" s="91">
        <f>Economic!H78</f>
        <v>383.2</v>
      </c>
      <c r="AR66" s="91">
        <f>Economic!I78</f>
        <v>382.3</v>
      </c>
      <c r="AS66" s="91">
        <f>Economic!J78</f>
        <v>6</v>
      </c>
      <c r="AT66" s="91">
        <f>Economic!K78</f>
        <v>6</v>
      </c>
      <c r="AU66" s="91">
        <f>Economic!L78</f>
        <v>198.4</v>
      </c>
      <c r="AV66" s="91">
        <f>Economic!M78</f>
        <v>196.3</v>
      </c>
      <c r="AW66" s="91">
        <f>Economic!N78</f>
        <v>7.8</v>
      </c>
      <c r="AX66" s="91">
        <f>Economic!O78</f>
        <v>8.1</v>
      </c>
      <c r="AY66" s="91">
        <f>Economic!P78</f>
        <v>2.249359299894893E-2</v>
      </c>
      <c r="AZ66" s="91">
        <f>Economic!Q78</f>
        <v>1.2727141098964667E-2</v>
      </c>
      <c r="BA66" s="91">
        <f>Economic!R78</f>
        <v>1.3331586837241227E-2</v>
      </c>
      <c r="BB66" s="91">
        <f>Economic!S78</f>
        <v>-4.6753246753247213E-3</v>
      </c>
      <c r="BC66" s="91">
        <f>Economic!T78</f>
        <v>-2.6150627615051381E-4</v>
      </c>
      <c r="BD66" s="91">
        <f>Economic!U78</f>
        <v>-2.1213616181549044E-2</v>
      </c>
      <c r="BE66" s="91">
        <f>Economic!V78</f>
        <v>-2.143569292123626E-2</v>
      </c>
      <c r="BF66" s="91">
        <f>Economic!W78</f>
        <v>15236.800000000047</v>
      </c>
      <c r="BG66" s="91">
        <f>Economic!X78</f>
        <v>87.899999999999636</v>
      </c>
      <c r="BH66" s="91">
        <f>Economic!Y78</f>
        <v>91.600000000000364</v>
      </c>
      <c r="BI66" s="91">
        <f>Economic!Z78</f>
        <v>-1.8000000000000114</v>
      </c>
      <c r="BJ66" s="91">
        <f>Economic!AA78</f>
        <v>-9.9999999999965894E-2</v>
      </c>
      <c r="BK66" s="91">
        <f>Economic!AB78</f>
        <v>-4.2999999999999829</v>
      </c>
      <c r="BL66" s="91">
        <f>Economic!AC78</f>
        <v>-4.2999999999999829</v>
      </c>
      <c r="BM66" s="91">
        <f>Weather!C186</f>
        <v>15.135483870967743</v>
      </c>
      <c r="BN66" s="91">
        <f>Weather!D186</f>
        <v>180.2</v>
      </c>
      <c r="BO66" s="91">
        <f>Weather!E186</f>
        <v>29.400000000000002</v>
      </c>
      <c r="BP66" s="91">
        <f>Weather!F186</f>
        <v>135.70000000000002</v>
      </c>
      <c r="BQ66" s="91">
        <f>Weather!G186</f>
        <v>46.900000000000006</v>
      </c>
      <c r="BR66" s="91">
        <f>Weather!H186</f>
        <v>96.200000000000017</v>
      </c>
      <c r="BS66" s="91">
        <f>Weather!I186</f>
        <v>69.399999999999991</v>
      </c>
      <c r="BT66" s="91">
        <f>Weather!J186</f>
        <v>59.5</v>
      </c>
      <c r="BU66" s="91">
        <f>Weather!K186</f>
        <v>94.699999999999989</v>
      </c>
      <c r="BV66" s="91">
        <f>Weather!L186</f>
        <v>30.799999999999997</v>
      </c>
      <c r="BW66" s="91">
        <f>Weather!M186</f>
        <v>127.99999999999999</v>
      </c>
      <c r="BX66" s="91">
        <f>Weather!N186</f>
        <v>11.299999999999999</v>
      </c>
      <c r="BY66" s="91">
        <f>Weather!O186</f>
        <v>170.50000000000003</v>
      </c>
    </row>
    <row r="67" spans="1:77" x14ac:dyDescent="0.2">
      <c r="A67" s="66">
        <v>42551</v>
      </c>
      <c r="B67" s="114">
        <f t="shared" si="50"/>
        <v>2016</v>
      </c>
      <c r="C67" s="104">
        <v>16249758.006000003</v>
      </c>
      <c r="D67" s="94">
        <v>0</v>
      </c>
      <c r="E67" s="171">
        <f ca="1">CDM!D88</f>
        <v>693567.45505335706</v>
      </c>
      <c r="F67" s="94">
        <f t="shared" ca="1" si="51"/>
        <v>16943325.46105336</v>
      </c>
      <c r="G67" s="94">
        <f ca="1">VLOOKUP(B67,CDM!$A$3:$G$14,7,FALSE)</f>
        <v>702494.9326174598</v>
      </c>
      <c r="H67" s="94">
        <f t="shared" ref="H67:H121" ca="1" si="65">C67-D67+G67</f>
        <v>16952252.938617464</v>
      </c>
      <c r="I67" s="90">
        <f>Weather!F187</f>
        <v>21.699999999999996</v>
      </c>
      <c r="J67" s="90">
        <f>Weather!G187</f>
        <v>80.399999999999991</v>
      </c>
      <c r="K67" s="108">
        <v>30</v>
      </c>
      <c r="L67" s="108">
        <f t="shared" ref="L67:W67" si="66">L55</f>
        <v>0</v>
      </c>
      <c r="M67" s="108">
        <f t="shared" si="66"/>
        <v>0</v>
      </c>
      <c r="N67" s="108">
        <f t="shared" si="66"/>
        <v>0</v>
      </c>
      <c r="O67" s="108">
        <f t="shared" si="66"/>
        <v>0</v>
      </c>
      <c r="P67" s="108">
        <f t="shared" si="66"/>
        <v>0</v>
      </c>
      <c r="Q67" s="108">
        <f t="shared" si="66"/>
        <v>1</v>
      </c>
      <c r="R67" s="108">
        <f t="shared" si="66"/>
        <v>0</v>
      </c>
      <c r="S67" s="108">
        <f t="shared" si="66"/>
        <v>0</v>
      </c>
      <c r="T67" s="108">
        <f t="shared" si="66"/>
        <v>0</v>
      </c>
      <c r="U67" s="108">
        <f t="shared" si="66"/>
        <v>0</v>
      </c>
      <c r="V67" s="108">
        <f t="shared" si="66"/>
        <v>0</v>
      </c>
      <c r="W67" s="108">
        <f t="shared" si="66"/>
        <v>0</v>
      </c>
      <c r="X67" s="109">
        <v>0</v>
      </c>
      <c r="Y67" s="108">
        <f t="shared" si="61"/>
        <v>0</v>
      </c>
      <c r="Z67" s="108">
        <f t="shared" si="61"/>
        <v>0</v>
      </c>
      <c r="AA67" s="152">
        <v>0</v>
      </c>
      <c r="AB67" s="152">
        <v>0</v>
      </c>
      <c r="AC67" s="152">
        <f t="shared" ref="AC67:AC111" si="67">AA67*I67</f>
        <v>0</v>
      </c>
      <c r="AD67" s="152">
        <f t="shared" si="4"/>
        <v>0</v>
      </c>
      <c r="AE67" s="152">
        <v>0</v>
      </c>
      <c r="AF67" s="150">
        <f>'Customer Count'!I67</f>
        <v>13858</v>
      </c>
      <c r="AG67" s="150">
        <f>AF67-'Customer Count'!G67-'Customer Count'!F67</f>
        <v>11158.5</v>
      </c>
      <c r="AH67" s="150">
        <f>AF67-'Customer Count'!H67</f>
        <v>13858</v>
      </c>
      <c r="AI67" s="109">
        <f t="shared" si="5"/>
        <v>66</v>
      </c>
      <c r="AJ67" s="109">
        <v>336</v>
      </c>
      <c r="AK67" s="91">
        <v>148.68370330077519</v>
      </c>
      <c r="AL67" s="91">
        <f>Economic!C79</f>
        <v>692620.80000000005</v>
      </c>
      <c r="AM67" s="91">
        <f>Economic!D79</f>
        <v>7001.9</v>
      </c>
      <c r="AN67" s="91">
        <f>Economic!E79</f>
        <v>7047.3</v>
      </c>
      <c r="AO67" s="91">
        <f>Economic!F79</f>
        <v>6.6</v>
      </c>
      <c r="AP67" s="91">
        <f>Economic!G79</f>
        <v>6.6</v>
      </c>
      <c r="AQ67" s="91">
        <f>Economic!H79</f>
        <v>382.1</v>
      </c>
      <c r="AR67" s="91">
        <f>Economic!I79</f>
        <v>384.6</v>
      </c>
      <c r="AS67" s="91">
        <f>Economic!J79</f>
        <v>6.1</v>
      </c>
      <c r="AT67" s="91">
        <f>Economic!K79</f>
        <v>6.1</v>
      </c>
      <c r="AU67" s="91">
        <f>Economic!L79</f>
        <v>198.6</v>
      </c>
      <c r="AV67" s="91">
        <f>Economic!M79</f>
        <v>199.5</v>
      </c>
      <c r="AW67" s="91">
        <f>Economic!N79</f>
        <v>8</v>
      </c>
      <c r="AX67" s="91">
        <f>Economic!O79</f>
        <v>7.7</v>
      </c>
      <c r="AY67" s="91">
        <f>Economic!P79</f>
        <v>2.249359299894893E-2</v>
      </c>
      <c r="AZ67" s="91">
        <f>Economic!Q79</f>
        <v>1.1645211159753144E-2</v>
      </c>
      <c r="BA67" s="91">
        <f>Economic!R79</f>
        <v>1.1700020098194042E-2</v>
      </c>
      <c r="BB67" s="91">
        <f>Economic!S79</f>
        <v>-1.4952307295694633E-2</v>
      </c>
      <c r="BC67" s="91">
        <f>Economic!T79</f>
        <v>-1.2072951451322811E-2</v>
      </c>
      <c r="BD67" s="91">
        <f>Economic!U79</f>
        <v>-2.5515210991167936E-2</v>
      </c>
      <c r="BE67" s="91">
        <f>Economic!V79</f>
        <v>-2.4449877750611249E-2</v>
      </c>
      <c r="BF67" s="91">
        <f>Economic!W79</f>
        <v>15236.800000000047</v>
      </c>
      <c r="BG67" s="91">
        <f>Economic!X79</f>
        <v>80.599999999999454</v>
      </c>
      <c r="BH67" s="91">
        <f>Economic!Y79</f>
        <v>81.5</v>
      </c>
      <c r="BI67" s="91">
        <f>Economic!Z79</f>
        <v>-5.7999999999999545</v>
      </c>
      <c r="BJ67" s="91">
        <f>Economic!AA79</f>
        <v>-4.6999999999999886</v>
      </c>
      <c r="BK67" s="91">
        <f>Economic!AB79</f>
        <v>-5.2000000000000171</v>
      </c>
      <c r="BL67" s="91">
        <f>Economic!AC79</f>
        <v>-5</v>
      </c>
      <c r="BM67" s="91">
        <f>Weather!C187</f>
        <v>19.956666666666667</v>
      </c>
      <c r="BN67" s="91">
        <f>Weather!D187</f>
        <v>43.900000000000006</v>
      </c>
      <c r="BO67" s="91">
        <f>Weather!E187</f>
        <v>42.600000000000009</v>
      </c>
      <c r="BP67" s="91">
        <f>Weather!F187</f>
        <v>21.699999999999996</v>
      </c>
      <c r="BQ67" s="91">
        <f>Weather!G187</f>
        <v>80.399999999999991</v>
      </c>
      <c r="BR67" s="91">
        <f>Weather!H187</f>
        <v>6.8999999999999986</v>
      </c>
      <c r="BS67" s="91">
        <f>Weather!I187</f>
        <v>125.59999999999998</v>
      </c>
      <c r="BT67" s="91">
        <f>Weather!J187</f>
        <v>2</v>
      </c>
      <c r="BU67" s="91">
        <f>Weather!K187</f>
        <v>180.70000000000005</v>
      </c>
      <c r="BV67" s="91">
        <f>Weather!L187</f>
        <v>0</v>
      </c>
      <c r="BW67" s="91">
        <f>Weather!M187</f>
        <v>238.70000000000005</v>
      </c>
      <c r="BX67" s="91">
        <f>Weather!N187</f>
        <v>0</v>
      </c>
      <c r="BY67" s="91">
        <f>Weather!O187</f>
        <v>298.70000000000005</v>
      </c>
    </row>
    <row r="68" spans="1:77" x14ac:dyDescent="0.2">
      <c r="A68" s="66">
        <v>42582</v>
      </c>
      <c r="B68" s="114">
        <f t="shared" si="50"/>
        <v>2016</v>
      </c>
      <c r="C68" s="104">
        <v>19768835.849999994</v>
      </c>
      <c r="D68" s="94">
        <v>0</v>
      </c>
      <c r="E68" s="171">
        <f ca="1">CDM!D89</f>
        <v>711422.41018156218</v>
      </c>
      <c r="F68" s="94">
        <f t="shared" ca="1" si="51"/>
        <v>20480258.260181557</v>
      </c>
      <c r="G68" s="94">
        <f ca="1">VLOOKUP(B68,CDM!$A$3:$G$14,7,FALSE)</f>
        <v>702494.9326174598</v>
      </c>
      <c r="H68" s="94">
        <f t="shared" ca="1" si="65"/>
        <v>20471330.782617453</v>
      </c>
      <c r="I68" s="90">
        <f>Weather!F188</f>
        <v>0</v>
      </c>
      <c r="J68" s="90">
        <f>Weather!G188</f>
        <v>181.00000000000006</v>
      </c>
      <c r="K68" s="108">
        <v>31</v>
      </c>
      <c r="L68" s="108">
        <f t="shared" ref="L68:W68" si="68">L56</f>
        <v>0</v>
      </c>
      <c r="M68" s="108">
        <f t="shared" si="68"/>
        <v>0</v>
      </c>
      <c r="N68" s="108">
        <f t="shared" si="68"/>
        <v>0</v>
      </c>
      <c r="O68" s="108">
        <f t="shared" si="68"/>
        <v>0</v>
      </c>
      <c r="P68" s="108">
        <f t="shared" si="68"/>
        <v>0</v>
      </c>
      <c r="Q68" s="108">
        <f t="shared" si="68"/>
        <v>0</v>
      </c>
      <c r="R68" s="108">
        <f t="shared" si="68"/>
        <v>1</v>
      </c>
      <c r="S68" s="108">
        <f t="shared" si="68"/>
        <v>0</v>
      </c>
      <c r="T68" s="108">
        <f t="shared" si="68"/>
        <v>0</v>
      </c>
      <c r="U68" s="108">
        <f t="shared" si="68"/>
        <v>0</v>
      </c>
      <c r="V68" s="108">
        <f t="shared" si="68"/>
        <v>0</v>
      </c>
      <c r="W68" s="108">
        <f t="shared" si="68"/>
        <v>0</v>
      </c>
      <c r="X68" s="109">
        <v>0</v>
      </c>
      <c r="Y68" s="108">
        <f t="shared" si="61"/>
        <v>0</v>
      </c>
      <c r="Z68" s="108">
        <f t="shared" si="61"/>
        <v>0</v>
      </c>
      <c r="AA68" s="152">
        <v>0</v>
      </c>
      <c r="AB68" s="152">
        <v>0</v>
      </c>
      <c r="AC68" s="152">
        <f t="shared" si="67"/>
        <v>0</v>
      </c>
      <c r="AD68" s="152">
        <f t="shared" ref="AD68:AD111" si="69">AA68*J68</f>
        <v>0</v>
      </c>
      <c r="AE68" s="152">
        <v>0</v>
      </c>
      <c r="AF68" s="150">
        <f>'Customer Count'!I68</f>
        <v>13857</v>
      </c>
      <c r="AG68" s="150">
        <f>AF68-'Customer Count'!G68-'Customer Count'!F68</f>
        <v>11158</v>
      </c>
      <c r="AH68" s="150">
        <f>AF68-'Customer Count'!H68</f>
        <v>13857</v>
      </c>
      <c r="AI68" s="109">
        <f t="shared" ref="AI68:AI121" si="70">1+AI67</f>
        <v>67</v>
      </c>
      <c r="AJ68" s="109">
        <v>352</v>
      </c>
      <c r="AK68" s="91">
        <v>149.0141717579576</v>
      </c>
      <c r="AL68" s="91">
        <f>Economic!C80</f>
        <v>692620.80000000005</v>
      </c>
      <c r="AM68" s="91">
        <f>Economic!D80</f>
        <v>6995.7</v>
      </c>
      <c r="AN68" s="91">
        <f>Economic!E80</f>
        <v>7090.8</v>
      </c>
      <c r="AO68" s="91">
        <f>Economic!F80</f>
        <v>6.4</v>
      </c>
      <c r="AP68" s="91">
        <f>Economic!G80</f>
        <v>6.5</v>
      </c>
      <c r="AQ68" s="91">
        <f>Economic!H80</f>
        <v>379.1</v>
      </c>
      <c r="AR68" s="91">
        <f>Economic!I80</f>
        <v>382.2</v>
      </c>
      <c r="AS68" s="91">
        <f>Economic!J80</f>
        <v>6</v>
      </c>
      <c r="AT68" s="91">
        <f>Economic!K80</f>
        <v>6.3</v>
      </c>
      <c r="AU68" s="91">
        <f>Economic!L80</f>
        <v>199.2</v>
      </c>
      <c r="AV68" s="91">
        <f>Economic!M80</f>
        <v>204</v>
      </c>
      <c r="AW68" s="91">
        <f>Economic!N80</f>
        <v>7.7</v>
      </c>
      <c r="AX68" s="91">
        <f>Economic!O80</f>
        <v>7.1</v>
      </c>
      <c r="AY68" s="91">
        <f>Economic!P80</f>
        <v>2.249359299894893E-2</v>
      </c>
      <c r="AZ68" s="91">
        <f>Economic!Q80</f>
        <v>7.851668299429404E-3</v>
      </c>
      <c r="BA68" s="91">
        <f>Economic!R80</f>
        <v>8.3187577321786055E-3</v>
      </c>
      <c r="BB68" s="91">
        <f>Economic!S80</f>
        <v>-3.3893985728848053E-2</v>
      </c>
      <c r="BC68" s="91">
        <f>Economic!T80</f>
        <v>-3.3139387806729093E-2</v>
      </c>
      <c r="BD68" s="91">
        <f>Economic!U80</f>
        <v>-3.0185004868549248E-2</v>
      </c>
      <c r="BE68" s="91">
        <f>Economic!V80</f>
        <v>-2.6717557251908386E-2</v>
      </c>
      <c r="BF68" s="91">
        <f>Economic!W80</f>
        <v>15236.800000000047</v>
      </c>
      <c r="BG68" s="91">
        <f>Economic!X80</f>
        <v>54.5</v>
      </c>
      <c r="BH68" s="91">
        <f>Economic!Y80</f>
        <v>58.5</v>
      </c>
      <c r="BI68" s="91">
        <f>Economic!Z80</f>
        <v>-13.299999999999955</v>
      </c>
      <c r="BJ68" s="91">
        <f>Economic!AA80</f>
        <v>-13.100000000000023</v>
      </c>
      <c r="BK68" s="91">
        <f>Economic!AB80</f>
        <v>-6.2000000000000171</v>
      </c>
      <c r="BL68" s="91">
        <f>Economic!AC80</f>
        <v>-5.5999999999999943</v>
      </c>
      <c r="BM68" s="91">
        <f>Weather!C188</f>
        <v>23.838709677419349</v>
      </c>
      <c r="BN68" s="91">
        <f>Weather!D188</f>
        <v>3.0999999999999979</v>
      </c>
      <c r="BO68" s="91">
        <f>Weather!E188</f>
        <v>122.09999999999998</v>
      </c>
      <c r="BP68" s="91">
        <f>Weather!F188</f>
        <v>0</v>
      </c>
      <c r="BQ68" s="91">
        <f>Weather!G188</f>
        <v>181.00000000000006</v>
      </c>
      <c r="BR68" s="91">
        <f>Weather!H188</f>
        <v>0</v>
      </c>
      <c r="BS68" s="91">
        <f>Weather!I188</f>
        <v>243.00000000000006</v>
      </c>
      <c r="BT68" s="91">
        <f>Weather!J188</f>
        <v>0</v>
      </c>
      <c r="BU68" s="91">
        <f>Weather!K188</f>
        <v>305.00000000000006</v>
      </c>
      <c r="BV68" s="91">
        <f>Weather!L188</f>
        <v>0</v>
      </c>
      <c r="BW68" s="91">
        <f>Weather!M188</f>
        <v>367.00000000000006</v>
      </c>
      <c r="BX68" s="91">
        <f>Weather!N188</f>
        <v>0</v>
      </c>
      <c r="BY68" s="91">
        <f>Weather!O188</f>
        <v>429.00000000000011</v>
      </c>
    </row>
    <row r="69" spans="1:77" x14ac:dyDescent="0.2">
      <c r="A69" s="66">
        <v>42613</v>
      </c>
      <c r="B69" s="114">
        <f t="shared" si="50"/>
        <v>2016</v>
      </c>
      <c r="C69" s="104">
        <v>20746903.439999998</v>
      </c>
      <c r="D69" s="94">
        <v>0</v>
      </c>
      <c r="E69" s="171">
        <f ca="1">CDM!D90</f>
        <v>729277.36530976731</v>
      </c>
      <c r="F69" s="94">
        <f t="shared" ca="1" si="51"/>
        <v>21476180.805309765</v>
      </c>
      <c r="G69" s="94">
        <f ca="1">VLOOKUP(B69,CDM!$A$3:$G$14,7,FALSE)</f>
        <v>702494.9326174598</v>
      </c>
      <c r="H69" s="94">
        <f t="shared" ca="1" si="65"/>
        <v>21449398.372617457</v>
      </c>
      <c r="I69" s="90">
        <f>Weather!F189</f>
        <v>0</v>
      </c>
      <c r="J69" s="90">
        <f>Weather!G189</f>
        <v>198.80000000000004</v>
      </c>
      <c r="K69" s="108">
        <v>31</v>
      </c>
      <c r="L69" s="108">
        <f t="shared" ref="L69:W69" si="71">L57</f>
        <v>0</v>
      </c>
      <c r="M69" s="108">
        <f t="shared" si="71"/>
        <v>0</v>
      </c>
      <c r="N69" s="108">
        <f t="shared" si="71"/>
        <v>0</v>
      </c>
      <c r="O69" s="108">
        <f t="shared" si="71"/>
        <v>0</v>
      </c>
      <c r="P69" s="108">
        <f t="shared" si="71"/>
        <v>0</v>
      </c>
      <c r="Q69" s="108">
        <f t="shared" si="71"/>
        <v>0</v>
      </c>
      <c r="R69" s="108">
        <f t="shared" si="71"/>
        <v>0</v>
      </c>
      <c r="S69" s="108">
        <f t="shared" si="71"/>
        <v>1</v>
      </c>
      <c r="T69" s="108">
        <f t="shared" si="71"/>
        <v>0</v>
      </c>
      <c r="U69" s="108">
        <f t="shared" si="71"/>
        <v>0</v>
      </c>
      <c r="V69" s="108">
        <f t="shared" si="71"/>
        <v>0</v>
      </c>
      <c r="W69" s="108">
        <f t="shared" si="71"/>
        <v>0</v>
      </c>
      <c r="X69" s="109">
        <v>0</v>
      </c>
      <c r="Y69" s="108">
        <f t="shared" si="61"/>
        <v>0</v>
      </c>
      <c r="Z69" s="108">
        <f t="shared" si="61"/>
        <v>0</v>
      </c>
      <c r="AA69" s="152">
        <v>0</v>
      </c>
      <c r="AB69" s="152">
        <v>0</v>
      </c>
      <c r="AC69" s="152">
        <f t="shared" si="67"/>
        <v>0</v>
      </c>
      <c r="AD69" s="152">
        <f t="shared" si="69"/>
        <v>0</v>
      </c>
      <c r="AE69" s="152">
        <v>0</v>
      </c>
      <c r="AF69" s="150">
        <f>'Customer Count'!I69</f>
        <v>13858.5</v>
      </c>
      <c r="AG69" s="150">
        <f>AF69-'Customer Count'!G69-'Customer Count'!F69</f>
        <v>11159.5</v>
      </c>
      <c r="AH69" s="150">
        <f>AF69-'Customer Count'!H69</f>
        <v>13858.5</v>
      </c>
      <c r="AI69" s="109">
        <f t="shared" si="70"/>
        <v>68</v>
      </c>
      <c r="AJ69" s="109">
        <v>320</v>
      </c>
      <c r="AK69" s="91">
        <v>149.34537472335285</v>
      </c>
      <c r="AL69" s="91">
        <f>Economic!C81</f>
        <v>692620.80000000005</v>
      </c>
      <c r="AM69" s="91">
        <f>Economic!D81</f>
        <v>6990.6</v>
      </c>
      <c r="AN69" s="91">
        <f>Economic!E81</f>
        <v>7083.3</v>
      </c>
      <c r="AO69" s="91">
        <f>Economic!F81</f>
        <v>6.5</v>
      </c>
      <c r="AP69" s="91">
        <f>Economic!G81</f>
        <v>6.9</v>
      </c>
      <c r="AQ69" s="91">
        <f>Economic!H81</f>
        <v>379.5</v>
      </c>
      <c r="AR69" s="91">
        <f>Economic!I81</f>
        <v>380.6</v>
      </c>
      <c r="AS69" s="91">
        <f>Economic!J81</f>
        <v>6.3</v>
      </c>
      <c r="AT69" s="91">
        <f>Economic!K81</f>
        <v>7</v>
      </c>
      <c r="AU69" s="91">
        <f>Economic!L81</f>
        <v>201.3</v>
      </c>
      <c r="AV69" s="91">
        <f>Economic!M81</f>
        <v>206.4</v>
      </c>
      <c r="AW69" s="91">
        <f>Economic!N81</f>
        <v>6.8</v>
      </c>
      <c r="AX69" s="91">
        <f>Economic!O81</f>
        <v>6.4</v>
      </c>
      <c r="AY69" s="91">
        <f>Economic!P81</f>
        <v>2.249359299894893E-2</v>
      </c>
      <c r="AZ69" s="91">
        <f>Economic!Q81</f>
        <v>5.9575202901054336E-3</v>
      </c>
      <c r="BA69" s="91">
        <f>Economic!R81</f>
        <v>5.3365882736988723E-3</v>
      </c>
      <c r="BB69" s="91">
        <f>Economic!S81</f>
        <v>-3.336729495669899E-2</v>
      </c>
      <c r="BC69" s="91">
        <f>Economic!T81</f>
        <v>-4.1792547834843874E-2</v>
      </c>
      <c r="BD69" s="91">
        <f>Economic!U81</f>
        <v>-2.706621556307387E-2</v>
      </c>
      <c r="BE69" s="91">
        <f>Economic!V81</f>
        <v>-2.3651844843897818E-2</v>
      </c>
      <c r="BF69" s="91">
        <f>Economic!W81</f>
        <v>15236.800000000047</v>
      </c>
      <c r="BG69" s="91">
        <f>Economic!X81</f>
        <v>41.400000000000546</v>
      </c>
      <c r="BH69" s="91">
        <f>Economic!Y81</f>
        <v>37.600000000000364</v>
      </c>
      <c r="BI69" s="91">
        <f>Economic!Z81</f>
        <v>-13.100000000000023</v>
      </c>
      <c r="BJ69" s="91">
        <f>Economic!AA81</f>
        <v>-16.599999999999966</v>
      </c>
      <c r="BK69" s="91">
        <f>Economic!AB81</f>
        <v>-5.5999999999999943</v>
      </c>
      <c r="BL69" s="91">
        <f>Economic!AC81</f>
        <v>-5</v>
      </c>
      <c r="BM69" s="91">
        <f>Weather!C189</f>
        <v>24.412903225806449</v>
      </c>
      <c r="BN69" s="91">
        <f>Weather!D189</f>
        <v>0</v>
      </c>
      <c r="BO69" s="91">
        <f>Weather!E189</f>
        <v>136.79999999999998</v>
      </c>
      <c r="BP69" s="91">
        <f>Weather!F189</f>
        <v>0</v>
      </c>
      <c r="BQ69" s="91">
        <f>Weather!G189</f>
        <v>198.80000000000004</v>
      </c>
      <c r="BR69" s="91">
        <f>Weather!H189</f>
        <v>0</v>
      </c>
      <c r="BS69" s="91">
        <f>Weather!I189</f>
        <v>260.80000000000007</v>
      </c>
      <c r="BT69" s="91">
        <f>Weather!J189</f>
        <v>0</v>
      </c>
      <c r="BU69" s="91">
        <f>Weather!K189</f>
        <v>322.80000000000013</v>
      </c>
      <c r="BV69" s="91">
        <f>Weather!L189</f>
        <v>0</v>
      </c>
      <c r="BW69" s="91">
        <f>Weather!M189</f>
        <v>384.80000000000013</v>
      </c>
      <c r="BX69" s="91">
        <f>Weather!N189</f>
        <v>0</v>
      </c>
      <c r="BY69" s="91">
        <f>Weather!O189</f>
        <v>446.80000000000013</v>
      </c>
    </row>
    <row r="70" spans="1:77" x14ac:dyDescent="0.2">
      <c r="A70" s="66">
        <v>42643</v>
      </c>
      <c r="B70" s="114">
        <f t="shared" si="50"/>
        <v>2016</v>
      </c>
      <c r="C70" s="104">
        <v>16199694.169999998</v>
      </c>
      <c r="D70" s="94">
        <v>0</v>
      </c>
      <c r="E70" s="171">
        <f ca="1">CDM!D91</f>
        <v>747132.32043797243</v>
      </c>
      <c r="F70" s="94">
        <f t="shared" ca="1" si="51"/>
        <v>16946826.49043797</v>
      </c>
      <c r="G70" s="94">
        <f ca="1">VLOOKUP(B70,CDM!$A$3:$G$14,7,FALSE)</f>
        <v>702494.9326174598</v>
      </c>
      <c r="H70" s="94">
        <f t="shared" ca="1" si="65"/>
        <v>16902189.102617458</v>
      </c>
      <c r="I70" s="90">
        <f>Weather!F190</f>
        <v>22.199999999999996</v>
      </c>
      <c r="J70" s="90">
        <f>Weather!G190</f>
        <v>73.499999999999986</v>
      </c>
      <c r="K70" s="108">
        <v>30</v>
      </c>
      <c r="L70" s="108">
        <f t="shared" ref="L70:W70" si="72">L58</f>
        <v>0</v>
      </c>
      <c r="M70" s="108">
        <f t="shared" si="72"/>
        <v>0</v>
      </c>
      <c r="N70" s="108">
        <f t="shared" si="72"/>
        <v>0</v>
      </c>
      <c r="O70" s="108">
        <f t="shared" si="72"/>
        <v>0</v>
      </c>
      <c r="P70" s="108">
        <f t="shared" si="72"/>
        <v>0</v>
      </c>
      <c r="Q70" s="108">
        <f t="shared" si="72"/>
        <v>0</v>
      </c>
      <c r="R70" s="108">
        <f t="shared" si="72"/>
        <v>0</v>
      </c>
      <c r="S70" s="108">
        <f t="shared" si="72"/>
        <v>0</v>
      </c>
      <c r="T70" s="108">
        <f t="shared" si="72"/>
        <v>1</v>
      </c>
      <c r="U70" s="108">
        <f t="shared" si="72"/>
        <v>0</v>
      </c>
      <c r="V70" s="108">
        <f t="shared" si="72"/>
        <v>0</v>
      </c>
      <c r="W70" s="108">
        <f t="shared" si="72"/>
        <v>0</v>
      </c>
      <c r="X70" s="109">
        <v>1</v>
      </c>
      <c r="Y70" s="108">
        <f t="shared" si="61"/>
        <v>0</v>
      </c>
      <c r="Z70" s="108">
        <f t="shared" si="61"/>
        <v>1</v>
      </c>
      <c r="AA70" s="152">
        <v>0</v>
      </c>
      <c r="AB70" s="152">
        <v>0</v>
      </c>
      <c r="AC70" s="152">
        <f t="shared" si="67"/>
        <v>0</v>
      </c>
      <c r="AD70" s="152">
        <f t="shared" si="69"/>
        <v>0</v>
      </c>
      <c r="AE70" s="152">
        <v>0</v>
      </c>
      <c r="AF70" s="150">
        <f>'Customer Count'!I70</f>
        <v>13861.5</v>
      </c>
      <c r="AG70" s="150">
        <f>AF70-'Customer Count'!G70-'Customer Count'!F70</f>
        <v>11162.5</v>
      </c>
      <c r="AH70" s="150">
        <f>AF70-'Customer Count'!H70</f>
        <v>13860.5</v>
      </c>
      <c r="AI70" s="109">
        <f t="shared" si="70"/>
        <v>69</v>
      </c>
      <c r="AJ70" s="109">
        <v>336</v>
      </c>
      <c r="AK70" s="91">
        <v>149.67731382949896</v>
      </c>
      <c r="AL70" s="91">
        <f>Economic!C82</f>
        <v>692620.80000000005</v>
      </c>
      <c r="AM70" s="91">
        <f>Economic!D82</f>
        <v>6988.9</v>
      </c>
      <c r="AN70" s="91">
        <f>Economic!E82</f>
        <v>7037</v>
      </c>
      <c r="AO70" s="91">
        <f>Economic!F82</f>
        <v>6.6</v>
      </c>
      <c r="AP70" s="91">
        <f>Economic!G82</f>
        <v>6.9</v>
      </c>
      <c r="AQ70" s="91">
        <f>Economic!H82</f>
        <v>382.3</v>
      </c>
      <c r="AR70" s="91">
        <f>Economic!I82</f>
        <v>381.7</v>
      </c>
      <c r="AS70" s="91">
        <f>Economic!J82</f>
        <v>6.5</v>
      </c>
      <c r="AT70" s="91">
        <f>Economic!K82</f>
        <v>7.2</v>
      </c>
      <c r="AU70" s="91">
        <f>Economic!L82</f>
        <v>203.2</v>
      </c>
      <c r="AV70" s="91">
        <f>Economic!M82</f>
        <v>207.5</v>
      </c>
      <c r="AW70" s="91">
        <f>Economic!N82</f>
        <v>6.1</v>
      </c>
      <c r="AX70" s="91">
        <f>Economic!O82</f>
        <v>5.6</v>
      </c>
      <c r="AY70" s="91">
        <f>Economic!P82</f>
        <v>2.249359299894893E-2</v>
      </c>
      <c r="AZ70" s="91">
        <f>Economic!Q82</f>
        <v>6.8865165463685152E-3</v>
      </c>
      <c r="BA70" s="91">
        <f>Economic!R82</f>
        <v>6.0186707458291799E-3</v>
      </c>
      <c r="BB70" s="91">
        <f>Economic!S82</f>
        <v>-2.0998719590268888E-2</v>
      </c>
      <c r="BC70" s="91">
        <f>Economic!T82</f>
        <v>-3.097232800203098E-2</v>
      </c>
      <c r="BD70" s="91">
        <f>Economic!U82</f>
        <v>-1.9305019305019266E-2</v>
      </c>
      <c r="BE70" s="91">
        <f>Economic!V82</f>
        <v>-1.3783269961977207E-2</v>
      </c>
      <c r="BF70" s="91">
        <f>Economic!W82</f>
        <v>15236.800000000047</v>
      </c>
      <c r="BG70" s="91">
        <f>Economic!X82</f>
        <v>47.799999999999272</v>
      </c>
      <c r="BH70" s="91">
        <f>Economic!Y82</f>
        <v>42.100000000000364</v>
      </c>
      <c r="BI70" s="91">
        <f>Economic!Z82</f>
        <v>-8.1999999999999886</v>
      </c>
      <c r="BJ70" s="91">
        <f>Economic!AA82</f>
        <v>-12.199999999999989</v>
      </c>
      <c r="BK70" s="91">
        <f>Economic!AB82</f>
        <v>-4</v>
      </c>
      <c r="BL70" s="91">
        <f>Economic!AC82</f>
        <v>-2.9000000000000057</v>
      </c>
      <c r="BM70" s="91">
        <f>Weather!C190</f>
        <v>19.709999999999997</v>
      </c>
      <c r="BN70" s="91">
        <f>Weather!D190</f>
        <v>49.100000000000009</v>
      </c>
      <c r="BO70" s="91">
        <f>Weather!E190</f>
        <v>40.400000000000006</v>
      </c>
      <c r="BP70" s="91">
        <f>Weather!F190</f>
        <v>22.199999999999996</v>
      </c>
      <c r="BQ70" s="91">
        <f>Weather!G190</f>
        <v>73.499999999999986</v>
      </c>
      <c r="BR70" s="91">
        <f>Weather!H190</f>
        <v>7.5999999999999979</v>
      </c>
      <c r="BS70" s="91">
        <f>Weather!I190</f>
        <v>118.89999999999998</v>
      </c>
      <c r="BT70" s="91">
        <f>Weather!J190</f>
        <v>0.5</v>
      </c>
      <c r="BU70" s="91">
        <f>Weather!K190</f>
        <v>171.80000000000004</v>
      </c>
      <c r="BV70" s="91">
        <f>Weather!L190</f>
        <v>0</v>
      </c>
      <c r="BW70" s="91">
        <f>Weather!M190</f>
        <v>231.30000000000007</v>
      </c>
      <c r="BX70" s="91">
        <f>Weather!N190</f>
        <v>0</v>
      </c>
      <c r="BY70" s="91">
        <f>Weather!O190</f>
        <v>291.30000000000007</v>
      </c>
    </row>
    <row r="71" spans="1:77" x14ac:dyDescent="0.2">
      <c r="A71" s="66">
        <v>42674</v>
      </c>
      <c r="B71" s="114">
        <f t="shared" si="50"/>
        <v>2016</v>
      </c>
      <c r="C71" s="104">
        <v>13767515.480000002</v>
      </c>
      <c r="D71" s="94">
        <v>0</v>
      </c>
      <c r="E71" s="171">
        <f ca="1">CDM!D92</f>
        <v>764987.27556617756</v>
      </c>
      <c r="F71" s="94">
        <f t="shared" ca="1" si="51"/>
        <v>14532502.75556618</v>
      </c>
      <c r="G71" s="94">
        <f ca="1">VLOOKUP(B71,CDM!$A$3:$G$14,7,FALSE)</f>
        <v>702494.9326174598</v>
      </c>
      <c r="H71" s="94">
        <f t="shared" ca="1" si="65"/>
        <v>14470010.412617462</v>
      </c>
      <c r="I71" s="90">
        <f>Weather!F191</f>
        <v>171.3</v>
      </c>
      <c r="J71" s="90">
        <f>Weather!G191</f>
        <v>14.600000000000001</v>
      </c>
      <c r="K71" s="108">
        <v>31</v>
      </c>
      <c r="L71" s="108">
        <f t="shared" ref="L71:W71" si="73">L59</f>
        <v>0</v>
      </c>
      <c r="M71" s="108">
        <f t="shared" si="73"/>
        <v>0</v>
      </c>
      <c r="N71" s="108">
        <f t="shared" si="73"/>
        <v>0</v>
      </c>
      <c r="O71" s="108">
        <f t="shared" si="73"/>
        <v>0</v>
      </c>
      <c r="P71" s="108">
        <f t="shared" si="73"/>
        <v>0</v>
      </c>
      <c r="Q71" s="108">
        <f t="shared" si="73"/>
        <v>0</v>
      </c>
      <c r="R71" s="108">
        <f t="shared" si="73"/>
        <v>0</v>
      </c>
      <c r="S71" s="108">
        <f t="shared" si="73"/>
        <v>0</v>
      </c>
      <c r="T71" s="108">
        <f t="shared" si="73"/>
        <v>0</v>
      </c>
      <c r="U71" s="108">
        <f t="shared" si="73"/>
        <v>1</v>
      </c>
      <c r="V71" s="108">
        <f t="shared" si="73"/>
        <v>0</v>
      </c>
      <c r="W71" s="108">
        <f t="shared" si="73"/>
        <v>0</v>
      </c>
      <c r="X71" s="109">
        <v>1</v>
      </c>
      <c r="Y71" s="108">
        <f t="shared" si="61"/>
        <v>0</v>
      </c>
      <c r="Z71" s="108">
        <f t="shared" si="61"/>
        <v>1</v>
      </c>
      <c r="AA71" s="152">
        <v>0</v>
      </c>
      <c r="AB71" s="152">
        <v>0</v>
      </c>
      <c r="AC71" s="152">
        <f t="shared" si="67"/>
        <v>0</v>
      </c>
      <c r="AD71" s="152">
        <f t="shared" si="69"/>
        <v>0</v>
      </c>
      <c r="AE71" s="152">
        <v>0</v>
      </c>
      <c r="AF71" s="150">
        <f>'Customer Count'!I71</f>
        <v>13863.5</v>
      </c>
      <c r="AG71" s="150">
        <f>AF71-'Customer Count'!G71-'Customer Count'!F71</f>
        <v>11164.5</v>
      </c>
      <c r="AH71" s="150">
        <f>AF71-'Customer Count'!H71</f>
        <v>13862.5</v>
      </c>
      <c r="AI71" s="109">
        <f t="shared" si="70"/>
        <v>70</v>
      </c>
      <c r="AJ71" s="109">
        <v>352</v>
      </c>
      <c r="AK71" s="91">
        <v>150.00999071256246</v>
      </c>
      <c r="AL71" s="91">
        <f>Economic!C83</f>
        <v>692620.80000000005</v>
      </c>
      <c r="AM71" s="91">
        <f>Economic!D83</f>
        <v>7006.2</v>
      </c>
      <c r="AN71" s="91">
        <f>Economic!E83</f>
        <v>7033.4</v>
      </c>
      <c r="AO71" s="91">
        <f>Economic!F83</f>
        <v>6.5</v>
      </c>
      <c r="AP71" s="91">
        <f>Economic!G83</f>
        <v>6.6</v>
      </c>
      <c r="AQ71" s="91">
        <f>Economic!H83</f>
        <v>386.2</v>
      </c>
      <c r="AR71" s="91">
        <f>Economic!I83</f>
        <v>384.6</v>
      </c>
      <c r="AS71" s="91">
        <f>Economic!J83</f>
        <v>6.6</v>
      </c>
      <c r="AT71" s="91">
        <f>Economic!K83</f>
        <v>6.9</v>
      </c>
      <c r="AU71" s="91">
        <f>Economic!L83</f>
        <v>206.4</v>
      </c>
      <c r="AV71" s="91">
        <f>Economic!M83</f>
        <v>210.2</v>
      </c>
      <c r="AW71" s="91">
        <f>Economic!N83</f>
        <v>6</v>
      </c>
      <c r="AX71" s="91">
        <f>Economic!O83</f>
        <v>5.3</v>
      </c>
      <c r="AY71" s="91">
        <f>Economic!P83</f>
        <v>2.249359299894893E-2</v>
      </c>
      <c r="AZ71" s="91">
        <f>Economic!Q83</f>
        <v>1.029589894445393E-2</v>
      </c>
      <c r="BA71" s="91">
        <f>Economic!R83</f>
        <v>9.2409240924091751E-3</v>
      </c>
      <c r="BB71" s="91">
        <f>Economic!S83</f>
        <v>1.5560165975103679E-3</v>
      </c>
      <c r="BC71" s="91">
        <f>Economic!T83</f>
        <v>-9.2735703245748757E-3</v>
      </c>
      <c r="BD71" s="91">
        <f>Economic!U83</f>
        <v>3.8910505836575737E-3</v>
      </c>
      <c r="BE71" s="91">
        <f>Economic!V83</f>
        <v>8.1534772182254578E-3</v>
      </c>
      <c r="BF71" s="91">
        <f>Economic!W83</f>
        <v>15236.800000000047</v>
      </c>
      <c r="BG71" s="91">
        <f>Economic!X83</f>
        <v>71.399999999999636</v>
      </c>
      <c r="BH71" s="91">
        <f>Economic!Y83</f>
        <v>64.399999999999636</v>
      </c>
      <c r="BI71" s="91">
        <f>Economic!Z83</f>
        <v>0.59999999999996589</v>
      </c>
      <c r="BJ71" s="91">
        <f>Economic!AA83</f>
        <v>-3.5999999999999659</v>
      </c>
      <c r="BK71" s="91">
        <f>Economic!AB83</f>
        <v>0.80000000000001137</v>
      </c>
      <c r="BL71" s="91">
        <f>Economic!AC83</f>
        <v>1.6999999999999886</v>
      </c>
      <c r="BM71" s="91">
        <f>Weather!C191</f>
        <v>12.945161290322584</v>
      </c>
      <c r="BN71" s="91">
        <f>Weather!D191</f>
        <v>223.5</v>
      </c>
      <c r="BO71" s="91">
        <f>Weather!E191</f>
        <v>4.8000000000000007</v>
      </c>
      <c r="BP71" s="91">
        <f>Weather!F191</f>
        <v>171.3</v>
      </c>
      <c r="BQ71" s="91">
        <f>Weather!G191</f>
        <v>14.600000000000001</v>
      </c>
      <c r="BR71" s="91">
        <f>Weather!H191</f>
        <v>124.30000000000001</v>
      </c>
      <c r="BS71" s="91">
        <f>Weather!I191</f>
        <v>29.6</v>
      </c>
      <c r="BT71" s="91">
        <f>Weather!J191</f>
        <v>86.600000000000009</v>
      </c>
      <c r="BU71" s="91">
        <f>Weather!K191</f>
        <v>53.899999999999991</v>
      </c>
      <c r="BV71" s="91">
        <f>Weather!L191</f>
        <v>55.5</v>
      </c>
      <c r="BW71" s="91">
        <f>Weather!M191</f>
        <v>84.799999999999983</v>
      </c>
      <c r="BX71" s="91">
        <f>Weather!N191</f>
        <v>29.999999999999996</v>
      </c>
      <c r="BY71" s="91">
        <f>Weather!O191</f>
        <v>121.29999999999998</v>
      </c>
    </row>
    <row r="72" spans="1:77" x14ac:dyDescent="0.2">
      <c r="A72" s="66">
        <v>42704</v>
      </c>
      <c r="B72" s="114">
        <f t="shared" si="50"/>
        <v>2016</v>
      </c>
      <c r="C72" s="104">
        <v>13671662.76</v>
      </c>
      <c r="D72" s="94">
        <v>0</v>
      </c>
      <c r="E72" s="171">
        <f ca="1">CDM!D93</f>
        <v>782842.23069438268</v>
      </c>
      <c r="F72" s="94">
        <f t="shared" ca="1" si="51"/>
        <v>14454504.990694383</v>
      </c>
      <c r="G72" s="94">
        <f ca="1">VLOOKUP(B72,CDM!$A$3:$G$14,7,FALSE)</f>
        <v>702494.9326174598</v>
      </c>
      <c r="H72" s="94">
        <f t="shared" ca="1" si="65"/>
        <v>14374157.692617459</v>
      </c>
      <c r="I72" s="90">
        <f>Weather!F192</f>
        <v>311.99999999999994</v>
      </c>
      <c r="J72" s="90">
        <f>Weather!G192</f>
        <v>0</v>
      </c>
      <c r="K72" s="108">
        <v>30</v>
      </c>
      <c r="L72" s="108">
        <f t="shared" ref="L72:W72" si="74">L60</f>
        <v>0</v>
      </c>
      <c r="M72" s="108">
        <f t="shared" si="74"/>
        <v>0</v>
      </c>
      <c r="N72" s="108">
        <f t="shared" si="74"/>
        <v>0</v>
      </c>
      <c r="O72" s="108">
        <f t="shared" si="74"/>
        <v>0</v>
      </c>
      <c r="P72" s="108">
        <f t="shared" si="74"/>
        <v>0</v>
      </c>
      <c r="Q72" s="108">
        <f t="shared" si="74"/>
        <v>0</v>
      </c>
      <c r="R72" s="108">
        <f t="shared" si="74"/>
        <v>0</v>
      </c>
      <c r="S72" s="108">
        <f t="shared" si="74"/>
        <v>0</v>
      </c>
      <c r="T72" s="108">
        <f t="shared" si="74"/>
        <v>0</v>
      </c>
      <c r="U72" s="108">
        <f t="shared" si="74"/>
        <v>0</v>
      </c>
      <c r="V72" s="108">
        <f t="shared" si="74"/>
        <v>1</v>
      </c>
      <c r="W72" s="108">
        <f t="shared" si="74"/>
        <v>0</v>
      </c>
      <c r="X72" s="109">
        <v>1</v>
      </c>
      <c r="Y72" s="108">
        <f t="shared" si="61"/>
        <v>0</v>
      </c>
      <c r="Z72" s="108">
        <f t="shared" si="61"/>
        <v>1</v>
      </c>
      <c r="AA72" s="152">
        <v>0</v>
      </c>
      <c r="AB72" s="152">
        <v>0</v>
      </c>
      <c r="AC72" s="152">
        <f t="shared" si="67"/>
        <v>0</v>
      </c>
      <c r="AD72" s="152">
        <f t="shared" si="69"/>
        <v>0</v>
      </c>
      <c r="AE72" s="152">
        <v>0</v>
      </c>
      <c r="AF72" s="150">
        <f>'Customer Count'!I72</f>
        <v>13865</v>
      </c>
      <c r="AG72" s="150">
        <f>AF72-'Customer Count'!G72-'Customer Count'!F72</f>
        <v>11166</v>
      </c>
      <c r="AH72" s="150">
        <f>AF72-'Customer Count'!H72</f>
        <v>13864</v>
      </c>
      <c r="AI72" s="109">
        <f t="shared" si="70"/>
        <v>71</v>
      </c>
      <c r="AJ72" s="109">
        <v>304</v>
      </c>
      <c r="AK72" s="91">
        <v>150.34340701234646</v>
      </c>
      <c r="AL72" s="91">
        <f>Economic!C84</f>
        <v>692620.80000000005</v>
      </c>
      <c r="AM72" s="91">
        <f>Economic!D84</f>
        <v>7018.5</v>
      </c>
      <c r="AN72" s="91">
        <f>Economic!E84</f>
        <v>7026.9</v>
      </c>
      <c r="AO72" s="91">
        <f>Economic!F84</f>
        <v>6.4</v>
      </c>
      <c r="AP72" s="91">
        <f>Economic!G84</f>
        <v>5.9</v>
      </c>
      <c r="AQ72" s="91">
        <f>Economic!H84</f>
        <v>392.2</v>
      </c>
      <c r="AR72" s="91">
        <f>Economic!I84</f>
        <v>391.8</v>
      </c>
      <c r="AS72" s="91">
        <f>Economic!J84</f>
        <v>6.4</v>
      </c>
      <c r="AT72" s="91">
        <f>Economic!K84</f>
        <v>6.2</v>
      </c>
      <c r="AU72" s="91">
        <f>Economic!L84</f>
        <v>206.4</v>
      </c>
      <c r="AV72" s="91">
        <f>Economic!M84</f>
        <v>209</v>
      </c>
      <c r="AW72" s="91">
        <f>Economic!N84</f>
        <v>6.1</v>
      </c>
      <c r="AX72" s="91">
        <f>Economic!O84</f>
        <v>5.3</v>
      </c>
      <c r="AY72" s="91">
        <f>Economic!P84</f>
        <v>2.249359299894893E-2</v>
      </c>
      <c r="AZ72" s="91">
        <f>Economic!Q84</f>
        <v>1.3019066726325246E-2</v>
      </c>
      <c r="BA72" s="91">
        <f>Economic!R84</f>
        <v>1.297409505686975E-2</v>
      </c>
      <c r="BB72" s="91">
        <f>Economic!S84</f>
        <v>2.0026007802340651E-2</v>
      </c>
      <c r="BC72" s="91">
        <f>Economic!T84</f>
        <v>1.6078838174273802E-2</v>
      </c>
      <c r="BD72" s="91">
        <f>Economic!U84</f>
        <v>2.9154518950436081E-3</v>
      </c>
      <c r="BE72" s="91">
        <f>Economic!V84</f>
        <v>6.2590274434279891E-3</v>
      </c>
      <c r="BF72" s="91">
        <f>Economic!W84</f>
        <v>15236.800000000047</v>
      </c>
      <c r="BG72" s="91">
        <f>Economic!X84</f>
        <v>90.199999999999818</v>
      </c>
      <c r="BH72" s="91">
        <f>Economic!Y84</f>
        <v>90</v>
      </c>
      <c r="BI72" s="91">
        <f>Economic!Z84</f>
        <v>7.6999999999999886</v>
      </c>
      <c r="BJ72" s="91">
        <f>Economic!AA84</f>
        <v>6.1999999999999886</v>
      </c>
      <c r="BK72" s="91">
        <f>Economic!AB84</f>
        <v>0.59999999999999432</v>
      </c>
      <c r="BL72" s="91">
        <f>Economic!AC84</f>
        <v>1.3000000000000114</v>
      </c>
      <c r="BM72" s="91">
        <f>Weather!C192</f>
        <v>7.6000000000000023</v>
      </c>
      <c r="BN72" s="91">
        <f>Weather!D192</f>
        <v>371.99999999999989</v>
      </c>
      <c r="BO72" s="91">
        <f>Weather!E192</f>
        <v>0</v>
      </c>
      <c r="BP72" s="91">
        <f>Weather!F192</f>
        <v>311.99999999999994</v>
      </c>
      <c r="BQ72" s="91">
        <f>Weather!G192</f>
        <v>0</v>
      </c>
      <c r="BR72" s="91">
        <f>Weather!H192</f>
        <v>251.99999999999994</v>
      </c>
      <c r="BS72" s="91">
        <f>Weather!I192</f>
        <v>0</v>
      </c>
      <c r="BT72" s="91">
        <f>Weather!J192</f>
        <v>192.99999999999997</v>
      </c>
      <c r="BU72" s="91">
        <f>Weather!K192</f>
        <v>1</v>
      </c>
      <c r="BV72" s="91">
        <f>Weather!L192</f>
        <v>137.5</v>
      </c>
      <c r="BW72" s="91">
        <f>Weather!M192</f>
        <v>5.5</v>
      </c>
      <c r="BX72" s="91">
        <f>Weather!N192</f>
        <v>91.800000000000011</v>
      </c>
      <c r="BY72" s="91">
        <f>Weather!O192</f>
        <v>19.800000000000004</v>
      </c>
    </row>
    <row r="73" spans="1:77" x14ac:dyDescent="0.2">
      <c r="A73" s="66">
        <v>42735</v>
      </c>
      <c r="B73" s="114">
        <f t="shared" si="50"/>
        <v>2016</v>
      </c>
      <c r="C73" s="104">
        <v>15862873.509999998</v>
      </c>
      <c r="D73" s="94">
        <v>0</v>
      </c>
      <c r="E73" s="171">
        <f ca="1">CDM!D94</f>
        <v>800697.18582258793</v>
      </c>
      <c r="F73" s="94">
        <f t="shared" ca="1" si="51"/>
        <v>16663570.695822585</v>
      </c>
      <c r="G73" s="94">
        <f ca="1">VLOOKUP(B73,CDM!$A$3:$G$14,7,FALSE)</f>
        <v>702494.9326174598</v>
      </c>
      <c r="H73" s="94">
        <f t="shared" ca="1" si="65"/>
        <v>16565368.442617457</v>
      </c>
      <c r="I73" s="90">
        <f>Weather!F193</f>
        <v>591.00000000000011</v>
      </c>
      <c r="J73" s="90">
        <f>Weather!G193</f>
        <v>0</v>
      </c>
      <c r="K73" s="108">
        <v>31</v>
      </c>
      <c r="L73" s="108">
        <f t="shared" ref="L73:W73" si="75">L61</f>
        <v>0</v>
      </c>
      <c r="M73" s="108">
        <f t="shared" si="75"/>
        <v>0</v>
      </c>
      <c r="N73" s="108">
        <f t="shared" si="75"/>
        <v>0</v>
      </c>
      <c r="O73" s="108">
        <f t="shared" si="75"/>
        <v>0</v>
      </c>
      <c r="P73" s="108">
        <f t="shared" si="75"/>
        <v>0</v>
      </c>
      <c r="Q73" s="108">
        <f t="shared" si="75"/>
        <v>0</v>
      </c>
      <c r="R73" s="108">
        <f t="shared" si="75"/>
        <v>0</v>
      </c>
      <c r="S73" s="108">
        <f t="shared" si="75"/>
        <v>0</v>
      </c>
      <c r="T73" s="108">
        <f t="shared" si="75"/>
        <v>0</v>
      </c>
      <c r="U73" s="108">
        <f t="shared" si="75"/>
        <v>0</v>
      </c>
      <c r="V73" s="108">
        <f t="shared" si="75"/>
        <v>0</v>
      </c>
      <c r="W73" s="108">
        <f t="shared" si="75"/>
        <v>1</v>
      </c>
      <c r="X73" s="109">
        <v>0</v>
      </c>
      <c r="Y73" s="108">
        <f t="shared" si="61"/>
        <v>0</v>
      </c>
      <c r="Z73" s="108">
        <f t="shared" si="61"/>
        <v>0</v>
      </c>
      <c r="AA73" s="152">
        <v>0</v>
      </c>
      <c r="AB73" s="152">
        <v>0</v>
      </c>
      <c r="AC73" s="152">
        <f t="shared" si="67"/>
        <v>0</v>
      </c>
      <c r="AD73" s="152">
        <f t="shared" si="69"/>
        <v>0</v>
      </c>
      <c r="AE73" s="152">
        <v>0</v>
      </c>
      <c r="AF73" s="150">
        <f>'Customer Count'!I73</f>
        <v>13867</v>
      </c>
      <c r="AG73" s="150">
        <f>AF73-'Customer Count'!G73-'Customer Count'!F73</f>
        <v>11168</v>
      </c>
      <c r="AH73" s="150">
        <f>AF73-'Customer Count'!H73</f>
        <v>13866</v>
      </c>
      <c r="AI73" s="109">
        <f t="shared" si="70"/>
        <v>72</v>
      </c>
      <c r="AJ73" s="109">
        <v>336</v>
      </c>
      <c r="AK73" s="91">
        <v>150.67756437229883</v>
      </c>
      <c r="AL73" s="91">
        <f>Economic!C85</f>
        <v>692620.80000000005</v>
      </c>
      <c r="AM73" s="91">
        <f>Economic!D85</f>
        <v>7028.8</v>
      </c>
      <c r="AN73" s="91">
        <f>Economic!E85</f>
        <v>7041.6</v>
      </c>
      <c r="AO73" s="91">
        <f>Economic!F85</f>
        <v>6.4</v>
      </c>
      <c r="AP73" s="91">
        <f>Economic!G85</f>
        <v>5.7</v>
      </c>
      <c r="AQ73" s="91">
        <f>Economic!H85</f>
        <v>397.1</v>
      </c>
      <c r="AR73" s="91">
        <f>Economic!I85</f>
        <v>398</v>
      </c>
      <c r="AS73" s="91">
        <f>Economic!J85</f>
        <v>6</v>
      </c>
      <c r="AT73" s="91">
        <f>Economic!K85</f>
        <v>5.5</v>
      </c>
      <c r="AU73" s="91">
        <f>Economic!L85</f>
        <v>205</v>
      </c>
      <c r="AV73" s="91">
        <f>Economic!M85</f>
        <v>206.8</v>
      </c>
      <c r="AW73" s="91">
        <f>Economic!N85</f>
        <v>6.3</v>
      </c>
      <c r="AX73" s="91">
        <f>Economic!O85</f>
        <v>5.8</v>
      </c>
      <c r="AY73" s="91">
        <f>Economic!P85</f>
        <v>2.249359299894893E-2</v>
      </c>
      <c r="AZ73" s="91">
        <f>Economic!Q85</f>
        <v>1.2386933225787766E-2</v>
      </c>
      <c r="BA73" s="91">
        <f>Economic!R85</f>
        <v>1.3442330387726464E-2</v>
      </c>
      <c r="BB73" s="91">
        <f>Economic!S85</f>
        <v>3.4923117018504035E-2</v>
      </c>
      <c r="BC73" s="91">
        <f>Economic!T85</f>
        <v>3.2693305656460891E-2</v>
      </c>
      <c r="BD73" s="91">
        <f>Economic!U85</f>
        <v>-1.9474196689386325E-3</v>
      </c>
      <c r="BE73" s="91">
        <f>Economic!V85</f>
        <v>1.9379844961240345E-3</v>
      </c>
      <c r="BF73" s="91">
        <f>Economic!W85</f>
        <v>15236.800000000047</v>
      </c>
      <c r="BG73" s="91">
        <f>Economic!X85</f>
        <v>86</v>
      </c>
      <c r="BH73" s="91">
        <f>Economic!Y85</f>
        <v>93.400000000000546</v>
      </c>
      <c r="BI73" s="91">
        <f>Economic!Z85</f>
        <v>13.400000000000034</v>
      </c>
      <c r="BJ73" s="91">
        <f>Economic!AA85</f>
        <v>12.600000000000023</v>
      </c>
      <c r="BK73" s="91">
        <f>Economic!AB85</f>
        <v>-0.40000000000000568</v>
      </c>
      <c r="BL73" s="91">
        <f>Economic!AC85</f>
        <v>0.40000000000000568</v>
      </c>
      <c r="BM73" s="91">
        <f>Weather!C193</f>
        <v>-1.0645161290322585</v>
      </c>
      <c r="BN73" s="91">
        <f>Weather!D193</f>
        <v>653.00000000000011</v>
      </c>
      <c r="BO73" s="91">
        <f>Weather!E193</f>
        <v>0</v>
      </c>
      <c r="BP73" s="91">
        <f>Weather!F193</f>
        <v>591.00000000000011</v>
      </c>
      <c r="BQ73" s="91">
        <f>Weather!G193</f>
        <v>0</v>
      </c>
      <c r="BR73" s="91">
        <f>Weather!H193</f>
        <v>529</v>
      </c>
      <c r="BS73" s="91">
        <f>Weather!I193</f>
        <v>0</v>
      </c>
      <c r="BT73" s="91">
        <f>Weather!J193</f>
        <v>467</v>
      </c>
      <c r="BU73" s="91">
        <f>Weather!K193</f>
        <v>0</v>
      </c>
      <c r="BV73" s="91">
        <f>Weather!L193</f>
        <v>405</v>
      </c>
      <c r="BW73" s="91">
        <f>Weather!M193</f>
        <v>0</v>
      </c>
      <c r="BX73" s="91">
        <f>Weather!N193</f>
        <v>343</v>
      </c>
      <c r="BY73" s="91">
        <f>Weather!O193</f>
        <v>0</v>
      </c>
    </row>
    <row r="74" spans="1:77" x14ac:dyDescent="0.2">
      <c r="A74" s="66">
        <v>42766</v>
      </c>
      <c r="B74" s="114">
        <f t="shared" si="50"/>
        <v>2017</v>
      </c>
      <c r="C74" s="104">
        <v>15654286.4</v>
      </c>
      <c r="D74" s="94">
        <v>0</v>
      </c>
      <c r="E74" s="171">
        <f ca="1">CDM!D95</f>
        <v>806836.31240434735</v>
      </c>
      <c r="F74" s="94">
        <f t="shared" ca="1" si="51"/>
        <v>16461122.712404348</v>
      </c>
      <c r="G74" s="94">
        <f ca="1">VLOOKUP(B74,CDM!$A$3:$G$14,7,FALSE)</f>
        <v>898139.50877827685</v>
      </c>
      <c r="H74" s="94">
        <f t="shared" ca="1" si="65"/>
        <v>16552425.908778276</v>
      </c>
      <c r="I74" s="90">
        <f>Weather!F194</f>
        <v>586.0999999999998</v>
      </c>
      <c r="J74" s="90">
        <f>Weather!G194</f>
        <v>0</v>
      </c>
      <c r="K74" s="108">
        <v>31</v>
      </c>
      <c r="L74" s="108">
        <f t="shared" ref="L74:W74" si="76">L62</f>
        <v>1</v>
      </c>
      <c r="M74" s="108">
        <f t="shared" si="76"/>
        <v>0</v>
      </c>
      <c r="N74" s="108">
        <f t="shared" si="76"/>
        <v>0</v>
      </c>
      <c r="O74" s="108">
        <f t="shared" si="76"/>
        <v>0</v>
      </c>
      <c r="P74" s="108">
        <f t="shared" si="76"/>
        <v>0</v>
      </c>
      <c r="Q74" s="108">
        <f t="shared" si="76"/>
        <v>0</v>
      </c>
      <c r="R74" s="108">
        <f t="shared" si="76"/>
        <v>0</v>
      </c>
      <c r="S74" s="108">
        <f t="shared" si="76"/>
        <v>0</v>
      </c>
      <c r="T74" s="108">
        <f t="shared" si="76"/>
        <v>0</v>
      </c>
      <c r="U74" s="108">
        <f t="shared" si="76"/>
        <v>0</v>
      </c>
      <c r="V74" s="108">
        <f t="shared" si="76"/>
        <v>0</v>
      </c>
      <c r="W74" s="108">
        <f t="shared" si="76"/>
        <v>0</v>
      </c>
      <c r="X74" s="109">
        <v>0</v>
      </c>
      <c r="Y74" s="108">
        <f t="shared" si="61"/>
        <v>0</v>
      </c>
      <c r="Z74" s="108">
        <f t="shared" si="61"/>
        <v>0</v>
      </c>
      <c r="AA74" s="152">
        <v>0</v>
      </c>
      <c r="AB74" s="152">
        <v>0</v>
      </c>
      <c r="AC74" s="152">
        <f t="shared" si="67"/>
        <v>0</v>
      </c>
      <c r="AD74" s="152">
        <f t="shared" si="69"/>
        <v>0</v>
      </c>
      <c r="AE74" s="152">
        <v>0</v>
      </c>
      <c r="AF74" s="150">
        <f>'Customer Count'!I74</f>
        <v>13870</v>
      </c>
      <c r="AG74" s="150">
        <f>AF74-'Customer Count'!G74-'Customer Count'!F74</f>
        <v>11171</v>
      </c>
      <c r="AH74" s="150">
        <f>AF74-'Customer Count'!H74</f>
        <v>13869</v>
      </c>
      <c r="AI74" s="109">
        <f t="shared" si="70"/>
        <v>73</v>
      </c>
      <c r="AJ74" s="109">
        <v>336</v>
      </c>
      <c r="AK74" s="91">
        <v>150.98793548444445</v>
      </c>
      <c r="AL74" s="91">
        <f>Economic!C86</f>
        <v>711695.1</v>
      </c>
      <c r="AM74" s="91">
        <f>Economic!D86</f>
        <v>7045.6</v>
      </c>
      <c r="AN74" s="91">
        <f>Economic!E86</f>
        <v>7018.6</v>
      </c>
      <c r="AO74" s="91">
        <f>Economic!F86</f>
        <v>6.4</v>
      </c>
      <c r="AP74" s="91">
        <f>Economic!G86</f>
        <v>6</v>
      </c>
      <c r="AQ74" s="91">
        <f>Economic!H86</f>
        <v>398.1</v>
      </c>
      <c r="AR74" s="91">
        <f>Economic!I86</f>
        <v>397.6</v>
      </c>
      <c r="AS74" s="91">
        <f>Economic!J86</f>
        <v>5.9</v>
      </c>
      <c r="AT74" s="91">
        <f>Economic!K86</f>
        <v>5.6</v>
      </c>
      <c r="AU74" s="91">
        <f>Economic!L86</f>
        <v>201.3</v>
      </c>
      <c r="AV74" s="91">
        <f>Economic!M86</f>
        <v>199.4</v>
      </c>
      <c r="AW74" s="91">
        <f>Economic!N86</f>
        <v>6.6</v>
      </c>
      <c r="AX74" s="91">
        <f>Economic!O86</f>
        <v>6.7</v>
      </c>
      <c r="AY74" s="91">
        <f>Economic!P86</f>
        <v>2.7539311554027668E-2</v>
      </c>
      <c r="AZ74" s="91">
        <f>Economic!Q86</f>
        <v>1.2633485203443762E-2</v>
      </c>
      <c r="BA74" s="91">
        <f>Economic!R86</f>
        <v>1.4365822638455317E-2</v>
      </c>
      <c r="BB74" s="91">
        <f>Economic!S86</f>
        <v>4.051228437009935E-2</v>
      </c>
      <c r="BC74" s="91">
        <f>Economic!T86</f>
        <v>4.1655750589468354E-2</v>
      </c>
      <c r="BD74" s="91">
        <f>Economic!U86</f>
        <v>-1.660967269174396E-2</v>
      </c>
      <c r="BE74" s="91">
        <f>Economic!V86</f>
        <v>-1.4335145823035078E-2</v>
      </c>
      <c r="BF74" s="91">
        <f>Economic!W86</f>
        <v>19074.29999999993</v>
      </c>
      <c r="BG74" s="91">
        <f>Economic!X86</f>
        <v>87.900000000000546</v>
      </c>
      <c r="BH74" s="91">
        <f>Economic!Y86</f>
        <v>99.400000000000546</v>
      </c>
      <c r="BI74" s="91">
        <f>Economic!Z86</f>
        <v>15.5</v>
      </c>
      <c r="BJ74" s="91">
        <f>Economic!AA86</f>
        <v>15.900000000000034</v>
      </c>
      <c r="BK74" s="91">
        <f>Economic!AB86</f>
        <v>-3.3999999999999773</v>
      </c>
      <c r="BL74" s="91">
        <f>Economic!AC86</f>
        <v>-2.9000000000000057</v>
      </c>
      <c r="BM74" s="91">
        <f>Weather!C194</f>
        <v>-0.90645161290322607</v>
      </c>
      <c r="BN74" s="91">
        <f>Weather!D194</f>
        <v>648.09999999999991</v>
      </c>
      <c r="BO74" s="91">
        <f>Weather!E194</f>
        <v>0</v>
      </c>
      <c r="BP74" s="91">
        <f>Weather!F194</f>
        <v>586.0999999999998</v>
      </c>
      <c r="BQ74" s="91">
        <f>Weather!G194</f>
        <v>0</v>
      </c>
      <c r="BR74" s="91">
        <f>Weather!H194</f>
        <v>524.09999999999991</v>
      </c>
      <c r="BS74" s="91">
        <f>Weather!I194</f>
        <v>0</v>
      </c>
      <c r="BT74" s="91">
        <f>Weather!J194</f>
        <v>462.09999999999991</v>
      </c>
      <c r="BU74" s="91">
        <f>Weather!K194</f>
        <v>0</v>
      </c>
      <c r="BV74" s="91">
        <f>Weather!L194</f>
        <v>400.09999999999997</v>
      </c>
      <c r="BW74" s="91">
        <f>Weather!M194</f>
        <v>0</v>
      </c>
      <c r="BX74" s="91">
        <f>Weather!N194</f>
        <v>338.09999999999997</v>
      </c>
      <c r="BY74" s="91">
        <f>Weather!O194</f>
        <v>0</v>
      </c>
    </row>
    <row r="75" spans="1:77" x14ac:dyDescent="0.2">
      <c r="A75" s="66">
        <v>42794</v>
      </c>
      <c r="B75" s="114">
        <f t="shared" si="50"/>
        <v>2017</v>
      </c>
      <c r="C75" s="104">
        <v>13535413.060000001</v>
      </c>
      <c r="D75" s="94">
        <v>0</v>
      </c>
      <c r="E75" s="171">
        <f ca="1">CDM!D96</f>
        <v>823436.89356324368</v>
      </c>
      <c r="F75" s="94">
        <f t="shared" ca="1" si="51"/>
        <v>14358849.953563245</v>
      </c>
      <c r="G75" s="94">
        <f ca="1">VLOOKUP(B75,CDM!$A$3:$G$14,7,FALSE)</f>
        <v>898139.50877827685</v>
      </c>
      <c r="H75" s="94">
        <f t="shared" ca="1" si="65"/>
        <v>14433552.568778276</v>
      </c>
      <c r="I75" s="90">
        <f>Weather!F195</f>
        <v>471.3</v>
      </c>
      <c r="J75" s="90">
        <f>Weather!G195</f>
        <v>0</v>
      </c>
      <c r="K75" s="108">
        <v>28</v>
      </c>
      <c r="L75" s="108">
        <f t="shared" ref="L75:W75" si="77">L63</f>
        <v>0</v>
      </c>
      <c r="M75" s="108">
        <f t="shared" si="77"/>
        <v>1</v>
      </c>
      <c r="N75" s="108">
        <f t="shared" si="77"/>
        <v>0</v>
      </c>
      <c r="O75" s="108">
        <f t="shared" si="77"/>
        <v>0</v>
      </c>
      <c r="P75" s="108">
        <f t="shared" si="77"/>
        <v>0</v>
      </c>
      <c r="Q75" s="108">
        <f t="shared" si="77"/>
        <v>0</v>
      </c>
      <c r="R75" s="108">
        <f t="shared" si="77"/>
        <v>0</v>
      </c>
      <c r="S75" s="108">
        <f t="shared" si="77"/>
        <v>0</v>
      </c>
      <c r="T75" s="108">
        <f t="shared" si="77"/>
        <v>0</v>
      </c>
      <c r="U75" s="108">
        <f t="shared" si="77"/>
        <v>0</v>
      </c>
      <c r="V75" s="108">
        <f t="shared" si="77"/>
        <v>0</v>
      </c>
      <c r="W75" s="108">
        <f t="shared" si="77"/>
        <v>0</v>
      </c>
      <c r="X75" s="109">
        <v>0</v>
      </c>
      <c r="Y75" s="108">
        <f t="shared" si="61"/>
        <v>0</v>
      </c>
      <c r="Z75" s="108">
        <f t="shared" si="61"/>
        <v>0</v>
      </c>
      <c r="AA75" s="152">
        <v>0</v>
      </c>
      <c r="AB75" s="152">
        <v>0</v>
      </c>
      <c r="AC75" s="152">
        <f t="shared" si="67"/>
        <v>0</v>
      </c>
      <c r="AD75" s="152">
        <f t="shared" si="69"/>
        <v>0</v>
      </c>
      <c r="AE75" s="152">
        <v>0</v>
      </c>
      <c r="AF75" s="150">
        <f>'Customer Count'!I75</f>
        <v>13875.5</v>
      </c>
      <c r="AG75" s="150">
        <f>AF75-'Customer Count'!G75-'Customer Count'!F75</f>
        <v>11176.5</v>
      </c>
      <c r="AH75" s="150">
        <f>AF75-'Customer Count'!H75</f>
        <v>13874.5</v>
      </c>
      <c r="AI75" s="109">
        <f t="shared" si="70"/>
        <v>74</v>
      </c>
      <c r="AJ75" s="109">
        <v>304</v>
      </c>
      <c r="AK75" s="91">
        <v>151.298945910264</v>
      </c>
      <c r="AL75" s="91">
        <f>Economic!C87</f>
        <v>711695.1</v>
      </c>
      <c r="AM75" s="91">
        <f>Economic!D87</f>
        <v>7060.7</v>
      </c>
      <c r="AN75" s="91">
        <f>Economic!E87</f>
        <v>6996</v>
      </c>
      <c r="AO75" s="91">
        <f>Economic!F87</f>
        <v>6.4</v>
      </c>
      <c r="AP75" s="91">
        <f>Economic!G87</f>
        <v>6.2</v>
      </c>
      <c r="AQ75" s="91">
        <f>Economic!H87</f>
        <v>398.6</v>
      </c>
      <c r="AR75" s="91">
        <f>Economic!I87</f>
        <v>396.1</v>
      </c>
      <c r="AS75" s="91">
        <f>Economic!J87</f>
        <v>5.8</v>
      </c>
      <c r="AT75" s="91">
        <f>Economic!K87</f>
        <v>5.6</v>
      </c>
      <c r="AU75" s="91">
        <f>Economic!L87</f>
        <v>197.7</v>
      </c>
      <c r="AV75" s="91">
        <f>Economic!M87</f>
        <v>194.1</v>
      </c>
      <c r="AW75" s="91">
        <f>Economic!N87</f>
        <v>6.8</v>
      </c>
      <c r="AX75" s="91">
        <f>Economic!O87</f>
        <v>7.2</v>
      </c>
      <c r="AY75" s="91">
        <f>Economic!P87</f>
        <v>2.7539311554027668E-2</v>
      </c>
      <c r="AZ75" s="91">
        <f>Economic!Q87</f>
        <v>1.2925716581069002E-2</v>
      </c>
      <c r="BA75" s="91">
        <f>Economic!R87</f>
        <v>1.4383482194640917E-2</v>
      </c>
      <c r="BB75" s="91">
        <f>Economic!S87</f>
        <v>3.748047891723072E-2</v>
      </c>
      <c r="BC75" s="91">
        <f>Economic!T87</f>
        <v>4.0178571428571397E-2</v>
      </c>
      <c r="BD75" s="91">
        <f>Economic!U87</f>
        <v>-3.7487828627069231E-2</v>
      </c>
      <c r="BE75" s="91">
        <f>Economic!V87</f>
        <v>-3.6724565756823813E-2</v>
      </c>
      <c r="BF75" s="91">
        <f>Economic!W87</f>
        <v>19074.29999999993</v>
      </c>
      <c r="BG75" s="91">
        <f>Economic!X87</f>
        <v>90.099999999999454</v>
      </c>
      <c r="BH75" s="91">
        <f>Economic!Y87</f>
        <v>99.199999999999818</v>
      </c>
      <c r="BI75" s="91">
        <f>Economic!Z87</f>
        <v>14.400000000000034</v>
      </c>
      <c r="BJ75" s="91">
        <f>Economic!AA87</f>
        <v>15.300000000000011</v>
      </c>
      <c r="BK75" s="91">
        <f>Economic!AB87</f>
        <v>-7.7000000000000171</v>
      </c>
      <c r="BL75" s="91">
        <f>Economic!AC87</f>
        <v>-7.4000000000000057</v>
      </c>
      <c r="BM75" s="91">
        <f>Weather!C195</f>
        <v>1.1678571428571429</v>
      </c>
      <c r="BN75" s="91">
        <f>Weather!D195</f>
        <v>527.30000000000007</v>
      </c>
      <c r="BO75" s="91">
        <f>Weather!E195</f>
        <v>0</v>
      </c>
      <c r="BP75" s="91">
        <f>Weather!F195</f>
        <v>471.3</v>
      </c>
      <c r="BQ75" s="91">
        <f>Weather!G195</f>
        <v>0</v>
      </c>
      <c r="BR75" s="91">
        <f>Weather!H195</f>
        <v>415.3</v>
      </c>
      <c r="BS75" s="91">
        <f>Weather!I195</f>
        <v>0</v>
      </c>
      <c r="BT75" s="91">
        <f>Weather!J195</f>
        <v>359.6</v>
      </c>
      <c r="BU75" s="91">
        <f>Weather!K195</f>
        <v>0.30000000000000071</v>
      </c>
      <c r="BV75" s="91">
        <f>Weather!L195</f>
        <v>305.60000000000002</v>
      </c>
      <c r="BW75" s="91">
        <f>Weather!M195</f>
        <v>2.3000000000000007</v>
      </c>
      <c r="BX75" s="91">
        <f>Weather!N195</f>
        <v>251.6</v>
      </c>
      <c r="BY75" s="91">
        <f>Weather!O195</f>
        <v>4.3000000000000007</v>
      </c>
    </row>
    <row r="76" spans="1:77" x14ac:dyDescent="0.2">
      <c r="A76" s="66">
        <v>42825</v>
      </c>
      <c r="B76" s="114">
        <f t="shared" si="50"/>
        <v>2017</v>
      </c>
      <c r="C76" s="105">
        <v>17164609.959131006</v>
      </c>
      <c r="D76" s="105">
        <v>2413945.7550129993</v>
      </c>
      <c r="E76" s="171">
        <f ca="1">CDM!D97</f>
        <v>840037.47472214</v>
      </c>
      <c r="F76" s="94">
        <f t="shared" ca="1" si="51"/>
        <v>15590701.678840145</v>
      </c>
      <c r="G76" s="94">
        <f ca="1">VLOOKUP(B76,CDM!$A$3:$G$14,7,FALSE)</f>
        <v>898139.50877827685</v>
      </c>
      <c r="H76" s="94">
        <f t="shared" ca="1" si="65"/>
        <v>15648803.712896284</v>
      </c>
      <c r="I76" s="90">
        <f>Weather!F196</f>
        <v>540.6</v>
      </c>
      <c r="J76" s="90">
        <f>Weather!G196</f>
        <v>0</v>
      </c>
      <c r="K76" s="108">
        <v>31</v>
      </c>
      <c r="L76" s="108">
        <f t="shared" ref="L76:W76" si="78">L64</f>
        <v>0</v>
      </c>
      <c r="M76" s="108">
        <f t="shared" si="78"/>
        <v>0</v>
      </c>
      <c r="N76" s="108">
        <f t="shared" si="78"/>
        <v>1</v>
      </c>
      <c r="O76" s="108">
        <f t="shared" si="78"/>
        <v>0</v>
      </c>
      <c r="P76" s="108">
        <f t="shared" si="78"/>
        <v>0</v>
      </c>
      <c r="Q76" s="108">
        <f t="shared" si="78"/>
        <v>0</v>
      </c>
      <c r="R76" s="108">
        <f t="shared" si="78"/>
        <v>0</v>
      </c>
      <c r="S76" s="108">
        <f t="shared" si="78"/>
        <v>0</v>
      </c>
      <c r="T76" s="108">
        <f t="shared" si="78"/>
        <v>0</v>
      </c>
      <c r="U76" s="108">
        <f t="shared" si="78"/>
        <v>0</v>
      </c>
      <c r="V76" s="108">
        <f t="shared" si="78"/>
        <v>0</v>
      </c>
      <c r="W76" s="108">
        <f t="shared" si="78"/>
        <v>0</v>
      </c>
      <c r="X76" s="109">
        <v>1</v>
      </c>
      <c r="Y76" s="108">
        <f t="shared" si="61"/>
        <v>1</v>
      </c>
      <c r="Z76" s="108">
        <f t="shared" si="61"/>
        <v>0</v>
      </c>
      <c r="AA76" s="152">
        <v>0</v>
      </c>
      <c r="AB76" s="152">
        <v>0</v>
      </c>
      <c r="AC76" s="152">
        <f t="shared" si="67"/>
        <v>0</v>
      </c>
      <c r="AD76" s="152">
        <f t="shared" si="69"/>
        <v>0</v>
      </c>
      <c r="AE76" s="152">
        <v>0</v>
      </c>
      <c r="AF76" s="150">
        <f>'Customer Count'!I76</f>
        <v>13897</v>
      </c>
      <c r="AG76" s="150">
        <f>AF76-'Customer Count'!G76-'Customer Count'!F76</f>
        <v>11198.5</v>
      </c>
      <c r="AH76" s="150">
        <f>AF76-'Customer Count'!H76</f>
        <v>13896</v>
      </c>
      <c r="AI76" s="109">
        <f t="shared" si="70"/>
        <v>75</v>
      </c>
      <c r="AJ76" s="109">
        <v>352</v>
      </c>
      <c r="AK76" s="91">
        <v>151.61059696663892</v>
      </c>
      <c r="AL76" s="91">
        <f>Economic!C88</f>
        <v>711695.1</v>
      </c>
      <c r="AM76" s="91">
        <f>Economic!D88</f>
        <v>7074.2</v>
      </c>
      <c r="AN76" s="91">
        <f>Economic!E88</f>
        <v>6972</v>
      </c>
      <c r="AO76" s="91">
        <f>Economic!F88</f>
        <v>6.3</v>
      </c>
      <c r="AP76" s="91">
        <f>Economic!G88</f>
        <v>6.5</v>
      </c>
      <c r="AQ76" s="91">
        <f>Economic!H88</f>
        <v>402</v>
      </c>
      <c r="AR76" s="91">
        <f>Economic!I88</f>
        <v>396.5</v>
      </c>
      <c r="AS76" s="91">
        <f>Economic!J88</f>
        <v>5.8</v>
      </c>
      <c r="AT76" s="91">
        <f>Economic!K88</f>
        <v>5.8</v>
      </c>
      <c r="AU76" s="91">
        <f>Economic!L88</f>
        <v>196.4</v>
      </c>
      <c r="AV76" s="91">
        <f>Economic!M88</f>
        <v>191</v>
      </c>
      <c r="AW76" s="91">
        <f>Economic!N88</f>
        <v>6.8</v>
      </c>
      <c r="AX76" s="91">
        <f>Economic!O88</f>
        <v>7.7</v>
      </c>
      <c r="AY76" s="91">
        <f>Economic!P88</f>
        <v>2.7539311554027668E-2</v>
      </c>
      <c r="AZ76" s="91">
        <f>Economic!Q88</f>
        <v>1.3771657041314889E-2</v>
      </c>
      <c r="BA76" s="91">
        <f>Economic!R88</f>
        <v>1.449275362318847E-2</v>
      </c>
      <c r="BB76" s="91">
        <f>Economic!S88</f>
        <v>4.3613707165109039E-2</v>
      </c>
      <c r="BC76" s="91">
        <f>Economic!T88</f>
        <v>4.6450250725785125E-2</v>
      </c>
      <c r="BD76" s="91">
        <f>Economic!U88</f>
        <v>-3.4414945919370665E-2</v>
      </c>
      <c r="BE76" s="91">
        <f>Economic!V88</f>
        <v>-3.7783375314861423E-2</v>
      </c>
      <c r="BF76" s="91">
        <f>Economic!W88</f>
        <v>19074.29999999993</v>
      </c>
      <c r="BG76" s="91">
        <f>Economic!X88</f>
        <v>96.099999999999454</v>
      </c>
      <c r="BH76" s="91">
        <f>Economic!Y88</f>
        <v>99.600000000000364</v>
      </c>
      <c r="BI76" s="91">
        <f>Economic!Z88</f>
        <v>16.800000000000011</v>
      </c>
      <c r="BJ76" s="91">
        <f>Economic!AA88</f>
        <v>17.600000000000023</v>
      </c>
      <c r="BK76" s="91">
        <f>Economic!AB88</f>
        <v>-7</v>
      </c>
      <c r="BL76" s="91">
        <f>Economic!AC88</f>
        <v>-7.5</v>
      </c>
      <c r="BM76" s="91">
        <f>Weather!C196</f>
        <v>0.56129032258064526</v>
      </c>
      <c r="BN76" s="91">
        <f>Weather!D196</f>
        <v>602.60000000000014</v>
      </c>
      <c r="BO76" s="91">
        <f>Weather!E196</f>
        <v>0</v>
      </c>
      <c r="BP76" s="91">
        <f>Weather!F196</f>
        <v>540.6</v>
      </c>
      <c r="BQ76" s="91">
        <f>Weather!G196</f>
        <v>0</v>
      </c>
      <c r="BR76" s="91">
        <f>Weather!H196</f>
        <v>478.59999999999997</v>
      </c>
      <c r="BS76" s="91">
        <f>Weather!I196</f>
        <v>0</v>
      </c>
      <c r="BT76" s="91">
        <f>Weather!J196</f>
        <v>416.59999999999997</v>
      </c>
      <c r="BU76" s="91">
        <f>Weather!K196</f>
        <v>0</v>
      </c>
      <c r="BV76" s="91">
        <f>Weather!L196</f>
        <v>354.59999999999997</v>
      </c>
      <c r="BW76" s="91">
        <f>Weather!M196</f>
        <v>0</v>
      </c>
      <c r="BX76" s="91">
        <f>Weather!N196</f>
        <v>293.39999999999998</v>
      </c>
      <c r="BY76" s="91">
        <f>Weather!O196</f>
        <v>0.80000000000000071</v>
      </c>
    </row>
    <row r="77" spans="1:77" x14ac:dyDescent="0.2">
      <c r="A77" s="66">
        <v>42855</v>
      </c>
      <c r="B77" s="114">
        <f t="shared" si="50"/>
        <v>2017</v>
      </c>
      <c r="C77" s="104">
        <v>15201392.558417326</v>
      </c>
      <c r="D77" s="104">
        <v>2181294.6017022091</v>
      </c>
      <c r="E77" s="171">
        <f ca="1">CDM!D98</f>
        <v>856638.05588103621</v>
      </c>
      <c r="F77" s="94">
        <f t="shared" ca="1" si="51"/>
        <v>13876736.012596153</v>
      </c>
      <c r="G77" s="94">
        <f ca="1">VLOOKUP(B77,CDM!$A$3:$G$14,7,FALSE)</f>
        <v>898139.50877827685</v>
      </c>
      <c r="H77" s="94">
        <f t="shared" ca="1" si="65"/>
        <v>13918237.465493392</v>
      </c>
      <c r="I77" s="90">
        <f>Weather!F197</f>
        <v>257.2999999999999</v>
      </c>
      <c r="J77" s="90">
        <f>Weather!G197</f>
        <v>1.3000000000000007</v>
      </c>
      <c r="K77" s="108">
        <v>30</v>
      </c>
      <c r="L77" s="108">
        <f t="shared" ref="L77:W77" si="79">L65</f>
        <v>0</v>
      </c>
      <c r="M77" s="108">
        <f t="shared" si="79"/>
        <v>0</v>
      </c>
      <c r="N77" s="108">
        <f t="shared" si="79"/>
        <v>0</v>
      </c>
      <c r="O77" s="108">
        <f t="shared" si="79"/>
        <v>1</v>
      </c>
      <c r="P77" s="108">
        <f t="shared" si="79"/>
        <v>0</v>
      </c>
      <c r="Q77" s="108">
        <f t="shared" si="79"/>
        <v>0</v>
      </c>
      <c r="R77" s="108">
        <f t="shared" si="79"/>
        <v>0</v>
      </c>
      <c r="S77" s="108">
        <f t="shared" si="79"/>
        <v>0</v>
      </c>
      <c r="T77" s="108">
        <f t="shared" si="79"/>
        <v>0</v>
      </c>
      <c r="U77" s="108">
        <f t="shared" si="79"/>
        <v>0</v>
      </c>
      <c r="V77" s="108">
        <f t="shared" si="79"/>
        <v>0</v>
      </c>
      <c r="W77" s="108">
        <f t="shared" si="79"/>
        <v>0</v>
      </c>
      <c r="X77" s="109">
        <v>1</v>
      </c>
      <c r="Y77" s="108">
        <f t="shared" si="61"/>
        <v>1</v>
      </c>
      <c r="Z77" s="108">
        <f t="shared" si="61"/>
        <v>0</v>
      </c>
      <c r="AA77" s="152">
        <v>0</v>
      </c>
      <c r="AB77" s="152">
        <v>0</v>
      </c>
      <c r="AC77" s="152">
        <f t="shared" si="67"/>
        <v>0</v>
      </c>
      <c r="AD77" s="152">
        <f t="shared" si="69"/>
        <v>0</v>
      </c>
      <c r="AE77" s="152">
        <v>0</v>
      </c>
      <c r="AF77" s="150">
        <f>'Customer Count'!I77</f>
        <v>13921</v>
      </c>
      <c r="AG77" s="150">
        <f>AF77-'Customer Count'!G77-'Customer Count'!F77</f>
        <v>11223</v>
      </c>
      <c r="AH77" s="150">
        <f>AF77-'Customer Count'!H77</f>
        <v>13920</v>
      </c>
      <c r="AI77" s="109">
        <f t="shared" si="70"/>
        <v>76</v>
      </c>
      <c r="AJ77" s="109">
        <v>336</v>
      </c>
      <c r="AK77" s="91">
        <v>151.92288997316331</v>
      </c>
      <c r="AL77" s="91">
        <f>Economic!C89</f>
        <v>711695.1</v>
      </c>
      <c r="AM77" s="91">
        <f>Economic!D89</f>
        <v>7074.8</v>
      </c>
      <c r="AN77" s="91">
        <f>Economic!E89</f>
        <v>6982.8</v>
      </c>
      <c r="AO77" s="91">
        <f>Economic!F89</f>
        <v>6.2</v>
      </c>
      <c r="AP77" s="91">
        <f>Economic!G89</f>
        <v>6.3</v>
      </c>
      <c r="AQ77" s="91">
        <f>Economic!H89</f>
        <v>411</v>
      </c>
      <c r="AR77" s="91">
        <f>Economic!I89</f>
        <v>406.8</v>
      </c>
      <c r="AS77" s="91">
        <f>Economic!J89</f>
        <v>5.4</v>
      </c>
      <c r="AT77" s="91">
        <f>Economic!K89</f>
        <v>5.2</v>
      </c>
      <c r="AU77" s="91">
        <f>Economic!L89</f>
        <v>196.3</v>
      </c>
      <c r="AV77" s="91">
        <f>Economic!M89</f>
        <v>191</v>
      </c>
      <c r="AW77" s="91">
        <f>Economic!N89</f>
        <v>7.1</v>
      </c>
      <c r="AX77" s="91">
        <f>Economic!O89</f>
        <v>7.9</v>
      </c>
      <c r="AY77" s="91">
        <f>Economic!P89</f>
        <v>2.7539311554027668E-2</v>
      </c>
      <c r="AZ77" s="91">
        <f>Economic!Q89</f>
        <v>1.3320347188404247E-2</v>
      </c>
      <c r="BA77" s="91">
        <f>Economic!R89</f>
        <v>1.3424669462868133E-2</v>
      </c>
      <c r="BB77" s="91">
        <f>Economic!S89</f>
        <v>5.9551430781129122E-2</v>
      </c>
      <c r="BC77" s="91">
        <f>Economic!T89</f>
        <v>6.0203283815480901E-2</v>
      </c>
      <c r="BD77" s="91">
        <f>Economic!U89</f>
        <v>-2.532274081429986E-2</v>
      </c>
      <c r="BE77" s="91">
        <f>Economic!V89</f>
        <v>-2.8484231943031513E-2</v>
      </c>
      <c r="BF77" s="91">
        <f>Economic!W89</f>
        <v>19074.29999999993</v>
      </c>
      <c r="BG77" s="91">
        <f>Economic!X89</f>
        <v>93</v>
      </c>
      <c r="BH77" s="91">
        <f>Economic!Y89</f>
        <v>92.5</v>
      </c>
      <c r="BI77" s="91">
        <f>Economic!Z89</f>
        <v>23.100000000000023</v>
      </c>
      <c r="BJ77" s="91">
        <f>Economic!AA89</f>
        <v>23.100000000000023</v>
      </c>
      <c r="BK77" s="91">
        <f>Economic!AB89</f>
        <v>-5.0999999999999943</v>
      </c>
      <c r="BL77" s="91">
        <f>Economic!AC89</f>
        <v>-5.5999999999999943</v>
      </c>
      <c r="BM77" s="91">
        <f>Weather!C197</f>
        <v>9.4666666666666703</v>
      </c>
      <c r="BN77" s="91">
        <f>Weather!D197</f>
        <v>315.99999999999989</v>
      </c>
      <c r="BO77" s="91">
        <f>Weather!E197</f>
        <v>0</v>
      </c>
      <c r="BP77" s="91">
        <f>Weather!F197</f>
        <v>257.2999999999999</v>
      </c>
      <c r="BQ77" s="91">
        <f>Weather!G197</f>
        <v>1.3000000000000007</v>
      </c>
      <c r="BR77" s="91">
        <f>Weather!H197</f>
        <v>201.29999999999995</v>
      </c>
      <c r="BS77" s="91">
        <f>Weather!I197</f>
        <v>5.3000000000000007</v>
      </c>
      <c r="BT77" s="91">
        <f>Weather!J197</f>
        <v>147.1</v>
      </c>
      <c r="BU77" s="91">
        <f>Weather!K197</f>
        <v>11.100000000000001</v>
      </c>
      <c r="BV77" s="91">
        <f>Weather!L197</f>
        <v>96.40000000000002</v>
      </c>
      <c r="BW77" s="91">
        <f>Weather!M197</f>
        <v>20.400000000000002</v>
      </c>
      <c r="BX77" s="91">
        <f>Weather!N197</f>
        <v>55.600000000000023</v>
      </c>
      <c r="BY77" s="91">
        <f>Weather!O197</f>
        <v>39.600000000000009</v>
      </c>
    </row>
    <row r="78" spans="1:77" x14ac:dyDescent="0.2">
      <c r="A78" s="66">
        <v>42886</v>
      </c>
      <c r="B78" s="114">
        <f t="shared" si="50"/>
        <v>2017</v>
      </c>
      <c r="C78" s="104">
        <v>16229118.897553997</v>
      </c>
      <c r="D78" s="104">
        <v>2595303.9357047086</v>
      </c>
      <c r="E78" s="171">
        <f ca="1">CDM!D99</f>
        <v>873238.63703993242</v>
      </c>
      <c r="F78" s="94">
        <f t="shared" ca="1" si="51"/>
        <v>14507053.598889221</v>
      </c>
      <c r="G78" s="94">
        <f ca="1">VLOOKUP(B78,CDM!$A$3:$G$14,7,FALSE)</f>
        <v>898139.50877827685</v>
      </c>
      <c r="H78" s="94">
        <f t="shared" ca="1" si="65"/>
        <v>14531954.470627565</v>
      </c>
      <c r="I78" s="90">
        <f>Weather!F198</f>
        <v>174.89999999999998</v>
      </c>
      <c r="J78" s="90">
        <f>Weather!G198</f>
        <v>12.000000000000004</v>
      </c>
      <c r="K78" s="108">
        <v>31</v>
      </c>
      <c r="L78" s="108">
        <f t="shared" ref="L78:W78" si="80">L66</f>
        <v>0</v>
      </c>
      <c r="M78" s="108">
        <f t="shared" si="80"/>
        <v>0</v>
      </c>
      <c r="N78" s="108">
        <f t="shared" si="80"/>
        <v>0</v>
      </c>
      <c r="O78" s="108">
        <f t="shared" si="80"/>
        <v>0</v>
      </c>
      <c r="P78" s="108">
        <f t="shared" si="80"/>
        <v>1</v>
      </c>
      <c r="Q78" s="108">
        <f t="shared" si="80"/>
        <v>0</v>
      </c>
      <c r="R78" s="108">
        <f t="shared" si="80"/>
        <v>0</v>
      </c>
      <c r="S78" s="108">
        <f t="shared" si="80"/>
        <v>0</v>
      </c>
      <c r="T78" s="108">
        <f t="shared" si="80"/>
        <v>0</v>
      </c>
      <c r="U78" s="108">
        <f t="shared" si="80"/>
        <v>0</v>
      </c>
      <c r="V78" s="108">
        <f t="shared" si="80"/>
        <v>0</v>
      </c>
      <c r="W78" s="108">
        <f t="shared" si="80"/>
        <v>0</v>
      </c>
      <c r="X78" s="109">
        <v>1</v>
      </c>
      <c r="Y78" s="108">
        <f t="shared" si="61"/>
        <v>1</v>
      </c>
      <c r="Z78" s="108">
        <f t="shared" si="61"/>
        <v>0</v>
      </c>
      <c r="AA78" s="152">
        <v>0</v>
      </c>
      <c r="AB78" s="152">
        <v>0</v>
      </c>
      <c r="AC78" s="152">
        <f t="shared" si="67"/>
        <v>0</v>
      </c>
      <c r="AD78" s="152">
        <f t="shared" si="69"/>
        <v>0</v>
      </c>
      <c r="AE78" s="152">
        <v>0</v>
      </c>
      <c r="AF78" s="150">
        <f>'Customer Count'!I78</f>
        <v>13937.5</v>
      </c>
      <c r="AG78" s="150">
        <f>AF78-'Customer Count'!G78-'Customer Count'!F78</f>
        <v>11239.5</v>
      </c>
      <c r="AH78" s="150">
        <f>AF78-'Customer Count'!H78</f>
        <v>13936.5</v>
      </c>
      <c r="AI78" s="109">
        <f t="shared" si="70"/>
        <v>77</v>
      </c>
      <c r="AJ78" s="109">
        <v>320</v>
      </c>
      <c r="AK78" s="91">
        <v>152.23582625214937</v>
      </c>
      <c r="AL78" s="91">
        <f>Economic!C90</f>
        <v>711695.1</v>
      </c>
      <c r="AM78" s="91">
        <f>Economic!D90</f>
        <v>7080.7</v>
      </c>
      <c r="AN78" s="91">
        <f>Economic!E90</f>
        <v>7047.4</v>
      </c>
      <c r="AO78" s="91">
        <f>Economic!F90</f>
        <v>6.2</v>
      </c>
      <c r="AP78" s="91">
        <f>Economic!G90</f>
        <v>6.4</v>
      </c>
      <c r="AQ78" s="91">
        <f>Economic!H90</f>
        <v>416.7</v>
      </c>
      <c r="AR78" s="91">
        <f>Economic!I90</f>
        <v>414.8</v>
      </c>
      <c r="AS78" s="91">
        <f>Economic!J90</f>
        <v>5.2</v>
      </c>
      <c r="AT78" s="91">
        <f>Economic!K90</f>
        <v>5.3</v>
      </c>
      <c r="AU78" s="91">
        <f>Economic!L90</f>
        <v>198.2</v>
      </c>
      <c r="AV78" s="91">
        <f>Economic!M90</f>
        <v>195.1</v>
      </c>
      <c r="AW78" s="91">
        <f>Economic!N90</f>
        <v>7</v>
      </c>
      <c r="AX78" s="91">
        <f>Economic!O90</f>
        <v>7.4</v>
      </c>
      <c r="AY78" s="91">
        <f>Economic!P90</f>
        <v>2.7539311554027668E-2</v>
      </c>
      <c r="AZ78" s="91">
        <f>Economic!Q90</f>
        <v>1.2338442182317388E-2</v>
      </c>
      <c r="BA78" s="91">
        <f>Economic!R90</f>
        <v>1.2193895870735938E-2</v>
      </c>
      <c r="BB78" s="91">
        <f>Economic!S90</f>
        <v>8.742171189979131E-2</v>
      </c>
      <c r="BC78" s="91">
        <f>Economic!T90</f>
        <v>8.5011770860580649E-2</v>
      </c>
      <c r="BD78" s="91">
        <f>Economic!U90</f>
        <v>-1.0080645161291146E-3</v>
      </c>
      <c r="BE78" s="91">
        <f>Economic!V90</f>
        <v>-6.1130922058074688E-3</v>
      </c>
      <c r="BF78" s="91">
        <f>Economic!W90</f>
        <v>19074.29999999993</v>
      </c>
      <c r="BG78" s="91">
        <f>Economic!X90</f>
        <v>86.300000000000182</v>
      </c>
      <c r="BH78" s="91">
        <f>Economic!Y90</f>
        <v>84.899999999999636</v>
      </c>
      <c r="BI78" s="91">
        <f>Economic!Z90</f>
        <v>33.5</v>
      </c>
      <c r="BJ78" s="91">
        <f>Economic!AA90</f>
        <v>32.5</v>
      </c>
      <c r="BK78" s="91">
        <f>Economic!AB90</f>
        <v>-0.20000000000001705</v>
      </c>
      <c r="BL78" s="91">
        <f>Economic!AC90</f>
        <v>-1.2000000000000171</v>
      </c>
      <c r="BM78" s="91">
        <f>Weather!C198</f>
        <v>12.745161290322583</v>
      </c>
      <c r="BN78" s="91">
        <f>Weather!D198</f>
        <v>229.69999999999987</v>
      </c>
      <c r="BO78" s="91">
        <f>Weather!E198</f>
        <v>4.8000000000000007</v>
      </c>
      <c r="BP78" s="91">
        <f>Weather!F198</f>
        <v>174.89999999999998</v>
      </c>
      <c r="BQ78" s="91">
        <f>Weather!G198</f>
        <v>12.000000000000004</v>
      </c>
      <c r="BR78" s="91">
        <f>Weather!H198</f>
        <v>124.90000000000002</v>
      </c>
      <c r="BS78" s="91">
        <f>Weather!I198</f>
        <v>24.000000000000004</v>
      </c>
      <c r="BT78" s="91">
        <f>Weather!J198</f>
        <v>79.300000000000011</v>
      </c>
      <c r="BU78" s="91">
        <f>Weather!K198</f>
        <v>40.400000000000006</v>
      </c>
      <c r="BV78" s="91">
        <f>Weather!L198</f>
        <v>45.900000000000006</v>
      </c>
      <c r="BW78" s="91">
        <f>Weather!M198</f>
        <v>69</v>
      </c>
      <c r="BX78" s="91">
        <f>Weather!N198</f>
        <v>20.7</v>
      </c>
      <c r="BY78" s="91">
        <f>Weather!O198</f>
        <v>105.79999999999998</v>
      </c>
    </row>
    <row r="79" spans="1:77" x14ac:dyDescent="0.2">
      <c r="A79" s="66">
        <v>42916</v>
      </c>
      <c r="B79" s="114">
        <f t="shared" si="50"/>
        <v>2017</v>
      </c>
      <c r="C79" s="104">
        <v>18871717.803001981</v>
      </c>
      <c r="D79" s="104">
        <v>3158025.9024923728</v>
      </c>
      <c r="E79" s="171">
        <f ca="1">CDM!D100</f>
        <v>889839.21819882875</v>
      </c>
      <c r="F79" s="94">
        <f t="shared" ca="1" si="51"/>
        <v>16603531.118708437</v>
      </c>
      <c r="G79" s="94">
        <f ca="1">VLOOKUP(B79,CDM!$A$3:$G$14,7,FALSE)</f>
        <v>898139.50877827685</v>
      </c>
      <c r="H79" s="94">
        <f t="shared" ca="1" si="65"/>
        <v>16611831.409287885</v>
      </c>
      <c r="I79" s="90">
        <f>Weather!F199</f>
        <v>21.199999999999996</v>
      </c>
      <c r="J79" s="90">
        <f>Weather!G199</f>
        <v>74.399999999999991</v>
      </c>
      <c r="K79" s="108">
        <v>30</v>
      </c>
      <c r="L79" s="108">
        <f t="shared" ref="L79:W79" si="81">L67</f>
        <v>0</v>
      </c>
      <c r="M79" s="108">
        <f t="shared" si="81"/>
        <v>0</v>
      </c>
      <c r="N79" s="108">
        <f t="shared" si="81"/>
        <v>0</v>
      </c>
      <c r="O79" s="108">
        <f t="shared" si="81"/>
        <v>0</v>
      </c>
      <c r="P79" s="108">
        <f t="shared" si="81"/>
        <v>0</v>
      </c>
      <c r="Q79" s="108">
        <f t="shared" si="81"/>
        <v>1</v>
      </c>
      <c r="R79" s="108">
        <f t="shared" si="81"/>
        <v>0</v>
      </c>
      <c r="S79" s="108">
        <f t="shared" si="81"/>
        <v>0</v>
      </c>
      <c r="T79" s="108">
        <f t="shared" si="81"/>
        <v>0</v>
      </c>
      <c r="U79" s="108">
        <f t="shared" si="81"/>
        <v>0</v>
      </c>
      <c r="V79" s="108">
        <f t="shared" si="81"/>
        <v>0</v>
      </c>
      <c r="W79" s="108">
        <f t="shared" si="81"/>
        <v>0</v>
      </c>
      <c r="X79" s="109">
        <v>0</v>
      </c>
      <c r="Y79" s="108">
        <f t="shared" ref="Y79:Z94" si="82">Y67</f>
        <v>0</v>
      </c>
      <c r="Z79" s="108">
        <f t="shared" si="82"/>
        <v>0</v>
      </c>
      <c r="AA79" s="152">
        <v>0</v>
      </c>
      <c r="AB79" s="152">
        <v>0</v>
      </c>
      <c r="AC79" s="152">
        <f t="shared" si="67"/>
        <v>0</v>
      </c>
      <c r="AD79" s="152">
        <f t="shared" si="69"/>
        <v>0</v>
      </c>
      <c r="AE79" s="152">
        <v>0</v>
      </c>
      <c r="AF79" s="150">
        <f>'Customer Count'!I79</f>
        <v>13950.5</v>
      </c>
      <c r="AG79" s="150">
        <f>AF79-'Customer Count'!G79-'Customer Count'!F79</f>
        <v>11252.5</v>
      </c>
      <c r="AH79" s="150">
        <f>AF79-'Customer Count'!H79</f>
        <v>13949.5</v>
      </c>
      <c r="AI79" s="109">
        <f t="shared" si="70"/>
        <v>78</v>
      </c>
      <c r="AJ79" s="109">
        <v>352</v>
      </c>
      <c r="AK79" s="91">
        <v>152.54940712863302</v>
      </c>
      <c r="AL79" s="91">
        <f>Economic!C91</f>
        <v>711695.1</v>
      </c>
      <c r="AM79" s="91">
        <f>Economic!D91</f>
        <v>7085.4</v>
      </c>
      <c r="AN79" s="91">
        <f>Economic!E91</f>
        <v>7129.6</v>
      </c>
      <c r="AO79" s="91">
        <f>Economic!F91</f>
        <v>6.2</v>
      </c>
      <c r="AP79" s="91">
        <f>Economic!G91</f>
        <v>6.2</v>
      </c>
      <c r="AQ79" s="91">
        <f>Economic!H91</f>
        <v>417.8</v>
      </c>
      <c r="AR79" s="91">
        <f>Economic!I91</f>
        <v>419.3</v>
      </c>
      <c r="AS79" s="91">
        <f>Economic!J91</f>
        <v>5</v>
      </c>
      <c r="AT79" s="91">
        <f>Economic!K91</f>
        <v>5.0999999999999996</v>
      </c>
      <c r="AU79" s="91">
        <f>Economic!L91</f>
        <v>198.7</v>
      </c>
      <c r="AV79" s="91">
        <f>Economic!M91</f>
        <v>198.8</v>
      </c>
      <c r="AW79" s="91">
        <f>Economic!N91</f>
        <v>7</v>
      </c>
      <c r="AX79" s="91">
        <f>Economic!O91</f>
        <v>6.7</v>
      </c>
      <c r="AY79" s="91">
        <f>Economic!P91</f>
        <v>2.7539311554027668E-2</v>
      </c>
      <c r="AZ79" s="91">
        <f>Economic!Q91</f>
        <v>1.1925334552050249E-2</v>
      </c>
      <c r="BA79" s="91">
        <f>Economic!R91</f>
        <v>1.16782313793935E-2</v>
      </c>
      <c r="BB79" s="91">
        <f>Economic!S91</f>
        <v>9.3431038995027471E-2</v>
      </c>
      <c r="BC79" s="91">
        <f>Economic!T91</f>
        <v>9.0223608944357769E-2</v>
      </c>
      <c r="BD79" s="91">
        <f>Economic!U91</f>
        <v>5.0352467270897705E-4</v>
      </c>
      <c r="BE79" s="91">
        <f>Economic!V91</f>
        <v>-3.5087719298244613E-3</v>
      </c>
      <c r="BF79" s="91">
        <f>Economic!W91</f>
        <v>19074.29999999993</v>
      </c>
      <c r="BG79" s="91">
        <f>Economic!X91</f>
        <v>83.5</v>
      </c>
      <c r="BH79" s="91">
        <f>Economic!Y91</f>
        <v>82.300000000000182</v>
      </c>
      <c r="BI79" s="91">
        <f>Economic!Z91</f>
        <v>35.699999999999989</v>
      </c>
      <c r="BJ79" s="91">
        <f>Economic!AA91</f>
        <v>34.699999999999989</v>
      </c>
      <c r="BK79" s="91">
        <f>Economic!AB91</f>
        <v>9.9999999999994316E-2</v>
      </c>
      <c r="BL79" s="91">
        <f>Economic!AC91</f>
        <v>-0.69999999999998863</v>
      </c>
      <c r="BM79" s="91">
        <f>Weather!C199</f>
        <v>19.77333333333333</v>
      </c>
      <c r="BN79" s="91">
        <f>Weather!D199</f>
        <v>51.400000000000006</v>
      </c>
      <c r="BO79" s="91">
        <f>Weather!E199</f>
        <v>44.59999999999998</v>
      </c>
      <c r="BP79" s="91">
        <f>Weather!F199</f>
        <v>21.199999999999996</v>
      </c>
      <c r="BQ79" s="91">
        <f>Weather!G199</f>
        <v>74.399999999999991</v>
      </c>
      <c r="BR79" s="91">
        <f>Weather!H199</f>
        <v>5.5999999999999979</v>
      </c>
      <c r="BS79" s="91">
        <f>Weather!I199</f>
        <v>118.79999999999998</v>
      </c>
      <c r="BT79" s="91">
        <f>Weather!J199</f>
        <v>0</v>
      </c>
      <c r="BU79" s="91">
        <f>Weather!K199</f>
        <v>173.20000000000005</v>
      </c>
      <c r="BV79" s="91">
        <f>Weather!L199</f>
        <v>0</v>
      </c>
      <c r="BW79" s="91">
        <f>Weather!M199</f>
        <v>233.20000000000007</v>
      </c>
      <c r="BX79" s="91">
        <f>Weather!N199</f>
        <v>0</v>
      </c>
      <c r="BY79" s="91">
        <f>Weather!O199</f>
        <v>293.20000000000005</v>
      </c>
    </row>
    <row r="80" spans="1:77" x14ac:dyDescent="0.2">
      <c r="A80" s="66">
        <v>42947</v>
      </c>
      <c r="B80" s="114">
        <f t="shared" si="50"/>
        <v>2017</v>
      </c>
      <c r="C80" s="106">
        <v>22363391.152751956</v>
      </c>
      <c r="D80" s="106">
        <v>4500801.1910749236</v>
      </c>
      <c r="E80" s="171">
        <f ca="1">CDM!D101</f>
        <v>906439.79935772507</v>
      </c>
      <c r="F80" s="94">
        <f t="shared" ca="1" si="51"/>
        <v>18769029.761034757</v>
      </c>
      <c r="G80" s="94">
        <f ca="1">VLOOKUP(B80,CDM!$A$3:$G$14,7,FALSE)</f>
        <v>898139.50877827685</v>
      </c>
      <c r="H80" s="94">
        <f t="shared" ca="1" si="65"/>
        <v>18760729.470455311</v>
      </c>
      <c r="I80" s="90">
        <f>Weather!F200</f>
        <v>0</v>
      </c>
      <c r="J80" s="90">
        <f>Weather!G200</f>
        <v>119.99999999999997</v>
      </c>
      <c r="K80" s="108">
        <v>31</v>
      </c>
      <c r="L80" s="108">
        <f t="shared" ref="L80:W80" si="83">L68</f>
        <v>0</v>
      </c>
      <c r="M80" s="108">
        <f t="shared" si="83"/>
        <v>0</v>
      </c>
      <c r="N80" s="108">
        <f t="shared" si="83"/>
        <v>0</v>
      </c>
      <c r="O80" s="108">
        <f t="shared" si="83"/>
        <v>0</v>
      </c>
      <c r="P80" s="108">
        <f t="shared" si="83"/>
        <v>0</v>
      </c>
      <c r="Q80" s="108">
        <f t="shared" si="83"/>
        <v>0</v>
      </c>
      <c r="R80" s="108">
        <f t="shared" si="83"/>
        <v>1</v>
      </c>
      <c r="S80" s="108">
        <f t="shared" si="83"/>
        <v>0</v>
      </c>
      <c r="T80" s="108">
        <f t="shared" si="83"/>
        <v>0</v>
      </c>
      <c r="U80" s="108">
        <f t="shared" si="83"/>
        <v>0</v>
      </c>
      <c r="V80" s="108">
        <f t="shared" si="83"/>
        <v>0</v>
      </c>
      <c r="W80" s="108">
        <f t="shared" si="83"/>
        <v>0</v>
      </c>
      <c r="X80" s="109">
        <v>0</v>
      </c>
      <c r="Y80" s="108">
        <f t="shared" si="82"/>
        <v>0</v>
      </c>
      <c r="Z80" s="108">
        <f t="shared" si="82"/>
        <v>0</v>
      </c>
      <c r="AA80" s="152">
        <v>0</v>
      </c>
      <c r="AB80" s="152">
        <v>0</v>
      </c>
      <c r="AC80" s="152">
        <f t="shared" si="67"/>
        <v>0</v>
      </c>
      <c r="AD80" s="152">
        <f t="shared" si="69"/>
        <v>0</v>
      </c>
      <c r="AE80" s="152">
        <v>1</v>
      </c>
      <c r="AF80" s="150">
        <f>'Customer Count'!I80</f>
        <v>13960.5</v>
      </c>
      <c r="AG80" s="150">
        <f>AF80-'Customer Count'!G80-'Customer Count'!F80</f>
        <v>11262.5</v>
      </c>
      <c r="AH80" s="150">
        <f>AF80-'Customer Count'!H80</f>
        <v>13959.5</v>
      </c>
      <c r="AI80" s="109">
        <f t="shared" si="70"/>
        <v>79</v>
      </c>
      <c r="AJ80" s="109">
        <v>352</v>
      </c>
      <c r="AK80" s="91">
        <v>152.86363393037959</v>
      </c>
      <c r="AL80" s="91">
        <f>Economic!C92</f>
        <v>711695.1</v>
      </c>
      <c r="AM80" s="91">
        <f>Economic!D92</f>
        <v>7099.9</v>
      </c>
      <c r="AN80" s="91">
        <f>Economic!E92</f>
        <v>7195</v>
      </c>
      <c r="AO80" s="91">
        <f>Economic!F92</f>
        <v>6.3</v>
      </c>
      <c r="AP80" s="91">
        <f>Economic!G92</f>
        <v>6.4</v>
      </c>
      <c r="AQ80" s="91">
        <f>Economic!H92</f>
        <v>421.3</v>
      </c>
      <c r="AR80" s="91">
        <f>Economic!I92</f>
        <v>422.9</v>
      </c>
      <c r="AS80" s="91">
        <f>Economic!J92</f>
        <v>5</v>
      </c>
      <c r="AT80" s="91">
        <f>Economic!K92</f>
        <v>5.4</v>
      </c>
      <c r="AU80" s="91">
        <f>Economic!L92</f>
        <v>200.4</v>
      </c>
      <c r="AV80" s="91">
        <f>Economic!M92</f>
        <v>204.6</v>
      </c>
      <c r="AW80" s="91">
        <f>Economic!N92</f>
        <v>6.4</v>
      </c>
      <c r="AX80" s="91">
        <f>Economic!O92</f>
        <v>5.8</v>
      </c>
      <c r="AY80" s="91">
        <f>Economic!P92</f>
        <v>2.7539311554027668E-2</v>
      </c>
      <c r="AZ80" s="91">
        <f>Economic!Q92</f>
        <v>1.4894863987878315E-2</v>
      </c>
      <c r="BA80" s="91">
        <f>Economic!R92</f>
        <v>1.46950978733007E-2</v>
      </c>
      <c r="BB80" s="91">
        <f>Economic!S92</f>
        <v>0.11131627538907929</v>
      </c>
      <c r="BC80" s="91">
        <f>Economic!T92</f>
        <v>0.10648874934589214</v>
      </c>
      <c r="BD80" s="91">
        <f>Economic!U92</f>
        <v>6.0240963855422436E-3</v>
      </c>
      <c r="BE80" s="91">
        <f>Economic!V92</f>
        <v>2.9411764705882248E-3</v>
      </c>
      <c r="BF80" s="91">
        <f>Economic!W92</f>
        <v>19074.29999999993</v>
      </c>
      <c r="BG80" s="91">
        <f>Economic!X92</f>
        <v>104.19999999999982</v>
      </c>
      <c r="BH80" s="91">
        <f>Economic!Y92</f>
        <v>104.19999999999982</v>
      </c>
      <c r="BI80" s="91">
        <f>Economic!Z92</f>
        <v>42.199999999999989</v>
      </c>
      <c r="BJ80" s="91">
        <f>Economic!AA92</f>
        <v>40.699999999999989</v>
      </c>
      <c r="BK80" s="91">
        <f>Economic!AB92</f>
        <v>1.2000000000000171</v>
      </c>
      <c r="BL80" s="91">
        <f>Economic!AC92</f>
        <v>0.59999999999999432</v>
      </c>
      <c r="BM80" s="91">
        <f>Weather!C200</f>
        <v>21.87096774193548</v>
      </c>
      <c r="BN80" s="91">
        <f>Weather!D200</f>
        <v>3.3999999999999986</v>
      </c>
      <c r="BO80" s="91">
        <f>Weather!E200</f>
        <v>61.399999999999991</v>
      </c>
      <c r="BP80" s="91">
        <f>Weather!F200</f>
        <v>0</v>
      </c>
      <c r="BQ80" s="91">
        <f>Weather!G200</f>
        <v>119.99999999999997</v>
      </c>
      <c r="BR80" s="91">
        <f>Weather!H200</f>
        <v>0</v>
      </c>
      <c r="BS80" s="91">
        <f>Weather!I200</f>
        <v>182.00000000000006</v>
      </c>
      <c r="BT80" s="91">
        <f>Weather!J200</f>
        <v>0</v>
      </c>
      <c r="BU80" s="91">
        <f>Weather!K200</f>
        <v>244.00000000000006</v>
      </c>
      <c r="BV80" s="91">
        <f>Weather!L200</f>
        <v>0</v>
      </c>
      <c r="BW80" s="91">
        <f>Weather!M200</f>
        <v>306.00000000000006</v>
      </c>
      <c r="BX80" s="91">
        <f>Weather!N200</f>
        <v>0</v>
      </c>
      <c r="BY80" s="91">
        <f>Weather!O200</f>
        <v>368.00000000000011</v>
      </c>
    </row>
    <row r="81" spans="1:77" x14ac:dyDescent="0.2">
      <c r="A81" s="66">
        <v>42978</v>
      </c>
      <c r="B81" s="114">
        <f t="shared" si="50"/>
        <v>2017</v>
      </c>
      <c r="C81" s="104">
        <v>21211440.486327328</v>
      </c>
      <c r="D81" s="104">
        <v>4110221.2645936697</v>
      </c>
      <c r="E81" s="171">
        <f ca="1">CDM!D102</f>
        <v>923040.38051662128</v>
      </c>
      <c r="F81" s="94">
        <f t="shared" ca="1" si="51"/>
        <v>18024259.602250282</v>
      </c>
      <c r="G81" s="94">
        <f ca="1">VLOOKUP(B81,CDM!$A$3:$G$14,7,FALSE)</f>
        <v>898139.50877827685</v>
      </c>
      <c r="H81" s="94">
        <f t="shared" ca="1" si="65"/>
        <v>17999358.730511937</v>
      </c>
      <c r="I81" s="90">
        <f>Weather!F201</f>
        <v>4.7999999999999972</v>
      </c>
      <c r="J81" s="90">
        <f>Weather!G201</f>
        <v>92.099999999999966</v>
      </c>
      <c r="K81" s="108">
        <v>31</v>
      </c>
      <c r="L81" s="108">
        <f t="shared" ref="L81:W81" si="84">L69</f>
        <v>0</v>
      </c>
      <c r="M81" s="108">
        <f t="shared" si="84"/>
        <v>0</v>
      </c>
      <c r="N81" s="108">
        <f t="shared" si="84"/>
        <v>0</v>
      </c>
      <c r="O81" s="108">
        <f t="shared" si="84"/>
        <v>0</v>
      </c>
      <c r="P81" s="108">
        <f t="shared" si="84"/>
        <v>0</v>
      </c>
      <c r="Q81" s="108">
        <f t="shared" si="84"/>
        <v>0</v>
      </c>
      <c r="R81" s="108">
        <f t="shared" si="84"/>
        <v>0</v>
      </c>
      <c r="S81" s="108">
        <f t="shared" si="84"/>
        <v>1</v>
      </c>
      <c r="T81" s="108">
        <f t="shared" si="84"/>
        <v>0</v>
      </c>
      <c r="U81" s="108">
        <f t="shared" si="84"/>
        <v>0</v>
      </c>
      <c r="V81" s="108">
        <f t="shared" si="84"/>
        <v>0</v>
      </c>
      <c r="W81" s="108">
        <f t="shared" si="84"/>
        <v>0</v>
      </c>
      <c r="X81" s="109">
        <v>0</v>
      </c>
      <c r="Y81" s="108">
        <f t="shared" si="82"/>
        <v>0</v>
      </c>
      <c r="Z81" s="108">
        <f t="shared" si="82"/>
        <v>0</v>
      </c>
      <c r="AA81" s="152">
        <v>0</v>
      </c>
      <c r="AB81" s="152">
        <v>0</v>
      </c>
      <c r="AC81" s="152">
        <f t="shared" si="67"/>
        <v>0</v>
      </c>
      <c r="AD81" s="152">
        <f t="shared" si="69"/>
        <v>0</v>
      </c>
      <c r="AE81" s="152">
        <v>1</v>
      </c>
      <c r="AF81" s="150">
        <f>'Customer Count'!I81</f>
        <v>13971</v>
      </c>
      <c r="AG81" s="150">
        <f>AF81-'Customer Count'!G81-'Customer Count'!F81</f>
        <v>11273</v>
      </c>
      <c r="AH81" s="150">
        <f>AF81-'Customer Count'!H81</f>
        <v>13970</v>
      </c>
      <c r="AI81" s="109">
        <f t="shared" si="70"/>
        <v>80</v>
      </c>
      <c r="AJ81" s="109">
        <v>320</v>
      </c>
      <c r="AK81" s="91">
        <v>153.17850798788936</v>
      </c>
      <c r="AL81" s="91">
        <f>Economic!C93</f>
        <v>711695.1</v>
      </c>
      <c r="AM81" s="91">
        <f>Economic!D93</f>
        <v>7121.3</v>
      </c>
      <c r="AN81" s="91">
        <f>Economic!E93</f>
        <v>7213.7</v>
      </c>
      <c r="AO81" s="91">
        <f>Economic!F93</f>
        <v>5.9</v>
      </c>
      <c r="AP81" s="91">
        <f>Economic!G93</f>
        <v>6.3</v>
      </c>
      <c r="AQ81" s="91">
        <f>Economic!H93</f>
        <v>427.8</v>
      </c>
      <c r="AR81" s="91">
        <f>Economic!I93</f>
        <v>429.1</v>
      </c>
      <c r="AS81" s="91">
        <f>Economic!J93</f>
        <v>4.4000000000000004</v>
      </c>
      <c r="AT81" s="91">
        <f>Economic!K93</f>
        <v>5</v>
      </c>
      <c r="AU81" s="91">
        <f>Economic!L93</f>
        <v>200.1</v>
      </c>
      <c r="AV81" s="91">
        <f>Economic!M93</f>
        <v>204.9</v>
      </c>
      <c r="AW81" s="91">
        <f>Economic!N93</f>
        <v>6.3</v>
      </c>
      <c r="AX81" s="91">
        <f>Economic!O93</f>
        <v>5.9</v>
      </c>
      <c r="AY81" s="91">
        <f>Economic!P93</f>
        <v>2.7539311554027668E-2</v>
      </c>
      <c r="AZ81" s="91">
        <f>Economic!Q93</f>
        <v>1.8696535347466625E-2</v>
      </c>
      <c r="BA81" s="91">
        <f>Economic!R93</f>
        <v>1.8409498397639501E-2</v>
      </c>
      <c r="BB81" s="91">
        <f>Economic!S93</f>
        <v>0.1272727272727272</v>
      </c>
      <c r="BC81" s="91">
        <f>Economic!T93</f>
        <v>0.12743037309511296</v>
      </c>
      <c r="BD81" s="91">
        <f>Economic!U93</f>
        <v>-5.9612518628913147E-3</v>
      </c>
      <c r="BE81" s="91">
        <f>Economic!V93</f>
        <v>-7.2674418604651292E-3</v>
      </c>
      <c r="BF81" s="91">
        <f>Economic!W93</f>
        <v>19074.29999999993</v>
      </c>
      <c r="BG81" s="91">
        <f>Economic!X93</f>
        <v>130.69999999999982</v>
      </c>
      <c r="BH81" s="91">
        <f>Economic!Y93</f>
        <v>130.39999999999964</v>
      </c>
      <c r="BI81" s="91">
        <f>Economic!Z93</f>
        <v>48.300000000000011</v>
      </c>
      <c r="BJ81" s="91">
        <f>Economic!AA93</f>
        <v>48.5</v>
      </c>
      <c r="BK81" s="91">
        <f>Economic!AB93</f>
        <v>-1.2000000000000171</v>
      </c>
      <c r="BL81" s="91">
        <f>Economic!AC93</f>
        <v>-1.5</v>
      </c>
      <c r="BM81" s="91">
        <f>Weather!C201</f>
        <v>20.816129032258058</v>
      </c>
      <c r="BN81" s="91">
        <f>Weather!D201</f>
        <v>18.499999999999993</v>
      </c>
      <c r="BO81" s="91">
        <f>Weather!E201</f>
        <v>43.8</v>
      </c>
      <c r="BP81" s="91">
        <f>Weather!F201</f>
        <v>4.7999999999999972</v>
      </c>
      <c r="BQ81" s="91">
        <f>Weather!G201</f>
        <v>92.099999999999966</v>
      </c>
      <c r="BR81" s="91">
        <f>Weather!H201</f>
        <v>0</v>
      </c>
      <c r="BS81" s="91">
        <f>Weather!I201</f>
        <v>149.30000000000007</v>
      </c>
      <c r="BT81" s="91">
        <f>Weather!J201</f>
        <v>0</v>
      </c>
      <c r="BU81" s="91">
        <f>Weather!K201</f>
        <v>211.3000000000001</v>
      </c>
      <c r="BV81" s="91">
        <f>Weather!L201</f>
        <v>0</v>
      </c>
      <c r="BW81" s="91">
        <f>Weather!M201</f>
        <v>273.30000000000013</v>
      </c>
      <c r="BX81" s="91">
        <f>Weather!N201</f>
        <v>0</v>
      </c>
      <c r="BY81" s="91">
        <f>Weather!O201</f>
        <v>335.30000000000013</v>
      </c>
    </row>
    <row r="82" spans="1:77" x14ac:dyDescent="0.2">
      <c r="A82" s="66">
        <v>43008</v>
      </c>
      <c r="B82" s="114">
        <f t="shared" si="50"/>
        <v>2017</v>
      </c>
      <c r="C82" s="104">
        <v>19533578.176179972</v>
      </c>
      <c r="D82" s="104">
        <v>4259176.9817509372</v>
      </c>
      <c r="E82" s="171">
        <f ca="1">CDM!D103</f>
        <v>939640.96167551749</v>
      </c>
      <c r="F82" s="94">
        <f t="shared" ca="1" si="51"/>
        <v>16214042.156104552</v>
      </c>
      <c r="G82" s="94">
        <f ca="1">VLOOKUP(B82,CDM!$A$3:$G$14,7,FALSE)</f>
        <v>898139.50877827685</v>
      </c>
      <c r="H82" s="94">
        <f t="shared" ca="1" si="65"/>
        <v>16172540.70320731</v>
      </c>
      <c r="I82" s="90">
        <f>Weather!F202</f>
        <v>42.3</v>
      </c>
      <c r="J82" s="90">
        <f>Weather!G202</f>
        <v>64.099999999999994</v>
      </c>
      <c r="K82" s="108">
        <v>30</v>
      </c>
      <c r="L82" s="108">
        <f t="shared" ref="L82:W82" si="85">L70</f>
        <v>0</v>
      </c>
      <c r="M82" s="108">
        <f t="shared" si="85"/>
        <v>0</v>
      </c>
      <c r="N82" s="108">
        <f t="shared" si="85"/>
        <v>0</v>
      </c>
      <c r="O82" s="108">
        <f t="shared" si="85"/>
        <v>0</v>
      </c>
      <c r="P82" s="108">
        <f t="shared" si="85"/>
        <v>0</v>
      </c>
      <c r="Q82" s="108">
        <f t="shared" si="85"/>
        <v>0</v>
      </c>
      <c r="R82" s="108">
        <f t="shared" si="85"/>
        <v>0</v>
      </c>
      <c r="S82" s="108">
        <f t="shared" si="85"/>
        <v>0</v>
      </c>
      <c r="T82" s="108">
        <f t="shared" si="85"/>
        <v>1</v>
      </c>
      <c r="U82" s="108">
        <f t="shared" si="85"/>
        <v>0</v>
      </c>
      <c r="V82" s="108">
        <f t="shared" si="85"/>
        <v>0</v>
      </c>
      <c r="W82" s="108">
        <f t="shared" si="85"/>
        <v>0</v>
      </c>
      <c r="X82" s="109">
        <v>1</v>
      </c>
      <c r="Y82" s="108">
        <f t="shared" si="82"/>
        <v>0</v>
      </c>
      <c r="Z82" s="108">
        <f t="shared" si="82"/>
        <v>1</v>
      </c>
      <c r="AA82" s="152">
        <v>0</v>
      </c>
      <c r="AB82" s="152">
        <v>0</v>
      </c>
      <c r="AC82" s="152">
        <f t="shared" si="67"/>
        <v>0</v>
      </c>
      <c r="AD82" s="152">
        <f t="shared" si="69"/>
        <v>0</v>
      </c>
      <c r="AE82" s="152">
        <v>1</v>
      </c>
      <c r="AF82" s="150">
        <f>'Customer Count'!I82</f>
        <v>13977.5</v>
      </c>
      <c r="AG82" s="150">
        <f>AF82-'Customer Count'!G82-'Customer Count'!F82</f>
        <v>11279.5</v>
      </c>
      <c r="AH82" s="150">
        <f>AF82-'Customer Count'!H82</f>
        <v>13976.5</v>
      </c>
      <c r="AI82" s="109">
        <f t="shared" si="70"/>
        <v>81</v>
      </c>
      <c r="AJ82" s="109">
        <v>336</v>
      </c>
      <c r="AK82" s="91">
        <v>153.4940306344032</v>
      </c>
      <c r="AL82" s="91">
        <f>Economic!C94</f>
        <v>711695.1</v>
      </c>
      <c r="AM82" s="91">
        <f>Economic!D94</f>
        <v>7150.1</v>
      </c>
      <c r="AN82" s="91">
        <f>Economic!E94</f>
        <v>7197</v>
      </c>
      <c r="AO82" s="91">
        <f>Economic!F94</f>
        <v>5.7</v>
      </c>
      <c r="AP82" s="91">
        <f>Economic!G94</f>
        <v>6</v>
      </c>
      <c r="AQ82" s="91">
        <f>Economic!H94</f>
        <v>432.9</v>
      </c>
      <c r="AR82" s="91">
        <f>Economic!I94</f>
        <v>432.4</v>
      </c>
      <c r="AS82" s="91">
        <f>Economic!J94</f>
        <v>4</v>
      </c>
      <c r="AT82" s="91">
        <f>Economic!K94</f>
        <v>4.7</v>
      </c>
      <c r="AU82" s="91">
        <f>Economic!L94</f>
        <v>197.8</v>
      </c>
      <c r="AV82" s="91">
        <f>Economic!M94</f>
        <v>202.2</v>
      </c>
      <c r="AW82" s="91">
        <f>Economic!N94</f>
        <v>6.3</v>
      </c>
      <c r="AX82" s="91">
        <f>Economic!O94</f>
        <v>5.7</v>
      </c>
      <c r="AY82" s="91">
        <f>Economic!P94</f>
        <v>2.7539311554027668E-2</v>
      </c>
      <c r="AZ82" s="91">
        <f>Economic!Q94</f>
        <v>2.3065146160340166E-2</v>
      </c>
      <c r="BA82" s="91">
        <f>Economic!R94</f>
        <v>2.2736961773482944E-2</v>
      </c>
      <c r="BB82" s="91">
        <f>Economic!S94</f>
        <v>0.13235678786293481</v>
      </c>
      <c r="BC82" s="91">
        <f>Economic!T94</f>
        <v>0.1328268273513229</v>
      </c>
      <c r="BD82" s="91">
        <f>Economic!U94</f>
        <v>-2.6574803149606141E-2</v>
      </c>
      <c r="BE82" s="91">
        <f>Economic!V94</f>
        <v>-2.5542168674698829E-2</v>
      </c>
      <c r="BF82" s="91">
        <f>Economic!W94</f>
        <v>19074.29999999993</v>
      </c>
      <c r="BG82" s="91">
        <f>Economic!X94</f>
        <v>161.20000000000073</v>
      </c>
      <c r="BH82" s="91">
        <f>Economic!Y94</f>
        <v>160</v>
      </c>
      <c r="BI82" s="91">
        <f>Economic!Z94</f>
        <v>50.599999999999966</v>
      </c>
      <c r="BJ82" s="91">
        <f>Economic!AA94</f>
        <v>50.699999999999989</v>
      </c>
      <c r="BK82" s="91">
        <f>Economic!AB94</f>
        <v>-5.3999999999999773</v>
      </c>
      <c r="BL82" s="91">
        <f>Economic!AC94</f>
        <v>-5.3000000000000114</v>
      </c>
      <c r="BM82" s="91">
        <f>Weather!C202</f>
        <v>18.726666666666667</v>
      </c>
      <c r="BN82" s="91">
        <f>Weather!D202</f>
        <v>72.300000000000011</v>
      </c>
      <c r="BO82" s="91">
        <f>Weather!E202</f>
        <v>34.100000000000009</v>
      </c>
      <c r="BP82" s="91">
        <f>Weather!F202</f>
        <v>42.3</v>
      </c>
      <c r="BQ82" s="91">
        <f>Weather!G202</f>
        <v>64.099999999999994</v>
      </c>
      <c r="BR82" s="91">
        <f>Weather!H202</f>
        <v>18.399999999999995</v>
      </c>
      <c r="BS82" s="91">
        <f>Weather!I202</f>
        <v>100.2</v>
      </c>
      <c r="BT82" s="91">
        <f>Weather!J202</f>
        <v>2.8999999999999986</v>
      </c>
      <c r="BU82" s="91">
        <f>Weather!K202</f>
        <v>144.70000000000002</v>
      </c>
      <c r="BV82" s="91">
        <f>Weather!L202</f>
        <v>0.69999999999999929</v>
      </c>
      <c r="BW82" s="91">
        <f>Weather!M202</f>
        <v>202.50000000000003</v>
      </c>
      <c r="BX82" s="91">
        <f>Weather!N202</f>
        <v>0</v>
      </c>
      <c r="BY82" s="91">
        <f>Weather!O202</f>
        <v>261.80000000000007</v>
      </c>
    </row>
    <row r="83" spans="1:77" x14ac:dyDescent="0.2">
      <c r="A83" s="66">
        <v>43039</v>
      </c>
      <c r="B83" s="114">
        <f t="shared" si="50"/>
        <v>2017</v>
      </c>
      <c r="C83" s="104">
        <v>15916473.155721987</v>
      </c>
      <c r="D83" s="104">
        <v>2009640.1544891417</v>
      </c>
      <c r="E83" s="171">
        <f ca="1">CDM!D104</f>
        <v>956241.54283441382</v>
      </c>
      <c r="F83" s="94">
        <f t="shared" ca="1" si="51"/>
        <v>14863074.54406726</v>
      </c>
      <c r="G83" s="94">
        <f ca="1">VLOOKUP(B83,CDM!$A$3:$G$14,7,FALSE)</f>
        <v>898139.50877827685</v>
      </c>
      <c r="H83" s="94">
        <f t="shared" ca="1" si="65"/>
        <v>14804972.510011122</v>
      </c>
      <c r="I83" s="90">
        <f>Weather!F203</f>
        <v>126.9</v>
      </c>
      <c r="J83" s="90">
        <f>Weather!G203</f>
        <v>15.400000000000002</v>
      </c>
      <c r="K83" s="108">
        <v>31</v>
      </c>
      <c r="L83" s="108">
        <f t="shared" ref="L83:W83" si="86">L71</f>
        <v>0</v>
      </c>
      <c r="M83" s="108">
        <f t="shared" si="86"/>
        <v>0</v>
      </c>
      <c r="N83" s="108">
        <f t="shared" si="86"/>
        <v>0</v>
      </c>
      <c r="O83" s="108">
        <f t="shared" si="86"/>
        <v>0</v>
      </c>
      <c r="P83" s="108">
        <f t="shared" si="86"/>
        <v>0</v>
      </c>
      <c r="Q83" s="108">
        <f t="shared" si="86"/>
        <v>0</v>
      </c>
      <c r="R83" s="108">
        <f t="shared" si="86"/>
        <v>0</v>
      </c>
      <c r="S83" s="108">
        <f t="shared" si="86"/>
        <v>0</v>
      </c>
      <c r="T83" s="108">
        <f t="shared" si="86"/>
        <v>0</v>
      </c>
      <c r="U83" s="108">
        <f t="shared" si="86"/>
        <v>1</v>
      </c>
      <c r="V83" s="108">
        <f t="shared" si="86"/>
        <v>0</v>
      </c>
      <c r="W83" s="108">
        <f t="shared" si="86"/>
        <v>0</v>
      </c>
      <c r="X83" s="109">
        <v>1</v>
      </c>
      <c r="Y83" s="108">
        <f t="shared" si="82"/>
        <v>0</v>
      </c>
      <c r="Z83" s="108">
        <f t="shared" si="82"/>
        <v>1</v>
      </c>
      <c r="AA83" s="152">
        <v>0</v>
      </c>
      <c r="AB83" s="152">
        <v>0</v>
      </c>
      <c r="AC83" s="152">
        <f t="shared" si="67"/>
        <v>0</v>
      </c>
      <c r="AD83" s="152">
        <f t="shared" si="69"/>
        <v>0</v>
      </c>
      <c r="AE83" s="152">
        <v>1</v>
      </c>
      <c r="AF83" s="150">
        <f>'Customer Count'!I83</f>
        <v>13996</v>
      </c>
      <c r="AG83" s="150">
        <f>AF83-'Customer Count'!G83-'Customer Count'!F83</f>
        <v>11298</v>
      </c>
      <c r="AH83" s="150">
        <f>AF83-'Customer Count'!H83</f>
        <v>13995</v>
      </c>
      <c r="AI83" s="109">
        <f t="shared" si="70"/>
        <v>82</v>
      </c>
      <c r="AJ83" s="109">
        <v>336</v>
      </c>
      <c r="AK83" s="91">
        <v>153.81020320590829</v>
      </c>
      <c r="AL83" s="91">
        <f>Economic!C95</f>
        <v>711695.1</v>
      </c>
      <c r="AM83" s="91">
        <f>Economic!D95</f>
        <v>7170.5</v>
      </c>
      <c r="AN83" s="91">
        <f>Economic!E95</f>
        <v>7193.7</v>
      </c>
      <c r="AO83" s="91">
        <f>Economic!F95</f>
        <v>5.6</v>
      </c>
      <c r="AP83" s="91">
        <f>Economic!G95</f>
        <v>5.7</v>
      </c>
      <c r="AQ83" s="91">
        <f>Economic!H95</f>
        <v>430.7</v>
      </c>
      <c r="AR83" s="91">
        <f>Economic!I95</f>
        <v>430.3</v>
      </c>
      <c r="AS83" s="91">
        <f>Economic!J95</f>
        <v>3.9</v>
      </c>
      <c r="AT83" s="91">
        <f>Economic!K95</f>
        <v>4.3</v>
      </c>
      <c r="AU83" s="91">
        <f>Economic!L95</f>
        <v>195</v>
      </c>
      <c r="AV83" s="91">
        <f>Economic!M95</f>
        <v>198.9</v>
      </c>
      <c r="AW83" s="91">
        <f>Economic!N95</f>
        <v>6.7</v>
      </c>
      <c r="AX83" s="91">
        <f>Economic!O95</f>
        <v>6.1</v>
      </c>
      <c r="AY83" s="91">
        <f>Economic!P95</f>
        <v>2.7539311554027668E-2</v>
      </c>
      <c r="AZ83" s="91">
        <f>Economic!Q95</f>
        <v>2.3450657988638657E-2</v>
      </c>
      <c r="BA83" s="91">
        <f>Economic!R95</f>
        <v>2.2791253163477077E-2</v>
      </c>
      <c r="BB83" s="91">
        <f>Economic!S95</f>
        <v>0.11522527187985498</v>
      </c>
      <c r="BC83" s="91">
        <f>Economic!T95</f>
        <v>0.11882475299011963</v>
      </c>
      <c r="BD83" s="91">
        <f>Economic!U95</f>
        <v>-5.5232558139534871E-2</v>
      </c>
      <c r="BE83" s="91">
        <f>Economic!V95</f>
        <v>-5.375832540437675E-2</v>
      </c>
      <c r="BF83" s="91">
        <f>Economic!W95</f>
        <v>19074.29999999993</v>
      </c>
      <c r="BG83" s="91">
        <f>Economic!X95</f>
        <v>164.30000000000018</v>
      </c>
      <c r="BH83" s="91">
        <f>Economic!Y95</f>
        <v>160.30000000000018</v>
      </c>
      <c r="BI83" s="91">
        <f>Economic!Z95</f>
        <v>44.5</v>
      </c>
      <c r="BJ83" s="91">
        <f>Economic!AA95</f>
        <v>45.699999999999989</v>
      </c>
      <c r="BK83" s="91">
        <f>Economic!AB95</f>
        <v>-11.400000000000006</v>
      </c>
      <c r="BL83" s="91">
        <f>Economic!AC95</f>
        <v>-11.299999999999983</v>
      </c>
      <c r="BM83" s="91">
        <f>Weather!C203</f>
        <v>14.403225806451617</v>
      </c>
      <c r="BN83" s="91">
        <f>Weather!D203</f>
        <v>179.29999999999998</v>
      </c>
      <c r="BO83" s="91">
        <f>Weather!E203</f>
        <v>5.8000000000000007</v>
      </c>
      <c r="BP83" s="91">
        <f>Weather!F203</f>
        <v>126.9</v>
      </c>
      <c r="BQ83" s="91">
        <f>Weather!G203</f>
        <v>15.400000000000002</v>
      </c>
      <c r="BR83" s="91">
        <f>Weather!H203</f>
        <v>90.100000000000009</v>
      </c>
      <c r="BS83" s="91">
        <f>Weather!I203</f>
        <v>40.600000000000009</v>
      </c>
      <c r="BT83" s="91">
        <f>Weather!J203</f>
        <v>60.600000000000009</v>
      </c>
      <c r="BU83" s="91">
        <f>Weather!K203</f>
        <v>73.099999999999994</v>
      </c>
      <c r="BV83" s="91">
        <f>Weather!L203</f>
        <v>36</v>
      </c>
      <c r="BW83" s="91">
        <f>Weather!M203</f>
        <v>110.49999999999999</v>
      </c>
      <c r="BX83" s="91">
        <f>Weather!N203</f>
        <v>16.600000000000001</v>
      </c>
      <c r="BY83" s="91">
        <f>Weather!O203</f>
        <v>153.1</v>
      </c>
    </row>
    <row r="84" spans="1:77" x14ac:dyDescent="0.2">
      <c r="A84" s="66">
        <v>43069</v>
      </c>
      <c r="B84" s="114">
        <f t="shared" si="50"/>
        <v>2017</v>
      </c>
      <c r="C84" s="104">
        <v>16479806.154822662</v>
      </c>
      <c r="D84" s="104">
        <v>2222237.4702646215</v>
      </c>
      <c r="E84" s="171">
        <f ca="1">CDM!D105</f>
        <v>972842.12399331015</v>
      </c>
      <c r="F84" s="94">
        <f t="shared" ca="1" si="51"/>
        <v>15230410.808551352</v>
      </c>
      <c r="G84" s="94">
        <f ca="1">VLOOKUP(B84,CDM!$A$3:$G$14,7,FALSE)</f>
        <v>898139.50877827685</v>
      </c>
      <c r="H84" s="94">
        <f t="shared" ca="1" si="65"/>
        <v>15155708.193336319</v>
      </c>
      <c r="I84" s="90">
        <f>Weather!F204</f>
        <v>410.7</v>
      </c>
      <c r="J84" s="90">
        <f>Weather!G204</f>
        <v>0</v>
      </c>
      <c r="K84" s="108">
        <v>30</v>
      </c>
      <c r="L84" s="108">
        <f t="shared" ref="L84:W84" si="87">L72</f>
        <v>0</v>
      </c>
      <c r="M84" s="108">
        <f t="shared" si="87"/>
        <v>0</v>
      </c>
      <c r="N84" s="108">
        <f t="shared" si="87"/>
        <v>0</v>
      </c>
      <c r="O84" s="108">
        <f t="shared" si="87"/>
        <v>0</v>
      </c>
      <c r="P84" s="108">
        <f t="shared" si="87"/>
        <v>0</v>
      </c>
      <c r="Q84" s="108">
        <f t="shared" si="87"/>
        <v>0</v>
      </c>
      <c r="R84" s="108">
        <f t="shared" si="87"/>
        <v>0</v>
      </c>
      <c r="S84" s="108">
        <f t="shared" si="87"/>
        <v>0</v>
      </c>
      <c r="T84" s="108">
        <f t="shared" si="87"/>
        <v>0</v>
      </c>
      <c r="U84" s="108">
        <f t="shared" si="87"/>
        <v>0</v>
      </c>
      <c r="V84" s="108">
        <f t="shared" si="87"/>
        <v>1</v>
      </c>
      <c r="W84" s="108">
        <f t="shared" si="87"/>
        <v>0</v>
      </c>
      <c r="X84" s="109">
        <v>1</v>
      </c>
      <c r="Y84" s="108">
        <f t="shared" si="82"/>
        <v>0</v>
      </c>
      <c r="Z84" s="108">
        <f t="shared" si="82"/>
        <v>1</v>
      </c>
      <c r="AA84" s="152">
        <v>0</v>
      </c>
      <c r="AB84" s="152">
        <v>0</v>
      </c>
      <c r="AC84" s="152">
        <f t="shared" si="67"/>
        <v>0</v>
      </c>
      <c r="AD84" s="152">
        <f t="shared" si="69"/>
        <v>0</v>
      </c>
      <c r="AE84" s="152">
        <v>1</v>
      </c>
      <c r="AF84" s="150">
        <f>'Customer Count'!I84</f>
        <v>14031.5</v>
      </c>
      <c r="AG84" s="150">
        <f>AF84-'Customer Count'!G84-'Customer Count'!F84</f>
        <v>11316.5</v>
      </c>
      <c r="AH84" s="150">
        <f>AF84-'Customer Count'!H84</f>
        <v>14030.5</v>
      </c>
      <c r="AI84" s="109">
        <f t="shared" si="70"/>
        <v>83</v>
      </c>
      <c r="AJ84" s="109">
        <v>320</v>
      </c>
      <c r="AK84" s="91">
        <v>154.12702704114372</v>
      </c>
      <c r="AL84" s="91">
        <f>Economic!C96</f>
        <v>711695.1</v>
      </c>
      <c r="AM84" s="91">
        <f>Economic!D96</f>
        <v>7189.6</v>
      </c>
      <c r="AN84" s="91">
        <f>Economic!E96</f>
        <v>7194.2</v>
      </c>
      <c r="AO84" s="91">
        <f>Economic!F96</f>
        <v>5.7</v>
      </c>
      <c r="AP84" s="91">
        <f>Economic!G96</f>
        <v>5.2</v>
      </c>
      <c r="AQ84" s="91">
        <f>Economic!H96</f>
        <v>426.2</v>
      </c>
      <c r="AR84" s="91">
        <f>Economic!I96</f>
        <v>426.2</v>
      </c>
      <c r="AS84" s="91">
        <f>Economic!J96</f>
        <v>4.2</v>
      </c>
      <c r="AT84" s="91">
        <f>Economic!K96</f>
        <v>4.2</v>
      </c>
      <c r="AU84" s="91">
        <f>Economic!L96</f>
        <v>194.4</v>
      </c>
      <c r="AV84" s="91">
        <f>Economic!M96</f>
        <v>197.4</v>
      </c>
      <c r="AW84" s="91">
        <f>Economic!N96</f>
        <v>6.9</v>
      </c>
      <c r="AX84" s="91">
        <f>Economic!O96</f>
        <v>6</v>
      </c>
      <c r="AY84" s="91">
        <f>Economic!P96</f>
        <v>2.7539311554027668E-2</v>
      </c>
      <c r="AZ84" s="91">
        <f>Economic!Q96</f>
        <v>2.4378428439125299E-2</v>
      </c>
      <c r="BA84" s="91">
        <f>Economic!R96</f>
        <v>2.3808507307632176E-2</v>
      </c>
      <c r="BB84" s="91">
        <f>Economic!S96</f>
        <v>8.669046404895453E-2</v>
      </c>
      <c r="BC84" s="91">
        <f>Economic!T96</f>
        <v>8.7799897907095303E-2</v>
      </c>
      <c r="BD84" s="91">
        <f>Economic!U96</f>
        <v>-5.8139534883720922E-2</v>
      </c>
      <c r="BE84" s="91">
        <f>Economic!V96</f>
        <v>-5.5502392344497609E-2</v>
      </c>
      <c r="BF84" s="91">
        <f>Economic!W96</f>
        <v>19074.29999999993</v>
      </c>
      <c r="BG84" s="91">
        <f>Economic!X96</f>
        <v>171.10000000000036</v>
      </c>
      <c r="BH84" s="91">
        <f>Economic!Y96</f>
        <v>167.30000000000018</v>
      </c>
      <c r="BI84" s="91">
        <f>Economic!Z96</f>
        <v>34</v>
      </c>
      <c r="BJ84" s="91">
        <f>Economic!AA96</f>
        <v>34.399999999999977</v>
      </c>
      <c r="BK84" s="91">
        <f>Economic!AB96</f>
        <v>-12</v>
      </c>
      <c r="BL84" s="91">
        <f>Economic!AC96</f>
        <v>-11.599999999999994</v>
      </c>
      <c r="BM84" s="91">
        <f>Weather!C204</f>
        <v>4.3099999999999996</v>
      </c>
      <c r="BN84" s="91">
        <f>Weather!D204</f>
        <v>470.7</v>
      </c>
      <c r="BO84" s="91">
        <f>Weather!E204</f>
        <v>0</v>
      </c>
      <c r="BP84" s="91">
        <f>Weather!F204</f>
        <v>410.7</v>
      </c>
      <c r="BQ84" s="91">
        <f>Weather!G204</f>
        <v>0</v>
      </c>
      <c r="BR84" s="91">
        <f>Weather!H204</f>
        <v>350.69999999999993</v>
      </c>
      <c r="BS84" s="91">
        <f>Weather!I204</f>
        <v>0</v>
      </c>
      <c r="BT84" s="91">
        <f>Weather!J204</f>
        <v>290.69999999999993</v>
      </c>
      <c r="BU84" s="91">
        <f>Weather!K204</f>
        <v>0</v>
      </c>
      <c r="BV84" s="91">
        <f>Weather!L204</f>
        <v>230.69999999999996</v>
      </c>
      <c r="BW84" s="91">
        <f>Weather!M204</f>
        <v>0</v>
      </c>
      <c r="BX84" s="91">
        <f>Weather!N204</f>
        <v>173</v>
      </c>
      <c r="BY84" s="91">
        <f>Weather!O204</f>
        <v>2.3000000000000007</v>
      </c>
    </row>
    <row r="85" spans="1:77" x14ac:dyDescent="0.2">
      <c r="A85" s="66">
        <v>43100</v>
      </c>
      <c r="B85" s="114">
        <f t="shared" si="50"/>
        <v>2017</v>
      </c>
      <c r="C85" s="104">
        <v>18908989.901477978</v>
      </c>
      <c r="D85" s="104">
        <v>2532743.8747246251</v>
      </c>
      <c r="E85" s="171">
        <f ca="1">CDM!D106</f>
        <v>989442.70515220636</v>
      </c>
      <c r="F85" s="94">
        <f t="shared" ca="1" si="51"/>
        <v>17365688.731905557</v>
      </c>
      <c r="G85" s="94">
        <f ca="1">VLOOKUP(B85,CDM!$A$3:$G$14,7,FALSE)</f>
        <v>898139.50877827685</v>
      </c>
      <c r="H85" s="94">
        <f t="shared" ca="1" si="65"/>
        <v>17274385.535531629</v>
      </c>
      <c r="I85" s="90">
        <f>Weather!F205</f>
        <v>675.29999999999984</v>
      </c>
      <c r="J85" s="90">
        <f>Weather!G205</f>
        <v>0</v>
      </c>
      <c r="K85" s="108">
        <v>31</v>
      </c>
      <c r="L85" s="108">
        <f t="shared" ref="L85:W85" si="88">L73</f>
        <v>0</v>
      </c>
      <c r="M85" s="108">
        <f t="shared" si="88"/>
        <v>0</v>
      </c>
      <c r="N85" s="108">
        <f t="shared" si="88"/>
        <v>0</v>
      </c>
      <c r="O85" s="108">
        <f t="shared" si="88"/>
        <v>0</v>
      </c>
      <c r="P85" s="108">
        <f t="shared" si="88"/>
        <v>0</v>
      </c>
      <c r="Q85" s="108">
        <f t="shared" si="88"/>
        <v>0</v>
      </c>
      <c r="R85" s="108">
        <f t="shared" si="88"/>
        <v>0</v>
      </c>
      <c r="S85" s="108">
        <f t="shared" si="88"/>
        <v>0</v>
      </c>
      <c r="T85" s="108">
        <f t="shared" si="88"/>
        <v>0</v>
      </c>
      <c r="U85" s="108">
        <f t="shared" si="88"/>
        <v>0</v>
      </c>
      <c r="V85" s="108">
        <f t="shared" si="88"/>
        <v>0</v>
      </c>
      <c r="W85" s="108">
        <f t="shared" si="88"/>
        <v>1</v>
      </c>
      <c r="X85" s="109">
        <v>0</v>
      </c>
      <c r="Y85" s="108">
        <f t="shared" si="82"/>
        <v>0</v>
      </c>
      <c r="Z85" s="108">
        <f t="shared" si="82"/>
        <v>0</v>
      </c>
      <c r="AA85" s="152">
        <v>0</v>
      </c>
      <c r="AB85" s="152">
        <v>0</v>
      </c>
      <c r="AC85" s="152">
        <f t="shared" si="67"/>
        <v>0</v>
      </c>
      <c r="AD85" s="152">
        <f t="shared" si="69"/>
        <v>0</v>
      </c>
      <c r="AE85" s="152">
        <v>1</v>
      </c>
      <c r="AF85" s="150">
        <f>'Customer Count'!I85</f>
        <v>14068.5</v>
      </c>
      <c r="AG85" s="150">
        <f>AF85-'Customer Count'!G85-'Customer Count'!F85</f>
        <v>11336.5</v>
      </c>
      <c r="AH85" s="150">
        <f>AF85-'Customer Count'!H85</f>
        <v>14067.5</v>
      </c>
      <c r="AI85" s="109">
        <f t="shared" si="70"/>
        <v>84</v>
      </c>
      <c r="AJ85" s="109">
        <v>352</v>
      </c>
      <c r="AK85" s="91">
        <v>154.44450348160629</v>
      </c>
      <c r="AL85" s="91">
        <f>Economic!C97</f>
        <v>711695.1</v>
      </c>
      <c r="AM85" s="91">
        <f>Economic!D97</f>
        <v>7203.1</v>
      </c>
      <c r="AN85" s="91">
        <f>Economic!E97</f>
        <v>7213.4</v>
      </c>
      <c r="AO85" s="91">
        <f>Economic!F97</f>
        <v>5.7</v>
      </c>
      <c r="AP85" s="91">
        <f>Economic!G97</f>
        <v>5.0999999999999996</v>
      </c>
      <c r="AQ85" s="91">
        <f>Economic!H97</f>
        <v>421.4</v>
      </c>
      <c r="AR85" s="91">
        <f>Economic!I97</f>
        <v>423.3</v>
      </c>
      <c r="AS85" s="91">
        <f>Economic!J97</f>
        <v>4.7</v>
      </c>
      <c r="AT85" s="91">
        <f>Economic!K97</f>
        <v>4.3</v>
      </c>
      <c r="AU85" s="91">
        <f>Economic!L97</f>
        <v>196</v>
      </c>
      <c r="AV85" s="91">
        <f>Economic!M97</f>
        <v>198.5</v>
      </c>
      <c r="AW85" s="91">
        <f>Economic!N97</f>
        <v>6.6</v>
      </c>
      <c r="AX85" s="91">
        <f>Economic!O97</f>
        <v>6.1</v>
      </c>
      <c r="AY85" s="91">
        <f>Economic!P97</f>
        <v>2.7539311554027668E-2</v>
      </c>
      <c r="AZ85" s="91">
        <f>Economic!Q97</f>
        <v>2.4797974049624472E-2</v>
      </c>
      <c r="BA85" s="91">
        <f>Economic!R97</f>
        <v>2.4397864121790347E-2</v>
      </c>
      <c r="BB85" s="91">
        <f>Economic!S97</f>
        <v>6.1193653991437724E-2</v>
      </c>
      <c r="BC85" s="91">
        <f>Economic!T97</f>
        <v>6.3567839195979969E-2</v>
      </c>
      <c r="BD85" s="91">
        <f>Economic!U97</f>
        <v>-4.3902439024390283E-2</v>
      </c>
      <c r="BE85" s="91">
        <f>Economic!V97</f>
        <v>-4.0135396518375277E-2</v>
      </c>
      <c r="BF85" s="91">
        <f>Economic!W97</f>
        <v>19074.29999999993</v>
      </c>
      <c r="BG85" s="91">
        <f>Economic!X97</f>
        <v>174.30000000000018</v>
      </c>
      <c r="BH85" s="91">
        <f>Economic!Y97</f>
        <v>171.79999999999927</v>
      </c>
      <c r="BI85" s="91">
        <f>Economic!Z97</f>
        <v>24.299999999999955</v>
      </c>
      <c r="BJ85" s="91">
        <f>Economic!AA97</f>
        <v>25.300000000000011</v>
      </c>
      <c r="BK85" s="91">
        <f>Economic!AB97</f>
        <v>-9</v>
      </c>
      <c r="BL85" s="91">
        <f>Economic!AC97</f>
        <v>-8.3000000000000114</v>
      </c>
      <c r="BM85" s="91">
        <f>Weather!C205</f>
        <v>-3.7838709677419349</v>
      </c>
      <c r="BN85" s="91">
        <f>Weather!D205</f>
        <v>737.29999999999973</v>
      </c>
      <c r="BO85" s="91">
        <f>Weather!E205</f>
        <v>0</v>
      </c>
      <c r="BP85" s="91">
        <f>Weather!F205</f>
        <v>675.29999999999984</v>
      </c>
      <c r="BQ85" s="91">
        <f>Weather!G205</f>
        <v>0</v>
      </c>
      <c r="BR85" s="91">
        <f>Weather!H205</f>
        <v>613.29999999999995</v>
      </c>
      <c r="BS85" s="91">
        <f>Weather!I205</f>
        <v>0</v>
      </c>
      <c r="BT85" s="91">
        <f>Weather!J205</f>
        <v>551.30000000000007</v>
      </c>
      <c r="BU85" s="91">
        <f>Weather!K205</f>
        <v>0</v>
      </c>
      <c r="BV85" s="91">
        <f>Weather!L205</f>
        <v>489.30000000000007</v>
      </c>
      <c r="BW85" s="91">
        <f>Weather!M205</f>
        <v>0</v>
      </c>
      <c r="BX85" s="91">
        <f>Weather!N205</f>
        <v>427.30000000000007</v>
      </c>
      <c r="BY85" s="91">
        <f>Weather!O205</f>
        <v>0</v>
      </c>
    </row>
    <row r="86" spans="1:77" x14ac:dyDescent="0.2">
      <c r="A86" s="66">
        <v>43131</v>
      </c>
      <c r="B86" s="114">
        <f t="shared" si="50"/>
        <v>2018</v>
      </c>
      <c r="C86" s="104">
        <v>18920116.782666825</v>
      </c>
      <c r="D86" s="104">
        <v>1852730.1844645019</v>
      </c>
      <c r="E86" s="171">
        <f ca="1">CDM!D107</f>
        <v>970970.20593671221</v>
      </c>
      <c r="F86" s="94">
        <f t="shared" ca="1" si="51"/>
        <v>18038356.804139033</v>
      </c>
      <c r="G86" s="94">
        <f ca="1">VLOOKUP(B86,CDM!$A$3:$G$14,7,FALSE)</f>
        <v>1006028.4251290415</v>
      </c>
      <c r="H86" s="94">
        <f t="shared" ca="1" si="65"/>
        <v>18073415.023331363</v>
      </c>
      <c r="I86" s="90">
        <f>Weather!F206</f>
        <v>698.6</v>
      </c>
      <c r="J86" s="90">
        <f>Weather!G206</f>
        <v>0</v>
      </c>
      <c r="K86" s="108">
        <v>31</v>
      </c>
      <c r="L86" s="108">
        <f t="shared" ref="L86:W86" si="89">L74</f>
        <v>1</v>
      </c>
      <c r="M86" s="108">
        <f t="shared" si="89"/>
        <v>0</v>
      </c>
      <c r="N86" s="108">
        <f t="shared" si="89"/>
        <v>0</v>
      </c>
      <c r="O86" s="108">
        <f t="shared" si="89"/>
        <v>0</v>
      </c>
      <c r="P86" s="108">
        <f t="shared" si="89"/>
        <v>0</v>
      </c>
      <c r="Q86" s="108">
        <f t="shared" si="89"/>
        <v>0</v>
      </c>
      <c r="R86" s="108">
        <f t="shared" si="89"/>
        <v>0</v>
      </c>
      <c r="S86" s="108">
        <f t="shared" si="89"/>
        <v>0</v>
      </c>
      <c r="T86" s="108">
        <f t="shared" si="89"/>
        <v>0</v>
      </c>
      <c r="U86" s="108">
        <f t="shared" si="89"/>
        <v>0</v>
      </c>
      <c r="V86" s="108">
        <f t="shared" si="89"/>
        <v>0</v>
      </c>
      <c r="W86" s="108">
        <f t="shared" si="89"/>
        <v>0</v>
      </c>
      <c r="X86" s="109">
        <v>0</v>
      </c>
      <c r="Y86" s="108">
        <f t="shared" si="82"/>
        <v>0</v>
      </c>
      <c r="Z86" s="108">
        <f t="shared" si="82"/>
        <v>0</v>
      </c>
      <c r="AA86" s="152">
        <v>0</v>
      </c>
      <c r="AB86" s="152">
        <v>0</v>
      </c>
      <c r="AC86" s="152">
        <f t="shared" si="67"/>
        <v>0</v>
      </c>
      <c r="AD86" s="152">
        <f t="shared" si="69"/>
        <v>0</v>
      </c>
      <c r="AE86" s="152">
        <v>1</v>
      </c>
      <c r="AF86" s="150">
        <f>'Customer Count'!I86</f>
        <v>14069.5</v>
      </c>
      <c r="AG86" s="150">
        <f>AF86-'Customer Count'!G86-'Customer Count'!F86</f>
        <v>11354.5</v>
      </c>
      <c r="AH86" s="150">
        <f>AF86-'Customer Count'!H86</f>
        <v>14068.5</v>
      </c>
      <c r="AI86" s="109">
        <f t="shared" si="70"/>
        <v>85</v>
      </c>
      <c r="AJ86" s="109">
        <v>320</v>
      </c>
      <c r="AK86" s="91">
        <v>154.72483615659849</v>
      </c>
      <c r="AL86" s="91">
        <f>Economic!C98</f>
        <v>732426.3</v>
      </c>
      <c r="AM86" s="91">
        <f>Economic!D98</f>
        <v>7199.8</v>
      </c>
      <c r="AN86" s="91">
        <f>Economic!E98</f>
        <v>7172.6</v>
      </c>
      <c r="AO86" s="91">
        <f>Economic!F98</f>
        <v>5.6</v>
      </c>
      <c r="AP86" s="91">
        <f>Economic!G98</f>
        <v>5.2</v>
      </c>
      <c r="AQ86" s="91">
        <f>Economic!H98</f>
        <v>420.4</v>
      </c>
      <c r="AR86" s="91">
        <f>Economic!I98</f>
        <v>420.7</v>
      </c>
      <c r="AS86" s="91">
        <f>Economic!J98</f>
        <v>4.9000000000000004</v>
      </c>
      <c r="AT86" s="91">
        <f>Economic!K98</f>
        <v>4.5999999999999996</v>
      </c>
      <c r="AU86" s="91">
        <f>Economic!L98</f>
        <v>198.5</v>
      </c>
      <c r="AV86" s="91">
        <f>Economic!M98</f>
        <v>197.8</v>
      </c>
      <c r="AW86" s="91">
        <f>Economic!N98</f>
        <v>5.9</v>
      </c>
      <c r="AX86" s="91">
        <f>Economic!O98</f>
        <v>5.8</v>
      </c>
      <c r="AY86" s="91">
        <f>Economic!P98</f>
        <v>2.9129327994530385E-2</v>
      </c>
      <c r="AZ86" s="91">
        <f>Economic!Q98</f>
        <v>2.1885999772907949E-2</v>
      </c>
      <c r="BA86" s="91">
        <f>Economic!R98</f>
        <v>2.1941697774484847E-2</v>
      </c>
      <c r="BB86" s="91">
        <f>Economic!S98</f>
        <v>5.6016076362722877E-2</v>
      </c>
      <c r="BC86" s="91">
        <f>Economic!T98</f>
        <v>5.8098591549295753E-2</v>
      </c>
      <c r="BD86" s="91">
        <f>Economic!U98</f>
        <v>-1.3909587680079549E-2</v>
      </c>
      <c r="BE86" s="91">
        <f>Economic!V98</f>
        <v>-8.0240722166499134E-3</v>
      </c>
      <c r="BF86" s="91">
        <f>Economic!W98</f>
        <v>20731.20000000007</v>
      </c>
      <c r="BG86" s="91">
        <f>Economic!X98</f>
        <v>154.19999999999982</v>
      </c>
      <c r="BH86" s="91">
        <f>Economic!Y98</f>
        <v>154</v>
      </c>
      <c r="BI86" s="91">
        <f>Economic!Z98</f>
        <v>22.299999999999955</v>
      </c>
      <c r="BJ86" s="91">
        <f>Economic!AA98</f>
        <v>23.099999999999966</v>
      </c>
      <c r="BK86" s="91">
        <f>Economic!AB98</f>
        <v>-2.8000000000000114</v>
      </c>
      <c r="BL86" s="91">
        <f>Economic!AC98</f>
        <v>-1.5999999999999943</v>
      </c>
      <c r="BM86" s="91">
        <f>Weather!C206</f>
        <v>-4.5354838709677407</v>
      </c>
      <c r="BN86" s="91">
        <f>Weather!D206</f>
        <v>760.60000000000014</v>
      </c>
      <c r="BO86" s="91">
        <f>Weather!E206</f>
        <v>0</v>
      </c>
      <c r="BP86" s="91">
        <f>Weather!F206</f>
        <v>698.6</v>
      </c>
      <c r="BQ86" s="91">
        <f>Weather!G206</f>
        <v>0</v>
      </c>
      <c r="BR86" s="91">
        <f>Weather!H206</f>
        <v>636.6</v>
      </c>
      <c r="BS86" s="91">
        <f>Weather!I206</f>
        <v>0</v>
      </c>
      <c r="BT86" s="91">
        <f>Weather!J206</f>
        <v>574.59999999999991</v>
      </c>
      <c r="BU86" s="91">
        <f>Weather!K206</f>
        <v>0</v>
      </c>
      <c r="BV86" s="91">
        <f>Weather!L206</f>
        <v>512.59999999999991</v>
      </c>
      <c r="BW86" s="91">
        <f>Weather!M206</f>
        <v>0</v>
      </c>
      <c r="BX86" s="91">
        <f>Weather!N206</f>
        <v>450.59999999999997</v>
      </c>
      <c r="BY86" s="91">
        <f>Weather!O206</f>
        <v>0</v>
      </c>
    </row>
    <row r="87" spans="1:77" x14ac:dyDescent="0.2">
      <c r="A87" s="66">
        <v>43159</v>
      </c>
      <c r="B87" s="114">
        <f t="shared" si="50"/>
        <v>2018</v>
      </c>
      <c r="C87" s="104">
        <v>16165609.621245151</v>
      </c>
      <c r="D87" s="104">
        <v>1758839.4821045175</v>
      </c>
      <c r="E87" s="171">
        <f ca="1">CDM!D108</f>
        <v>977344.42760804482</v>
      </c>
      <c r="F87" s="94">
        <f t="shared" ca="1" si="51"/>
        <v>15384114.566748679</v>
      </c>
      <c r="G87" s="94">
        <f ca="1">VLOOKUP(B87,CDM!$A$3:$G$14,7,FALSE)</f>
        <v>1006028.4251290415</v>
      </c>
      <c r="H87" s="94">
        <f t="shared" ca="1" si="65"/>
        <v>15412798.564269675</v>
      </c>
      <c r="I87" s="90">
        <f>Weather!F207</f>
        <v>517.90000000000009</v>
      </c>
      <c r="J87" s="90">
        <f>Weather!G207</f>
        <v>0</v>
      </c>
      <c r="K87" s="108">
        <v>29</v>
      </c>
      <c r="L87" s="108">
        <f t="shared" ref="L87:W87" si="90">L75</f>
        <v>0</v>
      </c>
      <c r="M87" s="108">
        <f t="shared" si="90"/>
        <v>1</v>
      </c>
      <c r="N87" s="108">
        <f t="shared" si="90"/>
        <v>0</v>
      </c>
      <c r="O87" s="108">
        <f t="shared" si="90"/>
        <v>0</v>
      </c>
      <c r="P87" s="108">
        <f t="shared" si="90"/>
        <v>0</v>
      </c>
      <c r="Q87" s="108">
        <f t="shared" si="90"/>
        <v>0</v>
      </c>
      <c r="R87" s="108">
        <f t="shared" si="90"/>
        <v>0</v>
      </c>
      <c r="S87" s="108">
        <f t="shared" si="90"/>
        <v>0</v>
      </c>
      <c r="T87" s="108">
        <f t="shared" si="90"/>
        <v>0</v>
      </c>
      <c r="U87" s="108">
        <f t="shared" si="90"/>
        <v>0</v>
      </c>
      <c r="V87" s="108">
        <f t="shared" si="90"/>
        <v>0</v>
      </c>
      <c r="W87" s="108">
        <f t="shared" si="90"/>
        <v>0</v>
      </c>
      <c r="X87" s="109">
        <v>0</v>
      </c>
      <c r="Y87" s="108">
        <f t="shared" si="82"/>
        <v>0</v>
      </c>
      <c r="Z87" s="108">
        <f t="shared" si="82"/>
        <v>0</v>
      </c>
      <c r="AA87" s="152">
        <v>0</v>
      </c>
      <c r="AB87" s="152">
        <v>0</v>
      </c>
      <c r="AC87" s="152">
        <f t="shared" si="67"/>
        <v>0</v>
      </c>
      <c r="AD87" s="152">
        <f t="shared" si="69"/>
        <v>0</v>
      </c>
      <c r="AE87" s="152">
        <v>1</v>
      </c>
      <c r="AF87" s="150">
        <f>'Customer Count'!I87</f>
        <v>14092</v>
      </c>
      <c r="AG87" s="150">
        <f>AF87-'Customer Count'!G87-'Customer Count'!F87</f>
        <v>11360</v>
      </c>
      <c r="AH87" s="150">
        <f>AF87-'Customer Count'!H87</f>
        <v>14091</v>
      </c>
      <c r="AI87" s="109">
        <f t="shared" si="70"/>
        <v>86</v>
      </c>
      <c r="AJ87" s="109">
        <v>320</v>
      </c>
      <c r="AK87" s="91">
        <v>155.00567766425806</v>
      </c>
      <c r="AL87" s="91">
        <f>Economic!C99</f>
        <v>732426.3</v>
      </c>
      <c r="AM87" s="91">
        <f>Economic!D99</f>
        <v>7189.2</v>
      </c>
      <c r="AN87" s="91">
        <f>Economic!E99</f>
        <v>7125.8</v>
      </c>
      <c r="AO87" s="91">
        <f>Economic!F99</f>
        <v>5.6</v>
      </c>
      <c r="AP87" s="91">
        <f>Economic!G99</f>
        <v>5.4</v>
      </c>
      <c r="AQ87" s="91">
        <f>Economic!H99</f>
        <v>415.9</v>
      </c>
      <c r="AR87" s="91">
        <f>Economic!I99</f>
        <v>413.8</v>
      </c>
      <c r="AS87" s="91">
        <f>Economic!J99</f>
        <v>5.4</v>
      </c>
      <c r="AT87" s="91">
        <f>Economic!K99</f>
        <v>5.2</v>
      </c>
      <c r="AU87" s="91">
        <f>Economic!L99</f>
        <v>199.8</v>
      </c>
      <c r="AV87" s="91">
        <f>Economic!M99</f>
        <v>196.8</v>
      </c>
      <c r="AW87" s="91">
        <f>Economic!N99</f>
        <v>5.3</v>
      </c>
      <c r="AX87" s="91">
        <f>Economic!O99</f>
        <v>5.6</v>
      </c>
      <c r="AY87" s="91">
        <f>Economic!P99</f>
        <v>2.9129327994530385E-2</v>
      </c>
      <c r="AZ87" s="91">
        <f>Economic!Q99</f>
        <v>1.8199328678459636E-2</v>
      </c>
      <c r="BA87" s="91">
        <f>Economic!R99</f>
        <v>1.8553459119496907E-2</v>
      </c>
      <c r="BB87" s="91">
        <f>Economic!S99</f>
        <v>4.3401906673356638E-2</v>
      </c>
      <c r="BC87" s="91">
        <f>Economic!T99</f>
        <v>4.4685685432971356E-2</v>
      </c>
      <c r="BD87" s="91">
        <f>Economic!U99</f>
        <v>1.0622154779969861E-2</v>
      </c>
      <c r="BE87" s="91">
        <f>Economic!V99</f>
        <v>1.391035548686248E-2</v>
      </c>
      <c r="BF87" s="91">
        <f>Economic!W99</f>
        <v>20731.20000000007</v>
      </c>
      <c r="BG87" s="91">
        <f>Economic!X99</f>
        <v>128.5</v>
      </c>
      <c r="BH87" s="91">
        <f>Economic!Y99</f>
        <v>129.80000000000018</v>
      </c>
      <c r="BI87" s="91">
        <f>Economic!Z99</f>
        <v>17.299999999999955</v>
      </c>
      <c r="BJ87" s="91">
        <f>Economic!AA99</f>
        <v>17.699999999999989</v>
      </c>
      <c r="BK87" s="91">
        <f>Economic!AB99</f>
        <v>2.1000000000000227</v>
      </c>
      <c r="BL87" s="91">
        <f>Economic!AC99</f>
        <v>2.7000000000000171</v>
      </c>
      <c r="BM87" s="91">
        <f>Weather!C207</f>
        <v>-0.49642857142857139</v>
      </c>
      <c r="BN87" s="91">
        <f>Weather!D207</f>
        <v>573.9000000000002</v>
      </c>
      <c r="BO87" s="91">
        <f>Weather!E207</f>
        <v>0</v>
      </c>
      <c r="BP87" s="91">
        <f>Weather!F207</f>
        <v>517.90000000000009</v>
      </c>
      <c r="BQ87" s="91">
        <f>Weather!G207</f>
        <v>0</v>
      </c>
      <c r="BR87" s="91">
        <f>Weather!H207</f>
        <v>461.90000000000003</v>
      </c>
      <c r="BS87" s="91">
        <f>Weather!I207</f>
        <v>0</v>
      </c>
      <c r="BT87" s="91">
        <f>Weather!J207</f>
        <v>405.90000000000003</v>
      </c>
      <c r="BU87" s="91">
        <f>Weather!K207</f>
        <v>0</v>
      </c>
      <c r="BV87" s="91">
        <f>Weather!L207</f>
        <v>349.9</v>
      </c>
      <c r="BW87" s="91">
        <f>Weather!M207</f>
        <v>0</v>
      </c>
      <c r="BX87" s="91">
        <f>Weather!N207</f>
        <v>294.39999999999998</v>
      </c>
      <c r="BY87" s="91">
        <f>Weather!O207</f>
        <v>0.5</v>
      </c>
    </row>
    <row r="88" spans="1:77" x14ac:dyDescent="0.2">
      <c r="A88" s="66">
        <v>43190</v>
      </c>
      <c r="B88" s="114">
        <f t="shared" si="50"/>
        <v>2018</v>
      </c>
      <c r="C88" s="104">
        <v>17475012.52885266</v>
      </c>
      <c r="D88" s="104">
        <v>2375340.9491960937</v>
      </c>
      <c r="E88" s="171">
        <f ca="1">CDM!D109</f>
        <v>983718.64927937742</v>
      </c>
      <c r="F88" s="94">
        <f t="shared" ca="1" si="51"/>
        <v>16083390.228935946</v>
      </c>
      <c r="G88" s="94">
        <f ca="1">VLOOKUP(B88,CDM!$A$3:$G$14,7,FALSE)</f>
        <v>1006028.4251290415</v>
      </c>
      <c r="H88" s="94">
        <f t="shared" ca="1" si="65"/>
        <v>16105700.004785609</v>
      </c>
      <c r="I88" s="90">
        <f>Weather!F208</f>
        <v>546.1</v>
      </c>
      <c r="J88" s="90">
        <f>Weather!G208</f>
        <v>0</v>
      </c>
      <c r="K88" s="108">
        <v>31</v>
      </c>
      <c r="L88" s="108">
        <f t="shared" ref="L88:W88" si="91">L76</f>
        <v>0</v>
      </c>
      <c r="M88" s="108">
        <f t="shared" si="91"/>
        <v>0</v>
      </c>
      <c r="N88" s="108">
        <f t="shared" si="91"/>
        <v>1</v>
      </c>
      <c r="O88" s="108">
        <f t="shared" si="91"/>
        <v>0</v>
      </c>
      <c r="P88" s="108">
        <f t="shared" si="91"/>
        <v>0</v>
      </c>
      <c r="Q88" s="108">
        <f t="shared" si="91"/>
        <v>0</v>
      </c>
      <c r="R88" s="108">
        <f t="shared" si="91"/>
        <v>0</v>
      </c>
      <c r="S88" s="108">
        <f t="shared" si="91"/>
        <v>0</v>
      </c>
      <c r="T88" s="108">
        <f t="shared" si="91"/>
        <v>0</v>
      </c>
      <c r="U88" s="108">
        <f t="shared" si="91"/>
        <v>0</v>
      </c>
      <c r="V88" s="108">
        <f t="shared" si="91"/>
        <v>0</v>
      </c>
      <c r="W88" s="108">
        <f t="shared" si="91"/>
        <v>0</v>
      </c>
      <c r="X88" s="109">
        <v>1</v>
      </c>
      <c r="Y88" s="108">
        <f t="shared" si="82"/>
        <v>1</v>
      </c>
      <c r="Z88" s="108">
        <f t="shared" si="82"/>
        <v>0</v>
      </c>
      <c r="AA88" s="152">
        <v>0</v>
      </c>
      <c r="AB88" s="152">
        <v>0</v>
      </c>
      <c r="AC88" s="152">
        <f t="shared" si="67"/>
        <v>0</v>
      </c>
      <c r="AD88" s="152">
        <f t="shared" si="69"/>
        <v>0</v>
      </c>
      <c r="AE88" s="152">
        <v>1</v>
      </c>
      <c r="AF88" s="150">
        <f>'Customer Count'!I88</f>
        <v>14099.5</v>
      </c>
      <c r="AG88" s="150">
        <f>AF88-'Customer Count'!G88-'Customer Count'!F88</f>
        <v>11367.5</v>
      </c>
      <c r="AH88" s="150">
        <f>AF88-'Customer Count'!H88</f>
        <v>14098.5</v>
      </c>
      <c r="AI88" s="109">
        <f t="shared" si="70"/>
        <v>87</v>
      </c>
      <c r="AJ88" s="109">
        <v>352</v>
      </c>
      <c r="AK88" s="91">
        <v>155.2870289281687</v>
      </c>
      <c r="AL88" s="91">
        <f>Economic!C100</f>
        <v>732426.3</v>
      </c>
      <c r="AM88" s="91">
        <f>Economic!D100</f>
        <v>7185</v>
      </c>
      <c r="AN88" s="91">
        <f>Economic!E100</f>
        <v>7082.3</v>
      </c>
      <c r="AO88" s="91">
        <f>Economic!F100</f>
        <v>5.5</v>
      </c>
      <c r="AP88" s="91">
        <f>Economic!G100</f>
        <v>5.7</v>
      </c>
      <c r="AQ88" s="91">
        <f>Economic!H100</f>
        <v>413.4</v>
      </c>
      <c r="AR88" s="91">
        <f>Economic!I100</f>
        <v>407.7</v>
      </c>
      <c r="AS88" s="91">
        <f>Economic!J100</f>
        <v>5.5</v>
      </c>
      <c r="AT88" s="91">
        <f>Economic!K100</f>
        <v>5.5</v>
      </c>
      <c r="AU88" s="91">
        <f>Economic!L100</f>
        <v>201.2</v>
      </c>
      <c r="AV88" s="91">
        <f>Economic!M100</f>
        <v>195.4</v>
      </c>
      <c r="AW88" s="91">
        <f>Economic!N100</f>
        <v>5.8</v>
      </c>
      <c r="AX88" s="91">
        <f>Economic!O100</f>
        <v>6.6</v>
      </c>
      <c r="AY88" s="91">
        <f>Economic!P100</f>
        <v>2.9129327994530385E-2</v>
      </c>
      <c r="AZ88" s="91">
        <f>Economic!Q100</f>
        <v>1.5662548415368516E-2</v>
      </c>
      <c r="BA88" s="91">
        <f>Economic!R100</f>
        <v>1.5820424555364365E-2</v>
      </c>
      <c r="BB88" s="91">
        <f>Economic!S100</f>
        <v>2.8358208955223896E-2</v>
      </c>
      <c r="BC88" s="91">
        <f>Economic!T100</f>
        <v>2.8247162673392223E-2</v>
      </c>
      <c r="BD88" s="91">
        <f>Economic!U100</f>
        <v>2.4439918533604832E-2</v>
      </c>
      <c r="BE88" s="91">
        <f>Economic!V100</f>
        <v>2.3036649214659644E-2</v>
      </c>
      <c r="BF88" s="91">
        <f>Economic!W100</f>
        <v>20731.20000000007</v>
      </c>
      <c r="BG88" s="91">
        <f>Economic!X100</f>
        <v>110.80000000000018</v>
      </c>
      <c r="BH88" s="91">
        <f>Economic!Y100</f>
        <v>110.30000000000018</v>
      </c>
      <c r="BI88" s="91">
        <f>Economic!Z100</f>
        <v>11.399999999999977</v>
      </c>
      <c r="BJ88" s="91">
        <f>Economic!AA100</f>
        <v>11.199999999999989</v>
      </c>
      <c r="BK88" s="91">
        <f>Economic!AB100</f>
        <v>4.7999999999999829</v>
      </c>
      <c r="BL88" s="91">
        <f>Economic!AC100</f>
        <v>4.4000000000000057</v>
      </c>
      <c r="BM88" s="91">
        <f>Weather!C208</f>
        <v>0.38387096774193546</v>
      </c>
      <c r="BN88" s="91">
        <f>Weather!D208</f>
        <v>608.10000000000014</v>
      </c>
      <c r="BO88" s="91">
        <f>Weather!E208</f>
        <v>0</v>
      </c>
      <c r="BP88" s="91">
        <f>Weather!F208</f>
        <v>546.1</v>
      </c>
      <c r="BQ88" s="91">
        <f>Weather!G208</f>
        <v>0</v>
      </c>
      <c r="BR88" s="91">
        <f>Weather!H208</f>
        <v>484.09999999999997</v>
      </c>
      <c r="BS88" s="91">
        <f>Weather!I208</f>
        <v>0</v>
      </c>
      <c r="BT88" s="91">
        <f>Weather!J208</f>
        <v>422.09999999999997</v>
      </c>
      <c r="BU88" s="91">
        <f>Weather!K208</f>
        <v>0</v>
      </c>
      <c r="BV88" s="91">
        <f>Weather!L208</f>
        <v>360.09999999999997</v>
      </c>
      <c r="BW88" s="91">
        <f>Weather!M208</f>
        <v>0</v>
      </c>
      <c r="BX88" s="91">
        <f>Weather!N208</f>
        <v>298.09999999999997</v>
      </c>
      <c r="BY88" s="91">
        <f>Weather!O208</f>
        <v>0</v>
      </c>
    </row>
    <row r="89" spans="1:77" x14ac:dyDescent="0.2">
      <c r="A89" s="66">
        <v>43220</v>
      </c>
      <c r="B89" s="114">
        <f t="shared" si="50"/>
        <v>2018</v>
      </c>
      <c r="C89" s="104">
        <v>16622054.862042977</v>
      </c>
      <c r="D89" s="104">
        <v>2485375.9892984647</v>
      </c>
      <c r="E89" s="171">
        <f ca="1">CDM!D110</f>
        <v>990092.87095071003</v>
      </c>
      <c r="F89" s="94">
        <f t="shared" ca="1" si="51"/>
        <v>15126771.74369522</v>
      </c>
      <c r="G89" s="94">
        <f ca="1">VLOOKUP(B89,CDM!$A$3:$G$14,7,FALSE)</f>
        <v>1006028.4251290415</v>
      </c>
      <c r="H89" s="94">
        <f t="shared" ca="1" si="65"/>
        <v>15142707.297873553</v>
      </c>
      <c r="I89" s="90">
        <f>Weather!F209</f>
        <v>425.69999999999993</v>
      </c>
      <c r="J89" s="90">
        <f>Weather!G209</f>
        <v>0</v>
      </c>
      <c r="K89" s="108">
        <v>30</v>
      </c>
      <c r="L89" s="108">
        <f t="shared" ref="L89:W89" si="92">L77</f>
        <v>0</v>
      </c>
      <c r="M89" s="108">
        <f t="shared" si="92"/>
        <v>0</v>
      </c>
      <c r="N89" s="108">
        <f t="shared" si="92"/>
        <v>0</v>
      </c>
      <c r="O89" s="108">
        <f t="shared" si="92"/>
        <v>1</v>
      </c>
      <c r="P89" s="108">
        <f t="shared" si="92"/>
        <v>0</v>
      </c>
      <c r="Q89" s="108">
        <f t="shared" si="92"/>
        <v>0</v>
      </c>
      <c r="R89" s="108">
        <f t="shared" si="92"/>
        <v>0</v>
      </c>
      <c r="S89" s="108">
        <f t="shared" si="92"/>
        <v>0</v>
      </c>
      <c r="T89" s="108">
        <f t="shared" si="92"/>
        <v>0</v>
      </c>
      <c r="U89" s="108">
        <f t="shared" si="92"/>
        <v>0</v>
      </c>
      <c r="V89" s="108">
        <f t="shared" si="92"/>
        <v>0</v>
      </c>
      <c r="W89" s="108">
        <f t="shared" si="92"/>
        <v>0</v>
      </c>
      <c r="X89" s="109">
        <v>1</v>
      </c>
      <c r="Y89" s="108">
        <f t="shared" si="82"/>
        <v>1</v>
      </c>
      <c r="Z89" s="108">
        <f t="shared" si="82"/>
        <v>0</v>
      </c>
      <c r="AA89" s="152">
        <v>0</v>
      </c>
      <c r="AB89" s="152">
        <v>0</v>
      </c>
      <c r="AC89" s="152">
        <f t="shared" si="67"/>
        <v>0</v>
      </c>
      <c r="AD89" s="152">
        <f t="shared" si="69"/>
        <v>0</v>
      </c>
      <c r="AE89" s="152">
        <v>1</v>
      </c>
      <c r="AF89" s="150">
        <f>'Customer Count'!I89</f>
        <v>14119</v>
      </c>
      <c r="AG89" s="150">
        <f>AF89-'Customer Count'!G89-'Customer Count'!F89</f>
        <v>11387.5</v>
      </c>
      <c r="AH89" s="150">
        <f>AF89-'Customer Count'!H89</f>
        <v>14118</v>
      </c>
      <c r="AI89" s="109">
        <f t="shared" si="70"/>
        <v>88</v>
      </c>
      <c r="AJ89" s="109">
        <v>336</v>
      </c>
      <c r="AK89" s="91">
        <v>155.56889087359048</v>
      </c>
      <c r="AL89" s="91">
        <f>Economic!C101</f>
        <v>732426.3</v>
      </c>
      <c r="AM89" s="91">
        <f>Economic!D101</f>
        <v>7198.2</v>
      </c>
      <c r="AN89" s="91">
        <f>Economic!E101</f>
        <v>7108.4</v>
      </c>
      <c r="AO89" s="91">
        <f>Economic!F101</f>
        <v>5.5</v>
      </c>
      <c r="AP89" s="91">
        <f>Economic!G101</f>
        <v>5.7</v>
      </c>
      <c r="AQ89" s="91">
        <f>Economic!H101</f>
        <v>410</v>
      </c>
      <c r="AR89" s="91">
        <f>Economic!I101</f>
        <v>403.8</v>
      </c>
      <c r="AS89" s="91">
        <f>Economic!J101</f>
        <v>5.3</v>
      </c>
      <c r="AT89" s="91">
        <f>Economic!K101</f>
        <v>4.9000000000000004</v>
      </c>
      <c r="AU89" s="91">
        <f>Economic!L101</f>
        <v>202.6</v>
      </c>
      <c r="AV89" s="91">
        <f>Economic!M101</f>
        <v>197.1</v>
      </c>
      <c r="AW89" s="91">
        <f>Economic!N101</f>
        <v>5.9</v>
      </c>
      <c r="AX89" s="91">
        <f>Economic!O101</f>
        <v>6.7</v>
      </c>
      <c r="AY89" s="91">
        <f>Economic!P101</f>
        <v>2.9129327994530385E-2</v>
      </c>
      <c r="AZ89" s="91">
        <f>Economic!Q101</f>
        <v>1.7442189178492606E-2</v>
      </c>
      <c r="BA89" s="91">
        <f>Economic!R101</f>
        <v>1.7987053903878003E-2</v>
      </c>
      <c r="BB89" s="91">
        <f>Economic!S101</f>
        <v>-2.4330900243308973E-3</v>
      </c>
      <c r="BC89" s="91">
        <f>Economic!T101</f>
        <v>-7.3746312684366266E-3</v>
      </c>
      <c r="BD89" s="91">
        <f>Economic!U101</f>
        <v>3.2093734080488989E-2</v>
      </c>
      <c r="BE89" s="91">
        <f>Economic!V101</f>
        <v>3.1937172774869182E-2</v>
      </c>
      <c r="BF89" s="91">
        <f>Economic!W101</f>
        <v>20731.20000000007</v>
      </c>
      <c r="BG89" s="91">
        <f>Economic!X101</f>
        <v>123.39999999999964</v>
      </c>
      <c r="BH89" s="91">
        <f>Economic!Y101</f>
        <v>125.59999999999945</v>
      </c>
      <c r="BI89" s="91">
        <f>Economic!Z101</f>
        <v>-1</v>
      </c>
      <c r="BJ89" s="91">
        <f>Economic!AA101</f>
        <v>-3</v>
      </c>
      <c r="BK89" s="91">
        <f>Economic!AB101</f>
        <v>6.2999999999999829</v>
      </c>
      <c r="BL89" s="91">
        <f>Economic!AC101</f>
        <v>6.0999999999999943</v>
      </c>
      <c r="BM89" s="91">
        <f>Weather!C209</f>
        <v>3.8099999999999996</v>
      </c>
      <c r="BN89" s="91">
        <f>Weather!D209</f>
        <v>485.7</v>
      </c>
      <c r="BO89" s="91">
        <f>Weather!E209</f>
        <v>0</v>
      </c>
      <c r="BP89" s="91">
        <f>Weather!F209</f>
        <v>425.69999999999993</v>
      </c>
      <c r="BQ89" s="91">
        <f>Weather!G209</f>
        <v>0</v>
      </c>
      <c r="BR89" s="91">
        <f>Weather!H209</f>
        <v>365.69999999999993</v>
      </c>
      <c r="BS89" s="91">
        <f>Weather!I209</f>
        <v>0</v>
      </c>
      <c r="BT89" s="91">
        <f>Weather!J209</f>
        <v>305.69999999999993</v>
      </c>
      <c r="BU89" s="91">
        <f>Weather!K209</f>
        <v>0</v>
      </c>
      <c r="BV89" s="91">
        <f>Weather!L209</f>
        <v>245.69999999999993</v>
      </c>
      <c r="BW89" s="91">
        <f>Weather!M209</f>
        <v>0</v>
      </c>
      <c r="BX89" s="91">
        <f>Weather!N209</f>
        <v>187.19999999999993</v>
      </c>
      <c r="BY89" s="91">
        <f>Weather!O209</f>
        <v>1.5</v>
      </c>
    </row>
    <row r="90" spans="1:77" x14ac:dyDescent="0.2">
      <c r="A90" s="66">
        <v>43251</v>
      </c>
      <c r="B90" s="114">
        <f t="shared" si="50"/>
        <v>2018</v>
      </c>
      <c r="C90" s="104">
        <v>19779671.223524317</v>
      </c>
      <c r="D90" s="104">
        <v>5433603.1230769819</v>
      </c>
      <c r="E90" s="171">
        <f ca="1">CDM!D111</f>
        <v>996467.09262204263</v>
      </c>
      <c r="F90" s="94">
        <f t="shared" ca="1" si="51"/>
        <v>15342535.193069376</v>
      </c>
      <c r="G90" s="94">
        <f ca="1">VLOOKUP(B90,CDM!$A$3:$G$14,7,FALSE)</f>
        <v>1006028.4251290415</v>
      </c>
      <c r="H90" s="94">
        <f t="shared" ca="1" si="65"/>
        <v>15352096.525576375</v>
      </c>
      <c r="I90" s="90">
        <f>Weather!F210</f>
        <v>81.700000000000017</v>
      </c>
      <c r="J90" s="90">
        <f>Weather!G210</f>
        <v>31.500000000000004</v>
      </c>
      <c r="K90" s="108">
        <v>31</v>
      </c>
      <c r="L90" s="108">
        <f t="shared" ref="L90:W90" si="93">L78</f>
        <v>0</v>
      </c>
      <c r="M90" s="108">
        <f t="shared" si="93"/>
        <v>0</v>
      </c>
      <c r="N90" s="108">
        <f t="shared" si="93"/>
        <v>0</v>
      </c>
      <c r="O90" s="108">
        <f t="shared" si="93"/>
        <v>0</v>
      </c>
      <c r="P90" s="108">
        <f t="shared" si="93"/>
        <v>1</v>
      </c>
      <c r="Q90" s="108">
        <f t="shared" si="93"/>
        <v>0</v>
      </c>
      <c r="R90" s="108">
        <f t="shared" si="93"/>
        <v>0</v>
      </c>
      <c r="S90" s="108">
        <f t="shared" si="93"/>
        <v>0</v>
      </c>
      <c r="T90" s="108">
        <f t="shared" si="93"/>
        <v>0</v>
      </c>
      <c r="U90" s="108">
        <f t="shared" si="93"/>
        <v>0</v>
      </c>
      <c r="V90" s="108">
        <f t="shared" si="93"/>
        <v>0</v>
      </c>
      <c r="W90" s="108">
        <f t="shared" si="93"/>
        <v>0</v>
      </c>
      <c r="X90" s="109">
        <v>1</v>
      </c>
      <c r="Y90" s="108">
        <f t="shared" si="82"/>
        <v>1</v>
      </c>
      <c r="Z90" s="108">
        <f t="shared" si="82"/>
        <v>0</v>
      </c>
      <c r="AA90" s="152">
        <v>0</v>
      </c>
      <c r="AB90" s="152">
        <v>0</v>
      </c>
      <c r="AC90" s="152">
        <f t="shared" si="67"/>
        <v>0</v>
      </c>
      <c r="AD90" s="152">
        <f t="shared" si="69"/>
        <v>0</v>
      </c>
      <c r="AE90" s="152">
        <v>1</v>
      </c>
      <c r="AF90" s="150">
        <f>'Customer Count'!I90</f>
        <v>14142</v>
      </c>
      <c r="AG90" s="150">
        <f>AF90-'Customer Count'!G90-'Customer Count'!F90</f>
        <v>11411</v>
      </c>
      <c r="AH90" s="150">
        <f>AF90-'Customer Count'!H90</f>
        <v>14141</v>
      </c>
      <c r="AI90" s="109">
        <f t="shared" si="70"/>
        <v>89</v>
      </c>
      <c r="AJ90" s="109">
        <v>336</v>
      </c>
      <c r="AK90" s="91">
        <v>155.85126442746289</v>
      </c>
      <c r="AL90" s="91">
        <f>Economic!C102</f>
        <v>732426.3</v>
      </c>
      <c r="AM90" s="91">
        <f>Economic!D102</f>
        <v>7208.1</v>
      </c>
      <c r="AN90" s="91">
        <f>Economic!E102</f>
        <v>7174.7</v>
      </c>
      <c r="AO90" s="91">
        <f>Economic!F102</f>
        <v>5.6</v>
      </c>
      <c r="AP90" s="91">
        <f>Economic!G102</f>
        <v>5.8</v>
      </c>
      <c r="AQ90" s="91">
        <f>Economic!H102</f>
        <v>412.2</v>
      </c>
      <c r="AR90" s="91">
        <f>Economic!I102</f>
        <v>408.1</v>
      </c>
      <c r="AS90" s="91">
        <f>Economic!J102</f>
        <v>4.8</v>
      </c>
      <c r="AT90" s="91">
        <f>Economic!K102</f>
        <v>4.5999999999999996</v>
      </c>
      <c r="AU90" s="91">
        <f>Economic!L102</f>
        <v>203.9</v>
      </c>
      <c r="AV90" s="91">
        <f>Economic!M102</f>
        <v>200.9</v>
      </c>
      <c r="AW90" s="91">
        <f>Economic!N102</f>
        <v>6.5</v>
      </c>
      <c r="AX90" s="91">
        <f>Economic!O102</f>
        <v>6.9</v>
      </c>
      <c r="AY90" s="91">
        <f>Economic!P102</f>
        <v>2.9129327994530385E-2</v>
      </c>
      <c r="AZ90" s="91">
        <f>Economic!Q102</f>
        <v>1.7992571355939457E-2</v>
      </c>
      <c r="BA90" s="91">
        <f>Economic!R102</f>
        <v>1.8063399267815194E-2</v>
      </c>
      <c r="BB90" s="91">
        <f>Economic!S102</f>
        <v>-1.0799136069114423E-2</v>
      </c>
      <c r="BC90" s="91">
        <f>Economic!T102</f>
        <v>-1.6152362584378022E-2</v>
      </c>
      <c r="BD90" s="91">
        <f>Economic!U102</f>
        <v>2.8758829465186819E-2</v>
      </c>
      <c r="BE90" s="91">
        <f>Economic!V102</f>
        <v>2.9728344438749499E-2</v>
      </c>
      <c r="BF90" s="91">
        <f>Economic!W102</f>
        <v>20731.20000000007</v>
      </c>
      <c r="BG90" s="91">
        <f>Economic!X102</f>
        <v>127.40000000000055</v>
      </c>
      <c r="BH90" s="91">
        <f>Economic!Y102</f>
        <v>127.30000000000018</v>
      </c>
      <c r="BI90" s="91">
        <f>Economic!Z102</f>
        <v>-4.5</v>
      </c>
      <c r="BJ90" s="91">
        <f>Economic!AA102</f>
        <v>-6.6999999999999886</v>
      </c>
      <c r="BK90" s="91">
        <f>Economic!AB102</f>
        <v>5.7000000000000171</v>
      </c>
      <c r="BL90" s="91">
        <f>Economic!AC102</f>
        <v>5.8000000000000114</v>
      </c>
      <c r="BM90" s="91">
        <f>Weather!C210</f>
        <v>16.380645161290328</v>
      </c>
      <c r="BN90" s="91">
        <f>Weather!D210</f>
        <v>125.60000000000002</v>
      </c>
      <c r="BO90" s="91">
        <f>Weather!E210</f>
        <v>13.400000000000002</v>
      </c>
      <c r="BP90" s="91">
        <f>Weather!F210</f>
        <v>81.700000000000017</v>
      </c>
      <c r="BQ90" s="91">
        <f>Weather!G210</f>
        <v>31.500000000000004</v>
      </c>
      <c r="BR90" s="91">
        <f>Weather!H210</f>
        <v>48.800000000000011</v>
      </c>
      <c r="BS90" s="91">
        <f>Weather!I210</f>
        <v>60.599999999999994</v>
      </c>
      <c r="BT90" s="91">
        <f>Weather!J210</f>
        <v>25.199999999999996</v>
      </c>
      <c r="BU90" s="91">
        <f>Weather!K210</f>
        <v>98.999999999999986</v>
      </c>
      <c r="BV90" s="91">
        <f>Weather!L210</f>
        <v>9.8999999999999986</v>
      </c>
      <c r="BW90" s="91">
        <f>Weather!M210</f>
        <v>145.69999999999999</v>
      </c>
      <c r="BX90" s="91">
        <f>Weather!N210</f>
        <v>3</v>
      </c>
      <c r="BY90" s="91">
        <f>Weather!O210</f>
        <v>200.8</v>
      </c>
    </row>
    <row r="91" spans="1:77" x14ac:dyDescent="0.2">
      <c r="A91" s="66">
        <v>43281</v>
      </c>
      <c r="B91" s="114">
        <f t="shared" si="50"/>
        <v>2018</v>
      </c>
      <c r="C91" s="104">
        <v>19936672.391649656</v>
      </c>
      <c r="D91" s="104">
        <v>3916619.5607652208</v>
      </c>
      <c r="E91" s="171">
        <f ca="1">CDM!D112</f>
        <v>1002841.3142933752</v>
      </c>
      <c r="F91" s="94">
        <f t="shared" ca="1" si="51"/>
        <v>17022894.145177811</v>
      </c>
      <c r="G91" s="94">
        <f ca="1">VLOOKUP(B91,CDM!$A$3:$G$14,7,FALSE)</f>
        <v>1006028.4251290415</v>
      </c>
      <c r="H91" s="94">
        <f t="shared" ca="1" si="65"/>
        <v>17026081.256013475</v>
      </c>
      <c r="I91" s="90">
        <f>Weather!F211</f>
        <v>19.699999999999992</v>
      </c>
      <c r="J91" s="90">
        <f>Weather!G211</f>
        <v>67.499999999999986</v>
      </c>
      <c r="K91" s="108">
        <v>30</v>
      </c>
      <c r="L91" s="108">
        <f t="shared" ref="L91:W91" si="94">L79</f>
        <v>0</v>
      </c>
      <c r="M91" s="108">
        <f t="shared" si="94"/>
        <v>0</v>
      </c>
      <c r="N91" s="108">
        <f t="shared" si="94"/>
        <v>0</v>
      </c>
      <c r="O91" s="108">
        <f t="shared" si="94"/>
        <v>0</v>
      </c>
      <c r="P91" s="108">
        <f t="shared" si="94"/>
        <v>0</v>
      </c>
      <c r="Q91" s="108">
        <f t="shared" si="94"/>
        <v>1</v>
      </c>
      <c r="R91" s="108">
        <f t="shared" si="94"/>
        <v>0</v>
      </c>
      <c r="S91" s="108">
        <f t="shared" si="94"/>
        <v>0</v>
      </c>
      <c r="T91" s="108">
        <f t="shared" si="94"/>
        <v>0</v>
      </c>
      <c r="U91" s="108">
        <f t="shared" si="94"/>
        <v>0</v>
      </c>
      <c r="V91" s="108">
        <f t="shared" si="94"/>
        <v>0</v>
      </c>
      <c r="W91" s="108">
        <f t="shared" si="94"/>
        <v>0</v>
      </c>
      <c r="X91" s="109">
        <v>0</v>
      </c>
      <c r="Y91" s="108">
        <f t="shared" si="82"/>
        <v>0</v>
      </c>
      <c r="Z91" s="108">
        <f t="shared" si="82"/>
        <v>0</v>
      </c>
      <c r="AA91" s="152">
        <v>0</v>
      </c>
      <c r="AB91" s="152">
        <v>0</v>
      </c>
      <c r="AC91" s="152">
        <f t="shared" si="67"/>
        <v>0</v>
      </c>
      <c r="AD91" s="152">
        <f t="shared" si="69"/>
        <v>0</v>
      </c>
      <c r="AE91" s="152">
        <v>1</v>
      </c>
      <c r="AF91" s="150">
        <f>'Customer Count'!I91</f>
        <v>14155</v>
      </c>
      <c r="AG91" s="150">
        <f>AF91-'Customer Count'!G91-'Customer Count'!F91</f>
        <v>11424</v>
      </c>
      <c r="AH91" s="150">
        <f>AF91-'Customer Count'!H91</f>
        <v>14154</v>
      </c>
      <c r="AI91" s="109">
        <f t="shared" si="70"/>
        <v>90</v>
      </c>
      <c r="AJ91" s="109">
        <v>352</v>
      </c>
      <c r="AK91" s="91">
        <v>156.13415051840798</v>
      </c>
      <c r="AL91" s="91">
        <f>Economic!C103</f>
        <v>732426.3</v>
      </c>
      <c r="AM91" s="91">
        <f>Economic!D103</f>
        <v>7224.1</v>
      </c>
      <c r="AN91" s="91">
        <f>Economic!E103</f>
        <v>7269.2</v>
      </c>
      <c r="AO91" s="91">
        <f>Economic!F103</f>
        <v>5.8</v>
      </c>
      <c r="AP91" s="91">
        <f>Economic!G103</f>
        <v>5.8</v>
      </c>
      <c r="AQ91" s="91">
        <f>Economic!H103</f>
        <v>414.9</v>
      </c>
      <c r="AR91" s="91">
        <f>Economic!I103</f>
        <v>414.3</v>
      </c>
      <c r="AS91" s="91">
        <f>Economic!J103</f>
        <v>4.5</v>
      </c>
      <c r="AT91" s="91">
        <f>Economic!K103</f>
        <v>4.3</v>
      </c>
      <c r="AU91" s="91">
        <f>Economic!L103</f>
        <v>203.8</v>
      </c>
      <c r="AV91" s="91">
        <f>Economic!M103</f>
        <v>204.4</v>
      </c>
      <c r="AW91" s="91">
        <f>Economic!N103</f>
        <v>6.5</v>
      </c>
      <c r="AX91" s="91">
        <f>Economic!O103</f>
        <v>6.2</v>
      </c>
      <c r="AY91" s="91">
        <f>Economic!P103</f>
        <v>2.9129327994530385E-2</v>
      </c>
      <c r="AZ91" s="91">
        <f>Economic!Q103</f>
        <v>1.957546504078822E-2</v>
      </c>
      <c r="BA91" s="91">
        <f>Economic!R103</f>
        <v>1.9580341113105915E-2</v>
      </c>
      <c r="BB91" s="91">
        <f>Economic!S103</f>
        <v>-6.9411201531833777E-3</v>
      </c>
      <c r="BC91" s="91">
        <f>Economic!T103</f>
        <v>-1.1924636298592861E-2</v>
      </c>
      <c r="BD91" s="91">
        <f>Economic!U103</f>
        <v>2.5666834423754503E-2</v>
      </c>
      <c r="BE91" s="91">
        <f>Economic!V103</f>
        <v>2.8169014084507005E-2</v>
      </c>
      <c r="BF91" s="91">
        <f>Economic!W103</f>
        <v>20731.20000000007</v>
      </c>
      <c r="BG91" s="91">
        <f>Economic!X103</f>
        <v>138.70000000000073</v>
      </c>
      <c r="BH91" s="91">
        <f>Economic!Y103</f>
        <v>139.59999999999945</v>
      </c>
      <c r="BI91" s="91">
        <f>Economic!Z103</f>
        <v>-2.9000000000000341</v>
      </c>
      <c r="BJ91" s="91">
        <f>Economic!AA103</f>
        <v>-5</v>
      </c>
      <c r="BK91" s="91">
        <f>Economic!AB103</f>
        <v>5.1000000000000227</v>
      </c>
      <c r="BL91" s="91">
        <f>Economic!AC103</f>
        <v>5.5999999999999943</v>
      </c>
      <c r="BM91" s="91">
        <f>Weather!C211</f>
        <v>19.593333333333337</v>
      </c>
      <c r="BN91" s="91">
        <f>Weather!D211</f>
        <v>53.500000000000014</v>
      </c>
      <c r="BO91" s="91">
        <f>Weather!E211</f>
        <v>41.3</v>
      </c>
      <c r="BP91" s="91">
        <f>Weather!F211</f>
        <v>19.699999999999992</v>
      </c>
      <c r="BQ91" s="91">
        <f>Weather!G211</f>
        <v>67.499999999999986</v>
      </c>
      <c r="BR91" s="91">
        <f>Weather!H211</f>
        <v>5.0999999999999979</v>
      </c>
      <c r="BS91" s="91">
        <f>Weather!I211</f>
        <v>112.89999999999998</v>
      </c>
      <c r="BT91" s="91">
        <f>Weather!J211</f>
        <v>0.69999999999999929</v>
      </c>
      <c r="BU91" s="91">
        <f>Weather!K211</f>
        <v>168.5</v>
      </c>
      <c r="BV91" s="91">
        <f>Weather!L211</f>
        <v>0</v>
      </c>
      <c r="BW91" s="91">
        <f>Weather!M211</f>
        <v>227.8000000000001</v>
      </c>
      <c r="BX91" s="91">
        <f>Weather!N211</f>
        <v>0</v>
      </c>
      <c r="BY91" s="91">
        <f>Weather!O211</f>
        <v>287.80000000000007</v>
      </c>
    </row>
    <row r="92" spans="1:77" x14ac:dyDescent="0.2">
      <c r="A92" s="66">
        <v>43312</v>
      </c>
      <c r="B92" s="114">
        <f t="shared" si="50"/>
        <v>2018</v>
      </c>
      <c r="C92" s="104">
        <v>26519724.751660287</v>
      </c>
      <c r="D92" s="104">
        <v>5890671.1113334885</v>
      </c>
      <c r="E92" s="171">
        <f ca="1">CDM!D113</f>
        <v>1009215.5359647078</v>
      </c>
      <c r="F92" s="94">
        <f t="shared" ca="1" si="51"/>
        <v>21638269.176291507</v>
      </c>
      <c r="G92" s="94">
        <f ca="1">VLOOKUP(B92,CDM!$A$3:$G$14,7,FALSE)</f>
        <v>1006028.4251290415</v>
      </c>
      <c r="H92" s="94">
        <f t="shared" ca="1" si="65"/>
        <v>21635082.065455839</v>
      </c>
      <c r="I92" s="90">
        <f>Weather!F212</f>
        <v>0</v>
      </c>
      <c r="J92" s="90">
        <f>Weather!G212</f>
        <v>175.30000000000004</v>
      </c>
      <c r="K92" s="108">
        <v>31</v>
      </c>
      <c r="L92" s="108">
        <f t="shared" ref="L92:W92" si="95">L80</f>
        <v>0</v>
      </c>
      <c r="M92" s="108">
        <f t="shared" si="95"/>
        <v>0</v>
      </c>
      <c r="N92" s="108">
        <f t="shared" si="95"/>
        <v>0</v>
      </c>
      <c r="O92" s="108">
        <f t="shared" si="95"/>
        <v>0</v>
      </c>
      <c r="P92" s="108">
        <f t="shared" si="95"/>
        <v>0</v>
      </c>
      <c r="Q92" s="108">
        <f t="shared" si="95"/>
        <v>0</v>
      </c>
      <c r="R92" s="108">
        <f t="shared" si="95"/>
        <v>1</v>
      </c>
      <c r="S92" s="108">
        <f t="shared" si="95"/>
        <v>0</v>
      </c>
      <c r="T92" s="108">
        <f t="shared" si="95"/>
        <v>0</v>
      </c>
      <c r="U92" s="108">
        <f t="shared" si="95"/>
        <v>0</v>
      </c>
      <c r="V92" s="108">
        <f t="shared" si="95"/>
        <v>0</v>
      </c>
      <c r="W92" s="108">
        <f t="shared" si="95"/>
        <v>0</v>
      </c>
      <c r="X92" s="109">
        <v>0</v>
      </c>
      <c r="Y92" s="108">
        <f t="shared" si="82"/>
        <v>0</v>
      </c>
      <c r="Z92" s="108">
        <f t="shared" si="82"/>
        <v>0</v>
      </c>
      <c r="AA92" s="152">
        <v>0</v>
      </c>
      <c r="AB92" s="152">
        <v>0</v>
      </c>
      <c r="AC92" s="152">
        <f t="shared" si="67"/>
        <v>0</v>
      </c>
      <c r="AD92" s="152">
        <f t="shared" si="69"/>
        <v>0</v>
      </c>
      <c r="AE92" s="152">
        <v>1</v>
      </c>
      <c r="AF92" s="150">
        <f>'Customer Count'!I92</f>
        <v>14165</v>
      </c>
      <c r="AG92" s="150">
        <f>AF92-'Customer Count'!G92-'Customer Count'!F92</f>
        <v>11434</v>
      </c>
      <c r="AH92" s="150">
        <f>AF92-'Customer Count'!H92</f>
        <v>14164</v>
      </c>
      <c r="AI92" s="109">
        <f t="shared" si="70"/>
        <v>91</v>
      </c>
      <c r="AJ92" s="109">
        <v>320</v>
      </c>
      <c r="AK92" s="91">
        <v>156.41755007673331</v>
      </c>
      <c r="AL92" s="91">
        <f>Economic!C104</f>
        <v>732426.3</v>
      </c>
      <c r="AM92" s="91">
        <f>Economic!D104</f>
        <v>7258.6</v>
      </c>
      <c r="AN92" s="91">
        <f>Economic!E104</f>
        <v>7352.5</v>
      </c>
      <c r="AO92" s="91">
        <f>Economic!F104</f>
        <v>5.7</v>
      </c>
      <c r="AP92" s="91">
        <f>Economic!G104</f>
        <v>5.9</v>
      </c>
      <c r="AQ92" s="91">
        <f>Economic!H104</f>
        <v>416.4</v>
      </c>
      <c r="AR92" s="91">
        <f>Economic!I104</f>
        <v>418.9</v>
      </c>
      <c r="AS92" s="91">
        <f>Economic!J104</f>
        <v>4.5999999999999996</v>
      </c>
      <c r="AT92" s="91">
        <f>Economic!K104</f>
        <v>5.0999999999999996</v>
      </c>
      <c r="AU92" s="91">
        <f>Economic!L104</f>
        <v>202.7</v>
      </c>
      <c r="AV92" s="91">
        <f>Economic!M104</f>
        <v>206.1</v>
      </c>
      <c r="AW92" s="91">
        <f>Economic!N104</f>
        <v>7.1</v>
      </c>
      <c r="AX92" s="91">
        <f>Economic!O104</f>
        <v>6.9</v>
      </c>
      <c r="AY92" s="91">
        <f>Economic!P104</f>
        <v>2.9129327994530385E-2</v>
      </c>
      <c r="AZ92" s="91">
        <f>Economic!Q104</f>
        <v>2.2352427498979033E-2</v>
      </c>
      <c r="BA92" s="91">
        <f>Economic!R104</f>
        <v>2.1890201528839581E-2</v>
      </c>
      <c r="BB92" s="91">
        <f>Economic!S104</f>
        <v>-1.163066698314752E-2</v>
      </c>
      <c r="BC92" s="91">
        <f>Economic!T104</f>
        <v>-9.4585008276187876E-3</v>
      </c>
      <c r="BD92" s="91">
        <f>Economic!U104</f>
        <v>1.1477045908183436E-2</v>
      </c>
      <c r="BE92" s="91">
        <f>Economic!V104</f>
        <v>7.3313782991202281E-3</v>
      </c>
      <c r="BF92" s="91">
        <f>Economic!W104</f>
        <v>20731.20000000007</v>
      </c>
      <c r="BG92" s="91">
        <f>Economic!X104</f>
        <v>158.70000000000073</v>
      </c>
      <c r="BH92" s="91">
        <f>Economic!Y104</f>
        <v>157.5</v>
      </c>
      <c r="BI92" s="91">
        <f>Economic!Z104</f>
        <v>-4.9000000000000341</v>
      </c>
      <c r="BJ92" s="91">
        <f>Economic!AA104</f>
        <v>-4</v>
      </c>
      <c r="BK92" s="91">
        <f>Economic!AB104</f>
        <v>2.2999999999999829</v>
      </c>
      <c r="BL92" s="91">
        <f>Economic!AC104</f>
        <v>1.5</v>
      </c>
      <c r="BM92" s="91">
        <f>Weather!C212</f>
        <v>23.654838709677414</v>
      </c>
      <c r="BN92" s="91">
        <f>Weather!D212</f>
        <v>1</v>
      </c>
      <c r="BO92" s="91">
        <f>Weather!E212</f>
        <v>114.29999999999997</v>
      </c>
      <c r="BP92" s="91">
        <f>Weather!F212</f>
        <v>0</v>
      </c>
      <c r="BQ92" s="91">
        <f>Weather!G212</f>
        <v>175.30000000000004</v>
      </c>
      <c r="BR92" s="91">
        <f>Weather!H212</f>
        <v>0</v>
      </c>
      <c r="BS92" s="91">
        <f>Weather!I212</f>
        <v>237.30000000000007</v>
      </c>
      <c r="BT92" s="91">
        <f>Weather!J212</f>
        <v>0</v>
      </c>
      <c r="BU92" s="91">
        <f>Weather!K212</f>
        <v>299.30000000000007</v>
      </c>
      <c r="BV92" s="91">
        <f>Weather!L212</f>
        <v>0</v>
      </c>
      <c r="BW92" s="91">
        <f>Weather!M212</f>
        <v>361.30000000000013</v>
      </c>
      <c r="BX92" s="91">
        <f>Weather!N212</f>
        <v>0</v>
      </c>
      <c r="BY92" s="91">
        <f>Weather!O212</f>
        <v>423.30000000000013</v>
      </c>
    </row>
    <row r="93" spans="1:77" x14ac:dyDescent="0.2">
      <c r="A93" s="66">
        <v>43343</v>
      </c>
      <c r="B93" s="114">
        <f t="shared" si="50"/>
        <v>2018</v>
      </c>
      <c r="C93" s="104">
        <v>26948242.609250635</v>
      </c>
      <c r="D93" s="104">
        <v>6778894.4532912951</v>
      </c>
      <c r="E93" s="171">
        <f ca="1">CDM!D114</f>
        <v>1015589.7576360404</v>
      </c>
      <c r="F93" s="94">
        <f t="shared" ca="1" si="51"/>
        <v>21184937.913595378</v>
      </c>
      <c r="G93" s="94">
        <f ca="1">VLOOKUP(B93,CDM!$A$3:$G$14,7,FALSE)</f>
        <v>1006028.4251290415</v>
      </c>
      <c r="H93" s="94">
        <f t="shared" ca="1" si="65"/>
        <v>21175376.581088379</v>
      </c>
      <c r="I93" s="90">
        <f>Weather!F213</f>
        <v>0.5</v>
      </c>
      <c r="J93" s="90">
        <f>Weather!G213</f>
        <v>171.8</v>
      </c>
      <c r="K93" s="108">
        <v>31</v>
      </c>
      <c r="L93" s="108">
        <f t="shared" ref="L93:W93" si="96">L81</f>
        <v>0</v>
      </c>
      <c r="M93" s="108">
        <f t="shared" si="96"/>
        <v>0</v>
      </c>
      <c r="N93" s="108">
        <f t="shared" si="96"/>
        <v>0</v>
      </c>
      <c r="O93" s="108">
        <f t="shared" si="96"/>
        <v>0</v>
      </c>
      <c r="P93" s="108">
        <f t="shared" si="96"/>
        <v>0</v>
      </c>
      <c r="Q93" s="108">
        <f t="shared" si="96"/>
        <v>0</v>
      </c>
      <c r="R93" s="108">
        <f t="shared" si="96"/>
        <v>0</v>
      </c>
      <c r="S93" s="108">
        <f t="shared" si="96"/>
        <v>1</v>
      </c>
      <c r="T93" s="108">
        <f t="shared" si="96"/>
        <v>0</v>
      </c>
      <c r="U93" s="108">
        <f t="shared" si="96"/>
        <v>0</v>
      </c>
      <c r="V93" s="108">
        <f t="shared" si="96"/>
        <v>0</v>
      </c>
      <c r="W93" s="108">
        <f t="shared" si="96"/>
        <v>0</v>
      </c>
      <c r="X93" s="109">
        <v>0</v>
      </c>
      <c r="Y93" s="108">
        <f t="shared" si="82"/>
        <v>0</v>
      </c>
      <c r="Z93" s="108">
        <f t="shared" si="82"/>
        <v>0</v>
      </c>
      <c r="AA93" s="152">
        <v>0</v>
      </c>
      <c r="AB93" s="152">
        <v>0</v>
      </c>
      <c r="AC93" s="152">
        <f t="shared" si="67"/>
        <v>0</v>
      </c>
      <c r="AD93" s="152">
        <f t="shared" si="69"/>
        <v>0</v>
      </c>
      <c r="AE93" s="152">
        <v>1</v>
      </c>
      <c r="AF93" s="150">
        <f>'Customer Count'!I93</f>
        <v>14170</v>
      </c>
      <c r="AG93" s="150">
        <f>AF93-'Customer Count'!G93-'Customer Count'!F93</f>
        <v>11439</v>
      </c>
      <c r="AH93" s="150">
        <f>AF93-'Customer Count'!H93</f>
        <v>14169</v>
      </c>
      <c r="AI93" s="109">
        <f t="shared" si="70"/>
        <v>92</v>
      </c>
      <c r="AJ93" s="109">
        <v>352</v>
      </c>
      <c r="AK93" s="91">
        <v>156.70146403443502</v>
      </c>
      <c r="AL93" s="91">
        <f>Economic!C105</f>
        <v>732426.3</v>
      </c>
      <c r="AM93" s="91">
        <f>Economic!D105</f>
        <v>7264.8</v>
      </c>
      <c r="AN93" s="91">
        <f>Economic!E105</f>
        <v>7356</v>
      </c>
      <c r="AO93" s="91">
        <f>Economic!F105</f>
        <v>5.7</v>
      </c>
      <c r="AP93" s="91">
        <f>Economic!G105</f>
        <v>6.1</v>
      </c>
      <c r="AQ93" s="91">
        <f>Economic!H105</f>
        <v>413.1</v>
      </c>
      <c r="AR93" s="91">
        <f>Economic!I105</f>
        <v>416.3</v>
      </c>
      <c r="AS93" s="91">
        <f>Economic!J105</f>
        <v>4.8</v>
      </c>
      <c r="AT93" s="91">
        <f>Economic!K105</f>
        <v>5.5</v>
      </c>
      <c r="AU93" s="91">
        <f>Economic!L105</f>
        <v>201.2</v>
      </c>
      <c r="AV93" s="91">
        <f>Economic!M105</f>
        <v>205.4</v>
      </c>
      <c r="AW93" s="91">
        <f>Economic!N105</f>
        <v>7.4</v>
      </c>
      <c r="AX93" s="91">
        <f>Economic!O105</f>
        <v>7.3</v>
      </c>
      <c r="AY93" s="91">
        <f>Economic!P105</f>
        <v>2.9129327994530385E-2</v>
      </c>
      <c r="AZ93" s="91">
        <f>Economic!Q105</f>
        <v>2.0150815160153268E-2</v>
      </c>
      <c r="BA93" s="91">
        <f>Economic!R105</f>
        <v>1.9726354020821457E-2</v>
      </c>
      <c r="BB93" s="91">
        <f>Economic!S105</f>
        <v>-3.436185133239833E-2</v>
      </c>
      <c r="BC93" s="91">
        <f>Economic!T105</f>
        <v>-2.9829876485667706E-2</v>
      </c>
      <c r="BD93" s="91">
        <f>Economic!U105</f>
        <v>5.4972513743127838E-3</v>
      </c>
      <c r="BE93" s="91">
        <f>Economic!V105</f>
        <v>2.4402147388971063E-3</v>
      </c>
      <c r="BF93" s="91">
        <f>Economic!W105</f>
        <v>20731.20000000007</v>
      </c>
      <c r="BG93" s="91">
        <f>Economic!X105</f>
        <v>143.5</v>
      </c>
      <c r="BH93" s="91">
        <f>Economic!Y105</f>
        <v>142.30000000000018</v>
      </c>
      <c r="BI93" s="91">
        <f>Economic!Z105</f>
        <v>-14.699999999999989</v>
      </c>
      <c r="BJ93" s="91">
        <f>Economic!AA105</f>
        <v>-12.800000000000011</v>
      </c>
      <c r="BK93" s="91">
        <f>Economic!AB105</f>
        <v>1.0999999999999943</v>
      </c>
      <c r="BL93" s="91">
        <f>Economic!AC105</f>
        <v>0.5</v>
      </c>
      <c r="BM93" s="91">
        <f>Weather!C213</f>
        <v>23.525806451612898</v>
      </c>
      <c r="BN93" s="91">
        <f>Weather!D213</f>
        <v>4.1999999999999993</v>
      </c>
      <c r="BO93" s="91">
        <f>Weather!E213</f>
        <v>113.49999999999997</v>
      </c>
      <c r="BP93" s="91">
        <f>Weather!F213</f>
        <v>0.5</v>
      </c>
      <c r="BQ93" s="91">
        <f>Weather!G213</f>
        <v>171.8</v>
      </c>
      <c r="BR93" s="91">
        <f>Weather!H213</f>
        <v>0</v>
      </c>
      <c r="BS93" s="91">
        <f>Weather!I213</f>
        <v>233.3000000000001</v>
      </c>
      <c r="BT93" s="91">
        <f>Weather!J213</f>
        <v>0</v>
      </c>
      <c r="BU93" s="91">
        <f>Weather!K213</f>
        <v>295.30000000000013</v>
      </c>
      <c r="BV93" s="91">
        <f>Weather!L213</f>
        <v>0</v>
      </c>
      <c r="BW93" s="91">
        <f>Weather!M213</f>
        <v>357.30000000000013</v>
      </c>
      <c r="BX93" s="91">
        <f>Weather!N213</f>
        <v>0</v>
      </c>
      <c r="BY93" s="91">
        <f>Weather!O213</f>
        <v>419.30000000000013</v>
      </c>
    </row>
    <row r="94" spans="1:77" x14ac:dyDescent="0.2">
      <c r="A94" s="66">
        <v>43373</v>
      </c>
      <c r="B94" s="114">
        <f t="shared" si="50"/>
        <v>2018</v>
      </c>
      <c r="C94" s="104">
        <v>21215817.727722466</v>
      </c>
      <c r="D94" s="104">
        <v>4496004.9261929411</v>
      </c>
      <c r="E94" s="171">
        <f ca="1">CDM!D115</f>
        <v>1021963.9793073732</v>
      </c>
      <c r="F94" s="94">
        <f t="shared" ca="1" si="51"/>
        <v>17741776.780836895</v>
      </c>
      <c r="G94" s="94">
        <f ca="1">VLOOKUP(B94,CDM!$A$3:$G$14,7,FALSE)</f>
        <v>1006028.4251290415</v>
      </c>
      <c r="H94" s="94">
        <f t="shared" ca="1" si="65"/>
        <v>17725841.226658568</v>
      </c>
      <c r="I94" s="90">
        <f>Weather!F214</f>
        <v>41.2</v>
      </c>
      <c r="J94" s="90">
        <f>Weather!G214</f>
        <v>80.999999999999986</v>
      </c>
      <c r="K94" s="108">
        <v>30</v>
      </c>
      <c r="L94" s="108">
        <f t="shared" ref="L94:W94" si="97">L82</f>
        <v>0</v>
      </c>
      <c r="M94" s="108">
        <f t="shared" si="97"/>
        <v>0</v>
      </c>
      <c r="N94" s="108">
        <f t="shared" si="97"/>
        <v>0</v>
      </c>
      <c r="O94" s="108">
        <f t="shared" si="97"/>
        <v>0</v>
      </c>
      <c r="P94" s="108">
        <f t="shared" si="97"/>
        <v>0</v>
      </c>
      <c r="Q94" s="108">
        <f t="shared" si="97"/>
        <v>0</v>
      </c>
      <c r="R94" s="108">
        <f t="shared" si="97"/>
        <v>0</v>
      </c>
      <c r="S94" s="108">
        <f t="shared" si="97"/>
        <v>0</v>
      </c>
      <c r="T94" s="108">
        <f t="shared" si="97"/>
        <v>1</v>
      </c>
      <c r="U94" s="108">
        <f t="shared" si="97"/>
        <v>0</v>
      </c>
      <c r="V94" s="108">
        <f t="shared" si="97"/>
        <v>0</v>
      </c>
      <c r="W94" s="108">
        <f t="shared" si="97"/>
        <v>0</v>
      </c>
      <c r="X94" s="109">
        <v>1</v>
      </c>
      <c r="Y94" s="108">
        <f t="shared" si="82"/>
        <v>0</v>
      </c>
      <c r="Z94" s="108">
        <f t="shared" si="82"/>
        <v>1</v>
      </c>
      <c r="AA94" s="152">
        <v>0</v>
      </c>
      <c r="AB94" s="152">
        <v>0</v>
      </c>
      <c r="AC94" s="152">
        <f t="shared" si="67"/>
        <v>0</v>
      </c>
      <c r="AD94" s="152">
        <f t="shared" si="69"/>
        <v>0</v>
      </c>
      <c r="AE94" s="152">
        <v>1</v>
      </c>
      <c r="AF94" s="150">
        <f>'Customer Count'!I94</f>
        <v>14216.5</v>
      </c>
      <c r="AG94" s="150">
        <f>AF94-'Customer Count'!G94-'Customer Count'!F94</f>
        <v>11485.5</v>
      </c>
      <c r="AH94" s="150">
        <f>AF94-'Customer Count'!H94</f>
        <v>14215.5</v>
      </c>
      <c r="AI94" s="109">
        <f t="shared" si="70"/>
        <v>93</v>
      </c>
      <c r="AJ94" s="109">
        <v>336</v>
      </c>
      <c r="AK94" s="91">
        <v>156.98589332520095</v>
      </c>
      <c r="AL94" s="91">
        <f>Economic!C106</f>
        <v>732426.3</v>
      </c>
      <c r="AM94" s="91">
        <f>Economic!D106</f>
        <v>7268.1</v>
      </c>
      <c r="AN94" s="91">
        <f>Economic!E106</f>
        <v>7315.2</v>
      </c>
      <c r="AO94" s="91">
        <f>Economic!F106</f>
        <v>5.6</v>
      </c>
      <c r="AP94" s="91">
        <f>Economic!G106</f>
        <v>6</v>
      </c>
      <c r="AQ94" s="91">
        <f>Economic!H106</f>
        <v>411.2</v>
      </c>
      <c r="AR94" s="91">
        <f>Economic!I106</f>
        <v>412.4</v>
      </c>
      <c r="AS94" s="91">
        <f>Economic!J106</f>
        <v>4.9000000000000004</v>
      </c>
      <c r="AT94" s="91">
        <f>Economic!K106</f>
        <v>5.8</v>
      </c>
      <c r="AU94" s="91">
        <f>Economic!L106</f>
        <v>200.9</v>
      </c>
      <c r="AV94" s="91">
        <f>Economic!M106</f>
        <v>205.1</v>
      </c>
      <c r="AW94" s="91">
        <f>Economic!N106</f>
        <v>7.3</v>
      </c>
      <c r="AX94" s="91">
        <f>Economic!O106</f>
        <v>7.1</v>
      </c>
      <c r="AY94" s="91">
        <f>Economic!P106</f>
        <v>2.9129327994530385E-2</v>
      </c>
      <c r="AZ94" s="91">
        <f>Economic!Q106</f>
        <v>1.6503265688591728E-2</v>
      </c>
      <c r="BA94" s="91">
        <f>Economic!R106</f>
        <v>1.6423509795748137E-2</v>
      </c>
      <c r="BB94" s="91">
        <f>Economic!S106</f>
        <v>-5.0127050127050099E-2</v>
      </c>
      <c r="BC94" s="91">
        <f>Economic!T106</f>
        <v>-4.6253469010175796E-2</v>
      </c>
      <c r="BD94" s="91">
        <f>Economic!U106</f>
        <v>1.5672396359959428E-2</v>
      </c>
      <c r="BE94" s="91">
        <f>Economic!V106</f>
        <v>1.4342235410484738E-2</v>
      </c>
      <c r="BF94" s="91">
        <f>Economic!W106</f>
        <v>20731.20000000007</v>
      </c>
      <c r="BG94" s="91">
        <f>Economic!X106</f>
        <v>118</v>
      </c>
      <c r="BH94" s="91">
        <f>Economic!Y106</f>
        <v>118.19999999999982</v>
      </c>
      <c r="BI94" s="91">
        <f>Economic!Z106</f>
        <v>-21.699999999999989</v>
      </c>
      <c r="BJ94" s="91">
        <f>Economic!AA106</f>
        <v>-20</v>
      </c>
      <c r="BK94" s="91">
        <f>Economic!AB106</f>
        <v>3.0999999999999943</v>
      </c>
      <c r="BL94" s="91">
        <f>Economic!AC106</f>
        <v>2.9000000000000057</v>
      </c>
      <c r="BM94" s="91">
        <f>Weather!C214</f>
        <v>19.326666666666664</v>
      </c>
      <c r="BN94" s="91">
        <f>Weather!D214</f>
        <v>70.800000000000011</v>
      </c>
      <c r="BO94" s="91">
        <f>Weather!E214</f>
        <v>50.600000000000009</v>
      </c>
      <c r="BP94" s="91">
        <f>Weather!F214</f>
        <v>41.2</v>
      </c>
      <c r="BQ94" s="91">
        <f>Weather!G214</f>
        <v>80.999999999999986</v>
      </c>
      <c r="BR94" s="91">
        <f>Weather!H214</f>
        <v>21.299999999999997</v>
      </c>
      <c r="BS94" s="91">
        <f>Weather!I214</f>
        <v>121.09999999999998</v>
      </c>
      <c r="BT94" s="91">
        <f>Weather!J214</f>
        <v>6.5999999999999979</v>
      </c>
      <c r="BU94" s="91">
        <f>Weather!K214</f>
        <v>166.40000000000003</v>
      </c>
      <c r="BV94" s="91">
        <f>Weather!L214</f>
        <v>0.19999999999999929</v>
      </c>
      <c r="BW94" s="91">
        <f>Weather!M214</f>
        <v>220.00000000000006</v>
      </c>
      <c r="BX94" s="91">
        <f>Weather!N214</f>
        <v>0</v>
      </c>
      <c r="BY94" s="91">
        <f>Weather!O214</f>
        <v>279.80000000000007</v>
      </c>
    </row>
    <row r="95" spans="1:77" x14ac:dyDescent="0.2">
      <c r="A95" s="66">
        <v>43404</v>
      </c>
      <c r="B95" s="114">
        <f t="shared" si="50"/>
        <v>2018</v>
      </c>
      <c r="C95" s="104">
        <v>17077098.534574993</v>
      </c>
      <c r="D95" s="104">
        <v>2542408.0313404463</v>
      </c>
      <c r="E95" s="171">
        <f ca="1">CDM!D116</f>
        <v>1028338.2009787058</v>
      </c>
      <c r="F95" s="94">
        <f t="shared" ca="1" si="51"/>
        <v>15563028.704213254</v>
      </c>
      <c r="G95" s="94">
        <f ca="1">VLOOKUP(B95,CDM!$A$3:$G$14,7,FALSE)</f>
        <v>1006028.4251290415</v>
      </c>
      <c r="H95" s="94">
        <f t="shared" ca="1" si="65"/>
        <v>15540718.928363588</v>
      </c>
      <c r="I95" s="90">
        <f>Weather!F215</f>
        <v>241.39999999999992</v>
      </c>
      <c r="J95" s="90">
        <f>Weather!G215</f>
        <v>9.8000000000000007</v>
      </c>
      <c r="K95" s="108">
        <v>31</v>
      </c>
      <c r="L95" s="108">
        <f t="shared" ref="L95:W95" si="98">L83</f>
        <v>0</v>
      </c>
      <c r="M95" s="108">
        <f t="shared" si="98"/>
        <v>0</v>
      </c>
      <c r="N95" s="108">
        <f t="shared" si="98"/>
        <v>0</v>
      </c>
      <c r="O95" s="108">
        <f t="shared" si="98"/>
        <v>0</v>
      </c>
      <c r="P95" s="108">
        <f t="shared" si="98"/>
        <v>0</v>
      </c>
      <c r="Q95" s="108">
        <f t="shared" si="98"/>
        <v>0</v>
      </c>
      <c r="R95" s="108">
        <f t="shared" si="98"/>
        <v>0</v>
      </c>
      <c r="S95" s="108">
        <f t="shared" si="98"/>
        <v>0</v>
      </c>
      <c r="T95" s="108">
        <f t="shared" si="98"/>
        <v>0</v>
      </c>
      <c r="U95" s="108">
        <f t="shared" si="98"/>
        <v>1</v>
      </c>
      <c r="V95" s="108">
        <f t="shared" si="98"/>
        <v>0</v>
      </c>
      <c r="W95" s="108">
        <f t="shared" si="98"/>
        <v>0</v>
      </c>
      <c r="X95" s="109">
        <v>1</v>
      </c>
      <c r="Y95" s="108">
        <f t="shared" ref="Y95:Z110" si="99">Y83</f>
        <v>0</v>
      </c>
      <c r="Z95" s="108">
        <f t="shared" si="99"/>
        <v>1</v>
      </c>
      <c r="AA95" s="152">
        <v>0</v>
      </c>
      <c r="AB95" s="152">
        <v>0</v>
      </c>
      <c r="AC95" s="152">
        <f t="shared" si="67"/>
        <v>0</v>
      </c>
      <c r="AD95" s="152">
        <f t="shared" si="69"/>
        <v>0</v>
      </c>
      <c r="AE95" s="152">
        <v>1</v>
      </c>
      <c r="AF95" s="150">
        <f>'Customer Count'!I95</f>
        <v>14264.5</v>
      </c>
      <c r="AG95" s="150">
        <f>AF95-'Customer Count'!G95-'Customer Count'!F95</f>
        <v>11533.5</v>
      </c>
      <c r="AH95" s="150">
        <f>AF95-'Customer Count'!H95</f>
        <v>14263.5</v>
      </c>
      <c r="AI95" s="109">
        <f t="shared" si="70"/>
        <v>94</v>
      </c>
      <c r="AJ95" s="109">
        <v>320</v>
      </c>
      <c r="AK95" s="91">
        <v>157.27083888441365</v>
      </c>
      <c r="AL95" s="91">
        <f>Economic!C107</f>
        <v>732426.3</v>
      </c>
      <c r="AM95" s="91">
        <f>Economic!D107</f>
        <v>7253</v>
      </c>
      <c r="AN95" s="91">
        <f>Economic!E107</f>
        <v>7274.4</v>
      </c>
      <c r="AO95" s="91">
        <f>Economic!F107</f>
        <v>5.7</v>
      </c>
      <c r="AP95" s="91">
        <f>Economic!G107</f>
        <v>5.8</v>
      </c>
      <c r="AQ95" s="91">
        <f>Economic!H107</f>
        <v>411.9</v>
      </c>
      <c r="AR95" s="91">
        <f>Economic!I107</f>
        <v>412.1</v>
      </c>
      <c r="AS95" s="91">
        <f>Economic!J107</f>
        <v>4.9000000000000004</v>
      </c>
      <c r="AT95" s="91">
        <f>Economic!K107</f>
        <v>5.3</v>
      </c>
      <c r="AU95" s="91">
        <f>Economic!L107</f>
        <v>200.4</v>
      </c>
      <c r="AV95" s="91">
        <f>Economic!M107</f>
        <v>204.7</v>
      </c>
      <c r="AW95" s="91">
        <f>Economic!N107</f>
        <v>7.2</v>
      </c>
      <c r="AX95" s="91">
        <f>Economic!O107</f>
        <v>6.5</v>
      </c>
      <c r="AY95" s="91">
        <f>Economic!P107</f>
        <v>2.9129327994530385E-2</v>
      </c>
      <c r="AZ95" s="91">
        <f>Economic!Q107</f>
        <v>1.1505473816330714E-2</v>
      </c>
      <c r="BA95" s="91">
        <f>Economic!R107</f>
        <v>1.1218149213895412E-2</v>
      </c>
      <c r="BB95" s="91">
        <f>Economic!S107</f>
        <v>-4.3649872300905557E-2</v>
      </c>
      <c r="BC95" s="91">
        <f>Economic!T107</f>
        <v>-4.2296072507552851E-2</v>
      </c>
      <c r="BD95" s="91">
        <f>Economic!U107</f>
        <v>2.7692307692307683E-2</v>
      </c>
      <c r="BE95" s="91">
        <f>Economic!V107</f>
        <v>2.9160382101558469E-2</v>
      </c>
      <c r="BF95" s="91">
        <f>Economic!W107</f>
        <v>20731.20000000007</v>
      </c>
      <c r="BG95" s="91">
        <f>Economic!X107</f>
        <v>82.5</v>
      </c>
      <c r="BH95" s="91">
        <f>Economic!Y107</f>
        <v>80.699999999999818</v>
      </c>
      <c r="BI95" s="91">
        <f>Economic!Z107</f>
        <v>-18.800000000000011</v>
      </c>
      <c r="BJ95" s="91">
        <f>Economic!AA107</f>
        <v>-18.199999999999989</v>
      </c>
      <c r="BK95" s="91">
        <f>Economic!AB107</f>
        <v>5.4000000000000057</v>
      </c>
      <c r="BL95" s="91">
        <f>Economic!AC107</f>
        <v>5.7999999999999829</v>
      </c>
      <c r="BM95" s="91">
        <f>Weather!C215</f>
        <v>10.529032258064522</v>
      </c>
      <c r="BN95" s="91">
        <f>Weather!D215</f>
        <v>298.89999999999992</v>
      </c>
      <c r="BO95" s="91">
        <f>Weather!E215</f>
        <v>5.3000000000000007</v>
      </c>
      <c r="BP95" s="91">
        <f>Weather!F215</f>
        <v>241.39999999999992</v>
      </c>
      <c r="BQ95" s="91">
        <f>Weather!G215</f>
        <v>9.8000000000000007</v>
      </c>
      <c r="BR95" s="91">
        <f>Weather!H215</f>
        <v>187.99999999999994</v>
      </c>
      <c r="BS95" s="91">
        <f>Weather!I215</f>
        <v>18.400000000000002</v>
      </c>
      <c r="BT95" s="91">
        <f>Weather!J215</f>
        <v>139.6</v>
      </c>
      <c r="BU95" s="91">
        <f>Weather!K215</f>
        <v>32</v>
      </c>
      <c r="BV95" s="91">
        <f>Weather!L215</f>
        <v>95.100000000000009</v>
      </c>
      <c r="BW95" s="91">
        <f>Weather!M215</f>
        <v>49.5</v>
      </c>
      <c r="BX95" s="91">
        <f>Weather!N215</f>
        <v>54.800000000000011</v>
      </c>
      <c r="BY95" s="91">
        <f>Weather!O215</f>
        <v>71.199999999999989</v>
      </c>
    </row>
    <row r="96" spans="1:77" x14ac:dyDescent="0.2">
      <c r="A96" s="66">
        <v>43434</v>
      </c>
      <c r="B96" s="114">
        <f t="shared" si="50"/>
        <v>2018</v>
      </c>
      <c r="C96" s="104">
        <v>17872678.440282173</v>
      </c>
      <c r="D96" s="104">
        <v>2900973.5563793778</v>
      </c>
      <c r="E96" s="171">
        <f ca="1">CDM!D117</f>
        <v>1034712.4226500384</v>
      </c>
      <c r="F96" s="94">
        <f t="shared" ca="1" si="51"/>
        <v>16006417.306552835</v>
      </c>
      <c r="G96" s="94">
        <f ca="1">VLOOKUP(B96,CDM!$A$3:$G$14,7,FALSE)</f>
        <v>1006028.4251290415</v>
      </c>
      <c r="H96" s="94">
        <f t="shared" ca="1" si="65"/>
        <v>15977733.309031837</v>
      </c>
      <c r="I96" s="90">
        <f>Weather!F216</f>
        <v>474.4</v>
      </c>
      <c r="J96" s="90">
        <f>Weather!G216</f>
        <v>0</v>
      </c>
      <c r="K96" s="108">
        <v>30</v>
      </c>
      <c r="L96" s="108">
        <f t="shared" ref="L96:W96" si="100">L84</f>
        <v>0</v>
      </c>
      <c r="M96" s="108">
        <f t="shared" si="100"/>
        <v>0</v>
      </c>
      <c r="N96" s="108">
        <f t="shared" si="100"/>
        <v>0</v>
      </c>
      <c r="O96" s="108">
        <f t="shared" si="100"/>
        <v>0</v>
      </c>
      <c r="P96" s="108">
        <f t="shared" si="100"/>
        <v>0</v>
      </c>
      <c r="Q96" s="108">
        <f t="shared" si="100"/>
        <v>0</v>
      </c>
      <c r="R96" s="108">
        <f t="shared" si="100"/>
        <v>0</v>
      </c>
      <c r="S96" s="108">
        <f t="shared" si="100"/>
        <v>0</v>
      </c>
      <c r="T96" s="108">
        <f t="shared" si="100"/>
        <v>0</v>
      </c>
      <c r="U96" s="108">
        <f t="shared" si="100"/>
        <v>0</v>
      </c>
      <c r="V96" s="108">
        <f t="shared" si="100"/>
        <v>1</v>
      </c>
      <c r="W96" s="108">
        <f t="shared" si="100"/>
        <v>0</v>
      </c>
      <c r="X96" s="109">
        <v>1</v>
      </c>
      <c r="Y96" s="108">
        <f t="shared" si="99"/>
        <v>0</v>
      </c>
      <c r="Z96" s="108">
        <f t="shared" si="99"/>
        <v>1</v>
      </c>
      <c r="AA96" s="152">
        <v>0</v>
      </c>
      <c r="AB96" s="152">
        <v>0</v>
      </c>
      <c r="AC96" s="152">
        <f t="shared" si="67"/>
        <v>0</v>
      </c>
      <c r="AD96" s="152">
        <f t="shared" si="69"/>
        <v>0</v>
      </c>
      <c r="AE96" s="152">
        <v>1</v>
      </c>
      <c r="AF96" s="150">
        <f>'Customer Count'!I96</f>
        <v>14269</v>
      </c>
      <c r="AG96" s="150">
        <f>AF96-'Customer Count'!G96-'Customer Count'!F96</f>
        <v>11538</v>
      </c>
      <c r="AH96" s="150">
        <f>AF96-'Customer Count'!H96</f>
        <v>14268</v>
      </c>
      <c r="AI96" s="109">
        <f t="shared" si="70"/>
        <v>95</v>
      </c>
      <c r="AJ96" s="109">
        <v>336</v>
      </c>
      <c r="AK96" s="91">
        <v>157.55630164915351</v>
      </c>
      <c r="AL96" s="91">
        <f>Economic!C108</f>
        <v>732426.3</v>
      </c>
      <c r="AM96" s="91">
        <f>Economic!D108</f>
        <v>7273.5</v>
      </c>
      <c r="AN96" s="91">
        <f>Economic!E108</f>
        <v>7279</v>
      </c>
      <c r="AO96" s="91">
        <f>Economic!F108</f>
        <v>5.7</v>
      </c>
      <c r="AP96" s="91">
        <f>Economic!G108</f>
        <v>5.2</v>
      </c>
      <c r="AQ96" s="91">
        <f>Economic!H108</f>
        <v>416</v>
      </c>
      <c r="AR96" s="91">
        <f>Economic!I108</f>
        <v>415.5</v>
      </c>
      <c r="AS96" s="91">
        <f>Economic!J108</f>
        <v>4.5</v>
      </c>
      <c r="AT96" s="91">
        <f>Economic!K108</f>
        <v>4.5999999999999996</v>
      </c>
      <c r="AU96" s="91">
        <f>Economic!L108</f>
        <v>199.2</v>
      </c>
      <c r="AV96" s="91">
        <f>Economic!M108</f>
        <v>202.6</v>
      </c>
      <c r="AW96" s="91">
        <f>Economic!N108</f>
        <v>6.9</v>
      </c>
      <c r="AX96" s="91">
        <f>Economic!O108</f>
        <v>6.1</v>
      </c>
      <c r="AY96" s="91">
        <f>Economic!P108</f>
        <v>2.9129327994530385E-2</v>
      </c>
      <c r="AZ96" s="91">
        <f>Economic!Q108</f>
        <v>1.1669633915655897E-2</v>
      </c>
      <c r="BA96" s="91">
        <f>Economic!R108</f>
        <v>1.1787273081093064E-2</v>
      </c>
      <c r="BB96" s="91">
        <f>Economic!S108</f>
        <v>-2.3932426091037073E-2</v>
      </c>
      <c r="BC96" s="91">
        <f>Economic!T108</f>
        <v>-2.5105584232754552E-2</v>
      </c>
      <c r="BD96" s="91">
        <f>Economic!U108</f>
        <v>2.4691358024691246E-2</v>
      </c>
      <c r="BE96" s="91">
        <f>Economic!V108</f>
        <v>2.6342451874366679E-2</v>
      </c>
      <c r="BF96" s="91">
        <f>Economic!W108</f>
        <v>20731.20000000007</v>
      </c>
      <c r="BG96" s="91">
        <f>Economic!X108</f>
        <v>83.899999999999636</v>
      </c>
      <c r="BH96" s="91">
        <f>Economic!Y108</f>
        <v>84.800000000000182</v>
      </c>
      <c r="BI96" s="91">
        <f>Economic!Z108</f>
        <v>-10.199999999999989</v>
      </c>
      <c r="BJ96" s="91">
        <f>Economic!AA108</f>
        <v>-10.699999999999989</v>
      </c>
      <c r="BK96" s="91">
        <f>Economic!AB108</f>
        <v>4.7999999999999829</v>
      </c>
      <c r="BL96" s="91">
        <f>Economic!AC108</f>
        <v>5.1999999999999886</v>
      </c>
      <c r="BM96" s="91">
        <f>Weather!C216</f>
        <v>2.1866666666666665</v>
      </c>
      <c r="BN96" s="91">
        <f>Weather!D216</f>
        <v>534.40000000000009</v>
      </c>
      <c r="BO96" s="91">
        <f>Weather!E216</f>
        <v>0</v>
      </c>
      <c r="BP96" s="91">
        <f>Weather!F216</f>
        <v>474.4</v>
      </c>
      <c r="BQ96" s="91">
        <f>Weather!G216</f>
        <v>0</v>
      </c>
      <c r="BR96" s="91">
        <f>Weather!H216</f>
        <v>414.4</v>
      </c>
      <c r="BS96" s="91">
        <f>Weather!I216</f>
        <v>0</v>
      </c>
      <c r="BT96" s="91">
        <f>Weather!J216</f>
        <v>354.4</v>
      </c>
      <c r="BU96" s="91">
        <f>Weather!K216</f>
        <v>0</v>
      </c>
      <c r="BV96" s="91">
        <f>Weather!L216</f>
        <v>295.7</v>
      </c>
      <c r="BW96" s="91">
        <f>Weather!M216</f>
        <v>1.3000000000000007</v>
      </c>
      <c r="BX96" s="91">
        <f>Weather!N216</f>
        <v>237.7</v>
      </c>
      <c r="BY96" s="91">
        <f>Weather!O216</f>
        <v>3.3000000000000007</v>
      </c>
    </row>
    <row r="97" spans="1:77" x14ac:dyDescent="0.2">
      <c r="A97" s="66">
        <v>43465</v>
      </c>
      <c r="B97" s="114">
        <f t="shared" si="50"/>
        <v>2018</v>
      </c>
      <c r="C97" s="104">
        <v>19117837.684365984</v>
      </c>
      <c r="D97" s="104">
        <v>2949172.2066761004</v>
      </c>
      <c r="E97" s="171">
        <f ca="1">CDM!D118</f>
        <v>1041086.644321371</v>
      </c>
      <c r="F97" s="94">
        <f ca="1">C97+E97-D97</f>
        <v>17209752.122011255</v>
      </c>
      <c r="G97" s="94">
        <f ca="1">VLOOKUP(B97,CDM!$A$3:$G$14,7,FALSE)</f>
        <v>1006028.4251290415</v>
      </c>
      <c r="H97" s="94">
        <f t="shared" ca="1" si="65"/>
        <v>17174693.902818926</v>
      </c>
      <c r="I97" s="90">
        <f>Weather!F217</f>
        <v>540.1</v>
      </c>
      <c r="J97" s="90">
        <f>Weather!G217</f>
        <v>0</v>
      </c>
      <c r="K97" s="108">
        <v>31</v>
      </c>
      <c r="L97" s="108">
        <f t="shared" ref="L97:W97" si="101">L85</f>
        <v>0</v>
      </c>
      <c r="M97" s="108">
        <f t="shared" si="101"/>
        <v>0</v>
      </c>
      <c r="N97" s="108">
        <f t="shared" si="101"/>
        <v>0</v>
      </c>
      <c r="O97" s="108">
        <f t="shared" si="101"/>
        <v>0</v>
      </c>
      <c r="P97" s="108">
        <f t="shared" si="101"/>
        <v>0</v>
      </c>
      <c r="Q97" s="108">
        <f t="shared" si="101"/>
        <v>0</v>
      </c>
      <c r="R97" s="108">
        <f t="shared" si="101"/>
        <v>0</v>
      </c>
      <c r="S97" s="108">
        <f t="shared" si="101"/>
        <v>0</v>
      </c>
      <c r="T97" s="108">
        <f t="shared" si="101"/>
        <v>0</v>
      </c>
      <c r="U97" s="108">
        <f t="shared" si="101"/>
        <v>0</v>
      </c>
      <c r="V97" s="108">
        <f t="shared" si="101"/>
        <v>0</v>
      </c>
      <c r="W97" s="108">
        <f t="shared" si="101"/>
        <v>1</v>
      </c>
      <c r="X97" s="109">
        <v>0</v>
      </c>
      <c r="Y97" s="108">
        <f t="shared" si="99"/>
        <v>0</v>
      </c>
      <c r="Z97" s="108">
        <f t="shared" si="99"/>
        <v>0</v>
      </c>
      <c r="AA97" s="152">
        <v>0</v>
      </c>
      <c r="AB97" s="152">
        <v>0</v>
      </c>
      <c r="AC97" s="152">
        <f t="shared" si="67"/>
        <v>0</v>
      </c>
      <c r="AD97" s="152">
        <f t="shared" si="69"/>
        <v>0</v>
      </c>
      <c r="AE97" s="152">
        <v>1</v>
      </c>
      <c r="AF97" s="150">
        <f>'Customer Count'!I97</f>
        <v>14276.5</v>
      </c>
      <c r="AG97" s="150">
        <f>AF97-'Customer Count'!G97-'Customer Count'!F97</f>
        <v>11545.5</v>
      </c>
      <c r="AH97" s="150">
        <f>AF97-'Customer Count'!H97</f>
        <v>14275.5</v>
      </c>
      <c r="AI97" s="109">
        <f t="shared" si="70"/>
        <v>96</v>
      </c>
      <c r="AJ97" s="109">
        <v>336</v>
      </c>
      <c r="AK97" s="91">
        <v>157.84228255820162</v>
      </c>
      <c r="AL97" s="91">
        <f>Economic!C109</f>
        <v>732426.3</v>
      </c>
      <c r="AM97" s="91">
        <f>Economic!D109</f>
        <v>7289.2</v>
      </c>
      <c r="AN97" s="91">
        <f>Economic!E109</f>
        <v>7302.7</v>
      </c>
      <c r="AO97" s="91">
        <f>Economic!F109</f>
        <v>5.6</v>
      </c>
      <c r="AP97" s="91">
        <f>Economic!G109</f>
        <v>4.9000000000000004</v>
      </c>
      <c r="AQ97" s="91">
        <f>Economic!H109</f>
        <v>419.2</v>
      </c>
      <c r="AR97" s="91">
        <f>Economic!I109</f>
        <v>420.7</v>
      </c>
      <c r="AS97" s="91">
        <f>Economic!J109</f>
        <v>4.2</v>
      </c>
      <c r="AT97" s="91">
        <f>Economic!K109</f>
        <v>3.9</v>
      </c>
      <c r="AU97" s="91">
        <f>Economic!L109</f>
        <v>198.8</v>
      </c>
      <c r="AV97" s="91">
        <f>Economic!M109</f>
        <v>201.8</v>
      </c>
      <c r="AW97" s="91">
        <f>Economic!N109</f>
        <v>6.9</v>
      </c>
      <c r="AX97" s="91">
        <f>Economic!O109</f>
        <v>6.3</v>
      </c>
      <c r="AY97" s="91">
        <f>Economic!P109</f>
        <v>2.9129327994530385E-2</v>
      </c>
      <c r="AZ97" s="91">
        <f>Economic!Q109</f>
        <v>1.1953186822340367E-2</v>
      </c>
      <c r="BA97" s="91">
        <f>Economic!R109</f>
        <v>1.2379737710372485E-2</v>
      </c>
      <c r="BB97" s="91">
        <f>Economic!S109</f>
        <v>-5.2206929283340475E-3</v>
      </c>
      <c r="BC97" s="91">
        <f>Economic!T109</f>
        <v>-6.1422159225136275E-3</v>
      </c>
      <c r="BD97" s="91">
        <f>Economic!U109</f>
        <v>1.4285714285714235E-2</v>
      </c>
      <c r="BE97" s="91">
        <f>Economic!V109</f>
        <v>1.6624685138539208E-2</v>
      </c>
      <c r="BF97" s="91">
        <f>Economic!W109</f>
        <v>20731.20000000007</v>
      </c>
      <c r="BG97" s="91">
        <f>Economic!X109</f>
        <v>86.099999999999454</v>
      </c>
      <c r="BH97" s="91">
        <f>Economic!Y109</f>
        <v>89.300000000000182</v>
      </c>
      <c r="BI97" s="91">
        <f>Economic!Z109</f>
        <v>-2.1999999999999886</v>
      </c>
      <c r="BJ97" s="91">
        <f>Economic!AA109</f>
        <v>-2.6000000000000227</v>
      </c>
      <c r="BK97" s="91">
        <f>Economic!AB109</f>
        <v>2.8000000000000114</v>
      </c>
      <c r="BL97" s="91">
        <f>Economic!AC109</f>
        <v>3.3000000000000114</v>
      </c>
      <c r="BM97" s="91">
        <f>Weather!C217</f>
        <v>0.57741935483870965</v>
      </c>
      <c r="BN97" s="91">
        <f>Weather!D217</f>
        <v>602.09999999999991</v>
      </c>
      <c r="BO97" s="91">
        <f>Weather!E217</f>
        <v>0</v>
      </c>
      <c r="BP97" s="91">
        <f>Weather!F217</f>
        <v>540.1</v>
      </c>
      <c r="BQ97" s="91">
        <f>Weather!G217</f>
        <v>0</v>
      </c>
      <c r="BR97" s="91">
        <f>Weather!H217</f>
        <v>478.09999999999997</v>
      </c>
      <c r="BS97" s="91">
        <f>Weather!I217</f>
        <v>0</v>
      </c>
      <c r="BT97" s="91">
        <f>Weather!J217</f>
        <v>416.09999999999997</v>
      </c>
      <c r="BU97" s="91">
        <f>Weather!K217</f>
        <v>0</v>
      </c>
      <c r="BV97" s="91">
        <f>Weather!L217</f>
        <v>354.09999999999997</v>
      </c>
      <c r="BW97" s="91">
        <f>Weather!M217</f>
        <v>0</v>
      </c>
      <c r="BX97" s="91">
        <f>Weather!N217</f>
        <v>292.09999999999997</v>
      </c>
      <c r="BY97" s="91">
        <f>Weather!O217</f>
        <v>0</v>
      </c>
    </row>
    <row r="98" spans="1:77" x14ac:dyDescent="0.2">
      <c r="A98" s="66">
        <v>43496</v>
      </c>
      <c r="B98" s="114">
        <f t="shared" si="50"/>
        <v>2019</v>
      </c>
      <c r="C98" s="104">
        <v>19470279.931793816</v>
      </c>
      <c r="D98" s="104">
        <v>2345384.3176812418</v>
      </c>
      <c r="E98" s="171">
        <f ca="1">CDM!D119</f>
        <v>1047457.2026998744</v>
      </c>
      <c r="F98" s="94">
        <f t="shared" ca="1" si="51"/>
        <v>18172352.816812448</v>
      </c>
      <c r="G98" s="94">
        <f ca="1">VLOOKUP(B98,CDM!$A$3:$G$14,7,FALSE)</f>
        <v>1053324.4700333148</v>
      </c>
      <c r="H98" s="94">
        <f t="shared" ca="1" si="65"/>
        <v>18178220.084145889</v>
      </c>
      <c r="I98" s="90">
        <f>Weather!F218</f>
        <v>723.19999999999982</v>
      </c>
      <c r="J98" s="90">
        <f>Weather!G218</f>
        <v>0</v>
      </c>
      <c r="K98" s="108">
        <v>31</v>
      </c>
      <c r="L98" s="108">
        <f t="shared" ref="L98:W98" si="102">L86</f>
        <v>1</v>
      </c>
      <c r="M98" s="108">
        <f t="shared" si="102"/>
        <v>0</v>
      </c>
      <c r="N98" s="108">
        <f t="shared" si="102"/>
        <v>0</v>
      </c>
      <c r="O98" s="108">
        <f t="shared" si="102"/>
        <v>0</v>
      </c>
      <c r="P98" s="108">
        <f t="shared" si="102"/>
        <v>0</v>
      </c>
      <c r="Q98" s="108">
        <f t="shared" si="102"/>
        <v>0</v>
      </c>
      <c r="R98" s="108">
        <f t="shared" si="102"/>
        <v>0</v>
      </c>
      <c r="S98" s="108">
        <f t="shared" si="102"/>
        <v>0</v>
      </c>
      <c r="T98" s="108">
        <f t="shared" si="102"/>
        <v>0</v>
      </c>
      <c r="U98" s="108">
        <f t="shared" si="102"/>
        <v>0</v>
      </c>
      <c r="V98" s="108">
        <f t="shared" si="102"/>
        <v>0</v>
      </c>
      <c r="W98" s="108">
        <f t="shared" si="102"/>
        <v>0</v>
      </c>
      <c r="X98" s="109">
        <v>0</v>
      </c>
      <c r="Y98" s="108">
        <f t="shared" si="99"/>
        <v>0</v>
      </c>
      <c r="Z98" s="108">
        <f t="shared" si="99"/>
        <v>0</v>
      </c>
      <c r="AA98" s="152">
        <v>0</v>
      </c>
      <c r="AB98" s="152">
        <v>0</v>
      </c>
      <c r="AC98" s="152">
        <f t="shared" si="67"/>
        <v>0</v>
      </c>
      <c r="AD98" s="152">
        <f t="shared" si="69"/>
        <v>0</v>
      </c>
      <c r="AE98" s="152">
        <v>1</v>
      </c>
      <c r="AF98" s="150">
        <f>'Customer Count'!I98</f>
        <v>14284.5</v>
      </c>
      <c r="AG98" s="150">
        <f>AF98-'Customer Count'!G98-'Customer Count'!F98</f>
        <v>11553.5</v>
      </c>
      <c r="AH98" s="150">
        <f>AF98-'Customer Count'!H98</f>
        <v>14283.5</v>
      </c>
      <c r="AI98" s="109">
        <f t="shared" si="70"/>
        <v>97</v>
      </c>
      <c r="AJ98" s="109">
        <v>336</v>
      </c>
      <c r="AK98" s="91">
        <v>158.15454692394951</v>
      </c>
      <c r="AL98" s="91">
        <f>Economic!C110</f>
        <v>747589.4</v>
      </c>
      <c r="AM98" s="91">
        <f>Economic!D110</f>
        <v>7315.7</v>
      </c>
      <c r="AN98" s="91">
        <f>Economic!E110</f>
        <v>7293.3</v>
      </c>
      <c r="AO98" s="91">
        <f>Economic!F110</f>
        <v>5.6</v>
      </c>
      <c r="AP98" s="91">
        <f>Economic!G110</f>
        <v>5.2</v>
      </c>
      <c r="AQ98" s="91">
        <f>Economic!H110</f>
        <v>420.6</v>
      </c>
      <c r="AR98" s="91">
        <f>Economic!I110</f>
        <v>420.6</v>
      </c>
      <c r="AS98" s="91">
        <f>Economic!J110</f>
        <v>3.9</v>
      </c>
      <c r="AT98" s="91">
        <f>Economic!K110</f>
        <v>3.6</v>
      </c>
      <c r="AU98" s="91">
        <f>Economic!L110</f>
        <v>199.1</v>
      </c>
      <c r="AV98" s="91">
        <f>Economic!M110</f>
        <v>199.1</v>
      </c>
      <c r="AW98" s="91">
        <f>Economic!N110</f>
        <v>6.7</v>
      </c>
      <c r="AX98" s="91">
        <f>Economic!O110</f>
        <v>6.5</v>
      </c>
      <c r="AY98" s="91">
        <f>Economic!P110</f>
        <v>2.0702560790075264E-2</v>
      </c>
      <c r="AZ98" s="91">
        <f>Economic!Q110</f>
        <v>1.6097669379705026E-2</v>
      </c>
      <c r="BA98" s="91">
        <f>Economic!R110</f>
        <v>1.682792850570225E-2</v>
      </c>
      <c r="BB98" s="91">
        <f>Economic!S110</f>
        <v>4.757373929591413E-4</v>
      </c>
      <c r="BC98" s="91">
        <f>Economic!T110</f>
        <v>-2.3769907297355175E-4</v>
      </c>
      <c r="BD98" s="91">
        <f>Economic!U110</f>
        <v>3.0226700251889671E-3</v>
      </c>
      <c r="BE98" s="91">
        <f>Economic!V110</f>
        <v>6.5722952477249574E-3</v>
      </c>
      <c r="BF98" s="91">
        <f>Economic!W110</f>
        <v>15163.099999999977</v>
      </c>
      <c r="BG98" s="91">
        <f>Economic!X110</f>
        <v>115.89999999999964</v>
      </c>
      <c r="BH98" s="91">
        <f>Economic!Y110</f>
        <v>120.69999999999982</v>
      </c>
      <c r="BI98" s="91">
        <f>Economic!Z110</f>
        <v>0.20000000000004547</v>
      </c>
      <c r="BJ98" s="91">
        <f>Economic!AA110</f>
        <v>-9.9999999999965894E-2</v>
      </c>
      <c r="BK98" s="91">
        <f>Economic!AB110</f>
        <v>0.59999999999999432</v>
      </c>
      <c r="BL98" s="91">
        <f>Economic!AC110</f>
        <v>1.2999999999999829</v>
      </c>
      <c r="BM98" s="91">
        <f>Weather!C218</f>
        <v>-5.3290322580645162</v>
      </c>
      <c r="BN98" s="91">
        <f>Weather!D218</f>
        <v>785.19999999999982</v>
      </c>
      <c r="BO98" s="91">
        <f>Weather!E218</f>
        <v>0</v>
      </c>
      <c r="BP98" s="91">
        <f>Weather!F218</f>
        <v>723.19999999999982</v>
      </c>
      <c r="BQ98" s="91">
        <f>Weather!G218</f>
        <v>0</v>
      </c>
      <c r="BR98" s="91">
        <f>Weather!H218</f>
        <v>661.19999999999982</v>
      </c>
      <c r="BS98" s="91">
        <f>Weather!I218</f>
        <v>0</v>
      </c>
      <c r="BT98" s="91">
        <f>Weather!J218</f>
        <v>599.19999999999993</v>
      </c>
      <c r="BU98" s="91">
        <f>Weather!K218</f>
        <v>0</v>
      </c>
      <c r="BV98" s="91">
        <f>Weather!L218</f>
        <v>537.20000000000005</v>
      </c>
      <c r="BW98" s="91">
        <f>Weather!M218</f>
        <v>0</v>
      </c>
      <c r="BX98" s="91">
        <f>Weather!N218</f>
        <v>475.2000000000001</v>
      </c>
      <c r="BY98" s="91">
        <f>Weather!O218</f>
        <v>0</v>
      </c>
    </row>
    <row r="99" spans="1:77" x14ac:dyDescent="0.2">
      <c r="A99" s="66">
        <v>43524</v>
      </c>
      <c r="B99" s="114">
        <f t="shared" si="50"/>
        <v>2019</v>
      </c>
      <c r="C99" s="104">
        <v>17623038.944653146</v>
      </c>
      <c r="D99" s="104">
        <v>2502127.9915483254</v>
      </c>
      <c r="E99" s="171">
        <f ca="1">CDM!D120</f>
        <v>1048523.9785786817</v>
      </c>
      <c r="F99" s="94">
        <f t="shared" ca="1" si="51"/>
        <v>16169434.931683503</v>
      </c>
      <c r="G99" s="94">
        <f ca="1">VLOOKUP(B99,CDM!$A$3:$G$14,7,FALSE)</f>
        <v>1053324.4700333148</v>
      </c>
      <c r="H99" s="94">
        <f t="shared" ca="1" si="65"/>
        <v>16174235.423138134</v>
      </c>
      <c r="I99" s="90">
        <f>Weather!F219</f>
        <v>582.79999999999995</v>
      </c>
      <c r="J99" s="90">
        <f>Weather!G219</f>
        <v>0</v>
      </c>
      <c r="K99" s="108">
        <v>28</v>
      </c>
      <c r="L99" s="108">
        <f t="shared" ref="L99:W99" si="103">L87</f>
        <v>0</v>
      </c>
      <c r="M99" s="108">
        <f t="shared" si="103"/>
        <v>1</v>
      </c>
      <c r="N99" s="108">
        <f t="shared" si="103"/>
        <v>0</v>
      </c>
      <c r="O99" s="108">
        <f t="shared" si="103"/>
        <v>0</v>
      </c>
      <c r="P99" s="108">
        <f t="shared" si="103"/>
        <v>0</v>
      </c>
      <c r="Q99" s="108">
        <f t="shared" si="103"/>
        <v>0</v>
      </c>
      <c r="R99" s="108">
        <f t="shared" si="103"/>
        <v>0</v>
      </c>
      <c r="S99" s="108">
        <f t="shared" si="103"/>
        <v>0</v>
      </c>
      <c r="T99" s="108">
        <f t="shared" si="103"/>
        <v>0</v>
      </c>
      <c r="U99" s="108">
        <f t="shared" si="103"/>
        <v>0</v>
      </c>
      <c r="V99" s="108">
        <f t="shared" si="103"/>
        <v>0</v>
      </c>
      <c r="W99" s="108">
        <f t="shared" si="103"/>
        <v>0</v>
      </c>
      <c r="X99" s="109">
        <v>0</v>
      </c>
      <c r="Y99" s="108">
        <f t="shared" si="99"/>
        <v>0</v>
      </c>
      <c r="Z99" s="108">
        <f t="shared" si="99"/>
        <v>0</v>
      </c>
      <c r="AA99" s="152">
        <v>0</v>
      </c>
      <c r="AB99" s="152">
        <v>0</v>
      </c>
      <c r="AC99" s="152">
        <f t="shared" si="67"/>
        <v>0</v>
      </c>
      <c r="AD99" s="152">
        <f t="shared" si="69"/>
        <v>0</v>
      </c>
      <c r="AE99" s="152">
        <v>1</v>
      </c>
      <c r="AF99" s="150">
        <f>'Customer Count'!I99</f>
        <v>14285</v>
      </c>
      <c r="AG99" s="150">
        <f>AF99-'Customer Count'!G99-'Customer Count'!F99</f>
        <v>11554</v>
      </c>
      <c r="AH99" s="150">
        <f>AF99-'Customer Count'!H99</f>
        <v>14284</v>
      </c>
      <c r="AI99" s="109">
        <f t="shared" si="70"/>
        <v>98</v>
      </c>
      <c r="AJ99" s="109">
        <v>304</v>
      </c>
      <c r="AK99" s="91">
        <v>158.46742905214063</v>
      </c>
      <c r="AL99" s="91">
        <f>Economic!C111</f>
        <v>747589.4</v>
      </c>
      <c r="AM99" s="91">
        <f>Economic!D111</f>
        <v>7346.7</v>
      </c>
      <c r="AN99" s="91">
        <f>Economic!E111</f>
        <v>7286.5</v>
      </c>
      <c r="AO99" s="91">
        <f>Economic!F111</f>
        <v>5.6</v>
      </c>
      <c r="AP99" s="91">
        <f>Economic!G111</f>
        <v>5.4</v>
      </c>
      <c r="AQ99" s="91">
        <f>Economic!H111</f>
        <v>421.7</v>
      </c>
      <c r="AR99" s="91">
        <f>Economic!I111</f>
        <v>419.8</v>
      </c>
      <c r="AS99" s="91">
        <f>Economic!J111</f>
        <v>3.7</v>
      </c>
      <c r="AT99" s="91">
        <f>Economic!K111</f>
        <v>3.5</v>
      </c>
      <c r="AU99" s="91">
        <f>Economic!L111</f>
        <v>199.8</v>
      </c>
      <c r="AV99" s="91">
        <f>Economic!M111</f>
        <v>197.4</v>
      </c>
      <c r="AW99" s="91">
        <f>Economic!N111</f>
        <v>6.8</v>
      </c>
      <c r="AX99" s="91">
        <f>Economic!O111</f>
        <v>7</v>
      </c>
      <c r="AY99" s="91">
        <f>Economic!P111</f>
        <v>2.0702560790075264E-2</v>
      </c>
      <c r="AZ99" s="91">
        <f>Economic!Q111</f>
        <v>2.1907861792689109E-2</v>
      </c>
      <c r="BA99" s="91">
        <f>Economic!R111</f>
        <v>2.2551853826938695E-2</v>
      </c>
      <c r="BB99" s="91">
        <f>Economic!S111</f>
        <v>1.3945660014426542E-2</v>
      </c>
      <c r="BC99" s="91">
        <f>Economic!T111</f>
        <v>1.4499758337360946E-2</v>
      </c>
      <c r="BD99" s="91">
        <f>Economic!U111</f>
        <v>0</v>
      </c>
      <c r="BE99" s="91">
        <f>Economic!V111</f>
        <v>3.0487804878047697E-3</v>
      </c>
      <c r="BF99" s="91">
        <f>Economic!W111</f>
        <v>15163.099999999977</v>
      </c>
      <c r="BG99" s="91">
        <f>Economic!X111</f>
        <v>157.5</v>
      </c>
      <c r="BH99" s="91">
        <f>Economic!Y111</f>
        <v>160.69999999999982</v>
      </c>
      <c r="BI99" s="91">
        <f>Economic!Z111</f>
        <v>5.8000000000000114</v>
      </c>
      <c r="BJ99" s="91">
        <f>Economic!AA111</f>
        <v>6</v>
      </c>
      <c r="BK99" s="91">
        <f>Economic!AB111</f>
        <v>0</v>
      </c>
      <c r="BL99" s="91">
        <f>Economic!AC111</f>
        <v>0.59999999999999432</v>
      </c>
      <c r="BM99" s="91">
        <f>Weather!C219</f>
        <v>-2.8142857142857141</v>
      </c>
      <c r="BN99" s="91">
        <f>Weather!D219</f>
        <v>638.79999999999995</v>
      </c>
      <c r="BO99" s="91">
        <f>Weather!E219</f>
        <v>0</v>
      </c>
      <c r="BP99" s="91">
        <f>Weather!F219</f>
        <v>582.79999999999995</v>
      </c>
      <c r="BQ99" s="91">
        <f>Weather!G219</f>
        <v>0</v>
      </c>
      <c r="BR99" s="91">
        <f>Weather!H219</f>
        <v>526.80000000000007</v>
      </c>
      <c r="BS99" s="91">
        <f>Weather!I219</f>
        <v>0</v>
      </c>
      <c r="BT99" s="91">
        <f>Weather!J219</f>
        <v>470.80000000000007</v>
      </c>
      <c r="BU99" s="91">
        <f>Weather!K219</f>
        <v>0</v>
      </c>
      <c r="BV99" s="91">
        <f>Weather!L219</f>
        <v>414.80000000000007</v>
      </c>
      <c r="BW99" s="91">
        <f>Weather!M219</f>
        <v>0</v>
      </c>
      <c r="BX99" s="91">
        <f>Weather!N219</f>
        <v>358.80000000000007</v>
      </c>
      <c r="BY99" s="91">
        <f>Weather!O219</f>
        <v>0</v>
      </c>
    </row>
    <row r="100" spans="1:77" x14ac:dyDescent="0.2">
      <c r="A100" s="66">
        <v>43555</v>
      </c>
      <c r="B100" s="114">
        <f t="shared" si="50"/>
        <v>2019</v>
      </c>
      <c r="C100" s="104">
        <v>18298309.582286663</v>
      </c>
      <c r="D100" s="104">
        <v>2643551.1870212546</v>
      </c>
      <c r="E100" s="171">
        <f ca="1">CDM!D121</f>
        <v>1049590.7544574891</v>
      </c>
      <c r="F100" s="94">
        <f t="shared" ca="1" si="51"/>
        <v>16704349.149722897</v>
      </c>
      <c r="G100" s="94">
        <f ca="1">VLOOKUP(B100,CDM!$A$3:$G$14,7,FALSE)</f>
        <v>1053324.4700333148</v>
      </c>
      <c r="H100" s="94">
        <f t="shared" ca="1" si="65"/>
        <v>16708082.865298722</v>
      </c>
      <c r="I100" s="90">
        <f>Weather!F220</f>
        <v>548</v>
      </c>
      <c r="J100" s="90">
        <f>Weather!G220</f>
        <v>0</v>
      </c>
      <c r="K100" s="108">
        <v>31</v>
      </c>
      <c r="L100" s="108">
        <f t="shared" ref="L100:W100" si="104">L88</f>
        <v>0</v>
      </c>
      <c r="M100" s="108">
        <f t="shared" si="104"/>
        <v>0</v>
      </c>
      <c r="N100" s="108">
        <f t="shared" si="104"/>
        <v>1</v>
      </c>
      <c r="O100" s="108">
        <f t="shared" si="104"/>
        <v>0</v>
      </c>
      <c r="P100" s="108">
        <f t="shared" si="104"/>
        <v>0</v>
      </c>
      <c r="Q100" s="108">
        <f t="shared" si="104"/>
        <v>0</v>
      </c>
      <c r="R100" s="108">
        <f t="shared" si="104"/>
        <v>0</v>
      </c>
      <c r="S100" s="108">
        <f t="shared" si="104"/>
        <v>0</v>
      </c>
      <c r="T100" s="108">
        <f t="shared" si="104"/>
        <v>0</v>
      </c>
      <c r="U100" s="108">
        <f t="shared" si="104"/>
        <v>0</v>
      </c>
      <c r="V100" s="108">
        <f t="shared" si="104"/>
        <v>0</v>
      </c>
      <c r="W100" s="108">
        <f t="shared" si="104"/>
        <v>0</v>
      </c>
      <c r="X100" s="109">
        <v>1</v>
      </c>
      <c r="Y100" s="108">
        <f t="shared" si="99"/>
        <v>1</v>
      </c>
      <c r="Z100" s="108">
        <f t="shared" si="99"/>
        <v>0</v>
      </c>
      <c r="AA100" s="152">
        <v>0</v>
      </c>
      <c r="AB100" s="152">
        <v>0</v>
      </c>
      <c r="AC100" s="152">
        <f t="shared" si="67"/>
        <v>0</v>
      </c>
      <c r="AD100" s="152">
        <f t="shared" si="69"/>
        <v>0</v>
      </c>
      <c r="AE100" s="152">
        <v>1</v>
      </c>
      <c r="AF100" s="150">
        <f>'Customer Count'!I100</f>
        <v>14284.5</v>
      </c>
      <c r="AG100" s="150">
        <f>AF100-'Customer Count'!G100-'Customer Count'!F100</f>
        <v>11553.5</v>
      </c>
      <c r="AH100" s="150">
        <f>AF100-'Customer Count'!H100</f>
        <v>14283.5</v>
      </c>
      <c r="AI100" s="109">
        <f t="shared" si="70"/>
        <v>99</v>
      </c>
      <c r="AJ100" s="109">
        <v>368</v>
      </c>
      <c r="AK100" s="91">
        <v>158.78093016491388</v>
      </c>
      <c r="AL100" s="91">
        <f>Economic!C112</f>
        <v>747589.4</v>
      </c>
      <c r="AM100" s="91">
        <f>Economic!D112</f>
        <v>7371</v>
      </c>
      <c r="AN100" s="91">
        <f>Economic!E112</f>
        <v>7268.2</v>
      </c>
      <c r="AO100" s="91">
        <f>Economic!F112</f>
        <v>5.8</v>
      </c>
      <c r="AP100" s="91">
        <f>Economic!G112</f>
        <v>5.9</v>
      </c>
      <c r="AQ100" s="91">
        <f>Economic!H112</f>
        <v>420.5</v>
      </c>
      <c r="AR100" s="91">
        <f>Economic!I112</f>
        <v>415.1</v>
      </c>
      <c r="AS100" s="91">
        <f>Economic!J112</f>
        <v>3.6</v>
      </c>
      <c r="AT100" s="91">
        <f>Economic!K112</f>
        <v>3.5</v>
      </c>
      <c r="AU100" s="91">
        <f>Economic!L112</f>
        <v>198</v>
      </c>
      <c r="AV100" s="91">
        <f>Economic!M112</f>
        <v>192.4</v>
      </c>
      <c r="AW100" s="91">
        <f>Economic!N112</f>
        <v>6.5</v>
      </c>
      <c r="AX100" s="91">
        <f>Economic!O112</f>
        <v>7.3</v>
      </c>
      <c r="AY100" s="91">
        <f>Economic!P112</f>
        <v>2.0702560790075264E-2</v>
      </c>
      <c r="AZ100" s="91">
        <f>Economic!Q112</f>
        <v>2.5887265135699389E-2</v>
      </c>
      <c r="BA100" s="91">
        <f>Economic!R112</f>
        <v>2.6248535080411584E-2</v>
      </c>
      <c r="BB100" s="91">
        <f>Economic!S112</f>
        <v>1.7174649250121021E-2</v>
      </c>
      <c r="BC100" s="91">
        <f>Economic!T112</f>
        <v>1.8150600932058003E-2</v>
      </c>
      <c r="BD100" s="91">
        <f>Economic!U112</f>
        <v>-1.5904572564612307E-2</v>
      </c>
      <c r="BE100" s="91">
        <f>Economic!V112</f>
        <v>-1.5353121801433001E-2</v>
      </c>
      <c r="BF100" s="91">
        <f>Economic!W112</f>
        <v>15163.099999999977</v>
      </c>
      <c r="BG100" s="91">
        <f>Economic!X112</f>
        <v>186</v>
      </c>
      <c r="BH100" s="91">
        <f>Economic!Y112</f>
        <v>185.89999999999964</v>
      </c>
      <c r="BI100" s="91">
        <f>Economic!Z112</f>
        <v>7.1000000000000227</v>
      </c>
      <c r="BJ100" s="91">
        <f>Economic!AA112</f>
        <v>7.4000000000000341</v>
      </c>
      <c r="BK100" s="91">
        <f>Economic!AB112</f>
        <v>-3.1999999999999886</v>
      </c>
      <c r="BL100" s="91">
        <f>Economic!AC112</f>
        <v>-3</v>
      </c>
      <c r="BM100" s="91">
        <f>Weather!C220</f>
        <v>0.3225806451612902</v>
      </c>
      <c r="BN100" s="91">
        <f>Weather!D220</f>
        <v>610</v>
      </c>
      <c r="BO100" s="91">
        <f>Weather!E220</f>
        <v>0</v>
      </c>
      <c r="BP100" s="91">
        <f>Weather!F220</f>
        <v>548</v>
      </c>
      <c r="BQ100" s="91">
        <f>Weather!G220</f>
        <v>0</v>
      </c>
      <c r="BR100" s="91">
        <f>Weather!H220</f>
        <v>485.99999999999994</v>
      </c>
      <c r="BS100" s="91">
        <f>Weather!I220</f>
        <v>0</v>
      </c>
      <c r="BT100" s="91">
        <f>Weather!J220</f>
        <v>423.99999999999989</v>
      </c>
      <c r="BU100" s="91">
        <f>Weather!K220</f>
        <v>0</v>
      </c>
      <c r="BV100" s="91">
        <f>Weather!L220</f>
        <v>361.99999999999994</v>
      </c>
      <c r="BW100" s="91">
        <f>Weather!M220</f>
        <v>0</v>
      </c>
      <c r="BX100" s="91">
        <f>Weather!N220</f>
        <v>299.99999999999989</v>
      </c>
      <c r="BY100" s="91">
        <f>Weather!O220</f>
        <v>0</v>
      </c>
    </row>
    <row r="101" spans="1:77" x14ac:dyDescent="0.2">
      <c r="A101" s="66">
        <v>43585</v>
      </c>
      <c r="B101" s="114">
        <f t="shared" si="50"/>
        <v>2019</v>
      </c>
      <c r="C101" s="104">
        <v>16030754.75111879</v>
      </c>
      <c r="D101" s="104">
        <v>2306272.4364213278</v>
      </c>
      <c r="E101" s="171">
        <f ca="1">CDM!D122</f>
        <v>1050657.5303362964</v>
      </c>
      <c r="F101" s="94">
        <f t="shared" ca="1" si="51"/>
        <v>14775139.845033761</v>
      </c>
      <c r="G101" s="94">
        <f ca="1">VLOOKUP(B101,CDM!$A$3:$G$14,7,FALSE)</f>
        <v>1053324.4700333148</v>
      </c>
      <c r="H101" s="94">
        <f t="shared" ca="1" si="65"/>
        <v>14777806.784730777</v>
      </c>
      <c r="I101" s="90">
        <f>Weather!F221</f>
        <v>340.79999999999984</v>
      </c>
      <c r="J101" s="90">
        <f>Weather!G221</f>
        <v>0</v>
      </c>
      <c r="K101" s="108">
        <v>30</v>
      </c>
      <c r="L101" s="108">
        <f t="shared" ref="L101:W101" si="105">L89</f>
        <v>0</v>
      </c>
      <c r="M101" s="108">
        <f t="shared" si="105"/>
        <v>0</v>
      </c>
      <c r="N101" s="108">
        <f t="shared" si="105"/>
        <v>0</v>
      </c>
      <c r="O101" s="108">
        <f t="shared" si="105"/>
        <v>1</v>
      </c>
      <c r="P101" s="108">
        <f t="shared" si="105"/>
        <v>0</v>
      </c>
      <c r="Q101" s="108">
        <f t="shared" si="105"/>
        <v>0</v>
      </c>
      <c r="R101" s="108">
        <f t="shared" si="105"/>
        <v>0</v>
      </c>
      <c r="S101" s="108">
        <f t="shared" si="105"/>
        <v>0</v>
      </c>
      <c r="T101" s="108">
        <f t="shared" si="105"/>
        <v>0</v>
      </c>
      <c r="U101" s="108">
        <f t="shared" si="105"/>
        <v>0</v>
      </c>
      <c r="V101" s="108">
        <f t="shared" si="105"/>
        <v>0</v>
      </c>
      <c r="W101" s="108">
        <f t="shared" si="105"/>
        <v>0</v>
      </c>
      <c r="X101" s="109">
        <v>1</v>
      </c>
      <c r="Y101" s="108">
        <f t="shared" si="99"/>
        <v>1</v>
      </c>
      <c r="Z101" s="108">
        <f t="shared" si="99"/>
        <v>0</v>
      </c>
      <c r="AA101" s="152">
        <v>0</v>
      </c>
      <c r="AB101" s="152">
        <v>0</v>
      </c>
      <c r="AC101" s="152">
        <f t="shared" si="67"/>
        <v>0</v>
      </c>
      <c r="AD101" s="152">
        <f t="shared" si="69"/>
        <v>0</v>
      </c>
      <c r="AE101" s="152">
        <v>1</v>
      </c>
      <c r="AF101" s="150">
        <f>'Customer Count'!I101</f>
        <v>14285.5</v>
      </c>
      <c r="AG101" s="150">
        <f>AF101-'Customer Count'!G101-'Customer Count'!F101</f>
        <v>11554.5</v>
      </c>
      <c r="AH101" s="150">
        <f>AF101-'Customer Count'!H101</f>
        <v>14284.5</v>
      </c>
      <c r="AI101" s="109">
        <f t="shared" si="70"/>
        <v>100</v>
      </c>
      <c r="AJ101" s="109">
        <v>304</v>
      </c>
      <c r="AK101" s="91">
        <v>159.09505148682601</v>
      </c>
      <c r="AL101" s="91">
        <f>Economic!C113</f>
        <v>747589.4</v>
      </c>
      <c r="AM101" s="91">
        <f>Economic!D113</f>
        <v>7395.4</v>
      </c>
      <c r="AN101" s="91">
        <f>Economic!E113</f>
        <v>7304.3</v>
      </c>
      <c r="AO101" s="91">
        <f>Economic!F113</f>
        <v>5.8</v>
      </c>
      <c r="AP101" s="91">
        <f>Economic!G113</f>
        <v>6</v>
      </c>
      <c r="AQ101" s="91">
        <f>Economic!H113</f>
        <v>417.5</v>
      </c>
      <c r="AR101" s="91">
        <f>Economic!I113</f>
        <v>411.2</v>
      </c>
      <c r="AS101" s="91">
        <f>Economic!J113</f>
        <v>4</v>
      </c>
      <c r="AT101" s="91">
        <f>Economic!K113</f>
        <v>3.6</v>
      </c>
      <c r="AU101" s="91">
        <f>Economic!L113</f>
        <v>196</v>
      </c>
      <c r="AV101" s="91">
        <f>Economic!M113</f>
        <v>190.2</v>
      </c>
      <c r="AW101" s="91">
        <f>Economic!N113</f>
        <v>6.4</v>
      </c>
      <c r="AX101" s="91">
        <f>Economic!O113</f>
        <v>7.2</v>
      </c>
      <c r="AY101" s="91">
        <f>Economic!P113</f>
        <v>2.0702560790075264E-2</v>
      </c>
      <c r="AZ101" s="91">
        <f>Economic!Q113</f>
        <v>2.7395737823344701E-2</v>
      </c>
      <c r="BA101" s="91">
        <f>Economic!R113</f>
        <v>2.7558944347532588E-2</v>
      </c>
      <c r="BB101" s="91">
        <f>Economic!S113</f>
        <v>1.8292682926829285E-2</v>
      </c>
      <c r="BC101" s="91">
        <f>Economic!T113</f>
        <v>1.8325903912828068E-2</v>
      </c>
      <c r="BD101" s="91">
        <f>Economic!U113</f>
        <v>-3.257650542941759E-2</v>
      </c>
      <c r="BE101" s="91">
        <f>Economic!V113</f>
        <v>-3.5007610350076157E-2</v>
      </c>
      <c r="BF101" s="91">
        <f>Economic!W113</f>
        <v>15163.099999999977</v>
      </c>
      <c r="BG101" s="91">
        <f>Economic!X113</f>
        <v>197.19999999999982</v>
      </c>
      <c r="BH101" s="91">
        <f>Economic!Y113</f>
        <v>195.90000000000055</v>
      </c>
      <c r="BI101" s="91">
        <f>Economic!Z113</f>
        <v>7.5</v>
      </c>
      <c r="BJ101" s="91">
        <f>Economic!AA113</f>
        <v>7.3999999999999773</v>
      </c>
      <c r="BK101" s="91">
        <f>Economic!AB113</f>
        <v>-6.5999999999999943</v>
      </c>
      <c r="BL101" s="91">
        <f>Economic!AC113</f>
        <v>-6.9000000000000057</v>
      </c>
      <c r="BM101" s="91">
        <f>Weather!C221</f>
        <v>6.6400000000000006</v>
      </c>
      <c r="BN101" s="91">
        <f>Weather!D221</f>
        <v>400.79999999999984</v>
      </c>
      <c r="BO101" s="91">
        <f>Weather!E221</f>
        <v>0</v>
      </c>
      <c r="BP101" s="91">
        <f>Weather!F221</f>
        <v>340.79999999999984</v>
      </c>
      <c r="BQ101" s="91">
        <f>Weather!G221</f>
        <v>0</v>
      </c>
      <c r="BR101" s="91">
        <f>Weather!H221</f>
        <v>280.7999999999999</v>
      </c>
      <c r="BS101" s="91">
        <f>Weather!I221</f>
        <v>0</v>
      </c>
      <c r="BT101" s="91">
        <f>Weather!J221</f>
        <v>220.7999999999999</v>
      </c>
      <c r="BU101" s="91">
        <f>Weather!K221</f>
        <v>0</v>
      </c>
      <c r="BV101" s="91">
        <f>Weather!L221</f>
        <v>164.6</v>
      </c>
      <c r="BW101" s="91">
        <f>Weather!M221</f>
        <v>3.8000000000000007</v>
      </c>
      <c r="BX101" s="91">
        <f>Weather!N221</f>
        <v>110.70000000000003</v>
      </c>
      <c r="BY101" s="91">
        <f>Weather!O221</f>
        <v>9.9000000000000021</v>
      </c>
    </row>
    <row r="102" spans="1:77" x14ac:dyDescent="0.2">
      <c r="A102" s="66">
        <v>43616</v>
      </c>
      <c r="B102" s="114">
        <f t="shared" si="50"/>
        <v>2019</v>
      </c>
      <c r="C102" s="104">
        <v>17509709.360292483</v>
      </c>
      <c r="D102" s="104">
        <v>3898830.8811403029</v>
      </c>
      <c r="E102" s="171">
        <f ca="1">CDM!D123</f>
        <v>1051724.3062151039</v>
      </c>
      <c r="F102" s="94">
        <f t="shared" ca="1" si="51"/>
        <v>14662602.785367284</v>
      </c>
      <c r="G102" s="94">
        <f ca="1">VLOOKUP(B102,CDM!$A$3:$G$14,7,FALSE)</f>
        <v>1053324.4700333148</v>
      </c>
      <c r="H102" s="94">
        <f t="shared" ca="1" si="65"/>
        <v>14664202.949185494</v>
      </c>
      <c r="I102" s="90">
        <f>Weather!F222</f>
        <v>181.09999999999991</v>
      </c>
      <c r="J102" s="90">
        <f>Weather!G222</f>
        <v>2.3000000000000007</v>
      </c>
      <c r="K102" s="108">
        <v>31</v>
      </c>
      <c r="L102" s="108">
        <f t="shared" ref="L102:W102" si="106">L90</f>
        <v>0</v>
      </c>
      <c r="M102" s="108">
        <f t="shared" si="106"/>
        <v>0</v>
      </c>
      <c r="N102" s="108">
        <f t="shared" si="106"/>
        <v>0</v>
      </c>
      <c r="O102" s="108">
        <f t="shared" si="106"/>
        <v>0</v>
      </c>
      <c r="P102" s="108">
        <f t="shared" si="106"/>
        <v>1</v>
      </c>
      <c r="Q102" s="108">
        <f t="shared" si="106"/>
        <v>0</v>
      </c>
      <c r="R102" s="108">
        <f t="shared" si="106"/>
        <v>0</v>
      </c>
      <c r="S102" s="108">
        <f t="shared" si="106"/>
        <v>0</v>
      </c>
      <c r="T102" s="108">
        <f t="shared" si="106"/>
        <v>0</v>
      </c>
      <c r="U102" s="108">
        <f t="shared" si="106"/>
        <v>0</v>
      </c>
      <c r="V102" s="108">
        <f t="shared" si="106"/>
        <v>0</v>
      </c>
      <c r="W102" s="108">
        <f t="shared" si="106"/>
        <v>0</v>
      </c>
      <c r="X102" s="109">
        <v>1</v>
      </c>
      <c r="Y102" s="108">
        <f t="shared" si="99"/>
        <v>1</v>
      </c>
      <c r="Z102" s="108">
        <f t="shared" si="99"/>
        <v>0</v>
      </c>
      <c r="AA102" s="152">
        <v>0</v>
      </c>
      <c r="AB102" s="152">
        <v>0</v>
      </c>
      <c r="AC102" s="152">
        <f t="shared" si="67"/>
        <v>0</v>
      </c>
      <c r="AD102" s="152">
        <f t="shared" si="69"/>
        <v>0</v>
      </c>
      <c r="AE102" s="152">
        <v>1</v>
      </c>
      <c r="AF102" s="150">
        <f>'Customer Count'!I102</f>
        <v>14286</v>
      </c>
      <c r="AG102" s="150">
        <f>AF102-'Customer Count'!G102-'Customer Count'!F102</f>
        <v>11555</v>
      </c>
      <c r="AH102" s="150">
        <f>AF102-'Customer Count'!H102</f>
        <v>14285</v>
      </c>
      <c r="AI102" s="109">
        <f t="shared" si="70"/>
        <v>101</v>
      </c>
      <c r="AJ102" s="109">
        <v>352</v>
      </c>
      <c r="AK102" s="91">
        <v>159.4097942448563</v>
      </c>
      <c r="AL102" s="91">
        <f>Economic!C114</f>
        <v>747589.4</v>
      </c>
      <c r="AM102" s="91">
        <f>Economic!D114</f>
        <v>7412.6</v>
      </c>
      <c r="AN102" s="91">
        <f>Economic!E114</f>
        <v>7376.9</v>
      </c>
      <c r="AO102" s="91">
        <f>Economic!F114</f>
        <v>5.7</v>
      </c>
      <c r="AP102" s="91">
        <f>Economic!G114</f>
        <v>5.9</v>
      </c>
      <c r="AQ102" s="91">
        <f>Economic!H114</f>
        <v>415.7</v>
      </c>
      <c r="AR102" s="91">
        <f>Economic!I114</f>
        <v>411.2</v>
      </c>
      <c r="AS102" s="91">
        <f>Economic!J114</f>
        <v>4.3</v>
      </c>
      <c r="AT102" s="91">
        <f>Economic!K114</f>
        <v>4.0999999999999996</v>
      </c>
      <c r="AU102" s="91">
        <f>Economic!L114</f>
        <v>195</v>
      </c>
      <c r="AV102" s="91">
        <f>Economic!M114</f>
        <v>191.9</v>
      </c>
      <c r="AW102" s="91">
        <f>Economic!N114</f>
        <v>5.8</v>
      </c>
      <c r="AX102" s="91">
        <f>Economic!O114</f>
        <v>6.2</v>
      </c>
      <c r="AY102" s="91">
        <f>Economic!P114</f>
        <v>2.0702560790075264E-2</v>
      </c>
      <c r="AZ102" s="91">
        <f>Economic!Q114</f>
        <v>2.8370860559648214E-2</v>
      </c>
      <c r="BA102" s="91">
        <f>Economic!R114</f>
        <v>2.8182363025631707E-2</v>
      </c>
      <c r="BB102" s="91">
        <f>Economic!S114</f>
        <v>8.4910237748665462E-3</v>
      </c>
      <c r="BC102" s="91">
        <f>Economic!T114</f>
        <v>7.5961774074981836E-3</v>
      </c>
      <c r="BD102" s="91">
        <f>Economic!U114</f>
        <v>-4.3648847474252128E-2</v>
      </c>
      <c r="BE102" s="91">
        <f>Economic!V114</f>
        <v>-4.4798407167745191E-2</v>
      </c>
      <c r="BF102" s="91">
        <f>Economic!W114</f>
        <v>15163.099999999977</v>
      </c>
      <c r="BG102" s="91">
        <f>Economic!X114</f>
        <v>204.5</v>
      </c>
      <c r="BH102" s="91">
        <f>Economic!Y114</f>
        <v>202.19999999999982</v>
      </c>
      <c r="BI102" s="91">
        <f>Economic!Z114</f>
        <v>3.5</v>
      </c>
      <c r="BJ102" s="91">
        <f>Economic!AA114</f>
        <v>3.0999999999999659</v>
      </c>
      <c r="BK102" s="91">
        <f>Economic!AB114</f>
        <v>-8.9000000000000057</v>
      </c>
      <c r="BL102" s="91">
        <f>Economic!AC114</f>
        <v>-9</v>
      </c>
      <c r="BM102" s="91">
        <f>Weather!C222</f>
        <v>12.232258064516133</v>
      </c>
      <c r="BN102" s="91">
        <f>Weather!D222</f>
        <v>240.7999999999999</v>
      </c>
      <c r="BO102" s="91">
        <f>Weather!E222</f>
        <v>0</v>
      </c>
      <c r="BP102" s="91">
        <f>Weather!F222</f>
        <v>181.09999999999991</v>
      </c>
      <c r="BQ102" s="91">
        <f>Weather!G222</f>
        <v>2.3000000000000007</v>
      </c>
      <c r="BR102" s="91">
        <f>Weather!H222</f>
        <v>128.50000000000003</v>
      </c>
      <c r="BS102" s="91">
        <f>Weather!I222</f>
        <v>11.700000000000003</v>
      </c>
      <c r="BT102" s="91">
        <f>Weather!J222</f>
        <v>87.100000000000023</v>
      </c>
      <c r="BU102" s="91">
        <f>Weather!K222</f>
        <v>32.300000000000004</v>
      </c>
      <c r="BV102" s="91">
        <f>Weather!L222</f>
        <v>50.900000000000006</v>
      </c>
      <c r="BW102" s="91">
        <f>Weather!M222</f>
        <v>58.099999999999994</v>
      </c>
      <c r="BX102" s="91">
        <f>Weather!N222</f>
        <v>24.099999999999994</v>
      </c>
      <c r="BY102" s="91">
        <f>Weather!O222</f>
        <v>93.299999999999983</v>
      </c>
    </row>
    <row r="103" spans="1:77" x14ac:dyDescent="0.2">
      <c r="A103" s="66">
        <v>43646</v>
      </c>
      <c r="B103" s="114">
        <f t="shared" si="50"/>
        <v>2019</v>
      </c>
      <c r="C103" s="104">
        <v>19696522.675138813</v>
      </c>
      <c r="D103" s="104">
        <v>4853572.3585318187</v>
      </c>
      <c r="E103" s="171">
        <f ca="1">CDM!D124</f>
        <v>1052791.0820939112</v>
      </c>
      <c r="F103" s="94">
        <f t="shared" ca="1" si="51"/>
        <v>15895741.398700908</v>
      </c>
      <c r="G103" s="94">
        <f ca="1">VLOOKUP(B103,CDM!$A$3:$G$14,7,FALSE)</f>
        <v>1053324.4700333148</v>
      </c>
      <c r="H103" s="94">
        <f t="shared" ca="1" si="65"/>
        <v>15896274.786640309</v>
      </c>
      <c r="I103" s="90">
        <f>Weather!F223</f>
        <v>36.399999999999991</v>
      </c>
      <c r="J103" s="90">
        <f>Weather!G223</f>
        <v>39.900000000000006</v>
      </c>
      <c r="K103" s="108">
        <v>30</v>
      </c>
      <c r="L103" s="108">
        <f t="shared" ref="L103:W103" si="107">L91</f>
        <v>0</v>
      </c>
      <c r="M103" s="108">
        <f t="shared" si="107"/>
        <v>0</v>
      </c>
      <c r="N103" s="108">
        <f t="shared" si="107"/>
        <v>0</v>
      </c>
      <c r="O103" s="108">
        <f t="shared" si="107"/>
        <v>0</v>
      </c>
      <c r="P103" s="108">
        <f t="shared" si="107"/>
        <v>0</v>
      </c>
      <c r="Q103" s="108">
        <f t="shared" si="107"/>
        <v>1</v>
      </c>
      <c r="R103" s="108">
        <f t="shared" si="107"/>
        <v>0</v>
      </c>
      <c r="S103" s="108">
        <f t="shared" si="107"/>
        <v>0</v>
      </c>
      <c r="T103" s="108">
        <f t="shared" si="107"/>
        <v>0</v>
      </c>
      <c r="U103" s="108">
        <f t="shared" si="107"/>
        <v>0</v>
      </c>
      <c r="V103" s="108">
        <f t="shared" si="107"/>
        <v>0</v>
      </c>
      <c r="W103" s="108">
        <f t="shared" si="107"/>
        <v>0</v>
      </c>
      <c r="X103" s="109">
        <v>0</v>
      </c>
      <c r="Y103" s="108">
        <f t="shared" si="99"/>
        <v>0</v>
      </c>
      <c r="Z103" s="108">
        <f t="shared" si="99"/>
        <v>0</v>
      </c>
      <c r="AA103" s="152">
        <v>0</v>
      </c>
      <c r="AB103" s="152">
        <v>0</v>
      </c>
      <c r="AC103" s="152">
        <f t="shared" si="67"/>
        <v>0</v>
      </c>
      <c r="AD103" s="152">
        <f t="shared" si="69"/>
        <v>0</v>
      </c>
      <c r="AE103" s="152">
        <v>1</v>
      </c>
      <c r="AF103" s="150">
        <f>'Customer Count'!I103</f>
        <v>14286.5</v>
      </c>
      <c r="AG103" s="150">
        <f>AF103-'Customer Count'!G103-'Customer Count'!F103</f>
        <v>11555.5</v>
      </c>
      <c r="AH103" s="150">
        <f>AF103-'Customer Count'!H103</f>
        <v>14285.5</v>
      </c>
      <c r="AI103" s="109">
        <f t="shared" si="70"/>
        <v>102</v>
      </c>
      <c r="AJ103" s="109">
        <v>352</v>
      </c>
      <c r="AK103" s="91">
        <v>159.72515966841141</v>
      </c>
      <c r="AL103" s="91">
        <f>Economic!C115</f>
        <v>747589.4</v>
      </c>
      <c r="AM103" s="91">
        <f>Economic!D115</f>
        <v>7430.3</v>
      </c>
      <c r="AN103" s="91">
        <f>Economic!E115</f>
        <v>7472.1</v>
      </c>
      <c r="AO103" s="91">
        <f>Economic!F115</f>
        <v>5.5</v>
      </c>
      <c r="AP103" s="91">
        <f>Economic!G115</f>
        <v>5.6</v>
      </c>
      <c r="AQ103" s="91">
        <f>Economic!H115</f>
        <v>416.3</v>
      </c>
      <c r="AR103" s="91">
        <f>Economic!I115</f>
        <v>415.4</v>
      </c>
      <c r="AS103" s="91">
        <f>Economic!J115</f>
        <v>4.7</v>
      </c>
      <c r="AT103" s="91">
        <f>Economic!K115</f>
        <v>4.5999999999999996</v>
      </c>
      <c r="AU103" s="91">
        <f>Economic!L115</f>
        <v>195.7</v>
      </c>
      <c r="AV103" s="91">
        <f>Economic!M115</f>
        <v>196</v>
      </c>
      <c r="AW103" s="91">
        <f>Economic!N115</f>
        <v>5.6</v>
      </c>
      <c r="AX103" s="91">
        <f>Economic!O115</f>
        <v>5.4</v>
      </c>
      <c r="AY103" s="91">
        <f>Economic!P115</f>
        <v>2.0702560790075264E-2</v>
      </c>
      <c r="AZ103" s="91">
        <f>Economic!Q115</f>
        <v>2.8543347960299448E-2</v>
      </c>
      <c r="BA103" s="91">
        <f>Economic!R115</f>
        <v>2.7912287459417984E-2</v>
      </c>
      <c r="BB103" s="91">
        <f>Economic!S115</f>
        <v>3.3743070619427495E-3</v>
      </c>
      <c r="BC103" s="91">
        <f>Economic!T115</f>
        <v>2.6550808592806785E-3</v>
      </c>
      <c r="BD103" s="91">
        <f>Economic!U115</f>
        <v>-3.9744847890088475E-2</v>
      </c>
      <c r="BE103" s="91">
        <f>Economic!V115</f>
        <v>-4.1095890410958957E-2</v>
      </c>
      <c r="BF103" s="91">
        <f>Economic!W115</f>
        <v>15163.099999999977</v>
      </c>
      <c r="BG103" s="91">
        <f>Economic!X115</f>
        <v>206.19999999999982</v>
      </c>
      <c r="BH103" s="91">
        <f>Economic!Y115</f>
        <v>202.90000000000055</v>
      </c>
      <c r="BI103" s="91">
        <f>Economic!Z115</f>
        <v>1.4000000000000341</v>
      </c>
      <c r="BJ103" s="91">
        <f>Economic!AA115</f>
        <v>1.0999999999999659</v>
      </c>
      <c r="BK103" s="91">
        <f>Economic!AB115</f>
        <v>-8.1000000000000227</v>
      </c>
      <c r="BL103" s="91">
        <f>Economic!AC115</f>
        <v>-8.4000000000000057</v>
      </c>
      <c r="BM103" s="91">
        <f>Weather!C223</f>
        <v>18.116666666666667</v>
      </c>
      <c r="BN103" s="91">
        <f>Weather!D223</f>
        <v>76.300000000000011</v>
      </c>
      <c r="BO103" s="91">
        <f>Weather!E223</f>
        <v>19.8</v>
      </c>
      <c r="BP103" s="91">
        <f>Weather!F223</f>
        <v>36.399999999999991</v>
      </c>
      <c r="BQ103" s="91">
        <f>Weather!G223</f>
        <v>39.900000000000006</v>
      </c>
      <c r="BR103" s="91">
        <f>Weather!H223</f>
        <v>11.099999999999998</v>
      </c>
      <c r="BS103" s="91">
        <f>Weather!I223</f>
        <v>74.600000000000009</v>
      </c>
      <c r="BT103" s="91">
        <f>Weather!J223</f>
        <v>2.1999999999999993</v>
      </c>
      <c r="BU103" s="91">
        <f>Weather!K223</f>
        <v>125.69999999999999</v>
      </c>
      <c r="BV103" s="91">
        <f>Weather!L223</f>
        <v>0.19999999999999929</v>
      </c>
      <c r="BW103" s="91">
        <f>Weather!M223</f>
        <v>183.7</v>
      </c>
      <c r="BX103" s="91">
        <f>Weather!N223</f>
        <v>0</v>
      </c>
      <c r="BY103" s="91">
        <f>Weather!O223</f>
        <v>243.50000000000003</v>
      </c>
    </row>
    <row r="104" spans="1:77" x14ac:dyDescent="0.2">
      <c r="A104" s="66">
        <v>43677</v>
      </c>
      <c r="B104" s="114">
        <f t="shared" si="50"/>
        <v>2019</v>
      </c>
      <c r="C104" s="104">
        <v>27560108.31326063</v>
      </c>
      <c r="D104" s="104">
        <v>6991030.6470110817</v>
      </c>
      <c r="E104" s="171">
        <f ca="1">CDM!D125</f>
        <v>1053857.8579727185</v>
      </c>
      <c r="F104" s="94">
        <f t="shared" ca="1" si="51"/>
        <v>21622935.524222266</v>
      </c>
      <c r="G104" s="94">
        <f ca="1">VLOOKUP(B104,CDM!$A$3:$G$14,7,FALSE)</f>
        <v>1053324.4700333148</v>
      </c>
      <c r="H104" s="94">
        <f t="shared" ca="1" si="65"/>
        <v>21622402.136282861</v>
      </c>
      <c r="I104" s="90">
        <f>Weather!F224</f>
        <v>0</v>
      </c>
      <c r="J104" s="90">
        <f>Weather!G224</f>
        <v>168.10000000000002</v>
      </c>
      <c r="K104" s="108">
        <v>31</v>
      </c>
      <c r="L104" s="108">
        <f t="shared" ref="L104:W104" si="108">L92</f>
        <v>0</v>
      </c>
      <c r="M104" s="108">
        <f t="shared" si="108"/>
        <v>0</v>
      </c>
      <c r="N104" s="108">
        <f t="shared" si="108"/>
        <v>0</v>
      </c>
      <c r="O104" s="108">
        <f t="shared" si="108"/>
        <v>0</v>
      </c>
      <c r="P104" s="108">
        <f t="shared" si="108"/>
        <v>0</v>
      </c>
      <c r="Q104" s="108">
        <f t="shared" si="108"/>
        <v>0</v>
      </c>
      <c r="R104" s="108">
        <f t="shared" si="108"/>
        <v>1</v>
      </c>
      <c r="S104" s="108">
        <f t="shared" si="108"/>
        <v>0</v>
      </c>
      <c r="T104" s="108">
        <f t="shared" si="108"/>
        <v>0</v>
      </c>
      <c r="U104" s="108">
        <f t="shared" si="108"/>
        <v>0</v>
      </c>
      <c r="V104" s="108">
        <f t="shared" si="108"/>
        <v>0</v>
      </c>
      <c r="W104" s="108">
        <f t="shared" si="108"/>
        <v>0</v>
      </c>
      <c r="X104" s="109">
        <v>0</v>
      </c>
      <c r="Y104" s="108">
        <f t="shared" si="99"/>
        <v>0</v>
      </c>
      <c r="Z104" s="108">
        <f t="shared" si="99"/>
        <v>0</v>
      </c>
      <c r="AA104" s="152">
        <v>0</v>
      </c>
      <c r="AB104" s="152">
        <v>0</v>
      </c>
      <c r="AC104" s="152">
        <f t="shared" si="67"/>
        <v>0</v>
      </c>
      <c r="AD104" s="152">
        <f t="shared" si="69"/>
        <v>0</v>
      </c>
      <c r="AE104" s="152">
        <v>1</v>
      </c>
      <c r="AF104" s="150">
        <f>'Customer Count'!I104</f>
        <v>14291.5</v>
      </c>
      <c r="AG104" s="150">
        <f>AF104-'Customer Count'!G104-'Customer Count'!F104</f>
        <v>11560.5</v>
      </c>
      <c r="AH104" s="150">
        <f>AF104-'Customer Count'!H104</f>
        <v>14290.5</v>
      </c>
      <c r="AI104" s="109">
        <f t="shared" si="70"/>
        <v>103</v>
      </c>
      <c r="AJ104" s="109">
        <v>320</v>
      </c>
      <c r="AK104" s="91">
        <v>160.0411489893302</v>
      </c>
      <c r="AL104" s="91">
        <f>Economic!C116</f>
        <v>747589.4</v>
      </c>
      <c r="AM104" s="91">
        <f>Economic!D116</f>
        <v>7432.9</v>
      </c>
      <c r="AN104" s="91">
        <f>Economic!E116</f>
        <v>7524.4</v>
      </c>
      <c r="AO104" s="91">
        <f>Economic!F116</f>
        <v>5.5</v>
      </c>
      <c r="AP104" s="91">
        <f>Economic!G116</f>
        <v>5.7</v>
      </c>
      <c r="AQ104" s="91">
        <f>Economic!H116</f>
        <v>415.9</v>
      </c>
      <c r="AR104" s="91">
        <f>Economic!I116</f>
        <v>417.8</v>
      </c>
      <c r="AS104" s="91">
        <f>Economic!J116</f>
        <v>4.8</v>
      </c>
      <c r="AT104" s="91">
        <f>Economic!K116</f>
        <v>5.3</v>
      </c>
      <c r="AU104" s="91">
        <f>Economic!L116</f>
        <v>196.1</v>
      </c>
      <c r="AV104" s="91">
        <f>Economic!M116</f>
        <v>199.2</v>
      </c>
      <c r="AW104" s="91">
        <f>Economic!N116</f>
        <v>5.6</v>
      </c>
      <c r="AX104" s="91">
        <f>Economic!O116</f>
        <v>5.4</v>
      </c>
      <c r="AY104" s="91">
        <f>Economic!P116</f>
        <v>2.0702560790075264E-2</v>
      </c>
      <c r="AZ104" s="91">
        <f>Economic!Q116</f>
        <v>2.4012895048631799E-2</v>
      </c>
      <c r="BA104" s="91">
        <f>Economic!R116</f>
        <v>2.3379802788167314E-2</v>
      </c>
      <c r="BB104" s="91">
        <f>Economic!S116</f>
        <v>-1.2007684918348138E-3</v>
      </c>
      <c r="BC104" s="91">
        <f>Economic!T116</f>
        <v>-2.625925041775945E-3</v>
      </c>
      <c r="BD104" s="91">
        <f>Economic!U116</f>
        <v>-3.2560434139121797E-2</v>
      </c>
      <c r="BE104" s="91">
        <f>Economic!V116</f>
        <v>-3.3478893740902516E-2</v>
      </c>
      <c r="BF104" s="91">
        <f>Economic!W116</f>
        <v>15163.099999999977</v>
      </c>
      <c r="BG104" s="91">
        <f>Economic!X116</f>
        <v>174.29999999999927</v>
      </c>
      <c r="BH104" s="91">
        <f>Economic!Y116</f>
        <v>171.89999999999964</v>
      </c>
      <c r="BI104" s="91">
        <f>Economic!Z116</f>
        <v>-0.5</v>
      </c>
      <c r="BJ104" s="91">
        <f>Economic!AA116</f>
        <v>-1.0999999999999659</v>
      </c>
      <c r="BK104" s="91">
        <f>Economic!AB116</f>
        <v>-6.5999999999999943</v>
      </c>
      <c r="BL104" s="91">
        <f>Economic!AC116</f>
        <v>-6.9000000000000057</v>
      </c>
      <c r="BM104" s="91">
        <f>Weather!C224</f>
        <v>23.422580645161286</v>
      </c>
      <c r="BN104" s="91">
        <f>Weather!D224</f>
        <v>1.1999999999999993</v>
      </c>
      <c r="BO104" s="91">
        <f>Weather!E224</f>
        <v>107.29999999999998</v>
      </c>
      <c r="BP104" s="91">
        <f>Weather!F224</f>
        <v>0</v>
      </c>
      <c r="BQ104" s="91">
        <f>Weather!G224</f>
        <v>168.10000000000002</v>
      </c>
      <c r="BR104" s="91">
        <f>Weather!H224</f>
        <v>0</v>
      </c>
      <c r="BS104" s="91">
        <f>Weather!I224</f>
        <v>230.10000000000005</v>
      </c>
      <c r="BT104" s="91">
        <f>Weather!J224</f>
        <v>0</v>
      </c>
      <c r="BU104" s="91">
        <f>Weather!K224</f>
        <v>292.10000000000008</v>
      </c>
      <c r="BV104" s="91">
        <f>Weather!L224</f>
        <v>0</v>
      </c>
      <c r="BW104" s="91">
        <f>Weather!M224</f>
        <v>354.10000000000008</v>
      </c>
      <c r="BX104" s="91">
        <f>Weather!N224</f>
        <v>0</v>
      </c>
      <c r="BY104" s="91">
        <f>Weather!O224</f>
        <v>416.1</v>
      </c>
    </row>
    <row r="105" spans="1:77" x14ac:dyDescent="0.2">
      <c r="A105" s="66">
        <v>43708</v>
      </c>
      <c r="B105" s="114">
        <f t="shared" si="50"/>
        <v>2019</v>
      </c>
      <c r="C105" s="104">
        <v>24718341.509218462</v>
      </c>
      <c r="D105" s="104">
        <v>6140130.9663574947</v>
      </c>
      <c r="E105" s="171">
        <f ca="1">CDM!D126</f>
        <v>1054924.6338515261</v>
      </c>
      <c r="F105" s="94">
        <f t="shared" ca="1" si="51"/>
        <v>19633135.176712491</v>
      </c>
      <c r="G105" s="94">
        <f ca="1">VLOOKUP(B105,CDM!$A$3:$G$14,7,FALSE)</f>
        <v>1053324.4700333148</v>
      </c>
      <c r="H105" s="94">
        <f t="shared" ca="1" si="65"/>
        <v>19631535.01289428</v>
      </c>
      <c r="I105" s="90">
        <f>Weather!F225</f>
        <v>1.1999999999999993</v>
      </c>
      <c r="J105" s="90">
        <f>Weather!G225</f>
        <v>107.09999999999997</v>
      </c>
      <c r="K105" s="108">
        <v>31</v>
      </c>
      <c r="L105" s="108">
        <f t="shared" ref="L105:W105" si="109">L93</f>
        <v>0</v>
      </c>
      <c r="M105" s="108">
        <f t="shared" si="109"/>
        <v>0</v>
      </c>
      <c r="N105" s="108">
        <f t="shared" si="109"/>
        <v>0</v>
      </c>
      <c r="O105" s="108">
        <f t="shared" si="109"/>
        <v>0</v>
      </c>
      <c r="P105" s="108">
        <f t="shared" si="109"/>
        <v>0</v>
      </c>
      <c r="Q105" s="108">
        <f t="shared" si="109"/>
        <v>0</v>
      </c>
      <c r="R105" s="108">
        <f t="shared" si="109"/>
        <v>0</v>
      </c>
      <c r="S105" s="108">
        <f t="shared" si="109"/>
        <v>1</v>
      </c>
      <c r="T105" s="108">
        <f t="shared" si="109"/>
        <v>0</v>
      </c>
      <c r="U105" s="108">
        <f t="shared" si="109"/>
        <v>0</v>
      </c>
      <c r="V105" s="108">
        <f t="shared" si="109"/>
        <v>0</v>
      </c>
      <c r="W105" s="108">
        <f t="shared" si="109"/>
        <v>0</v>
      </c>
      <c r="X105" s="109">
        <v>0</v>
      </c>
      <c r="Y105" s="108">
        <f t="shared" si="99"/>
        <v>0</v>
      </c>
      <c r="Z105" s="108">
        <f t="shared" si="99"/>
        <v>0</v>
      </c>
      <c r="AA105" s="152">
        <v>0</v>
      </c>
      <c r="AB105" s="152">
        <v>0</v>
      </c>
      <c r="AC105" s="152">
        <f t="shared" si="67"/>
        <v>0</v>
      </c>
      <c r="AD105" s="152">
        <f t="shared" si="69"/>
        <v>0</v>
      </c>
      <c r="AE105" s="152">
        <v>1</v>
      </c>
      <c r="AF105" s="150">
        <f>'Customer Count'!I105</f>
        <v>14302</v>
      </c>
      <c r="AG105" s="150">
        <f>AF105-'Customer Count'!G105-'Customer Count'!F105</f>
        <v>11571</v>
      </c>
      <c r="AH105" s="150">
        <f>AF105-'Customer Count'!H105</f>
        <v>14301</v>
      </c>
      <c r="AI105" s="109">
        <f t="shared" si="70"/>
        <v>104</v>
      </c>
      <c r="AJ105" s="109">
        <v>352</v>
      </c>
      <c r="AK105" s="91">
        <v>160.35776344188849</v>
      </c>
      <c r="AL105" s="91">
        <f>Economic!C117</f>
        <v>747589.4</v>
      </c>
      <c r="AM105" s="91">
        <f>Economic!D117</f>
        <v>7449.6</v>
      </c>
      <c r="AN105" s="91">
        <f>Economic!E117</f>
        <v>7540.9</v>
      </c>
      <c r="AO105" s="91">
        <f>Economic!F117</f>
        <v>5.6</v>
      </c>
      <c r="AP105" s="91">
        <f>Economic!G117</f>
        <v>6</v>
      </c>
      <c r="AQ105" s="91">
        <f>Economic!H117</f>
        <v>418.8</v>
      </c>
      <c r="AR105" s="91">
        <f>Economic!I117</f>
        <v>422.3</v>
      </c>
      <c r="AS105" s="91">
        <f>Economic!J117</f>
        <v>4.9000000000000004</v>
      </c>
      <c r="AT105" s="91">
        <f>Economic!K117</f>
        <v>5.4</v>
      </c>
      <c r="AU105" s="91">
        <f>Economic!L117</f>
        <v>198</v>
      </c>
      <c r="AV105" s="91">
        <f>Economic!M117</f>
        <v>202</v>
      </c>
      <c r="AW105" s="91">
        <f>Economic!N117</f>
        <v>5.7</v>
      </c>
      <c r="AX105" s="91">
        <f>Economic!O117</f>
        <v>5.7</v>
      </c>
      <c r="AY105" s="91">
        <f>Economic!P117</f>
        <v>2.0702560790075264E-2</v>
      </c>
      <c r="AZ105" s="91">
        <f>Economic!Q117</f>
        <v>2.5437727122563647E-2</v>
      </c>
      <c r="BA105" s="91">
        <f>Economic!R117</f>
        <v>2.5135943447525788E-2</v>
      </c>
      <c r="BB105" s="91">
        <f>Economic!S117</f>
        <v>1.3798111837327598E-2</v>
      </c>
      <c r="BC105" s="91">
        <f>Economic!T117</f>
        <v>1.4412683161181938E-2</v>
      </c>
      <c r="BD105" s="91">
        <f>Economic!U117</f>
        <v>-1.5904572564612307E-2</v>
      </c>
      <c r="BE105" s="91">
        <f>Economic!V117</f>
        <v>-1.6553067185978598E-2</v>
      </c>
      <c r="BF105" s="91">
        <f>Economic!W117</f>
        <v>15163.099999999977</v>
      </c>
      <c r="BG105" s="91">
        <f>Economic!X117</f>
        <v>184.80000000000018</v>
      </c>
      <c r="BH105" s="91">
        <f>Economic!Y117</f>
        <v>184.89999999999964</v>
      </c>
      <c r="BI105" s="91">
        <f>Economic!Z117</f>
        <v>5.6999999999999886</v>
      </c>
      <c r="BJ105" s="91">
        <f>Economic!AA117</f>
        <v>6</v>
      </c>
      <c r="BK105" s="91">
        <f>Economic!AB117</f>
        <v>-3.1999999999999886</v>
      </c>
      <c r="BL105" s="91">
        <f>Economic!AC117</f>
        <v>-3.4000000000000057</v>
      </c>
      <c r="BM105" s="91">
        <f>Weather!C225</f>
        <v>21.416129032258059</v>
      </c>
      <c r="BN105" s="91">
        <f>Weather!D225</f>
        <v>8.9999999999999964</v>
      </c>
      <c r="BO105" s="91">
        <f>Weather!E225</f>
        <v>52.899999999999991</v>
      </c>
      <c r="BP105" s="91">
        <f>Weather!F225</f>
        <v>1.1999999999999993</v>
      </c>
      <c r="BQ105" s="91">
        <f>Weather!G225</f>
        <v>107.09999999999997</v>
      </c>
      <c r="BR105" s="91">
        <f>Weather!H225</f>
        <v>0</v>
      </c>
      <c r="BS105" s="91">
        <f>Weather!I225</f>
        <v>167.90000000000006</v>
      </c>
      <c r="BT105" s="91">
        <f>Weather!J225</f>
        <v>0</v>
      </c>
      <c r="BU105" s="91">
        <f>Weather!K225</f>
        <v>229.90000000000009</v>
      </c>
      <c r="BV105" s="91">
        <f>Weather!L225</f>
        <v>0</v>
      </c>
      <c r="BW105" s="91">
        <f>Weather!M225</f>
        <v>291.90000000000015</v>
      </c>
      <c r="BX105" s="91">
        <f>Weather!N225</f>
        <v>0</v>
      </c>
      <c r="BY105" s="91">
        <f>Weather!O225</f>
        <v>353.90000000000015</v>
      </c>
    </row>
    <row r="106" spans="1:77" x14ac:dyDescent="0.2">
      <c r="A106" s="66">
        <v>43738</v>
      </c>
      <c r="B106" s="114">
        <f t="shared" si="50"/>
        <v>2019</v>
      </c>
      <c r="C106" s="104">
        <v>20237615.335729983</v>
      </c>
      <c r="D106" s="104">
        <v>4814361.1713148011</v>
      </c>
      <c r="E106" s="171">
        <f ca="1">CDM!D127</f>
        <v>1055991.4097303334</v>
      </c>
      <c r="F106" s="94">
        <f t="shared" ca="1" si="51"/>
        <v>16479245.574145515</v>
      </c>
      <c r="G106" s="94">
        <f ca="1">VLOOKUP(B106,CDM!$A$3:$G$14,7,FALSE)</f>
        <v>1053324.4700333148</v>
      </c>
      <c r="H106" s="94">
        <f t="shared" ca="1" si="65"/>
        <v>16476578.634448495</v>
      </c>
      <c r="I106" s="90">
        <f>Weather!F226</f>
        <v>21.199999999999996</v>
      </c>
      <c r="J106" s="90">
        <f>Weather!G226</f>
        <v>38.200000000000003</v>
      </c>
      <c r="K106" s="108">
        <v>30</v>
      </c>
      <c r="L106" s="108">
        <f t="shared" ref="L106:W106" si="110">L94</f>
        <v>0</v>
      </c>
      <c r="M106" s="108">
        <f t="shared" si="110"/>
        <v>0</v>
      </c>
      <c r="N106" s="108">
        <f t="shared" si="110"/>
        <v>0</v>
      </c>
      <c r="O106" s="108">
        <f t="shared" si="110"/>
        <v>0</v>
      </c>
      <c r="P106" s="108">
        <f t="shared" si="110"/>
        <v>0</v>
      </c>
      <c r="Q106" s="108">
        <f t="shared" si="110"/>
        <v>0</v>
      </c>
      <c r="R106" s="108">
        <f t="shared" si="110"/>
        <v>0</v>
      </c>
      <c r="S106" s="108">
        <f t="shared" si="110"/>
        <v>0</v>
      </c>
      <c r="T106" s="108">
        <f t="shared" si="110"/>
        <v>1</v>
      </c>
      <c r="U106" s="108">
        <f t="shared" si="110"/>
        <v>0</v>
      </c>
      <c r="V106" s="108">
        <f t="shared" si="110"/>
        <v>0</v>
      </c>
      <c r="W106" s="108">
        <f t="shared" si="110"/>
        <v>0</v>
      </c>
      <c r="X106" s="109">
        <v>1</v>
      </c>
      <c r="Y106" s="108">
        <f t="shared" si="99"/>
        <v>0</v>
      </c>
      <c r="Z106" s="108">
        <f t="shared" si="99"/>
        <v>1</v>
      </c>
      <c r="AA106" s="152">
        <v>0</v>
      </c>
      <c r="AB106" s="152">
        <v>0</v>
      </c>
      <c r="AC106" s="152">
        <f t="shared" si="67"/>
        <v>0</v>
      </c>
      <c r="AD106" s="152">
        <f t="shared" si="69"/>
        <v>0</v>
      </c>
      <c r="AE106" s="152">
        <v>1</v>
      </c>
      <c r="AF106" s="150">
        <f>'Customer Count'!I106</f>
        <v>14340.5</v>
      </c>
      <c r="AG106" s="150">
        <f>AF106-'Customer Count'!G106-'Customer Count'!F106</f>
        <v>11589.5</v>
      </c>
      <c r="AH106" s="150">
        <f>AF106-'Customer Count'!H106</f>
        <v>14339.5</v>
      </c>
      <c r="AI106" s="109">
        <f t="shared" si="70"/>
        <v>105</v>
      </c>
      <c r="AJ106" s="109">
        <v>320</v>
      </c>
      <c r="AK106" s="91">
        <v>160.67500426280395</v>
      </c>
      <c r="AL106" s="91">
        <f>Economic!C118</f>
        <v>747589.4</v>
      </c>
      <c r="AM106" s="91">
        <f>Economic!D118</f>
        <v>7478.3</v>
      </c>
      <c r="AN106" s="91">
        <f>Economic!E118</f>
        <v>7535</v>
      </c>
      <c r="AO106" s="91">
        <f>Economic!F118</f>
        <v>5.5</v>
      </c>
      <c r="AP106" s="91">
        <f>Economic!G118</f>
        <v>5.8</v>
      </c>
      <c r="AQ106" s="91">
        <f>Economic!H118</f>
        <v>419.9</v>
      </c>
      <c r="AR106" s="91">
        <f>Economic!I118</f>
        <v>423.1</v>
      </c>
      <c r="AS106" s="91">
        <f>Economic!J118</f>
        <v>5</v>
      </c>
      <c r="AT106" s="91">
        <f>Economic!K118</f>
        <v>5.6</v>
      </c>
      <c r="AU106" s="91">
        <f>Economic!L118</f>
        <v>200.2</v>
      </c>
      <c r="AV106" s="91">
        <f>Economic!M118</f>
        <v>203.1</v>
      </c>
      <c r="AW106" s="91">
        <f>Economic!N118</f>
        <v>5.8</v>
      </c>
      <c r="AX106" s="91">
        <f>Economic!O118</f>
        <v>5.7</v>
      </c>
      <c r="AY106" s="91">
        <f>Economic!P118</f>
        <v>2.0702560790075264E-2</v>
      </c>
      <c r="AZ106" s="91">
        <f>Economic!Q118</f>
        <v>2.8920900923212312E-2</v>
      </c>
      <c r="BA106" s="91">
        <f>Economic!R118</f>
        <v>3.0047025371828573E-2</v>
      </c>
      <c r="BB106" s="91">
        <f>Economic!S118</f>
        <v>2.1157587548638057E-2</v>
      </c>
      <c r="BC106" s="91">
        <f>Economic!T118</f>
        <v>2.5945683802133912E-2</v>
      </c>
      <c r="BD106" s="91">
        <f>Economic!U118</f>
        <v>-3.4843205574913716E-3</v>
      </c>
      <c r="BE106" s="91">
        <f>Economic!V118</f>
        <v>-9.7513408093612419E-3</v>
      </c>
      <c r="BF106" s="91">
        <f>Economic!W118</f>
        <v>15163.099999999977</v>
      </c>
      <c r="BG106" s="91">
        <f>Economic!X118</f>
        <v>210.19999999999982</v>
      </c>
      <c r="BH106" s="91">
        <f>Economic!Y118</f>
        <v>219.80000000000018</v>
      </c>
      <c r="BI106" s="91">
        <f>Economic!Z118</f>
        <v>8.6999999999999886</v>
      </c>
      <c r="BJ106" s="91">
        <f>Economic!AA118</f>
        <v>10.700000000000045</v>
      </c>
      <c r="BK106" s="91">
        <f>Economic!AB118</f>
        <v>-0.70000000000001705</v>
      </c>
      <c r="BL106" s="91">
        <f>Economic!AC118</f>
        <v>-2</v>
      </c>
      <c r="BM106" s="91">
        <f>Weather!C226</f>
        <v>18.566666666666666</v>
      </c>
      <c r="BN106" s="91">
        <f>Weather!D226</f>
        <v>58.2</v>
      </c>
      <c r="BO106" s="91">
        <f>Weather!E226</f>
        <v>15.200000000000003</v>
      </c>
      <c r="BP106" s="91">
        <f>Weather!F226</f>
        <v>21.199999999999996</v>
      </c>
      <c r="BQ106" s="91">
        <f>Weather!G226</f>
        <v>38.200000000000003</v>
      </c>
      <c r="BR106" s="91">
        <f>Weather!H226</f>
        <v>1.6999999999999993</v>
      </c>
      <c r="BS106" s="91">
        <f>Weather!I226</f>
        <v>78.699999999999989</v>
      </c>
      <c r="BT106" s="91">
        <f>Weather!J226</f>
        <v>0</v>
      </c>
      <c r="BU106" s="91">
        <f>Weather!K226</f>
        <v>137</v>
      </c>
      <c r="BV106" s="91">
        <f>Weather!L226</f>
        <v>0</v>
      </c>
      <c r="BW106" s="91">
        <f>Weather!M226</f>
        <v>197.00000000000006</v>
      </c>
      <c r="BX106" s="91">
        <f>Weather!N226</f>
        <v>0</v>
      </c>
      <c r="BY106" s="91">
        <f>Weather!O226</f>
        <v>257.00000000000006</v>
      </c>
    </row>
    <row r="107" spans="1:77" x14ac:dyDescent="0.2">
      <c r="A107" s="66">
        <v>43769</v>
      </c>
      <c r="B107" s="114">
        <f t="shared" si="50"/>
        <v>2019</v>
      </c>
      <c r="C107" s="104">
        <v>18098714.600466475</v>
      </c>
      <c r="D107" s="104">
        <v>3841776.1678357082</v>
      </c>
      <c r="E107" s="171">
        <f ca="1">CDM!D128</f>
        <v>1057058.1856091407</v>
      </c>
      <c r="F107" s="94">
        <f t="shared" ca="1" si="51"/>
        <v>15313996.618239906</v>
      </c>
      <c r="G107" s="94">
        <f ca="1">VLOOKUP(B107,CDM!$A$3:$G$14,7,FALSE)</f>
        <v>1053324.4700333148</v>
      </c>
      <c r="H107" s="94">
        <f t="shared" ca="1" si="65"/>
        <v>15310262.90266408</v>
      </c>
      <c r="I107" s="90">
        <f>Weather!F227</f>
        <v>207.5</v>
      </c>
      <c r="J107" s="90">
        <f>Weather!G227</f>
        <v>4.8000000000000007</v>
      </c>
      <c r="K107" s="108">
        <v>31</v>
      </c>
      <c r="L107" s="108">
        <f t="shared" ref="L107:W107" si="111">L95</f>
        <v>0</v>
      </c>
      <c r="M107" s="108">
        <f t="shared" si="111"/>
        <v>0</v>
      </c>
      <c r="N107" s="108">
        <f t="shared" si="111"/>
        <v>0</v>
      </c>
      <c r="O107" s="108">
        <f t="shared" si="111"/>
        <v>0</v>
      </c>
      <c r="P107" s="108">
        <f t="shared" si="111"/>
        <v>0</v>
      </c>
      <c r="Q107" s="108">
        <f t="shared" si="111"/>
        <v>0</v>
      </c>
      <c r="R107" s="108">
        <f t="shared" si="111"/>
        <v>0</v>
      </c>
      <c r="S107" s="108">
        <f t="shared" si="111"/>
        <v>0</v>
      </c>
      <c r="T107" s="108">
        <f t="shared" si="111"/>
        <v>0</v>
      </c>
      <c r="U107" s="108">
        <f t="shared" si="111"/>
        <v>1</v>
      </c>
      <c r="V107" s="108">
        <f t="shared" si="111"/>
        <v>0</v>
      </c>
      <c r="W107" s="108">
        <f t="shared" si="111"/>
        <v>0</v>
      </c>
      <c r="X107" s="109">
        <v>1</v>
      </c>
      <c r="Y107" s="108">
        <f t="shared" si="99"/>
        <v>0</v>
      </c>
      <c r="Z107" s="108">
        <f t="shared" si="99"/>
        <v>1</v>
      </c>
      <c r="AA107" s="152">
        <v>0</v>
      </c>
      <c r="AB107" s="152">
        <v>0</v>
      </c>
      <c r="AC107" s="152">
        <f t="shared" si="67"/>
        <v>0</v>
      </c>
      <c r="AD107" s="152">
        <f t="shared" si="69"/>
        <v>0</v>
      </c>
      <c r="AE107" s="152">
        <v>1</v>
      </c>
      <c r="AF107" s="150">
        <f>'Customer Count'!I107</f>
        <v>14379</v>
      </c>
      <c r="AG107" s="150">
        <f>AF107-'Customer Count'!G107-'Customer Count'!F107</f>
        <v>11608.5</v>
      </c>
      <c r="AH107" s="150">
        <f>AF107-'Customer Count'!H107</f>
        <v>14378</v>
      </c>
      <c r="AI107" s="109">
        <f t="shared" si="70"/>
        <v>106</v>
      </c>
      <c r="AJ107" s="109">
        <v>336</v>
      </c>
      <c r="AK107" s="91">
        <v>160.99287269124085</v>
      </c>
      <c r="AL107" s="91">
        <f>Economic!C119</f>
        <v>747589.4</v>
      </c>
      <c r="AM107" s="91">
        <f>Economic!D119</f>
        <v>7504</v>
      </c>
      <c r="AN107" s="91">
        <f>Economic!E119</f>
        <v>7538.5</v>
      </c>
      <c r="AO107" s="91">
        <f>Economic!F119</f>
        <v>5.4</v>
      </c>
      <c r="AP107" s="91">
        <f>Economic!G119</f>
        <v>5.4</v>
      </c>
      <c r="AQ107" s="91">
        <f>Economic!H119</f>
        <v>427.3</v>
      </c>
      <c r="AR107" s="91">
        <f>Economic!I119</f>
        <v>433.4</v>
      </c>
      <c r="AS107" s="91">
        <f>Economic!J119</f>
        <v>4.7</v>
      </c>
      <c r="AT107" s="91">
        <f>Economic!K119</f>
        <v>4.7</v>
      </c>
      <c r="AU107" s="91">
        <f>Economic!L119</f>
        <v>202.4</v>
      </c>
      <c r="AV107" s="91">
        <f>Economic!M119</f>
        <v>204.3</v>
      </c>
      <c r="AW107" s="91">
        <f>Economic!N119</f>
        <v>5.4</v>
      </c>
      <c r="AX107" s="91">
        <f>Economic!O119</f>
        <v>5</v>
      </c>
      <c r="AY107" s="91">
        <f>Economic!P119</f>
        <v>2.0702560790075264E-2</v>
      </c>
      <c r="AZ107" s="91">
        <f>Economic!Q119</f>
        <v>3.4606369778022783E-2</v>
      </c>
      <c r="BA107" s="91">
        <f>Economic!R119</f>
        <v>3.6305399758055801E-2</v>
      </c>
      <c r="BB107" s="91">
        <f>Economic!S119</f>
        <v>3.7387715464918703E-2</v>
      </c>
      <c r="BC107" s="91">
        <f>Economic!T119</f>
        <v>5.1686483863139898E-2</v>
      </c>
      <c r="BD107" s="91">
        <f>Economic!U119</f>
        <v>9.9800399201597223E-3</v>
      </c>
      <c r="BE107" s="91">
        <f>Economic!V119</f>
        <v>-1.9540791402050672E-3</v>
      </c>
      <c r="BF107" s="91">
        <f>Economic!W119</f>
        <v>15163.099999999977</v>
      </c>
      <c r="BG107" s="91">
        <f>Economic!X119</f>
        <v>251</v>
      </c>
      <c r="BH107" s="91">
        <f>Economic!Y119</f>
        <v>264.10000000000036</v>
      </c>
      <c r="BI107" s="91">
        <f>Economic!Z119</f>
        <v>15.400000000000034</v>
      </c>
      <c r="BJ107" s="91">
        <f>Economic!AA119</f>
        <v>21.299999999999955</v>
      </c>
      <c r="BK107" s="91">
        <f>Economic!AB119</f>
        <v>2</v>
      </c>
      <c r="BL107" s="91">
        <f>Economic!AC119</f>
        <v>-0.39999999999997726</v>
      </c>
      <c r="BM107" s="91">
        <f>Weather!C227</f>
        <v>11.461290322580648</v>
      </c>
      <c r="BN107" s="91">
        <f>Weather!D227</f>
        <v>267.5</v>
      </c>
      <c r="BO107" s="91">
        <f>Weather!E227</f>
        <v>2.8000000000000007</v>
      </c>
      <c r="BP107" s="91">
        <f>Weather!F227</f>
        <v>207.5</v>
      </c>
      <c r="BQ107" s="91">
        <f>Weather!G227</f>
        <v>4.8000000000000007</v>
      </c>
      <c r="BR107" s="91">
        <f>Weather!H227</f>
        <v>147.5</v>
      </c>
      <c r="BS107" s="91">
        <f>Weather!I227</f>
        <v>6.8000000000000007</v>
      </c>
      <c r="BT107" s="91">
        <f>Weather!J227</f>
        <v>90.100000000000009</v>
      </c>
      <c r="BU107" s="91">
        <f>Weather!K227</f>
        <v>11.400000000000002</v>
      </c>
      <c r="BV107" s="91">
        <f>Weather!L227</f>
        <v>43.5</v>
      </c>
      <c r="BW107" s="91">
        <f>Weather!M227</f>
        <v>26.800000000000004</v>
      </c>
      <c r="BX107" s="91">
        <f>Weather!N227</f>
        <v>13.999999999999996</v>
      </c>
      <c r="BY107" s="91">
        <f>Weather!O227</f>
        <v>59.299999999999983</v>
      </c>
    </row>
    <row r="108" spans="1:77" x14ac:dyDescent="0.2">
      <c r="A108" s="66">
        <v>43799</v>
      </c>
      <c r="B108" s="114">
        <f t="shared" si="50"/>
        <v>2019</v>
      </c>
      <c r="C108" s="104">
        <v>19512627.908904467</v>
      </c>
      <c r="D108" s="104">
        <v>4374163.1948623955</v>
      </c>
      <c r="E108" s="171">
        <f ca="1">CDM!D129</f>
        <v>1058124.961487948</v>
      </c>
      <c r="F108" s="94">
        <f t="shared" ca="1" si="51"/>
        <v>16196589.67553002</v>
      </c>
      <c r="G108" s="94">
        <f ca="1">VLOOKUP(B108,CDM!$A$3:$G$14,7,FALSE)</f>
        <v>1053324.4700333148</v>
      </c>
      <c r="H108" s="94">
        <f t="shared" ca="1" si="65"/>
        <v>16191789.184075385</v>
      </c>
      <c r="I108" s="90">
        <f>Weather!F228</f>
        <v>485.2</v>
      </c>
      <c r="J108" s="90">
        <f>Weather!G228</f>
        <v>0</v>
      </c>
      <c r="K108" s="108">
        <v>30</v>
      </c>
      <c r="L108" s="108">
        <f t="shared" ref="L108:W108" si="112">L96</f>
        <v>0</v>
      </c>
      <c r="M108" s="108">
        <f t="shared" si="112"/>
        <v>0</v>
      </c>
      <c r="N108" s="108">
        <f t="shared" si="112"/>
        <v>0</v>
      </c>
      <c r="O108" s="108">
        <f t="shared" si="112"/>
        <v>0</v>
      </c>
      <c r="P108" s="108">
        <f t="shared" si="112"/>
        <v>0</v>
      </c>
      <c r="Q108" s="108">
        <f t="shared" si="112"/>
        <v>0</v>
      </c>
      <c r="R108" s="108">
        <f t="shared" si="112"/>
        <v>0</v>
      </c>
      <c r="S108" s="108">
        <f t="shared" si="112"/>
        <v>0</v>
      </c>
      <c r="T108" s="108">
        <f t="shared" si="112"/>
        <v>0</v>
      </c>
      <c r="U108" s="108">
        <f t="shared" si="112"/>
        <v>0</v>
      </c>
      <c r="V108" s="108">
        <f t="shared" si="112"/>
        <v>1</v>
      </c>
      <c r="W108" s="108">
        <f t="shared" si="112"/>
        <v>0</v>
      </c>
      <c r="X108" s="109">
        <v>1</v>
      </c>
      <c r="Y108" s="108">
        <f t="shared" si="99"/>
        <v>0</v>
      </c>
      <c r="Z108" s="108">
        <f t="shared" si="99"/>
        <v>1</v>
      </c>
      <c r="AA108" s="152">
        <v>0</v>
      </c>
      <c r="AB108" s="152">
        <v>0</v>
      </c>
      <c r="AC108" s="152">
        <f t="shared" si="67"/>
        <v>0</v>
      </c>
      <c r="AD108" s="152">
        <f t="shared" si="69"/>
        <v>0</v>
      </c>
      <c r="AE108" s="152">
        <v>1</v>
      </c>
      <c r="AF108" s="150">
        <f>'Customer Count'!I108</f>
        <v>14389</v>
      </c>
      <c r="AG108" s="150">
        <f>AF108-'Customer Count'!G108-'Customer Count'!F108</f>
        <v>11619</v>
      </c>
      <c r="AH108" s="150">
        <f>AF108-'Customer Count'!H108</f>
        <v>14388</v>
      </c>
      <c r="AI108" s="109">
        <f t="shared" si="70"/>
        <v>107</v>
      </c>
      <c r="AJ108" s="109">
        <v>352</v>
      </c>
      <c r="AK108" s="91">
        <v>161.31136996881492</v>
      </c>
      <c r="AL108" s="91">
        <f>Economic!C120</f>
        <v>747589.4</v>
      </c>
      <c r="AM108" s="91">
        <f>Economic!D120</f>
        <v>7517.3</v>
      </c>
      <c r="AN108" s="91">
        <f>Economic!E120</f>
        <v>7530.1</v>
      </c>
      <c r="AO108" s="91">
        <f>Economic!F120</f>
        <v>5.4</v>
      </c>
      <c r="AP108" s="91">
        <f>Economic!G120</f>
        <v>4.9000000000000004</v>
      </c>
      <c r="AQ108" s="91">
        <f>Economic!H120</f>
        <v>427.5</v>
      </c>
      <c r="AR108" s="91">
        <f>Economic!I120</f>
        <v>434.3</v>
      </c>
      <c r="AS108" s="91">
        <f>Economic!J120</f>
        <v>4.7</v>
      </c>
      <c r="AT108" s="91">
        <f>Economic!K120</f>
        <v>4.0999999999999996</v>
      </c>
      <c r="AU108" s="91">
        <f>Economic!L120</f>
        <v>204.9</v>
      </c>
      <c r="AV108" s="91">
        <f>Economic!M120</f>
        <v>205.2</v>
      </c>
      <c r="AW108" s="91">
        <f>Economic!N120</f>
        <v>5.2</v>
      </c>
      <c r="AX108" s="91">
        <f>Economic!O120</f>
        <v>4.9000000000000004</v>
      </c>
      <c r="AY108" s="91">
        <f>Economic!P120</f>
        <v>2.0702560790075264E-2</v>
      </c>
      <c r="AZ108" s="91">
        <f>Economic!Q120</f>
        <v>3.3518938612772331E-2</v>
      </c>
      <c r="BA108" s="91">
        <f>Economic!R120</f>
        <v>3.4496496771534657E-2</v>
      </c>
      <c r="BB108" s="91">
        <f>Economic!S120</f>
        <v>2.7644230769230838E-2</v>
      </c>
      <c r="BC108" s="91">
        <f>Economic!T120</f>
        <v>4.5246690734055406E-2</v>
      </c>
      <c r="BD108" s="91">
        <f>Economic!U120</f>
        <v>2.8614457831325435E-2</v>
      </c>
      <c r="BE108" s="91">
        <f>Economic!V120</f>
        <v>1.2833168805528095E-2</v>
      </c>
      <c r="BF108" s="91">
        <f>Economic!W120</f>
        <v>15163.099999999977</v>
      </c>
      <c r="BG108" s="91">
        <f>Economic!X120</f>
        <v>243.80000000000018</v>
      </c>
      <c r="BH108" s="91">
        <f>Economic!Y120</f>
        <v>251.10000000000036</v>
      </c>
      <c r="BI108" s="91">
        <f>Economic!Z120</f>
        <v>11.5</v>
      </c>
      <c r="BJ108" s="91">
        <f>Economic!AA120</f>
        <v>18.800000000000011</v>
      </c>
      <c r="BK108" s="91">
        <f>Economic!AB120</f>
        <v>5.7000000000000171</v>
      </c>
      <c r="BL108" s="91">
        <f>Economic!AC120</f>
        <v>2.5999999999999943</v>
      </c>
      <c r="BM108" s="91">
        <f>Weather!C228</f>
        <v>1.8266666666666667</v>
      </c>
      <c r="BN108" s="91">
        <f>Weather!D228</f>
        <v>545.19999999999993</v>
      </c>
      <c r="BO108" s="91">
        <f>Weather!E228</f>
        <v>0</v>
      </c>
      <c r="BP108" s="91">
        <f>Weather!F228</f>
        <v>485.2</v>
      </c>
      <c r="BQ108" s="91">
        <f>Weather!G228</f>
        <v>0</v>
      </c>
      <c r="BR108" s="91">
        <f>Weather!H228</f>
        <v>425.2</v>
      </c>
      <c r="BS108" s="91">
        <f>Weather!I228</f>
        <v>0</v>
      </c>
      <c r="BT108" s="91">
        <f>Weather!J228</f>
        <v>365.19999999999993</v>
      </c>
      <c r="BU108" s="91">
        <f>Weather!K228</f>
        <v>0</v>
      </c>
      <c r="BV108" s="91">
        <f>Weather!L228</f>
        <v>305.2</v>
      </c>
      <c r="BW108" s="91">
        <f>Weather!M228</f>
        <v>0</v>
      </c>
      <c r="BX108" s="91">
        <f>Weather!N228</f>
        <v>245.19999999999993</v>
      </c>
      <c r="BY108" s="91">
        <f>Weather!O228</f>
        <v>0</v>
      </c>
    </row>
    <row r="109" spans="1:77" x14ac:dyDescent="0.2">
      <c r="A109" s="66">
        <v>43830</v>
      </c>
      <c r="B109" s="114">
        <f t="shared" si="50"/>
        <v>2019</v>
      </c>
      <c r="C109" s="104">
        <v>20791848.943550967</v>
      </c>
      <c r="D109" s="104">
        <v>4357443.9816535302</v>
      </c>
      <c r="E109" s="171">
        <f ca="1">CDM!D130</f>
        <v>1059191.7373667555</v>
      </c>
      <c r="F109" s="94">
        <f t="shared" ca="1" si="51"/>
        <v>17493596.699264191</v>
      </c>
      <c r="G109" s="94">
        <f ca="1">VLOOKUP(B109,CDM!$A$3:$G$14,7,FALSE)</f>
        <v>1053324.4700333148</v>
      </c>
      <c r="H109" s="94">
        <f t="shared" ca="1" si="65"/>
        <v>17487729.431930751</v>
      </c>
      <c r="I109" s="90">
        <f>Weather!F229</f>
        <v>555.70000000000005</v>
      </c>
      <c r="J109" s="90">
        <f>Weather!G229</f>
        <v>0</v>
      </c>
      <c r="K109" s="108">
        <v>31</v>
      </c>
      <c r="L109" s="108">
        <f t="shared" ref="L109:W109" si="113">L97</f>
        <v>0</v>
      </c>
      <c r="M109" s="108">
        <f t="shared" si="113"/>
        <v>0</v>
      </c>
      <c r="N109" s="108">
        <f t="shared" si="113"/>
        <v>0</v>
      </c>
      <c r="O109" s="108">
        <f t="shared" si="113"/>
        <v>0</v>
      </c>
      <c r="P109" s="108">
        <f t="shared" si="113"/>
        <v>0</v>
      </c>
      <c r="Q109" s="108">
        <f t="shared" si="113"/>
        <v>0</v>
      </c>
      <c r="R109" s="108">
        <f t="shared" si="113"/>
        <v>0</v>
      </c>
      <c r="S109" s="108">
        <f t="shared" si="113"/>
        <v>0</v>
      </c>
      <c r="T109" s="108">
        <f t="shared" si="113"/>
        <v>0</v>
      </c>
      <c r="U109" s="108">
        <f t="shared" si="113"/>
        <v>0</v>
      </c>
      <c r="V109" s="108">
        <f t="shared" si="113"/>
        <v>0</v>
      </c>
      <c r="W109" s="108">
        <f t="shared" si="113"/>
        <v>1</v>
      </c>
      <c r="X109" s="109">
        <v>0</v>
      </c>
      <c r="Y109" s="108">
        <f t="shared" si="99"/>
        <v>0</v>
      </c>
      <c r="Z109" s="108">
        <f t="shared" si="99"/>
        <v>0</v>
      </c>
      <c r="AA109" s="152">
        <v>0</v>
      </c>
      <c r="AB109" s="152">
        <v>0</v>
      </c>
      <c r="AC109" s="152">
        <f t="shared" si="67"/>
        <v>0</v>
      </c>
      <c r="AD109" s="152">
        <f t="shared" si="69"/>
        <v>0</v>
      </c>
      <c r="AE109" s="152">
        <v>1</v>
      </c>
      <c r="AF109" s="150">
        <f>'Customer Count'!I109</f>
        <v>14397.5</v>
      </c>
      <c r="AG109" s="150">
        <f>AF109-'Customer Count'!G109-'Customer Count'!F109</f>
        <v>11627.5</v>
      </c>
      <c r="AH109" s="150">
        <f>AF109-'Customer Count'!H109</f>
        <v>14396.5</v>
      </c>
      <c r="AI109" s="109">
        <f t="shared" si="70"/>
        <v>108</v>
      </c>
      <c r="AJ109" s="109">
        <v>304</v>
      </c>
      <c r="AK109" s="91">
        <v>161.63049733959846</v>
      </c>
      <c r="AL109" s="91">
        <f>Economic!C121</f>
        <v>747589.4</v>
      </c>
      <c r="AM109" s="91">
        <f>Economic!D121</f>
        <v>7525</v>
      </c>
      <c r="AN109" s="91">
        <f>Economic!E121</f>
        <v>7535.2</v>
      </c>
      <c r="AO109" s="91">
        <f>Economic!F121</f>
        <v>5.4</v>
      </c>
      <c r="AP109" s="91">
        <f>Economic!G121</f>
        <v>4.8</v>
      </c>
      <c r="AQ109" s="91">
        <f>Economic!H121</f>
        <v>429.5</v>
      </c>
      <c r="AR109" s="91">
        <f>Economic!I121</f>
        <v>437.6</v>
      </c>
      <c r="AS109" s="91">
        <f>Economic!J121</f>
        <v>4.5</v>
      </c>
      <c r="AT109" s="91">
        <f>Economic!K121</f>
        <v>3.6</v>
      </c>
      <c r="AU109" s="91">
        <f>Economic!L121</f>
        <v>206.5</v>
      </c>
      <c r="AV109" s="91">
        <f>Economic!M121</f>
        <v>206.8</v>
      </c>
      <c r="AW109" s="91">
        <f>Economic!N121</f>
        <v>4.8</v>
      </c>
      <c r="AX109" s="91">
        <f>Economic!O121</f>
        <v>4.7</v>
      </c>
      <c r="AY109" s="91">
        <f>Economic!P121</f>
        <v>2.0702560790075264E-2</v>
      </c>
      <c r="AZ109" s="91">
        <f>Economic!Q121</f>
        <v>3.234922899632342E-2</v>
      </c>
      <c r="BA109" s="91">
        <f>Economic!R121</f>
        <v>3.183753954016999E-2</v>
      </c>
      <c r="BB109" s="91">
        <f>Economic!S121</f>
        <v>2.4570610687022931E-2</v>
      </c>
      <c r="BC109" s="91">
        <f>Economic!T121</f>
        <v>4.0171143332541126E-2</v>
      </c>
      <c r="BD109" s="91">
        <f>Economic!U121</f>
        <v>3.873239436619702E-2</v>
      </c>
      <c r="BE109" s="91">
        <f>Economic!V121</f>
        <v>2.4777006937561907E-2</v>
      </c>
      <c r="BF109" s="91">
        <f>Economic!W121</f>
        <v>15163.099999999977</v>
      </c>
      <c r="BG109" s="91">
        <f>Economic!X121</f>
        <v>235.80000000000018</v>
      </c>
      <c r="BH109" s="91">
        <f>Economic!Y121</f>
        <v>232.5</v>
      </c>
      <c r="BI109" s="91">
        <f>Economic!Z121</f>
        <v>10.300000000000011</v>
      </c>
      <c r="BJ109" s="91">
        <f>Economic!AA121</f>
        <v>16.900000000000034</v>
      </c>
      <c r="BK109" s="91">
        <f>Economic!AB121</f>
        <v>7.6999999999999886</v>
      </c>
      <c r="BL109" s="91">
        <f>Economic!AC121</f>
        <v>5</v>
      </c>
      <c r="BM109" s="91">
        <f>Weather!C229</f>
        <v>7.4193548387096936E-2</v>
      </c>
      <c r="BN109" s="91">
        <f>Weather!D229</f>
        <v>617.70000000000016</v>
      </c>
      <c r="BO109" s="91">
        <f>Weather!E229</f>
        <v>0</v>
      </c>
      <c r="BP109" s="91">
        <f>Weather!F229</f>
        <v>555.70000000000005</v>
      </c>
      <c r="BQ109" s="91">
        <f>Weather!G229</f>
        <v>0</v>
      </c>
      <c r="BR109" s="91">
        <f>Weather!H229</f>
        <v>493.69999999999987</v>
      </c>
      <c r="BS109" s="91">
        <f>Weather!I229</f>
        <v>0</v>
      </c>
      <c r="BT109" s="91">
        <f>Weather!J229</f>
        <v>431.69999999999993</v>
      </c>
      <c r="BU109" s="91">
        <f>Weather!K229</f>
        <v>0</v>
      </c>
      <c r="BV109" s="91">
        <f>Weather!L229</f>
        <v>369.69999999999993</v>
      </c>
      <c r="BW109" s="91">
        <f>Weather!M229</f>
        <v>0</v>
      </c>
      <c r="BX109" s="91">
        <f>Weather!N229</f>
        <v>307.69999999999993</v>
      </c>
      <c r="BY109" s="91">
        <f>Weather!O229</f>
        <v>0</v>
      </c>
    </row>
    <row r="110" spans="1:77" x14ac:dyDescent="0.2">
      <c r="A110" s="66">
        <v>43861</v>
      </c>
      <c r="B110" s="114">
        <f t="shared" si="50"/>
        <v>2020</v>
      </c>
      <c r="C110" s="104">
        <v>21239209.767112821</v>
      </c>
      <c r="D110" s="104">
        <v>4833173.3349823048</v>
      </c>
      <c r="E110" s="171">
        <f ca="1">CDM!D131</f>
        <v>1049115.2733087833</v>
      </c>
      <c r="F110" s="94">
        <f t="shared" ca="1" si="51"/>
        <v>17455151.705439299</v>
      </c>
      <c r="G110" s="94">
        <f ca="1">VLOOKUP(B110,CDM!$A$3:$G$14,7,FALSE)</f>
        <v>1049115.2733087833</v>
      </c>
      <c r="H110" s="94">
        <f t="shared" ca="1" si="65"/>
        <v>17455151.705439299</v>
      </c>
      <c r="I110" s="90">
        <f>Weather!F230</f>
        <v>571.49999999999989</v>
      </c>
      <c r="J110" s="90">
        <f>Weather!G230</f>
        <v>0</v>
      </c>
      <c r="K110" s="108">
        <v>31</v>
      </c>
      <c r="L110" s="108">
        <f t="shared" ref="L110:W110" si="114">L98</f>
        <v>1</v>
      </c>
      <c r="M110" s="108">
        <f t="shared" si="114"/>
        <v>0</v>
      </c>
      <c r="N110" s="108">
        <f t="shared" si="114"/>
        <v>0</v>
      </c>
      <c r="O110" s="108">
        <f t="shared" si="114"/>
        <v>0</v>
      </c>
      <c r="P110" s="108">
        <f t="shared" si="114"/>
        <v>0</v>
      </c>
      <c r="Q110" s="108">
        <f t="shared" si="114"/>
        <v>0</v>
      </c>
      <c r="R110" s="108">
        <f t="shared" si="114"/>
        <v>0</v>
      </c>
      <c r="S110" s="108">
        <f t="shared" si="114"/>
        <v>0</v>
      </c>
      <c r="T110" s="108">
        <f t="shared" si="114"/>
        <v>0</v>
      </c>
      <c r="U110" s="108">
        <f t="shared" si="114"/>
        <v>0</v>
      </c>
      <c r="V110" s="108">
        <f t="shared" si="114"/>
        <v>0</v>
      </c>
      <c r="W110" s="108">
        <f t="shared" si="114"/>
        <v>0</v>
      </c>
      <c r="X110" s="109">
        <v>0</v>
      </c>
      <c r="Y110" s="108">
        <f t="shared" si="99"/>
        <v>0</v>
      </c>
      <c r="Z110" s="108">
        <f t="shared" si="99"/>
        <v>0</v>
      </c>
      <c r="AA110" s="152">
        <v>0</v>
      </c>
      <c r="AB110" s="152">
        <v>0</v>
      </c>
      <c r="AC110" s="152">
        <f t="shared" si="67"/>
        <v>0</v>
      </c>
      <c r="AD110" s="152">
        <f t="shared" si="69"/>
        <v>0</v>
      </c>
      <c r="AE110" s="152">
        <v>1</v>
      </c>
      <c r="AF110" s="150">
        <f>'Customer Count'!I110</f>
        <v>14413.5</v>
      </c>
      <c r="AG110" s="150">
        <f>AF110-'Customer Count'!G110-'Customer Count'!F110</f>
        <v>11643.5</v>
      </c>
      <c r="AH110" s="150">
        <f>AF110-'Customer Count'!H110</f>
        <v>14412.5</v>
      </c>
      <c r="AI110" s="109">
        <f t="shared" si="70"/>
        <v>109</v>
      </c>
      <c r="AJ110" s="109">
        <v>352</v>
      </c>
      <c r="AK110" s="91">
        <v>161.9238733332927</v>
      </c>
      <c r="AL110" s="91">
        <f>Economic!C122</f>
        <v>747589.4</v>
      </c>
      <c r="AM110" s="91">
        <f>Economic!D122</f>
        <v>7542</v>
      </c>
      <c r="AN110" s="91">
        <f>Economic!E122</f>
        <v>7512.5</v>
      </c>
      <c r="AO110" s="91">
        <f>Economic!F122</f>
        <v>5.4</v>
      </c>
      <c r="AP110" s="91">
        <f>Economic!G122</f>
        <v>5</v>
      </c>
      <c r="AQ110" s="91">
        <f>Economic!H122</f>
        <v>426.7</v>
      </c>
      <c r="AR110" s="91">
        <f>Economic!I122</f>
        <v>430.1</v>
      </c>
      <c r="AS110" s="91">
        <f>Economic!J122</f>
        <v>4.8</v>
      </c>
      <c r="AT110" s="91">
        <f>Economic!K122</f>
        <v>4.3</v>
      </c>
      <c r="AU110" s="91">
        <f>Economic!L122</f>
        <v>205</v>
      </c>
      <c r="AV110" s="91">
        <f>Economic!M122</f>
        <v>203.4</v>
      </c>
      <c r="AW110" s="91">
        <f>Economic!N122</f>
        <v>5.2</v>
      </c>
      <c r="AX110" s="91">
        <f>Economic!O122</f>
        <v>5.4</v>
      </c>
      <c r="AY110" s="91">
        <f>Economic!P122</f>
        <v>0</v>
      </c>
      <c r="AZ110" s="91">
        <f>Economic!Q122</f>
        <v>3.093347184821682E-2</v>
      </c>
      <c r="BA110" s="91">
        <f>Economic!R122</f>
        <v>3.0054981969753092E-2</v>
      </c>
      <c r="BB110" s="91">
        <f>Economic!S122</f>
        <v>1.4503090822634235E-2</v>
      </c>
      <c r="BC110" s="91">
        <f>Economic!T122</f>
        <v>2.2586780789348504E-2</v>
      </c>
      <c r="BD110" s="91">
        <f>Economic!U122</f>
        <v>2.963335007533896E-2</v>
      </c>
      <c r="BE110" s="91">
        <f>Economic!V122</f>
        <v>2.1597187343043833E-2</v>
      </c>
      <c r="BF110" s="91">
        <f>Economic!W122</f>
        <v>0</v>
      </c>
      <c r="BG110" s="91">
        <f>Economic!X122</f>
        <v>226.30000000000018</v>
      </c>
      <c r="BH110" s="91">
        <f>Economic!Y122</f>
        <v>219.19999999999982</v>
      </c>
      <c r="BI110" s="91">
        <f>Economic!Z122</f>
        <v>6.0999999999999659</v>
      </c>
      <c r="BJ110" s="91">
        <f>Economic!AA122</f>
        <v>9.5</v>
      </c>
      <c r="BK110" s="91">
        <f>Economic!AB122</f>
        <v>5.9000000000000057</v>
      </c>
      <c r="BL110" s="91">
        <f>Economic!AC122</f>
        <v>4.3000000000000114</v>
      </c>
      <c r="BM110" s="91">
        <f>Weather!C230</f>
        <v>-0.43548387096774183</v>
      </c>
      <c r="BN110" s="91">
        <f>Weather!D230</f>
        <v>633.5</v>
      </c>
      <c r="BO110" s="91">
        <f>Weather!E230</f>
        <v>0</v>
      </c>
      <c r="BP110" s="91">
        <f>Weather!F230</f>
        <v>571.49999999999989</v>
      </c>
      <c r="BQ110" s="91">
        <f>Weather!G230</f>
        <v>0</v>
      </c>
      <c r="BR110" s="91">
        <f>Weather!H230</f>
        <v>509.5</v>
      </c>
      <c r="BS110" s="91">
        <f>Weather!I230</f>
        <v>0</v>
      </c>
      <c r="BT110" s="91">
        <f>Weather!J230</f>
        <v>447.5</v>
      </c>
      <c r="BU110" s="91">
        <f>Weather!K230</f>
        <v>0</v>
      </c>
      <c r="BV110" s="91">
        <f>Weather!L230</f>
        <v>385.50000000000006</v>
      </c>
      <c r="BW110" s="91">
        <f>Weather!M230</f>
        <v>0</v>
      </c>
      <c r="BX110" s="91">
        <f>Weather!N230</f>
        <v>323.50000000000006</v>
      </c>
      <c r="BY110" s="91">
        <f>Weather!O230</f>
        <v>0</v>
      </c>
    </row>
    <row r="111" spans="1:77" x14ac:dyDescent="0.2">
      <c r="A111" s="66">
        <v>43890</v>
      </c>
      <c r="B111" s="114">
        <f t="shared" si="50"/>
        <v>2020</v>
      </c>
      <c r="C111" s="104">
        <v>19035160.954744305</v>
      </c>
      <c r="D111" s="104">
        <v>3781055.952817406</v>
      </c>
      <c r="E111" s="171">
        <f ca="1">CDM!D132</f>
        <v>1049115.2733087833</v>
      </c>
      <c r="F111" s="94">
        <f t="shared" ca="1" si="51"/>
        <v>16303220.275235683</v>
      </c>
      <c r="G111" s="94">
        <f ca="1">VLOOKUP(B111,CDM!$A$3:$G$14,7,FALSE)</f>
        <v>1049115.2733087833</v>
      </c>
      <c r="H111" s="94">
        <f t="shared" ca="1" si="65"/>
        <v>16303220.275235683</v>
      </c>
      <c r="I111" s="90">
        <f>Weather!F231</f>
        <v>564.19999999999993</v>
      </c>
      <c r="J111" s="90">
        <f>Weather!G231</f>
        <v>0</v>
      </c>
      <c r="K111" s="108">
        <v>29</v>
      </c>
      <c r="L111" s="108">
        <f t="shared" ref="L111:W111" si="115">L99</f>
        <v>0</v>
      </c>
      <c r="M111" s="108">
        <f t="shared" si="115"/>
        <v>1</v>
      </c>
      <c r="N111" s="108">
        <f t="shared" si="115"/>
        <v>0</v>
      </c>
      <c r="O111" s="108">
        <f t="shared" si="115"/>
        <v>0</v>
      </c>
      <c r="P111" s="108">
        <f t="shared" si="115"/>
        <v>0</v>
      </c>
      <c r="Q111" s="108">
        <f t="shared" si="115"/>
        <v>0</v>
      </c>
      <c r="R111" s="108">
        <f t="shared" si="115"/>
        <v>0</v>
      </c>
      <c r="S111" s="108">
        <f t="shared" si="115"/>
        <v>0</v>
      </c>
      <c r="T111" s="108">
        <f t="shared" si="115"/>
        <v>0</v>
      </c>
      <c r="U111" s="108">
        <f t="shared" si="115"/>
        <v>0</v>
      </c>
      <c r="V111" s="108">
        <f t="shared" si="115"/>
        <v>0</v>
      </c>
      <c r="W111" s="108">
        <f t="shared" si="115"/>
        <v>0</v>
      </c>
      <c r="X111" s="109">
        <v>0</v>
      </c>
      <c r="Y111" s="108">
        <f t="shared" ref="Y111:Z121" si="116">Y99</f>
        <v>0</v>
      </c>
      <c r="Z111" s="108">
        <f t="shared" si="116"/>
        <v>0</v>
      </c>
      <c r="AA111" s="152">
        <v>0</v>
      </c>
      <c r="AB111" s="152">
        <v>0</v>
      </c>
      <c r="AC111" s="152">
        <f t="shared" si="67"/>
        <v>0</v>
      </c>
      <c r="AD111" s="152">
        <f t="shared" si="69"/>
        <v>0</v>
      </c>
      <c r="AE111" s="152">
        <v>1</v>
      </c>
      <c r="AF111" s="150">
        <f>'Customer Count'!I111</f>
        <v>14427.5</v>
      </c>
      <c r="AG111" s="150">
        <f>AF111-'Customer Count'!G111-'Customer Count'!F111</f>
        <v>11657.5</v>
      </c>
      <c r="AH111" s="150">
        <f>AF111-'Customer Count'!H111</f>
        <v>14426.5</v>
      </c>
      <c r="AI111" s="109">
        <f t="shared" si="70"/>
        <v>110</v>
      </c>
      <c r="AJ111" s="109">
        <v>304</v>
      </c>
      <c r="AK111" s="91">
        <v>162.21778183462067</v>
      </c>
      <c r="AL111" s="91">
        <f>Economic!C123</f>
        <v>747589.4</v>
      </c>
      <c r="AM111" s="91">
        <f>Economic!D123</f>
        <v>7551.9</v>
      </c>
      <c r="AN111" s="91">
        <f>Economic!E123</f>
        <v>7488.9</v>
      </c>
      <c r="AO111" s="91">
        <f>Economic!F123</f>
        <v>5.3</v>
      </c>
      <c r="AP111" s="91">
        <f>Economic!G123</f>
        <v>5.0999999999999996</v>
      </c>
      <c r="AQ111" s="91">
        <f>Economic!H123</f>
        <v>427.9</v>
      </c>
      <c r="AR111" s="91">
        <f>Economic!I123</f>
        <v>427.9</v>
      </c>
      <c r="AS111" s="91">
        <f>Economic!J123</f>
        <v>4.9000000000000004</v>
      </c>
      <c r="AT111" s="91">
        <f>Economic!K123</f>
        <v>4.5999999999999996</v>
      </c>
      <c r="AU111" s="91">
        <f>Economic!L123</f>
        <v>202.9</v>
      </c>
      <c r="AV111" s="91">
        <f>Economic!M123</f>
        <v>199.2</v>
      </c>
      <c r="AW111" s="91">
        <f>Economic!N123</f>
        <v>5.5</v>
      </c>
      <c r="AX111" s="91">
        <f>Economic!O123</f>
        <v>5.9</v>
      </c>
      <c r="AY111" s="91">
        <f>Economic!P123</f>
        <v>0</v>
      </c>
      <c r="AZ111" s="91">
        <f>Economic!Q123</f>
        <v>2.7930907754502021E-2</v>
      </c>
      <c r="BA111" s="91">
        <f>Economic!R123</f>
        <v>2.7777396555273448E-2</v>
      </c>
      <c r="BB111" s="91">
        <f>Economic!S123</f>
        <v>1.4702395067583529E-2</v>
      </c>
      <c r="BC111" s="91">
        <f>Economic!T123</f>
        <v>1.9294902334444863E-2</v>
      </c>
      <c r="BD111" s="91">
        <f>Economic!U123</f>
        <v>1.5515515515515554E-2</v>
      </c>
      <c r="BE111" s="91">
        <f>Economic!V123</f>
        <v>9.1185410334344574E-3</v>
      </c>
      <c r="BF111" s="91">
        <f>Economic!W123</f>
        <v>0</v>
      </c>
      <c r="BG111" s="91">
        <f>Economic!X123</f>
        <v>205.19999999999982</v>
      </c>
      <c r="BH111" s="91">
        <f>Economic!Y123</f>
        <v>202.39999999999964</v>
      </c>
      <c r="BI111" s="91">
        <f>Economic!Z123</f>
        <v>6.1999999999999886</v>
      </c>
      <c r="BJ111" s="91">
        <f>Economic!AA123</f>
        <v>8.0999999999999659</v>
      </c>
      <c r="BK111" s="91">
        <f>Economic!AB123</f>
        <v>3.0999999999999943</v>
      </c>
      <c r="BL111" s="91">
        <f>Economic!AC123</f>
        <v>1.7999999999999829</v>
      </c>
      <c r="BM111" s="91">
        <f>Weather!C231</f>
        <v>-1.4551724137931032</v>
      </c>
      <c r="BN111" s="91">
        <f>Weather!D231</f>
        <v>622.19999999999993</v>
      </c>
      <c r="BO111" s="91">
        <f>Weather!E231</f>
        <v>0</v>
      </c>
      <c r="BP111" s="91">
        <f>Weather!F231</f>
        <v>564.19999999999993</v>
      </c>
      <c r="BQ111" s="91">
        <f>Weather!G231</f>
        <v>0</v>
      </c>
      <c r="BR111" s="91">
        <f>Weather!H231</f>
        <v>506.20000000000005</v>
      </c>
      <c r="BS111" s="91">
        <f>Weather!I231</f>
        <v>0</v>
      </c>
      <c r="BT111" s="91">
        <f>Weather!J231</f>
        <v>448.20000000000005</v>
      </c>
      <c r="BU111" s="91">
        <f>Weather!K231</f>
        <v>0</v>
      </c>
      <c r="BV111" s="91">
        <f>Weather!L231</f>
        <v>390.20000000000005</v>
      </c>
      <c r="BW111" s="91">
        <f>Weather!M231</f>
        <v>0</v>
      </c>
      <c r="BX111" s="91">
        <f>Weather!N231</f>
        <v>332.20000000000005</v>
      </c>
      <c r="BY111" s="91">
        <f>Weather!O231</f>
        <v>0</v>
      </c>
    </row>
    <row r="112" spans="1:77" x14ac:dyDescent="0.2">
      <c r="A112" s="66">
        <v>43921</v>
      </c>
      <c r="B112" s="114">
        <f t="shared" si="50"/>
        <v>2020</v>
      </c>
      <c r="C112" s="104">
        <v>19087245.664711308</v>
      </c>
      <c r="D112" s="104">
        <v>4032656.886527366</v>
      </c>
      <c r="E112" s="171">
        <f ca="1">CDM!D133</f>
        <v>1049115.2733087833</v>
      </c>
      <c r="F112" s="94">
        <f t="shared" ca="1" si="51"/>
        <v>16103704.051492725</v>
      </c>
      <c r="G112" s="94">
        <f ca="1">VLOOKUP(B112,CDM!$A$3:$G$14,7,FALSE)</f>
        <v>1049115.2733087833</v>
      </c>
      <c r="H112" s="94">
        <f t="shared" ca="1" si="65"/>
        <v>16103704.051492725</v>
      </c>
      <c r="I112" s="90">
        <f>Weather!F232</f>
        <v>442.49999999999989</v>
      </c>
      <c r="J112" s="90">
        <f>Weather!G232</f>
        <v>0</v>
      </c>
      <c r="K112" s="108">
        <v>31</v>
      </c>
      <c r="L112" s="108">
        <f t="shared" ref="L112:W112" si="117">L100</f>
        <v>0</v>
      </c>
      <c r="M112" s="108">
        <f t="shared" si="117"/>
        <v>0</v>
      </c>
      <c r="N112" s="108">
        <f t="shared" si="117"/>
        <v>1</v>
      </c>
      <c r="O112" s="108">
        <f t="shared" si="117"/>
        <v>0</v>
      </c>
      <c r="P112" s="108">
        <f t="shared" si="117"/>
        <v>0</v>
      </c>
      <c r="Q112" s="108">
        <f t="shared" si="117"/>
        <v>0</v>
      </c>
      <c r="R112" s="108">
        <f t="shared" si="117"/>
        <v>0</v>
      </c>
      <c r="S112" s="108">
        <f t="shared" si="117"/>
        <v>0</v>
      </c>
      <c r="T112" s="108">
        <f t="shared" si="117"/>
        <v>0</v>
      </c>
      <c r="U112" s="108">
        <f t="shared" si="117"/>
        <v>0</v>
      </c>
      <c r="V112" s="108">
        <f t="shared" si="117"/>
        <v>0</v>
      </c>
      <c r="W112" s="108">
        <f t="shared" si="117"/>
        <v>0</v>
      </c>
      <c r="X112" s="109">
        <v>1</v>
      </c>
      <c r="Y112" s="108">
        <f t="shared" si="116"/>
        <v>1</v>
      </c>
      <c r="Z112" s="108">
        <f t="shared" si="116"/>
        <v>0</v>
      </c>
      <c r="AA112" s="152">
        <v>1</v>
      </c>
      <c r="AB112" s="68">
        <v>1</v>
      </c>
      <c r="AC112" s="152">
        <f>AA112*BR112</f>
        <v>380.49999999999989</v>
      </c>
      <c r="AD112" s="152">
        <f>AA112*BS112</f>
        <v>0</v>
      </c>
      <c r="AE112" s="152">
        <v>1</v>
      </c>
      <c r="AF112" s="150">
        <f>'Customer Count'!I112</f>
        <v>14433.5</v>
      </c>
      <c r="AG112" s="150">
        <f>AF112-'Customer Count'!G112-'Customer Count'!F112</f>
        <v>11664.5</v>
      </c>
      <c r="AH112" s="150">
        <f>AF112-'Customer Count'!H112</f>
        <v>14432.5</v>
      </c>
      <c r="AI112" s="109">
        <f t="shared" si="70"/>
        <v>111</v>
      </c>
      <c r="AJ112" s="109">
        <v>352</v>
      </c>
      <c r="AK112" s="91">
        <v>162.51222381013852</v>
      </c>
      <c r="AL112" s="91">
        <f>Economic!C124</f>
        <v>747589.4</v>
      </c>
      <c r="AM112" s="91">
        <f>Economic!D124</f>
        <v>7421.9</v>
      </c>
      <c r="AN112" s="91">
        <f>Economic!E124</f>
        <v>7317</v>
      </c>
      <c r="AO112" s="91">
        <f>Economic!F124</f>
        <v>6.1</v>
      </c>
      <c r="AP112" s="91">
        <f>Economic!G124</f>
        <v>6.2</v>
      </c>
      <c r="AQ112" s="91">
        <f>Economic!H124</f>
        <v>424</v>
      </c>
      <c r="AR112" s="91">
        <f>Economic!I124</f>
        <v>417</v>
      </c>
      <c r="AS112" s="91">
        <f>Economic!J124</f>
        <v>5.7</v>
      </c>
      <c r="AT112" s="91">
        <f>Economic!K124</f>
        <v>5.9</v>
      </c>
      <c r="AU112" s="91">
        <f>Economic!L124</f>
        <v>193.7</v>
      </c>
      <c r="AV112" s="91">
        <f>Economic!M124</f>
        <v>188.2</v>
      </c>
      <c r="AW112" s="91">
        <f>Economic!N124</f>
        <v>7.8</v>
      </c>
      <c r="AX112" s="91">
        <f>Economic!O124</f>
        <v>8.6</v>
      </c>
      <c r="AY112" s="91">
        <f>Economic!P124</f>
        <v>0</v>
      </c>
      <c r="AZ112" s="91">
        <f>Economic!Q124</f>
        <v>6.9054402387735969E-3</v>
      </c>
      <c r="BA112" s="91">
        <f>Economic!R124</f>
        <v>6.7141795767866608E-3</v>
      </c>
      <c r="BB112" s="91">
        <f>Economic!S124</f>
        <v>8.3234244946492897E-3</v>
      </c>
      <c r="BC112" s="91">
        <f>Economic!T124</f>
        <v>4.5772103107684092E-3</v>
      </c>
      <c r="BD112" s="91">
        <f>Economic!U124</f>
        <v>-2.1717171717171802E-2</v>
      </c>
      <c r="BE112" s="91">
        <f>Economic!V124</f>
        <v>-2.1829521829521914E-2</v>
      </c>
      <c r="BF112" s="91">
        <f>Economic!W124</f>
        <v>0</v>
      </c>
      <c r="BG112" s="91">
        <f>Economic!X124</f>
        <v>50.899999999999636</v>
      </c>
      <c r="BH112" s="91">
        <f>Economic!Y124</f>
        <v>48.800000000000182</v>
      </c>
      <c r="BI112" s="91">
        <f>Economic!Z124</f>
        <v>3.5</v>
      </c>
      <c r="BJ112" s="91">
        <f>Economic!AA124</f>
        <v>1.8999999999999773</v>
      </c>
      <c r="BK112" s="91">
        <f>Economic!AB124</f>
        <v>-4.3000000000000114</v>
      </c>
      <c r="BL112" s="91">
        <f>Economic!AC124</f>
        <v>-4.2000000000000171</v>
      </c>
      <c r="BM112" s="91">
        <f>Weather!C232</f>
        <v>3.7258064516129021</v>
      </c>
      <c r="BN112" s="91">
        <f>Weather!D232</f>
        <v>504.49999999999989</v>
      </c>
      <c r="BO112" s="91">
        <f>Weather!E232</f>
        <v>0</v>
      </c>
      <c r="BP112" s="91">
        <f>Weather!F232</f>
        <v>442.49999999999989</v>
      </c>
      <c r="BQ112" s="91">
        <f>Weather!G232</f>
        <v>0</v>
      </c>
      <c r="BR112" s="91">
        <f>Weather!H232</f>
        <v>380.49999999999989</v>
      </c>
      <c r="BS112" s="91">
        <f>Weather!I232</f>
        <v>0</v>
      </c>
      <c r="BT112" s="91">
        <f>Weather!J232</f>
        <v>318.49999999999994</v>
      </c>
      <c r="BU112" s="91">
        <f>Weather!K232</f>
        <v>0</v>
      </c>
      <c r="BV112" s="91">
        <f>Weather!L232</f>
        <v>257.49999999999994</v>
      </c>
      <c r="BW112" s="91">
        <f>Weather!M232</f>
        <v>1</v>
      </c>
      <c r="BX112" s="91">
        <f>Weather!N232</f>
        <v>199.49999999999994</v>
      </c>
      <c r="BY112" s="91">
        <f>Weather!O232</f>
        <v>5</v>
      </c>
    </row>
    <row r="113" spans="1:77" x14ac:dyDescent="0.2">
      <c r="A113" s="66">
        <v>43951</v>
      </c>
      <c r="B113" s="114">
        <f t="shared" si="50"/>
        <v>2020</v>
      </c>
      <c r="C113" s="104">
        <v>17079543.476648476</v>
      </c>
      <c r="D113" s="104">
        <v>3435746.1940935161</v>
      </c>
      <c r="E113" s="171">
        <f ca="1">CDM!D134</f>
        <v>1049115.2733087833</v>
      </c>
      <c r="F113" s="94">
        <f t="shared" ca="1" si="51"/>
        <v>14692912.555863744</v>
      </c>
      <c r="G113" s="94">
        <f ca="1">VLOOKUP(B113,CDM!$A$3:$G$14,7,FALSE)</f>
        <v>1049115.2733087833</v>
      </c>
      <c r="H113" s="94">
        <f t="shared" ca="1" si="65"/>
        <v>14692912.555863744</v>
      </c>
      <c r="I113" s="90">
        <f>Weather!F233</f>
        <v>349.2999999999999</v>
      </c>
      <c r="J113" s="90">
        <f>Weather!G233</f>
        <v>0</v>
      </c>
      <c r="K113" s="108">
        <v>30</v>
      </c>
      <c r="L113" s="108">
        <f t="shared" ref="L113:W113" si="118">L101</f>
        <v>0</v>
      </c>
      <c r="M113" s="108">
        <f t="shared" si="118"/>
        <v>0</v>
      </c>
      <c r="N113" s="108">
        <f t="shared" si="118"/>
        <v>0</v>
      </c>
      <c r="O113" s="108">
        <f t="shared" si="118"/>
        <v>1</v>
      </c>
      <c r="P113" s="108">
        <f t="shared" si="118"/>
        <v>0</v>
      </c>
      <c r="Q113" s="108">
        <f t="shared" si="118"/>
        <v>0</v>
      </c>
      <c r="R113" s="108">
        <f t="shared" si="118"/>
        <v>0</v>
      </c>
      <c r="S113" s="108">
        <f t="shared" si="118"/>
        <v>0</v>
      </c>
      <c r="T113" s="108">
        <f t="shared" si="118"/>
        <v>0</v>
      </c>
      <c r="U113" s="108">
        <f t="shared" si="118"/>
        <v>0</v>
      </c>
      <c r="V113" s="108">
        <f t="shared" si="118"/>
        <v>0</v>
      </c>
      <c r="W113" s="108">
        <f t="shared" si="118"/>
        <v>0</v>
      </c>
      <c r="X113" s="109">
        <v>1</v>
      </c>
      <c r="Y113" s="108">
        <f t="shared" si="116"/>
        <v>1</v>
      </c>
      <c r="Z113" s="108">
        <f t="shared" si="116"/>
        <v>0</v>
      </c>
      <c r="AA113" s="152">
        <v>1</v>
      </c>
      <c r="AB113" s="68">
        <v>1</v>
      </c>
      <c r="AC113" s="152">
        <f t="shared" ref="AC113:AC121" si="119">AA113*BR113</f>
        <v>289.2999999999999</v>
      </c>
      <c r="AD113" s="152">
        <f t="shared" ref="AD113:AD121" si="120">AA113*BS113</f>
        <v>0</v>
      </c>
      <c r="AE113" s="152">
        <v>1</v>
      </c>
      <c r="AF113" s="150">
        <f>'Customer Count'!I113</f>
        <v>14426.5</v>
      </c>
      <c r="AG113" s="150">
        <f>AF113-'Customer Count'!G113-'Customer Count'!F113</f>
        <v>11671</v>
      </c>
      <c r="AH113" s="150">
        <f>AF113-'Customer Count'!H113</f>
        <v>14425.5</v>
      </c>
      <c r="AI113" s="109">
        <f t="shared" si="70"/>
        <v>112</v>
      </c>
      <c r="AJ113" s="109">
        <v>336</v>
      </c>
      <c r="AK113" s="91">
        <v>162.80720022815689</v>
      </c>
      <c r="AL113" s="91">
        <f>Economic!C125</f>
        <v>747589.4</v>
      </c>
      <c r="AM113" s="91">
        <f>Economic!D125</f>
        <v>7056.8</v>
      </c>
      <c r="AN113" s="91">
        <f>Economic!E125</f>
        <v>6968.7</v>
      </c>
      <c r="AO113" s="91">
        <f>Economic!F125</f>
        <v>8</v>
      </c>
      <c r="AP113" s="91">
        <f>Economic!G125</f>
        <v>8.1999999999999993</v>
      </c>
      <c r="AQ113" s="91">
        <f>Economic!H125</f>
        <v>407.4</v>
      </c>
      <c r="AR113" s="91">
        <f>Economic!I125</f>
        <v>399</v>
      </c>
      <c r="AS113" s="91">
        <f>Economic!J125</f>
        <v>7.5</v>
      </c>
      <c r="AT113" s="91">
        <f>Economic!K125</f>
        <v>7.6</v>
      </c>
      <c r="AU113" s="91">
        <f>Economic!L125</f>
        <v>183.3</v>
      </c>
      <c r="AV113" s="91">
        <f>Economic!M125</f>
        <v>177.7</v>
      </c>
      <c r="AW113" s="91">
        <f>Economic!N125</f>
        <v>9.9</v>
      </c>
      <c r="AX113" s="91">
        <f>Economic!O125</f>
        <v>10.7</v>
      </c>
      <c r="AY113" s="91">
        <f>Economic!P125</f>
        <v>0</v>
      </c>
      <c r="AZ113" s="91">
        <f>Economic!Q125</f>
        <v>-4.5785217838115511E-2</v>
      </c>
      <c r="BA113" s="91">
        <f>Economic!R125</f>
        <v>-4.5945538929124008E-2</v>
      </c>
      <c r="BB113" s="91">
        <f>Economic!S125</f>
        <v>-2.4191616766467083E-2</v>
      </c>
      <c r="BC113" s="91">
        <f>Economic!T125</f>
        <v>-2.9669260700389111E-2</v>
      </c>
      <c r="BD113" s="91">
        <f>Economic!U125</f>
        <v>-6.4795918367346883E-2</v>
      </c>
      <c r="BE113" s="91">
        <f>Economic!V125</f>
        <v>-6.5720294426919068E-2</v>
      </c>
      <c r="BF113" s="91">
        <f>Economic!W125</f>
        <v>0</v>
      </c>
      <c r="BG113" s="91">
        <f>Economic!X125</f>
        <v>-338.59999999999945</v>
      </c>
      <c r="BH113" s="91">
        <f>Economic!Y125</f>
        <v>-335.60000000000036</v>
      </c>
      <c r="BI113" s="91">
        <f>Economic!Z125</f>
        <v>-10.100000000000023</v>
      </c>
      <c r="BJ113" s="91">
        <f>Economic!AA125</f>
        <v>-12.199999999999989</v>
      </c>
      <c r="BK113" s="91">
        <f>Economic!AB125</f>
        <v>-12.699999999999989</v>
      </c>
      <c r="BL113" s="91">
        <f>Economic!AC125</f>
        <v>-12.5</v>
      </c>
      <c r="BM113" s="91">
        <f>Weather!C233</f>
        <v>6.3566666666666682</v>
      </c>
      <c r="BN113" s="91">
        <f>Weather!D233</f>
        <v>409.29999999999984</v>
      </c>
      <c r="BO113" s="91">
        <f>Weather!E233</f>
        <v>0</v>
      </c>
      <c r="BP113" s="91">
        <f>Weather!F233</f>
        <v>349.2999999999999</v>
      </c>
      <c r="BQ113" s="91">
        <f>Weather!G233</f>
        <v>0</v>
      </c>
      <c r="BR113" s="91">
        <f>Weather!H233</f>
        <v>289.2999999999999</v>
      </c>
      <c r="BS113" s="91">
        <f>Weather!I233</f>
        <v>0</v>
      </c>
      <c r="BT113" s="91">
        <f>Weather!J233</f>
        <v>229.2999999999999</v>
      </c>
      <c r="BU113" s="91">
        <f>Weather!K233</f>
        <v>0</v>
      </c>
      <c r="BV113" s="91">
        <f>Weather!L233</f>
        <v>170.79999999999995</v>
      </c>
      <c r="BW113" s="91">
        <f>Weather!M233</f>
        <v>1.5</v>
      </c>
      <c r="BX113" s="91">
        <f>Weather!N233</f>
        <v>115.20000000000002</v>
      </c>
      <c r="BY113" s="91">
        <f>Weather!O233</f>
        <v>5.9000000000000021</v>
      </c>
    </row>
    <row r="114" spans="1:77" x14ac:dyDescent="0.2">
      <c r="A114" s="66">
        <v>43982</v>
      </c>
      <c r="B114" s="114">
        <f t="shared" si="50"/>
        <v>2020</v>
      </c>
      <c r="C114" s="104">
        <v>19158490.866862137</v>
      </c>
      <c r="D114" s="104">
        <v>4735242.6950270245</v>
      </c>
      <c r="E114" s="171">
        <f ca="1">CDM!D135</f>
        <v>1049115.2733087833</v>
      </c>
      <c r="F114" s="94">
        <f t="shared" ca="1" si="51"/>
        <v>15472363.445143897</v>
      </c>
      <c r="G114" s="94">
        <f ca="1">VLOOKUP(B114,CDM!$A$3:$G$14,7,FALSE)</f>
        <v>1049115.2733087833</v>
      </c>
      <c r="H114" s="94">
        <f t="shared" ca="1" si="65"/>
        <v>15472363.445143897</v>
      </c>
      <c r="I114" s="90">
        <f>Weather!F234</f>
        <v>202.59999999999994</v>
      </c>
      <c r="J114" s="90">
        <f>Weather!G234</f>
        <v>31.600000000000005</v>
      </c>
      <c r="K114" s="108">
        <v>31</v>
      </c>
      <c r="L114" s="108">
        <f t="shared" ref="L114:W114" si="121">L102</f>
        <v>0</v>
      </c>
      <c r="M114" s="108">
        <f t="shared" si="121"/>
        <v>0</v>
      </c>
      <c r="N114" s="108">
        <f t="shared" si="121"/>
        <v>0</v>
      </c>
      <c r="O114" s="108">
        <f t="shared" si="121"/>
        <v>0</v>
      </c>
      <c r="P114" s="108">
        <f t="shared" si="121"/>
        <v>1</v>
      </c>
      <c r="Q114" s="108">
        <f t="shared" si="121"/>
        <v>0</v>
      </c>
      <c r="R114" s="108">
        <f t="shared" si="121"/>
        <v>0</v>
      </c>
      <c r="S114" s="108">
        <f t="shared" si="121"/>
        <v>0</v>
      </c>
      <c r="T114" s="108">
        <f t="shared" si="121"/>
        <v>0</v>
      </c>
      <c r="U114" s="108">
        <f t="shared" si="121"/>
        <v>0</v>
      </c>
      <c r="V114" s="108">
        <f t="shared" si="121"/>
        <v>0</v>
      </c>
      <c r="W114" s="108">
        <f t="shared" si="121"/>
        <v>0</v>
      </c>
      <c r="X114" s="109">
        <v>1</v>
      </c>
      <c r="Y114" s="108">
        <f t="shared" si="116"/>
        <v>1</v>
      </c>
      <c r="Z114" s="108">
        <f t="shared" si="116"/>
        <v>0</v>
      </c>
      <c r="AA114" s="152">
        <v>1</v>
      </c>
      <c r="AB114" s="68">
        <v>0.5</v>
      </c>
      <c r="AC114" s="152">
        <f t="shared" si="119"/>
        <v>154.59999999999997</v>
      </c>
      <c r="AD114" s="152">
        <f t="shared" si="120"/>
        <v>45.599999999999994</v>
      </c>
      <c r="AE114" s="152">
        <v>1</v>
      </c>
      <c r="AF114" s="150">
        <f>'Customer Count'!I114</f>
        <v>14418</v>
      </c>
      <c r="AG114" s="150">
        <f>AF114-'Customer Count'!G114-'Customer Count'!F114</f>
        <v>11675</v>
      </c>
      <c r="AH114" s="150">
        <f>AF114-'Customer Count'!H114</f>
        <v>14417</v>
      </c>
      <c r="AI114" s="109">
        <f t="shared" si="70"/>
        <v>113</v>
      </c>
      <c r="AJ114" s="109">
        <v>320</v>
      </c>
      <c r="AK114" s="91">
        <v>163.10271205874389</v>
      </c>
      <c r="AL114" s="91">
        <f>Economic!C126</f>
        <v>747589.4</v>
      </c>
      <c r="AM114" s="91">
        <f>Economic!D126</f>
        <v>6671.4</v>
      </c>
      <c r="AN114" s="91">
        <f>Economic!E126</f>
        <v>6632</v>
      </c>
      <c r="AO114" s="91">
        <f>Economic!F126</f>
        <v>10.8</v>
      </c>
      <c r="AP114" s="91">
        <f>Economic!G126</f>
        <v>11</v>
      </c>
      <c r="AQ114" s="91">
        <f>Economic!H126</f>
        <v>382</v>
      </c>
      <c r="AR114" s="91">
        <f>Economic!I126</f>
        <v>374</v>
      </c>
      <c r="AS114" s="91">
        <f>Economic!J126</f>
        <v>10.3</v>
      </c>
      <c r="AT114" s="91">
        <f>Economic!K126</f>
        <v>10.7</v>
      </c>
      <c r="AU114" s="91">
        <f>Economic!L126</f>
        <v>171.3</v>
      </c>
      <c r="AV114" s="91">
        <f>Economic!M126</f>
        <v>168.2</v>
      </c>
      <c r="AW114" s="91">
        <f>Economic!N126</f>
        <v>12.6</v>
      </c>
      <c r="AX114" s="91">
        <f>Economic!O126</f>
        <v>13</v>
      </c>
      <c r="AY114" s="91">
        <f>Economic!P126</f>
        <v>0</v>
      </c>
      <c r="AZ114" s="91">
        <f>Economic!Q126</f>
        <v>-9.9991905674122528E-2</v>
      </c>
      <c r="BA114" s="91">
        <f>Economic!R126</f>
        <v>-0.10097737532025641</v>
      </c>
      <c r="BB114" s="91">
        <f>Economic!S126</f>
        <v>-8.1068077940822714E-2</v>
      </c>
      <c r="BC114" s="91">
        <f>Economic!T126</f>
        <v>-9.0466926070038922E-2</v>
      </c>
      <c r="BD114" s="91">
        <f>Economic!U126</f>
        <v>-0.12153846153846148</v>
      </c>
      <c r="BE114" s="91">
        <f>Economic!V126</f>
        <v>-0.12350182386659725</v>
      </c>
      <c r="BF114" s="91">
        <f>Economic!W126</f>
        <v>0</v>
      </c>
      <c r="BG114" s="91">
        <f>Economic!X126</f>
        <v>-741.20000000000073</v>
      </c>
      <c r="BH114" s="91">
        <f>Economic!Y126</f>
        <v>-744.89999999999964</v>
      </c>
      <c r="BI114" s="91">
        <f>Economic!Z126</f>
        <v>-33.699999999999989</v>
      </c>
      <c r="BJ114" s="91">
        <f>Economic!AA126</f>
        <v>-37.199999999999989</v>
      </c>
      <c r="BK114" s="91">
        <f>Economic!AB126</f>
        <v>-23.699999999999989</v>
      </c>
      <c r="BL114" s="91">
        <f>Economic!AC126</f>
        <v>-23.700000000000017</v>
      </c>
      <c r="BM114" s="91">
        <f>Weather!C234</f>
        <v>12.483870967741939</v>
      </c>
      <c r="BN114" s="91">
        <f>Weather!D234</f>
        <v>250.79999999999993</v>
      </c>
      <c r="BO114" s="91">
        <f>Weather!E234</f>
        <v>17.800000000000004</v>
      </c>
      <c r="BP114" s="91">
        <f>Weather!F234</f>
        <v>202.59999999999994</v>
      </c>
      <c r="BQ114" s="91">
        <f>Weather!G234</f>
        <v>31.600000000000005</v>
      </c>
      <c r="BR114" s="91">
        <f>Weather!H234</f>
        <v>154.59999999999997</v>
      </c>
      <c r="BS114" s="91">
        <f>Weather!I234</f>
        <v>45.599999999999994</v>
      </c>
      <c r="BT114" s="91">
        <f>Weather!J234</f>
        <v>113.70000000000002</v>
      </c>
      <c r="BU114" s="91">
        <f>Weather!K234</f>
        <v>66.699999999999989</v>
      </c>
      <c r="BV114" s="91">
        <f>Weather!L234</f>
        <v>75.8</v>
      </c>
      <c r="BW114" s="91">
        <f>Weather!M234</f>
        <v>90.8</v>
      </c>
      <c r="BX114" s="91">
        <f>Weather!N234</f>
        <v>47.099999999999994</v>
      </c>
      <c r="BY114" s="91">
        <f>Weather!O234</f>
        <v>124.09999999999998</v>
      </c>
    </row>
    <row r="115" spans="1:77" x14ac:dyDescent="0.2">
      <c r="A115" s="66">
        <v>44012</v>
      </c>
      <c r="B115" s="114">
        <f t="shared" si="50"/>
        <v>2020</v>
      </c>
      <c r="C115" s="104">
        <v>23659036.820064977</v>
      </c>
      <c r="D115" s="104">
        <v>6037296.4429668775</v>
      </c>
      <c r="E115" s="171">
        <f ca="1">CDM!D136</f>
        <v>1049115.2733087833</v>
      </c>
      <c r="F115" s="94">
        <f t="shared" ca="1" si="51"/>
        <v>18670855.650406882</v>
      </c>
      <c r="G115" s="94">
        <f ca="1">VLOOKUP(B115,CDM!$A$3:$G$14,7,FALSE)</f>
        <v>1049115.2733087833</v>
      </c>
      <c r="H115" s="94">
        <f t="shared" ca="1" si="65"/>
        <v>18670855.650406882</v>
      </c>
      <c r="I115" s="90">
        <f>Weather!F235</f>
        <v>20.199999999999996</v>
      </c>
      <c r="J115" s="90">
        <f>Weather!G235</f>
        <v>94.59999999999998</v>
      </c>
      <c r="K115" s="108">
        <v>30</v>
      </c>
      <c r="L115" s="108">
        <f t="shared" ref="L115:W115" si="122">L103</f>
        <v>0</v>
      </c>
      <c r="M115" s="108">
        <f t="shared" si="122"/>
        <v>0</v>
      </c>
      <c r="N115" s="108">
        <f t="shared" si="122"/>
        <v>0</v>
      </c>
      <c r="O115" s="108">
        <f t="shared" si="122"/>
        <v>0</v>
      </c>
      <c r="P115" s="108">
        <f t="shared" si="122"/>
        <v>0</v>
      </c>
      <c r="Q115" s="108">
        <f t="shared" si="122"/>
        <v>1</v>
      </c>
      <c r="R115" s="108">
        <f t="shared" si="122"/>
        <v>0</v>
      </c>
      <c r="S115" s="108">
        <f t="shared" si="122"/>
        <v>0</v>
      </c>
      <c r="T115" s="108">
        <f t="shared" si="122"/>
        <v>0</v>
      </c>
      <c r="U115" s="108">
        <f t="shared" si="122"/>
        <v>0</v>
      </c>
      <c r="V115" s="108">
        <f t="shared" si="122"/>
        <v>0</v>
      </c>
      <c r="W115" s="108">
        <f t="shared" si="122"/>
        <v>0</v>
      </c>
      <c r="X115" s="109">
        <v>0</v>
      </c>
      <c r="Y115" s="108">
        <f t="shared" si="116"/>
        <v>0</v>
      </c>
      <c r="Z115" s="108">
        <f t="shared" si="116"/>
        <v>0</v>
      </c>
      <c r="AA115" s="152">
        <v>1</v>
      </c>
      <c r="AB115" s="68">
        <v>0.5</v>
      </c>
      <c r="AC115" s="152">
        <f t="shared" si="119"/>
        <v>7.5999999999999979</v>
      </c>
      <c r="AD115" s="152">
        <f t="shared" si="120"/>
        <v>142</v>
      </c>
      <c r="AE115" s="152">
        <v>1</v>
      </c>
      <c r="AF115" s="150">
        <f>'Customer Count'!I115</f>
        <v>14419.5</v>
      </c>
      <c r="AG115" s="150">
        <f>AF115-'Customer Count'!G115-'Customer Count'!F115</f>
        <v>11677</v>
      </c>
      <c r="AH115" s="150">
        <f>AF115-'Customer Count'!H115</f>
        <v>14418.5</v>
      </c>
      <c r="AI115" s="109">
        <f t="shared" si="70"/>
        <v>114</v>
      </c>
      <c r="AJ115" s="109">
        <v>352</v>
      </c>
      <c r="AK115" s="91">
        <v>163.39876027372847</v>
      </c>
      <c r="AL115" s="91">
        <f>Economic!C127</f>
        <v>747589.4</v>
      </c>
      <c r="AM115" s="91">
        <f>Economic!D127</f>
        <v>6546.1</v>
      </c>
      <c r="AN115" s="91">
        <f>Economic!E127</f>
        <v>6583</v>
      </c>
      <c r="AO115" s="91">
        <f>Economic!F127</f>
        <v>12.4</v>
      </c>
      <c r="AP115" s="91">
        <f>Economic!G127</f>
        <v>12.5</v>
      </c>
      <c r="AQ115" s="91">
        <f>Economic!H127</f>
        <v>371</v>
      </c>
      <c r="AR115" s="91">
        <f>Economic!I127</f>
        <v>368.4</v>
      </c>
      <c r="AS115" s="91">
        <f>Economic!J127</f>
        <v>12.1</v>
      </c>
      <c r="AT115" s="91">
        <f>Economic!K127</f>
        <v>12.3</v>
      </c>
      <c r="AU115" s="91">
        <f>Economic!L127</f>
        <v>170</v>
      </c>
      <c r="AV115" s="91">
        <f>Economic!M127</f>
        <v>169.8</v>
      </c>
      <c r="AW115" s="91">
        <f>Economic!N127</f>
        <v>12.9</v>
      </c>
      <c r="AX115" s="91">
        <f>Economic!O127</f>
        <v>12.8</v>
      </c>
      <c r="AY115" s="91">
        <f>Economic!P127</f>
        <v>0</v>
      </c>
      <c r="AZ115" s="91">
        <f>Economic!Q127</f>
        <v>-0.11899923287081271</v>
      </c>
      <c r="BA115" s="91">
        <f>Economic!R127</f>
        <v>-0.11898930688829112</v>
      </c>
      <c r="BB115" s="91">
        <f>Economic!S127</f>
        <v>-0.10881575786692288</v>
      </c>
      <c r="BC115" s="91">
        <f>Economic!T127</f>
        <v>-0.11314395763119889</v>
      </c>
      <c r="BD115" s="91">
        <f>Economic!U127</f>
        <v>-0.13132345426673475</v>
      </c>
      <c r="BE115" s="91">
        <f>Economic!V127</f>
        <v>-0.13367346938775504</v>
      </c>
      <c r="BF115" s="91">
        <f>Economic!W127</f>
        <v>0</v>
      </c>
      <c r="BG115" s="91">
        <f>Economic!X127</f>
        <v>-884.19999999999982</v>
      </c>
      <c r="BH115" s="91">
        <f>Economic!Y127</f>
        <v>-889.10000000000036</v>
      </c>
      <c r="BI115" s="91">
        <f>Economic!Z127</f>
        <v>-45.300000000000011</v>
      </c>
      <c r="BJ115" s="91">
        <f>Economic!AA127</f>
        <v>-47</v>
      </c>
      <c r="BK115" s="91">
        <f>Economic!AB127</f>
        <v>-25.699999999999989</v>
      </c>
      <c r="BL115" s="91">
        <f>Economic!AC127</f>
        <v>-26.199999999999989</v>
      </c>
      <c r="BM115" s="91">
        <f>Weather!C235</f>
        <v>20.48</v>
      </c>
      <c r="BN115" s="91">
        <f>Weather!D235</f>
        <v>39.5</v>
      </c>
      <c r="BO115" s="91">
        <f>Weather!E235</f>
        <v>53.899999999999991</v>
      </c>
      <c r="BP115" s="91">
        <f>Weather!F235</f>
        <v>20.199999999999996</v>
      </c>
      <c r="BQ115" s="91">
        <f>Weather!G235</f>
        <v>94.59999999999998</v>
      </c>
      <c r="BR115" s="91">
        <f>Weather!H235</f>
        <v>7.5999999999999979</v>
      </c>
      <c r="BS115" s="91">
        <f>Weather!I235</f>
        <v>142</v>
      </c>
      <c r="BT115" s="91">
        <f>Weather!J235</f>
        <v>0.89999999999999858</v>
      </c>
      <c r="BU115" s="91">
        <f>Weather!K235</f>
        <v>195.3</v>
      </c>
      <c r="BV115" s="91">
        <f>Weather!L235</f>
        <v>0</v>
      </c>
      <c r="BW115" s="91">
        <f>Weather!M235</f>
        <v>254.40000000000003</v>
      </c>
      <c r="BX115" s="91">
        <f>Weather!N235</f>
        <v>0</v>
      </c>
      <c r="BY115" s="91">
        <f>Weather!O235</f>
        <v>314.40000000000009</v>
      </c>
    </row>
    <row r="116" spans="1:77" x14ac:dyDescent="0.2">
      <c r="A116" s="66">
        <v>44043</v>
      </c>
      <c r="B116" s="114">
        <f t="shared" si="50"/>
        <v>2020</v>
      </c>
      <c r="C116" s="104">
        <v>31068671.938821949</v>
      </c>
      <c r="D116" s="104">
        <v>8129921.4906045105</v>
      </c>
      <c r="E116" s="171">
        <f ca="1">CDM!D137</f>
        <v>1049115.2733087833</v>
      </c>
      <c r="F116" s="94">
        <f t="shared" ca="1" si="51"/>
        <v>23987865.72152622</v>
      </c>
      <c r="G116" s="94">
        <f ca="1">VLOOKUP(B116,CDM!$A$3:$G$14,7,FALSE)</f>
        <v>1049115.2733087833</v>
      </c>
      <c r="H116" s="94">
        <f t="shared" ca="1" si="65"/>
        <v>23987865.72152622</v>
      </c>
      <c r="I116" s="90">
        <f>Weather!F236</f>
        <v>0</v>
      </c>
      <c r="J116" s="90">
        <f>Weather!G236</f>
        <v>215.60000000000002</v>
      </c>
      <c r="K116" s="108">
        <v>31</v>
      </c>
      <c r="L116" s="108">
        <f t="shared" ref="L116:W116" si="123">L104</f>
        <v>0</v>
      </c>
      <c r="M116" s="108">
        <f t="shared" si="123"/>
        <v>0</v>
      </c>
      <c r="N116" s="108">
        <f t="shared" si="123"/>
        <v>0</v>
      </c>
      <c r="O116" s="108">
        <f t="shared" si="123"/>
        <v>0</v>
      </c>
      <c r="P116" s="108">
        <f t="shared" si="123"/>
        <v>0</v>
      </c>
      <c r="Q116" s="108">
        <f t="shared" si="123"/>
        <v>0</v>
      </c>
      <c r="R116" s="108">
        <f t="shared" si="123"/>
        <v>1</v>
      </c>
      <c r="S116" s="108">
        <f t="shared" si="123"/>
        <v>0</v>
      </c>
      <c r="T116" s="108">
        <f t="shared" si="123"/>
        <v>0</v>
      </c>
      <c r="U116" s="108">
        <f t="shared" si="123"/>
        <v>0</v>
      </c>
      <c r="V116" s="108">
        <f t="shared" si="123"/>
        <v>0</v>
      </c>
      <c r="W116" s="108">
        <f t="shared" si="123"/>
        <v>0</v>
      </c>
      <c r="X116" s="109">
        <v>0</v>
      </c>
      <c r="Y116" s="108">
        <f t="shared" si="116"/>
        <v>0</v>
      </c>
      <c r="Z116" s="108">
        <f t="shared" si="116"/>
        <v>0</v>
      </c>
      <c r="AA116" s="152">
        <v>1</v>
      </c>
      <c r="AB116" s="68">
        <v>1</v>
      </c>
      <c r="AC116" s="152">
        <f t="shared" si="119"/>
        <v>0</v>
      </c>
      <c r="AD116" s="152">
        <f t="shared" si="120"/>
        <v>277.60000000000008</v>
      </c>
      <c r="AE116" s="152">
        <v>1</v>
      </c>
      <c r="AF116" s="150">
        <f>'Customer Count'!I116</f>
        <v>14419</v>
      </c>
      <c r="AG116" s="150">
        <f>AF116-'Customer Count'!G116-'Customer Count'!F116</f>
        <v>11677</v>
      </c>
      <c r="AH116" s="150">
        <f>AF116-'Customer Count'!H116</f>
        <v>14418</v>
      </c>
      <c r="AI116" s="109">
        <f t="shared" si="70"/>
        <v>115</v>
      </c>
      <c r="AJ116" s="109">
        <v>352</v>
      </c>
      <c r="AK116" s="91">
        <v>163.69534584670356</v>
      </c>
      <c r="AL116" s="91">
        <f>Economic!C128</f>
        <v>747589.4</v>
      </c>
      <c r="AM116" s="91">
        <f>Economic!D128</f>
        <v>6700.8</v>
      </c>
      <c r="AN116" s="91">
        <f>Economic!E128</f>
        <v>6777</v>
      </c>
      <c r="AO116" s="91">
        <f>Economic!F128</f>
        <v>12.4</v>
      </c>
      <c r="AP116" s="91">
        <f>Economic!G128</f>
        <v>12.8</v>
      </c>
      <c r="AQ116" s="91">
        <f>Economic!H128</f>
        <v>380.3</v>
      </c>
      <c r="AR116" s="91">
        <f>Economic!I128</f>
        <v>379.6</v>
      </c>
      <c r="AS116" s="91">
        <f>Economic!J128</f>
        <v>11.3</v>
      </c>
      <c r="AT116" s="91">
        <f>Economic!K128</f>
        <v>12.1</v>
      </c>
      <c r="AU116" s="91">
        <f>Economic!L128</f>
        <v>174.7</v>
      </c>
      <c r="AV116" s="91">
        <f>Economic!M128</f>
        <v>176.7</v>
      </c>
      <c r="AW116" s="91">
        <f>Economic!N128</f>
        <v>12.5</v>
      </c>
      <c r="AX116" s="91">
        <f>Economic!O128</f>
        <v>12.3</v>
      </c>
      <c r="AY116" s="91">
        <f>Economic!P128</f>
        <v>0</v>
      </c>
      <c r="AZ116" s="91">
        <f>Economic!Q128</f>
        <v>-9.8494531071318003E-2</v>
      </c>
      <c r="BA116" s="91">
        <f>Economic!R128</f>
        <v>-9.9330179150497022E-2</v>
      </c>
      <c r="BB116" s="91">
        <f>Economic!S128</f>
        <v>-8.5597499398893939E-2</v>
      </c>
      <c r="BC116" s="91">
        <f>Economic!T128</f>
        <v>-9.1431306845380589E-2</v>
      </c>
      <c r="BD116" s="91">
        <f>Economic!U128</f>
        <v>-0.10912799592044875</v>
      </c>
      <c r="BE116" s="91">
        <f>Economic!V128</f>
        <v>-0.11295180722891562</v>
      </c>
      <c r="BF116" s="91">
        <f>Economic!W128</f>
        <v>0</v>
      </c>
      <c r="BG116" s="91">
        <f>Economic!X128</f>
        <v>-732.09999999999945</v>
      </c>
      <c r="BH116" s="91">
        <f>Economic!Y128</f>
        <v>-747.39999999999964</v>
      </c>
      <c r="BI116" s="91">
        <f>Economic!Z128</f>
        <v>-35.599999999999966</v>
      </c>
      <c r="BJ116" s="91">
        <f>Economic!AA128</f>
        <v>-38.199999999999989</v>
      </c>
      <c r="BK116" s="91">
        <f>Economic!AB128</f>
        <v>-21.400000000000006</v>
      </c>
      <c r="BL116" s="91">
        <f>Economic!AC128</f>
        <v>-22.5</v>
      </c>
      <c r="BM116" s="91">
        <f>Weather!C236</f>
        <v>24.954838709677418</v>
      </c>
      <c r="BN116" s="91">
        <f>Weather!D236</f>
        <v>0</v>
      </c>
      <c r="BO116" s="91">
        <f>Weather!E236</f>
        <v>153.60000000000002</v>
      </c>
      <c r="BP116" s="91">
        <f>Weather!F236</f>
        <v>0</v>
      </c>
      <c r="BQ116" s="91">
        <f>Weather!G236</f>
        <v>215.60000000000002</v>
      </c>
      <c r="BR116" s="91">
        <f>Weather!H236</f>
        <v>0</v>
      </c>
      <c r="BS116" s="91">
        <f>Weather!I236</f>
        <v>277.60000000000008</v>
      </c>
      <c r="BT116" s="91">
        <f>Weather!J236</f>
        <v>0</v>
      </c>
      <c r="BU116" s="91">
        <f>Weather!K236</f>
        <v>339.60000000000008</v>
      </c>
      <c r="BV116" s="91">
        <f>Weather!L236</f>
        <v>0</v>
      </c>
      <c r="BW116" s="91">
        <f>Weather!M236</f>
        <v>401.60000000000008</v>
      </c>
      <c r="BX116" s="91">
        <f>Weather!N236</f>
        <v>0</v>
      </c>
      <c r="BY116" s="91">
        <f>Weather!O236</f>
        <v>463.60000000000008</v>
      </c>
    </row>
    <row r="117" spans="1:77" x14ac:dyDescent="0.2">
      <c r="A117" s="66">
        <v>44074</v>
      </c>
      <c r="B117" s="114">
        <f t="shared" si="50"/>
        <v>2020</v>
      </c>
      <c r="C117" s="104">
        <v>26721444.06371244</v>
      </c>
      <c r="D117" s="104">
        <v>6612027.0517714433</v>
      </c>
      <c r="E117" s="171">
        <f ca="1">CDM!D138</f>
        <v>1049115.2733087833</v>
      </c>
      <c r="F117" s="94">
        <f t="shared" ca="1" si="51"/>
        <v>21158532.285249781</v>
      </c>
      <c r="G117" s="94">
        <f ca="1">VLOOKUP(B117,CDM!$A$3:$G$14,7,FALSE)</f>
        <v>1049115.2733087833</v>
      </c>
      <c r="H117" s="94">
        <f t="shared" ca="1" si="65"/>
        <v>21158532.285249781</v>
      </c>
      <c r="I117" s="90">
        <f>Weather!F237</f>
        <v>0.19999999999999929</v>
      </c>
      <c r="J117" s="90">
        <f>Weather!G237</f>
        <v>142.9</v>
      </c>
      <c r="K117" s="108">
        <v>31</v>
      </c>
      <c r="L117" s="108">
        <f t="shared" ref="L117:W117" si="124">L105</f>
        <v>0</v>
      </c>
      <c r="M117" s="108">
        <f t="shared" si="124"/>
        <v>0</v>
      </c>
      <c r="N117" s="108">
        <f t="shared" si="124"/>
        <v>0</v>
      </c>
      <c r="O117" s="108">
        <f t="shared" si="124"/>
        <v>0</v>
      </c>
      <c r="P117" s="108">
        <f t="shared" si="124"/>
        <v>0</v>
      </c>
      <c r="Q117" s="108">
        <f t="shared" si="124"/>
        <v>0</v>
      </c>
      <c r="R117" s="108">
        <f t="shared" si="124"/>
        <v>0</v>
      </c>
      <c r="S117" s="108">
        <f t="shared" si="124"/>
        <v>1</v>
      </c>
      <c r="T117" s="108">
        <f t="shared" si="124"/>
        <v>0</v>
      </c>
      <c r="U117" s="108">
        <f t="shared" si="124"/>
        <v>0</v>
      </c>
      <c r="V117" s="108">
        <f t="shared" si="124"/>
        <v>0</v>
      </c>
      <c r="W117" s="108">
        <f t="shared" si="124"/>
        <v>0</v>
      </c>
      <c r="X117" s="109">
        <v>0</v>
      </c>
      <c r="Y117" s="108">
        <f t="shared" si="116"/>
        <v>0</v>
      </c>
      <c r="Z117" s="108">
        <f t="shared" si="116"/>
        <v>0</v>
      </c>
      <c r="AA117" s="152">
        <v>1</v>
      </c>
      <c r="AB117" s="68">
        <v>1</v>
      </c>
      <c r="AC117" s="152">
        <f t="shared" si="119"/>
        <v>0</v>
      </c>
      <c r="AD117" s="152">
        <f t="shared" si="120"/>
        <v>204.70000000000002</v>
      </c>
      <c r="AE117" s="152">
        <v>1</v>
      </c>
      <c r="AF117" s="150">
        <f>'Customer Count'!I117</f>
        <v>14421</v>
      </c>
      <c r="AG117" s="150">
        <f>AF117-'Customer Count'!G117-'Customer Count'!F117</f>
        <v>11679</v>
      </c>
      <c r="AH117" s="150">
        <f>AF117-'Customer Count'!H117</f>
        <v>14420</v>
      </c>
      <c r="AI117" s="109">
        <f t="shared" si="70"/>
        <v>116</v>
      </c>
      <c r="AJ117" s="109">
        <v>320</v>
      </c>
      <c r="AK117" s="91">
        <v>163.99246975302921</v>
      </c>
      <c r="AL117" s="91">
        <f>Economic!C129</f>
        <v>747589.4</v>
      </c>
      <c r="AM117" s="91">
        <f>Economic!D129</f>
        <v>6924.2</v>
      </c>
      <c r="AN117" s="91">
        <f>Economic!E129</f>
        <v>7003.5</v>
      </c>
      <c r="AO117" s="91">
        <f>Economic!F129</f>
        <v>11.4</v>
      </c>
      <c r="AP117" s="91">
        <f>Economic!G129</f>
        <v>12.1</v>
      </c>
      <c r="AQ117" s="91">
        <f>Economic!H129</f>
        <v>391.1</v>
      </c>
      <c r="AR117" s="91">
        <f>Economic!I129</f>
        <v>392.2</v>
      </c>
      <c r="AS117" s="91">
        <f>Economic!J129</f>
        <v>10</v>
      </c>
      <c r="AT117" s="91">
        <f>Economic!K129</f>
        <v>11</v>
      </c>
      <c r="AU117" s="91">
        <f>Economic!L129</f>
        <v>182.9</v>
      </c>
      <c r="AV117" s="91">
        <f>Economic!M129</f>
        <v>185.9</v>
      </c>
      <c r="AW117" s="91">
        <f>Economic!N129</f>
        <v>11.3</v>
      </c>
      <c r="AX117" s="91">
        <f>Economic!O129</f>
        <v>11.3</v>
      </c>
      <c r="AY117" s="91">
        <f>Economic!P129</f>
        <v>0</v>
      </c>
      <c r="AZ117" s="91">
        <f>Economic!Q129</f>
        <v>-7.0527276632302516E-2</v>
      </c>
      <c r="BA117" s="91">
        <f>Economic!R129</f>
        <v>-7.1264703152143616E-2</v>
      </c>
      <c r="BB117" s="91">
        <f>Economic!S129</f>
        <v>-6.6141356255969397E-2</v>
      </c>
      <c r="BC117" s="91">
        <f>Economic!T129</f>
        <v>-7.127634383139958E-2</v>
      </c>
      <c r="BD117" s="91">
        <f>Economic!U129</f>
        <v>-7.6262626262626254E-2</v>
      </c>
      <c r="BE117" s="91">
        <f>Economic!V129</f>
        <v>-7.9702970297029663E-2</v>
      </c>
      <c r="BF117" s="91">
        <f>Economic!W129</f>
        <v>0</v>
      </c>
      <c r="BG117" s="91">
        <f>Economic!X129</f>
        <v>-525.40000000000055</v>
      </c>
      <c r="BH117" s="91">
        <f>Economic!Y129</f>
        <v>-537.39999999999964</v>
      </c>
      <c r="BI117" s="91">
        <f>Economic!Z129</f>
        <v>-27.699999999999989</v>
      </c>
      <c r="BJ117" s="91">
        <f>Economic!AA129</f>
        <v>-30.100000000000023</v>
      </c>
      <c r="BK117" s="91">
        <f>Economic!AB129</f>
        <v>-15.099999999999994</v>
      </c>
      <c r="BL117" s="91">
        <f>Economic!AC129</f>
        <v>-16.099999999999994</v>
      </c>
      <c r="BM117" s="91">
        <f>Weather!C237</f>
        <v>22.603225806451611</v>
      </c>
      <c r="BN117" s="91">
        <f>Weather!D237</f>
        <v>5.1999999999999993</v>
      </c>
      <c r="BO117" s="91">
        <f>Weather!E237</f>
        <v>85.899999999999977</v>
      </c>
      <c r="BP117" s="91">
        <f>Weather!F237</f>
        <v>0.19999999999999929</v>
      </c>
      <c r="BQ117" s="91">
        <f>Weather!G237</f>
        <v>142.9</v>
      </c>
      <c r="BR117" s="91">
        <f>Weather!H237</f>
        <v>0</v>
      </c>
      <c r="BS117" s="91">
        <f>Weather!I237</f>
        <v>204.70000000000002</v>
      </c>
      <c r="BT117" s="91">
        <f>Weather!J237</f>
        <v>0</v>
      </c>
      <c r="BU117" s="91">
        <f>Weather!K237</f>
        <v>266.7000000000001</v>
      </c>
      <c r="BV117" s="91">
        <f>Weather!L237</f>
        <v>0</v>
      </c>
      <c r="BW117" s="91">
        <f>Weather!M237</f>
        <v>328.7000000000001</v>
      </c>
      <c r="BX117" s="91">
        <f>Weather!N237</f>
        <v>0</v>
      </c>
      <c r="BY117" s="91">
        <f>Weather!O237</f>
        <v>390.7000000000001</v>
      </c>
    </row>
    <row r="118" spans="1:77" x14ac:dyDescent="0.2">
      <c r="A118" s="66">
        <v>44104</v>
      </c>
      <c r="B118" s="114">
        <f t="shared" si="50"/>
        <v>2020</v>
      </c>
      <c r="C118" s="104">
        <v>20324132.402995322</v>
      </c>
      <c r="D118" s="104">
        <v>4759664.6737366663</v>
      </c>
      <c r="E118" s="171">
        <f ca="1">CDM!D139</f>
        <v>1049115.2733087833</v>
      </c>
      <c r="F118" s="94">
        <f t="shared" ca="1" si="51"/>
        <v>16613583.00256744</v>
      </c>
      <c r="G118" s="94">
        <f ca="1">VLOOKUP(B118,CDM!$A$3:$G$14,7,FALSE)</f>
        <v>1049115.2733087833</v>
      </c>
      <c r="H118" s="94">
        <f t="shared" ca="1" si="65"/>
        <v>16613583.00256744</v>
      </c>
      <c r="I118" s="90">
        <f>Weather!F238</f>
        <v>52.3</v>
      </c>
      <c r="J118" s="90">
        <f>Weather!G238</f>
        <v>43.5</v>
      </c>
      <c r="K118" s="108">
        <v>30</v>
      </c>
      <c r="L118" s="108">
        <f t="shared" ref="L118:W118" si="125">L106</f>
        <v>0</v>
      </c>
      <c r="M118" s="108">
        <f t="shared" si="125"/>
        <v>0</v>
      </c>
      <c r="N118" s="108">
        <f t="shared" si="125"/>
        <v>0</v>
      </c>
      <c r="O118" s="108">
        <f t="shared" si="125"/>
        <v>0</v>
      </c>
      <c r="P118" s="108">
        <f t="shared" si="125"/>
        <v>0</v>
      </c>
      <c r="Q118" s="108">
        <f t="shared" si="125"/>
        <v>0</v>
      </c>
      <c r="R118" s="108">
        <f t="shared" si="125"/>
        <v>0</v>
      </c>
      <c r="S118" s="108">
        <f t="shared" si="125"/>
        <v>0</v>
      </c>
      <c r="T118" s="108">
        <f t="shared" si="125"/>
        <v>1</v>
      </c>
      <c r="U118" s="108">
        <f t="shared" si="125"/>
        <v>0</v>
      </c>
      <c r="V118" s="108">
        <f t="shared" si="125"/>
        <v>0</v>
      </c>
      <c r="W118" s="108">
        <f t="shared" si="125"/>
        <v>0</v>
      </c>
      <c r="X118" s="109">
        <v>1</v>
      </c>
      <c r="Y118" s="108">
        <f t="shared" si="116"/>
        <v>0</v>
      </c>
      <c r="Z118" s="108">
        <f t="shared" si="116"/>
        <v>1</v>
      </c>
      <c r="AA118" s="152">
        <v>1</v>
      </c>
      <c r="AB118" s="68">
        <v>0.5</v>
      </c>
      <c r="AC118" s="152">
        <f t="shared" si="119"/>
        <v>21.899999999999995</v>
      </c>
      <c r="AD118" s="152">
        <f t="shared" si="120"/>
        <v>73.099999999999994</v>
      </c>
      <c r="AE118" s="152">
        <v>1</v>
      </c>
      <c r="AF118" s="150">
        <f>'Customer Count'!I118</f>
        <v>14423.5</v>
      </c>
      <c r="AG118" s="150">
        <f>AF118-'Customer Count'!G118-'Customer Count'!F118</f>
        <v>11681.5</v>
      </c>
      <c r="AH118" s="150">
        <f>AF118-'Customer Count'!H118</f>
        <v>14422.5</v>
      </c>
      <c r="AI118" s="109">
        <f t="shared" si="70"/>
        <v>117</v>
      </c>
      <c r="AJ118" s="109">
        <v>336</v>
      </c>
      <c r="AK118" s="91">
        <v>164.29013296983589</v>
      </c>
      <c r="AL118" s="91">
        <f>Economic!C130</f>
        <v>747589.4</v>
      </c>
      <c r="AM118" s="91">
        <f>Economic!D130</f>
        <v>7077.6</v>
      </c>
      <c r="AN118" s="91">
        <f>Economic!E130</f>
        <v>7126.6</v>
      </c>
      <c r="AO118" s="91">
        <f>Economic!F130</f>
        <v>10.5</v>
      </c>
      <c r="AP118" s="91">
        <f>Economic!G130</f>
        <v>11</v>
      </c>
      <c r="AQ118" s="91">
        <f>Economic!H130</f>
        <v>391.1</v>
      </c>
      <c r="AR118" s="91">
        <f>Economic!I130</f>
        <v>390.5</v>
      </c>
      <c r="AS118" s="91">
        <f>Economic!J130</f>
        <v>8.9</v>
      </c>
      <c r="AT118" s="91">
        <f>Economic!K130</f>
        <v>9.9</v>
      </c>
      <c r="AU118" s="91">
        <f>Economic!L130</f>
        <v>189.3</v>
      </c>
      <c r="AV118" s="91">
        <f>Economic!M130</f>
        <v>191.8</v>
      </c>
      <c r="AW118" s="91">
        <f>Economic!N130</f>
        <v>8.6999999999999993</v>
      </c>
      <c r="AX118" s="91">
        <f>Economic!O130</f>
        <v>8.8000000000000007</v>
      </c>
      <c r="AY118" s="91">
        <f>Economic!P130</f>
        <v>0</v>
      </c>
      <c r="AZ118" s="91">
        <f>Economic!Q130</f>
        <v>-5.3581696374844556E-2</v>
      </c>
      <c r="BA118" s="91">
        <f>Economic!R130</f>
        <v>-5.4200398142003947E-2</v>
      </c>
      <c r="BB118" s="91">
        <f>Economic!S130</f>
        <v>-6.8587758990235614E-2</v>
      </c>
      <c r="BC118" s="91">
        <f>Economic!T130</f>
        <v>-7.7050342708579578E-2</v>
      </c>
      <c r="BD118" s="91">
        <f>Economic!U130</f>
        <v>-5.4445554445554323E-2</v>
      </c>
      <c r="BE118" s="91">
        <f>Economic!V130</f>
        <v>-5.5637616937469159E-2</v>
      </c>
      <c r="BF118" s="91">
        <f>Economic!W130</f>
        <v>0</v>
      </c>
      <c r="BG118" s="91">
        <f>Economic!X130</f>
        <v>-400.69999999999982</v>
      </c>
      <c r="BH118" s="91">
        <f>Economic!Y130</f>
        <v>-408.39999999999964</v>
      </c>
      <c r="BI118" s="91">
        <f>Economic!Z130</f>
        <v>-28.799999999999955</v>
      </c>
      <c r="BJ118" s="91">
        <f>Economic!AA130</f>
        <v>-32.600000000000023</v>
      </c>
      <c r="BK118" s="91">
        <f>Economic!AB130</f>
        <v>-10.899999999999977</v>
      </c>
      <c r="BL118" s="91">
        <f>Economic!AC130</f>
        <v>-11.299999999999983</v>
      </c>
      <c r="BM118" s="91">
        <f>Weather!C238</f>
        <v>17.706666666666667</v>
      </c>
      <c r="BN118" s="91">
        <f>Weather!D238</f>
        <v>90.40000000000002</v>
      </c>
      <c r="BO118" s="91">
        <f>Weather!E238</f>
        <v>21.600000000000005</v>
      </c>
      <c r="BP118" s="91">
        <f>Weather!F238</f>
        <v>52.3</v>
      </c>
      <c r="BQ118" s="91">
        <f>Weather!G238</f>
        <v>43.5</v>
      </c>
      <c r="BR118" s="91">
        <f>Weather!H238</f>
        <v>21.899999999999995</v>
      </c>
      <c r="BS118" s="91">
        <f>Weather!I238</f>
        <v>73.099999999999994</v>
      </c>
      <c r="BT118" s="91">
        <f>Weather!J238</f>
        <v>5.0999999999999979</v>
      </c>
      <c r="BU118" s="91">
        <f>Weather!K238</f>
        <v>116.29999999999997</v>
      </c>
      <c r="BV118" s="91">
        <f>Weather!L238</f>
        <v>0.19999999999999929</v>
      </c>
      <c r="BW118" s="91">
        <f>Weather!M238</f>
        <v>171.4</v>
      </c>
      <c r="BX118" s="91">
        <f>Weather!N238</f>
        <v>0</v>
      </c>
      <c r="BY118" s="91">
        <f>Weather!O238</f>
        <v>231.20000000000007</v>
      </c>
    </row>
    <row r="119" spans="1:77" x14ac:dyDescent="0.2">
      <c r="A119" s="66">
        <v>44135</v>
      </c>
      <c r="B119" s="114">
        <f>YEAR(A119)</f>
        <v>2020</v>
      </c>
      <c r="C119" s="104">
        <v>19166451.094120812</v>
      </c>
      <c r="D119" s="104">
        <v>4510134.313046311</v>
      </c>
      <c r="E119" s="171">
        <f ca="1">CDM!D140</f>
        <v>1049115.2733087833</v>
      </c>
      <c r="F119" s="94">
        <f ca="1">C119+E119-D119</f>
        <v>15705432.054383285</v>
      </c>
      <c r="G119" s="94">
        <f ca="1">VLOOKUP(B119,CDM!$A$3:$G$14,7,FALSE)</f>
        <v>1049115.2733087833</v>
      </c>
      <c r="H119" s="94">
        <f t="shared" ca="1" si="65"/>
        <v>15705432.054383285</v>
      </c>
      <c r="I119" s="90">
        <f>Weather!F239</f>
        <v>229.89999999999998</v>
      </c>
      <c r="J119" s="90">
        <f>Weather!G239</f>
        <v>1.5</v>
      </c>
      <c r="K119" s="108">
        <v>31</v>
      </c>
      <c r="L119" s="108">
        <f t="shared" ref="L119:W119" si="126">L107</f>
        <v>0</v>
      </c>
      <c r="M119" s="108">
        <f t="shared" si="126"/>
        <v>0</v>
      </c>
      <c r="N119" s="108">
        <f t="shared" si="126"/>
        <v>0</v>
      </c>
      <c r="O119" s="108">
        <f t="shared" si="126"/>
        <v>0</v>
      </c>
      <c r="P119" s="108">
        <f t="shared" si="126"/>
        <v>0</v>
      </c>
      <c r="Q119" s="108">
        <f t="shared" si="126"/>
        <v>0</v>
      </c>
      <c r="R119" s="108">
        <f t="shared" si="126"/>
        <v>0</v>
      </c>
      <c r="S119" s="108">
        <f t="shared" si="126"/>
        <v>0</v>
      </c>
      <c r="T119" s="108">
        <f t="shared" si="126"/>
        <v>0</v>
      </c>
      <c r="U119" s="108">
        <f t="shared" si="126"/>
        <v>1</v>
      </c>
      <c r="V119" s="108">
        <f t="shared" si="126"/>
        <v>0</v>
      </c>
      <c r="W119" s="108">
        <f t="shared" si="126"/>
        <v>0</v>
      </c>
      <c r="X119" s="109">
        <v>1</v>
      </c>
      <c r="Y119" s="108">
        <f t="shared" si="116"/>
        <v>0</v>
      </c>
      <c r="Z119" s="108">
        <f t="shared" si="116"/>
        <v>1</v>
      </c>
      <c r="AA119" s="152">
        <v>1</v>
      </c>
      <c r="AB119" s="68">
        <v>0.5</v>
      </c>
      <c r="AC119" s="152">
        <f t="shared" si="119"/>
        <v>172.2</v>
      </c>
      <c r="AD119" s="152">
        <f t="shared" si="120"/>
        <v>5.8000000000000007</v>
      </c>
      <c r="AE119" s="152">
        <v>1</v>
      </c>
      <c r="AF119" s="150">
        <f>'Customer Count'!I119</f>
        <v>14424</v>
      </c>
      <c r="AG119" s="150">
        <f>AF119-'Customer Count'!G119-'Customer Count'!F119</f>
        <v>11682</v>
      </c>
      <c r="AH119" s="150">
        <f>AF119-'Customer Count'!H119</f>
        <v>14423</v>
      </c>
      <c r="AI119" s="109">
        <f t="shared" si="70"/>
        <v>118</v>
      </c>
      <c r="AJ119" s="109">
        <v>336</v>
      </c>
      <c r="AK119" s="91">
        <v>164.58833647602765</v>
      </c>
      <c r="AL119" s="91">
        <f>Economic!C131</f>
        <v>747589.4</v>
      </c>
      <c r="AM119" s="91">
        <f>Economic!D131</f>
        <v>7190.9</v>
      </c>
      <c r="AN119" s="91">
        <f>Economic!E131</f>
        <v>7223.8</v>
      </c>
      <c r="AO119" s="91">
        <f>Economic!F131</f>
        <v>9.9</v>
      </c>
      <c r="AP119" s="91">
        <f>Economic!G131</f>
        <v>9.9</v>
      </c>
      <c r="AQ119" s="91">
        <f>Economic!H131</f>
        <v>385.5</v>
      </c>
      <c r="AR119" s="91">
        <f>Economic!I131</f>
        <v>388.3</v>
      </c>
      <c r="AS119" s="91">
        <f>Economic!J131</f>
        <v>9.1999999999999993</v>
      </c>
      <c r="AT119" s="91">
        <f>Economic!K131</f>
        <v>9.5</v>
      </c>
      <c r="AU119" s="91">
        <f>Economic!L131</f>
        <v>195.2</v>
      </c>
      <c r="AV119" s="91">
        <f>Economic!M131</f>
        <v>198.1</v>
      </c>
      <c r="AW119" s="91">
        <f>Economic!N131</f>
        <v>7.5</v>
      </c>
      <c r="AX119" s="91">
        <f>Economic!O131</f>
        <v>7.2</v>
      </c>
      <c r="AY119" s="91">
        <f>Economic!P131</f>
        <v>0</v>
      </c>
      <c r="AZ119" s="91">
        <f>Economic!Q131</f>
        <v>-4.1724413646055503E-2</v>
      </c>
      <c r="BA119" s="91">
        <f>Economic!R131</f>
        <v>-4.1745705379054199E-2</v>
      </c>
      <c r="BB119" s="91">
        <f>Economic!S131</f>
        <v>-9.7823543178095052E-2</v>
      </c>
      <c r="BC119" s="91">
        <f>Economic!T131</f>
        <v>-0.10406091370558368</v>
      </c>
      <c r="BD119" s="91">
        <f>Economic!U131</f>
        <v>-3.5573122529644396E-2</v>
      </c>
      <c r="BE119" s="91">
        <f>Economic!V131</f>
        <v>-3.0347528144885061E-2</v>
      </c>
      <c r="BF119" s="91">
        <f>Economic!W131</f>
        <v>0</v>
      </c>
      <c r="BG119" s="91">
        <f>Economic!X131</f>
        <v>-313.10000000000036</v>
      </c>
      <c r="BH119" s="91">
        <f>Economic!Y131</f>
        <v>-314.69999999999982</v>
      </c>
      <c r="BI119" s="91">
        <f>Economic!Z131</f>
        <v>-41.800000000000011</v>
      </c>
      <c r="BJ119" s="91">
        <f>Economic!AA131</f>
        <v>-45.099999999999966</v>
      </c>
      <c r="BK119" s="91">
        <f>Economic!AB131</f>
        <v>-7.2000000000000171</v>
      </c>
      <c r="BL119" s="91">
        <f>Economic!AC131</f>
        <v>-6.2000000000000171</v>
      </c>
      <c r="BM119" s="91">
        <f>Weather!C239</f>
        <v>10.632258064516131</v>
      </c>
      <c r="BN119" s="91">
        <f>Weather!D239</f>
        <v>290.39999999999998</v>
      </c>
      <c r="BO119" s="91">
        <f>Weather!E239</f>
        <v>0</v>
      </c>
      <c r="BP119" s="91">
        <f>Weather!F239</f>
        <v>229.89999999999998</v>
      </c>
      <c r="BQ119" s="91">
        <f>Weather!G239</f>
        <v>1.5</v>
      </c>
      <c r="BR119" s="91">
        <f>Weather!H239</f>
        <v>172.2</v>
      </c>
      <c r="BS119" s="91">
        <f>Weather!I239</f>
        <v>5.8000000000000007</v>
      </c>
      <c r="BT119" s="91">
        <f>Weather!J239</f>
        <v>117.10000000000001</v>
      </c>
      <c r="BU119" s="91">
        <f>Weather!K239</f>
        <v>12.700000000000003</v>
      </c>
      <c r="BV119" s="91">
        <f>Weather!L239</f>
        <v>71.2</v>
      </c>
      <c r="BW119" s="91">
        <f>Weather!M239</f>
        <v>28.800000000000004</v>
      </c>
      <c r="BX119" s="91">
        <f>Weather!N239</f>
        <v>37.799999999999997</v>
      </c>
      <c r="BY119" s="91">
        <f>Weather!O239</f>
        <v>57.399999999999991</v>
      </c>
    </row>
    <row r="120" spans="1:77" x14ac:dyDescent="0.2">
      <c r="A120" s="66">
        <v>44165</v>
      </c>
      <c r="B120" s="114">
        <f>YEAR(A120)</f>
        <v>2020</v>
      </c>
      <c r="C120" s="104">
        <v>18736074.894379988</v>
      </c>
      <c r="D120" s="104">
        <v>3624554.3128952486</v>
      </c>
      <c r="E120" s="171">
        <f ca="1">CDM!D141</f>
        <v>1049115.2733087833</v>
      </c>
      <c r="F120" s="94">
        <f ca="1">C120+E120-D120</f>
        <v>16160635.854793523</v>
      </c>
      <c r="G120" s="94">
        <f ca="1">VLOOKUP(B120,CDM!$A$3:$G$14,7,FALSE)</f>
        <v>1049115.2733087833</v>
      </c>
      <c r="H120" s="94">
        <f t="shared" ca="1" si="65"/>
        <v>16160635.854793523</v>
      </c>
      <c r="I120" s="90">
        <f>Weather!F240</f>
        <v>309.59999999999997</v>
      </c>
      <c r="J120" s="90">
        <f>Weather!G240</f>
        <v>0.80000000000000071</v>
      </c>
      <c r="K120" s="108">
        <v>30</v>
      </c>
      <c r="L120" s="108">
        <f t="shared" ref="L120:W120" si="127">L108</f>
        <v>0</v>
      </c>
      <c r="M120" s="108">
        <f t="shared" si="127"/>
        <v>0</v>
      </c>
      <c r="N120" s="108">
        <f t="shared" si="127"/>
        <v>0</v>
      </c>
      <c r="O120" s="108">
        <f t="shared" si="127"/>
        <v>0</v>
      </c>
      <c r="P120" s="108">
        <f t="shared" si="127"/>
        <v>0</v>
      </c>
      <c r="Q120" s="108">
        <f t="shared" si="127"/>
        <v>0</v>
      </c>
      <c r="R120" s="108">
        <f t="shared" si="127"/>
        <v>0</v>
      </c>
      <c r="S120" s="108">
        <f t="shared" si="127"/>
        <v>0</v>
      </c>
      <c r="T120" s="108">
        <f t="shared" si="127"/>
        <v>0</v>
      </c>
      <c r="U120" s="108">
        <f t="shared" si="127"/>
        <v>0</v>
      </c>
      <c r="V120" s="108">
        <f t="shared" si="127"/>
        <v>1</v>
      </c>
      <c r="W120" s="108">
        <f t="shared" si="127"/>
        <v>0</v>
      </c>
      <c r="X120" s="109">
        <v>1</v>
      </c>
      <c r="Y120" s="108">
        <f t="shared" si="116"/>
        <v>0</v>
      </c>
      <c r="Z120" s="108">
        <f t="shared" si="116"/>
        <v>1</v>
      </c>
      <c r="AA120" s="152">
        <v>1</v>
      </c>
      <c r="AB120" s="68">
        <v>0.5</v>
      </c>
      <c r="AC120" s="152">
        <f t="shared" si="119"/>
        <v>251.89999999999998</v>
      </c>
      <c r="AD120" s="152">
        <f t="shared" si="120"/>
        <v>3.1000000000000014</v>
      </c>
      <c r="AE120" s="152">
        <v>1</v>
      </c>
      <c r="AF120" s="150">
        <f>'Customer Count'!I120</f>
        <v>14421</v>
      </c>
      <c r="AG120" s="150">
        <f>AF120-'Customer Count'!G120-'Customer Count'!F120</f>
        <v>11679</v>
      </c>
      <c r="AH120" s="150">
        <f>AF120-'Customer Count'!H120</f>
        <v>14420</v>
      </c>
      <c r="AI120" s="109">
        <f t="shared" si="70"/>
        <v>119</v>
      </c>
      <c r="AJ120" s="109">
        <v>336</v>
      </c>
      <c r="AK120" s="91">
        <v>164.88708125228533</v>
      </c>
      <c r="AL120" s="91">
        <f>Economic!C132</f>
        <v>747589.4</v>
      </c>
      <c r="AM120" s="91">
        <f>Economic!D132</f>
        <v>7269.2</v>
      </c>
      <c r="AN120" s="91">
        <f>Economic!E132</f>
        <v>7284.9</v>
      </c>
      <c r="AO120" s="91">
        <f>Economic!F132</f>
        <v>9.4</v>
      </c>
      <c r="AP120" s="91">
        <f>Economic!G132</f>
        <v>8.6999999999999993</v>
      </c>
      <c r="AQ120" s="91">
        <f>Economic!H132</f>
        <v>393.8</v>
      </c>
      <c r="AR120" s="91">
        <f>Economic!I132</f>
        <v>397.2</v>
      </c>
      <c r="AS120" s="91">
        <f>Economic!J132</f>
        <v>8</v>
      </c>
      <c r="AT120" s="91">
        <f>Economic!K132</f>
        <v>7.6</v>
      </c>
      <c r="AU120" s="91">
        <f>Economic!L132</f>
        <v>195.7</v>
      </c>
      <c r="AV120" s="91">
        <f>Economic!M132</f>
        <v>197.8</v>
      </c>
      <c r="AW120" s="91">
        <f>Economic!N132</f>
        <v>7.2</v>
      </c>
      <c r="AX120" s="91">
        <f>Economic!O132</f>
        <v>6.7</v>
      </c>
      <c r="AY120" s="91">
        <f>Economic!P132</f>
        <v>0</v>
      </c>
      <c r="AZ120" s="91">
        <f>Economic!Q132</f>
        <v>-3.3003871070730217E-2</v>
      </c>
      <c r="BA120" s="91">
        <f>Economic!R132</f>
        <v>-3.2562648570404251E-2</v>
      </c>
      <c r="BB120" s="91">
        <f>Economic!S132</f>
        <v>-7.883040935672514E-2</v>
      </c>
      <c r="BC120" s="91">
        <f>Economic!T132</f>
        <v>-8.5424821551922658E-2</v>
      </c>
      <c r="BD120" s="91">
        <f>Economic!U132</f>
        <v>-4.4899951195705334E-2</v>
      </c>
      <c r="BE120" s="91">
        <f>Economic!V132</f>
        <v>-3.606237816764124E-2</v>
      </c>
      <c r="BF120" s="91">
        <f>Economic!W132</f>
        <v>0</v>
      </c>
      <c r="BG120" s="91">
        <f>Economic!X132</f>
        <v>-248.10000000000036</v>
      </c>
      <c r="BH120" s="91">
        <f>Economic!Y132</f>
        <v>-245.20000000000073</v>
      </c>
      <c r="BI120" s="91">
        <f>Economic!Z132</f>
        <v>-33.699999999999989</v>
      </c>
      <c r="BJ120" s="91">
        <f>Economic!AA132</f>
        <v>-37.100000000000023</v>
      </c>
      <c r="BK120" s="91">
        <f>Economic!AB132</f>
        <v>-9.2000000000000171</v>
      </c>
      <c r="BL120" s="91">
        <f>Economic!AC132</f>
        <v>-7.3999999999999773</v>
      </c>
      <c r="BM120" s="91">
        <f>Weather!C240</f>
        <v>7.7066666666666697</v>
      </c>
      <c r="BN120" s="91">
        <f>Weather!D240</f>
        <v>368.79999999999995</v>
      </c>
      <c r="BO120" s="91">
        <f>Weather!E240</f>
        <v>0</v>
      </c>
      <c r="BP120" s="91">
        <f>Weather!F240</f>
        <v>309.59999999999997</v>
      </c>
      <c r="BQ120" s="91">
        <f>Weather!G240</f>
        <v>0.80000000000000071</v>
      </c>
      <c r="BR120" s="91">
        <f>Weather!H240</f>
        <v>251.89999999999998</v>
      </c>
      <c r="BS120" s="91">
        <f>Weather!I240</f>
        <v>3.1000000000000014</v>
      </c>
      <c r="BT120" s="91">
        <f>Weather!J240</f>
        <v>202.39999999999995</v>
      </c>
      <c r="BU120" s="91">
        <f>Weather!K240</f>
        <v>13.600000000000001</v>
      </c>
      <c r="BV120" s="91">
        <f>Weather!L240</f>
        <v>157.19999999999996</v>
      </c>
      <c r="BW120" s="91">
        <f>Weather!M240</f>
        <v>28.400000000000002</v>
      </c>
      <c r="BX120" s="91">
        <f>Weather!N240</f>
        <v>114.20000000000002</v>
      </c>
      <c r="BY120" s="91">
        <f>Weather!O240</f>
        <v>45.400000000000006</v>
      </c>
    </row>
    <row r="121" spans="1:77" x14ac:dyDescent="0.2">
      <c r="A121" s="66">
        <v>44196</v>
      </c>
      <c r="B121" s="114">
        <f>YEAR(A121)</f>
        <v>2020</v>
      </c>
      <c r="C121" s="104">
        <v>22275090.071478143</v>
      </c>
      <c r="D121" s="104">
        <v>4690646.6356936488</v>
      </c>
      <c r="E121" s="171">
        <f ca="1">CDM!D142</f>
        <v>1049115.2733087833</v>
      </c>
      <c r="F121" s="94">
        <f ca="1">C121+E121-D121</f>
        <v>18633558.70909328</v>
      </c>
      <c r="G121" s="94">
        <f ca="1">VLOOKUP(B121,CDM!$A$3:$G$14,7,FALSE)</f>
        <v>1049115.2733087833</v>
      </c>
      <c r="H121" s="94">
        <f t="shared" ca="1" si="65"/>
        <v>18633558.70909328</v>
      </c>
      <c r="I121" s="90">
        <f>Weather!F241</f>
        <v>537.9</v>
      </c>
      <c r="J121" s="90">
        <f>Weather!G241</f>
        <v>0</v>
      </c>
      <c r="K121" s="108">
        <v>31</v>
      </c>
      <c r="L121" s="108">
        <f t="shared" ref="L121:W121" si="128">L109</f>
        <v>0</v>
      </c>
      <c r="M121" s="108">
        <f t="shared" si="128"/>
        <v>0</v>
      </c>
      <c r="N121" s="108">
        <f t="shared" si="128"/>
        <v>0</v>
      </c>
      <c r="O121" s="108">
        <f t="shared" si="128"/>
        <v>0</v>
      </c>
      <c r="P121" s="108">
        <f t="shared" si="128"/>
        <v>0</v>
      </c>
      <c r="Q121" s="108">
        <f t="shared" si="128"/>
        <v>0</v>
      </c>
      <c r="R121" s="108">
        <f t="shared" si="128"/>
        <v>0</v>
      </c>
      <c r="S121" s="108">
        <f t="shared" si="128"/>
        <v>0</v>
      </c>
      <c r="T121" s="108">
        <f t="shared" si="128"/>
        <v>0</v>
      </c>
      <c r="U121" s="108">
        <f t="shared" si="128"/>
        <v>0</v>
      </c>
      <c r="V121" s="108">
        <f t="shared" si="128"/>
        <v>0</v>
      </c>
      <c r="W121" s="108">
        <f t="shared" si="128"/>
        <v>1</v>
      </c>
      <c r="X121" s="109">
        <v>0</v>
      </c>
      <c r="Y121" s="108">
        <f t="shared" si="116"/>
        <v>0</v>
      </c>
      <c r="Z121" s="108">
        <f t="shared" si="116"/>
        <v>0</v>
      </c>
      <c r="AA121" s="152">
        <v>1</v>
      </c>
      <c r="AB121" s="68">
        <v>1</v>
      </c>
      <c r="AC121" s="152">
        <f t="shared" si="119"/>
        <v>475.89999999999986</v>
      </c>
      <c r="AD121" s="152">
        <f t="shared" si="120"/>
        <v>0</v>
      </c>
      <c r="AE121" s="152">
        <v>1</v>
      </c>
      <c r="AF121" s="150">
        <f>'Customer Count'!I121</f>
        <v>14427</v>
      </c>
      <c r="AG121" s="150">
        <f>AF121-'Customer Count'!G121-'Customer Count'!F121</f>
        <v>11685</v>
      </c>
      <c r="AH121" s="150">
        <f>AF121-'Customer Count'!H121</f>
        <v>14426</v>
      </c>
      <c r="AI121" s="109">
        <f t="shared" si="70"/>
        <v>120</v>
      </c>
      <c r="AJ121" s="109">
        <v>336</v>
      </c>
      <c r="AK121" s="91">
        <v>165.18636828106963</v>
      </c>
      <c r="AL121" s="91">
        <f>Economic!C133</f>
        <v>747589.4</v>
      </c>
      <c r="AM121" s="91">
        <f>Economic!D133</f>
        <v>7287.6</v>
      </c>
      <c r="AN121" s="91">
        <f>Economic!E133</f>
        <v>7299.1</v>
      </c>
      <c r="AO121" s="91">
        <f>Economic!F133</f>
        <v>9.4</v>
      </c>
      <c r="AP121" s="91">
        <f>Economic!G133</f>
        <v>8.5</v>
      </c>
      <c r="AQ121" s="91">
        <f>Economic!H133</f>
        <v>402.5</v>
      </c>
      <c r="AR121" s="91">
        <f>Economic!I133</f>
        <v>409</v>
      </c>
      <c r="AS121" s="91">
        <f>Economic!J133</f>
        <v>8.1</v>
      </c>
      <c r="AT121" s="91">
        <f>Economic!K133</f>
        <v>7.2</v>
      </c>
      <c r="AU121" s="91">
        <f>Economic!L133</f>
        <v>191.6</v>
      </c>
      <c r="AV121" s="91">
        <f>Economic!M133</f>
        <v>193.8</v>
      </c>
      <c r="AW121" s="91">
        <f>Economic!N133</f>
        <v>9.1</v>
      </c>
      <c r="AX121" s="91">
        <f>Economic!O133</f>
        <v>8.6999999999999993</v>
      </c>
      <c r="AY121" s="91">
        <f>Economic!P133</f>
        <v>0</v>
      </c>
      <c r="AZ121" s="91">
        <f>Economic!Q133</f>
        <v>-3.1548172757475013E-2</v>
      </c>
      <c r="BA121" s="91">
        <f>Economic!R133</f>
        <v>-3.1332944049262013E-2</v>
      </c>
      <c r="BB121" s="91">
        <f>Economic!S133</f>
        <v>-6.2863795110593701E-2</v>
      </c>
      <c r="BC121" s="91">
        <f>Economic!T133</f>
        <v>-6.5356489945155416E-2</v>
      </c>
      <c r="BD121" s="91">
        <f>Economic!U133</f>
        <v>-7.2154963680387429E-2</v>
      </c>
      <c r="BE121" s="91">
        <f>Economic!V133</f>
        <v>-6.2862669245647984E-2</v>
      </c>
      <c r="BF121" s="91">
        <f>Economic!W133</f>
        <v>0</v>
      </c>
      <c r="BG121" s="91">
        <f>Economic!X133</f>
        <v>-237.39999999999964</v>
      </c>
      <c r="BH121" s="91">
        <f>Economic!Y133</f>
        <v>-236.09999999999945</v>
      </c>
      <c r="BI121" s="91">
        <f>Economic!Z133</f>
        <v>-27</v>
      </c>
      <c r="BJ121" s="91">
        <f>Economic!AA133</f>
        <v>-28.600000000000023</v>
      </c>
      <c r="BK121" s="91">
        <f>Economic!AB133</f>
        <v>-14.900000000000006</v>
      </c>
      <c r="BL121" s="91">
        <f>Economic!AC133</f>
        <v>-13</v>
      </c>
      <c r="BM121" s="91">
        <f>Weather!C241</f>
        <v>0.64838709677419371</v>
      </c>
      <c r="BN121" s="91">
        <f>Weather!D241</f>
        <v>599.90000000000009</v>
      </c>
      <c r="BO121" s="91">
        <f>Weather!E241</f>
        <v>0</v>
      </c>
      <c r="BP121" s="91">
        <f>Weather!F241</f>
        <v>537.9</v>
      </c>
      <c r="BQ121" s="91">
        <f>Weather!G241</f>
        <v>0</v>
      </c>
      <c r="BR121" s="91">
        <f>Weather!H241</f>
        <v>475.89999999999986</v>
      </c>
      <c r="BS121" s="91">
        <f>Weather!I241</f>
        <v>0</v>
      </c>
      <c r="BT121" s="91">
        <f>Weather!J241</f>
        <v>413.89999999999992</v>
      </c>
      <c r="BU121" s="91">
        <f>Weather!K241</f>
        <v>0</v>
      </c>
      <c r="BV121" s="91">
        <f>Weather!L241</f>
        <v>351.89999999999992</v>
      </c>
      <c r="BW121" s="91">
        <f>Weather!M241</f>
        <v>0</v>
      </c>
      <c r="BX121" s="91">
        <f>Weather!N241</f>
        <v>289.89999999999992</v>
      </c>
      <c r="BY121" s="91">
        <f>Weather!O241</f>
        <v>0</v>
      </c>
    </row>
    <row r="122" spans="1:77" x14ac:dyDescent="0.2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 s="61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</row>
    <row r="123" spans="1:77" x14ac:dyDescent="0.2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</row>
    <row r="124" spans="1:77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</row>
    <row r="125" spans="1:77" x14ac:dyDescent="0.2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</row>
    <row r="126" spans="1:77" x14ac:dyDescent="0.2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</row>
    <row r="127" spans="1:77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</row>
    <row r="128" spans="1:77" x14ac:dyDescent="0.2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</row>
    <row r="129" spans="1:77" x14ac:dyDescent="0.2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</row>
    <row r="130" spans="1:77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</row>
    <row r="131" spans="1:77" x14ac:dyDescent="0.2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</row>
    <row r="132" spans="1:77" x14ac:dyDescent="0.2">
      <c r="A132"/>
      <c r="B132"/>
      <c r="AA132" s="60"/>
      <c r="AB132" s="60"/>
      <c r="AC132" s="195"/>
      <c r="AD132" s="195"/>
    </row>
    <row r="133" spans="1:77" x14ac:dyDescent="0.2">
      <c r="A133"/>
      <c r="B133"/>
      <c r="AA133" s="60"/>
      <c r="AB133" s="60"/>
      <c r="AC133" s="195"/>
      <c r="AD133" s="195"/>
    </row>
    <row r="134" spans="1:77" x14ac:dyDescent="0.2">
      <c r="A134"/>
      <c r="B134"/>
      <c r="AA134" s="60"/>
      <c r="AB134" s="60"/>
      <c r="AC134" s="195"/>
      <c r="AD134" s="195"/>
    </row>
    <row r="135" spans="1:77" x14ac:dyDescent="0.2">
      <c r="A135"/>
      <c r="B135"/>
      <c r="AA135" s="60"/>
      <c r="AB135" s="60"/>
      <c r="AC135" s="195"/>
      <c r="AD135" s="195"/>
    </row>
    <row r="136" spans="1:77" x14ac:dyDescent="0.2">
      <c r="A136"/>
      <c r="B136"/>
      <c r="AA136" s="60"/>
      <c r="AB136" s="60"/>
      <c r="AC136" s="195"/>
      <c r="AD136" s="195"/>
    </row>
    <row r="137" spans="1:77" x14ac:dyDescent="0.2">
      <c r="A137"/>
      <c r="B137"/>
      <c r="AA137" s="60"/>
      <c r="AB137" s="60"/>
      <c r="AC137" s="195"/>
      <c r="AD137" s="195"/>
    </row>
    <row r="138" spans="1:77" x14ac:dyDescent="0.2">
      <c r="A138"/>
      <c r="B138"/>
      <c r="AA138" s="60"/>
      <c r="AB138" s="60"/>
      <c r="AC138" s="195"/>
      <c r="AD138" s="195"/>
    </row>
    <row r="139" spans="1:77" x14ac:dyDescent="0.2">
      <c r="A139"/>
      <c r="B139"/>
      <c r="AA139" s="60"/>
      <c r="AB139" s="60"/>
      <c r="AC139" s="195"/>
      <c r="AD139" s="195"/>
    </row>
    <row r="140" spans="1:77" x14ac:dyDescent="0.2">
      <c r="A140"/>
      <c r="B140"/>
      <c r="AA140" s="60"/>
      <c r="AB140" s="60"/>
      <c r="AC140" s="195"/>
      <c r="AD140" s="195"/>
    </row>
    <row r="141" spans="1:77" x14ac:dyDescent="0.2">
      <c r="A141"/>
      <c r="B141"/>
      <c r="AA141" s="60"/>
      <c r="AB141" s="60"/>
      <c r="AC141" s="195"/>
      <c r="AD141" s="195"/>
    </row>
    <row r="142" spans="1:77" x14ac:dyDescent="0.2">
      <c r="A142"/>
      <c r="B142"/>
      <c r="AA142" s="60"/>
      <c r="AB142" s="60"/>
      <c r="AC142" s="195"/>
      <c r="AD142" s="195"/>
    </row>
    <row r="143" spans="1:77" x14ac:dyDescent="0.2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</row>
    <row r="144" spans="1:77" x14ac:dyDescent="0.2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</row>
    <row r="145" spans="27:30" x14ac:dyDescent="0.2">
      <c r="AA145" s="60"/>
      <c r="AB145" s="60"/>
      <c r="AC145" s="195"/>
      <c r="AD145" s="195"/>
    </row>
    <row r="146" spans="27:30" x14ac:dyDescent="0.2">
      <c r="AA146" s="60"/>
      <c r="AB146" s="60"/>
      <c r="AC146" s="195"/>
      <c r="AD146" s="195"/>
    </row>
    <row r="147" spans="27:30" x14ac:dyDescent="0.2">
      <c r="AA147" s="60"/>
      <c r="AB147" s="60"/>
      <c r="AC147" s="195"/>
      <c r="AD147" s="195"/>
    </row>
    <row r="148" spans="27:30" x14ac:dyDescent="0.2">
      <c r="AA148" s="60"/>
      <c r="AB148" s="60"/>
      <c r="AC148" s="195"/>
      <c r="AD148" s="195"/>
    </row>
    <row r="149" spans="27:30" x14ac:dyDescent="0.2">
      <c r="AA149" s="60"/>
      <c r="AB149" s="60"/>
      <c r="AC149" s="195"/>
      <c r="AD149" s="195"/>
    </row>
    <row r="150" spans="27:30" x14ac:dyDescent="0.2">
      <c r="AA150" s="60"/>
      <c r="AB150" s="60"/>
      <c r="AC150" s="195"/>
      <c r="AD150" s="195"/>
    </row>
    <row r="151" spans="27:30" x14ac:dyDescent="0.2">
      <c r="AA151" s="60"/>
      <c r="AB151" s="60"/>
      <c r="AC151" s="195"/>
      <c r="AD151" s="195"/>
    </row>
    <row r="152" spans="27:30" x14ac:dyDescent="0.2">
      <c r="AA152" s="60"/>
      <c r="AB152" s="60"/>
      <c r="AC152" s="195"/>
      <c r="AD152" s="195"/>
    </row>
    <row r="153" spans="27:30" x14ac:dyDescent="0.2">
      <c r="AA153" s="60"/>
      <c r="AB153" s="60"/>
      <c r="AC153" s="195"/>
      <c r="AD153" s="195"/>
    </row>
    <row r="154" spans="27:30" x14ac:dyDescent="0.2">
      <c r="AA154" s="60"/>
      <c r="AB154" s="60"/>
      <c r="AC154" s="195"/>
      <c r="AD154" s="195"/>
    </row>
    <row r="155" spans="27:30" x14ac:dyDescent="0.2">
      <c r="AA155" s="60"/>
      <c r="AB155" s="60"/>
      <c r="AC155" s="195"/>
      <c r="AD155" s="195"/>
    </row>
    <row r="156" spans="27:30" x14ac:dyDescent="0.2">
      <c r="AA156" s="60"/>
      <c r="AB156" s="60"/>
      <c r="AC156" s="195"/>
      <c r="AD156" s="195"/>
    </row>
    <row r="157" spans="27:30" x14ac:dyDescent="0.2">
      <c r="AA157" s="60"/>
      <c r="AB157" s="60"/>
      <c r="AC157" s="195"/>
      <c r="AD157" s="195"/>
    </row>
  </sheetData>
  <phoneticPr fontId="12" type="noConversion"/>
  <printOptions gridLines="1"/>
  <pageMargins left="0.38" right="0.75" top="0.73" bottom="0.74" header="0.5" footer="0.5"/>
  <pageSetup scale="15" orientation="landscape" r:id="rId1"/>
  <headerFooter alignWithMargins="0">
    <oddFooter>&amp;L&amp;Z&amp;F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BX83"/>
  <sheetViews>
    <sheetView workbookViewId="0">
      <pane xSplit="1" ySplit="1" topLeftCell="B2" activePane="bottomRight" state="frozen"/>
      <selection activeCell="K26" sqref="K26"/>
      <selection pane="topRight" activeCell="K26" sqref="K26"/>
      <selection pane="bottomLeft" activeCell="K26" sqref="K26"/>
      <selection pane="bottomRight" activeCell="K26" sqref="K26"/>
    </sheetView>
  </sheetViews>
  <sheetFormatPr defaultRowHeight="12.75" x14ac:dyDescent="0.2"/>
  <cols>
    <col min="1" max="2" width="11.85546875" style="32" customWidth="1"/>
    <col min="3" max="8" width="16.85546875" style="6" customWidth="1"/>
    <col min="9" max="9" width="11.5703125" style="245" customWidth="1"/>
    <col min="10" max="10" width="13.42578125" style="245" customWidth="1"/>
    <col min="11" max="23" width="10.140625" style="245" customWidth="1"/>
    <col min="24" max="26" width="12.42578125" style="245" customWidth="1"/>
    <col min="27" max="31" width="12.140625" style="29" customWidth="1"/>
    <col min="32" max="33" width="13" style="19" customWidth="1"/>
    <col min="34" max="34" width="11" style="19" customWidth="1"/>
    <col min="35" max="35" width="14.85546875" style="19" customWidth="1"/>
    <col min="36" max="76" width="12.140625" style="29" customWidth="1"/>
  </cols>
  <sheetData>
    <row r="1" spans="1:76" s="28" customFormat="1" ht="76.5" x14ac:dyDescent="0.2">
      <c r="A1" s="131" t="s">
        <v>129</v>
      </c>
      <c r="B1" s="131" t="s">
        <v>84</v>
      </c>
      <c r="C1" s="80" t="s">
        <v>71</v>
      </c>
      <c r="D1" s="80" t="s">
        <v>144</v>
      </c>
      <c r="E1" s="80" t="s">
        <v>147</v>
      </c>
      <c r="F1" s="80" t="s">
        <v>145</v>
      </c>
      <c r="G1" s="80" t="s">
        <v>177</v>
      </c>
      <c r="H1" s="80" t="s">
        <v>178</v>
      </c>
      <c r="I1" s="81" t="s">
        <v>4</v>
      </c>
      <c r="J1" s="81" t="s">
        <v>5</v>
      </c>
      <c r="K1" s="81" t="s">
        <v>6</v>
      </c>
      <c r="L1" s="81" t="s">
        <v>103</v>
      </c>
      <c r="M1" s="81" t="s">
        <v>104</v>
      </c>
      <c r="N1" s="81" t="s">
        <v>105</v>
      </c>
      <c r="O1" s="81" t="s">
        <v>106</v>
      </c>
      <c r="P1" s="81" t="s">
        <v>38</v>
      </c>
      <c r="Q1" s="81" t="s">
        <v>136</v>
      </c>
      <c r="R1" s="81" t="s">
        <v>137</v>
      </c>
      <c r="S1" s="81" t="s">
        <v>138</v>
      </c>
      <c r="T1" s="81" t="s">
        <v>139</v>
      </c>
      <c r="U1" s="81" t="s">
        <v>108</v>
      </c>
      <c r="V1" s="81" t="s">
        <v>109</v>
      </c>
      <c r="W1" s="81" t="s">
        <v>110</v>
      </c>
      <c r="X1" s="81" t="s">
        <v>19</v>
      </c>
      <c r="Y1" s="81" t="s">
        <v>185</v>
      </c>
      <c r="Z1" s="81" t="s">
        <v>186</v>
      </c>
      <c r="AA1" s="82" t="s">
        <v>115</v>
      </c>
      <c r="AB1" s="82" t="s">
        <v>188</v>
      </c>
      <c r="AC1" s="82" t="s">
        <v>209</v>
      </c>
      <c r="AD1" s="82" t="s">
        <v>206</v>
      </c>
      <c r="AE1" s="82" t="s">
        <v>148</v>
      </c>
      <c r="AF1" s="81" t="s">
        <v>41</v>
      </c>
      <c r="AG1" s="81" t="s">
        <v>199</v>
      </c>
      <c r="AH1" s="81" t="s">
        <v>62</v>
      </c>
      <c r="AI1" s="81" t="s">
        <v>7</v>
      </c>
      <c r="AJ1" s="82" t="s">
        <v>8</v>
      </c>
      <c r="AK1" s="82" t="str">
        <f>Economic!C1</f>
        <v>OntarioGDP</v>
      </c>
      <c r="AL1" s="82" t="str">
        <f>Economic!D1</f>
        <v>OntarioFTEAdj</v>
      </c>
      <c r="AM1" s="82" t="str">
        <f>Economic!E1</f>
        <v>OntarioFTE</v>
      </c>
      <c r="AN1" s="82" t="str">
        <f>Economic!F1</f>
        <v>OntarioUnemployAdj</v>
      </c>
      <c r="AO1" s="82" t="str">
        <f>Economic!G1</f>
        <v>OntarioUnemploy</v>
      </c>
      <c r="AP1" s="82" t="str">
        <f>Economic!H1</f>
        <v>HamiltonFTEAdj</v>
      </c>
      <c r="AQ1" s="82" t="str">
        <f>Economic!I1</f>
        <v>HamiltonFTE</v>
      </c>
      <c r="AR1" s="82" t="str">
        <f>Economic!J1</f>
        <v>HamiltonUnemployAdj</v>
      </c>
      <c r="AS1" s="82" t="str">
        <f>Economic!K1</f>
        <v>HamiltonUnemploy</v>
      </c>
      <c r="AT1" s="82" t="str">
        <f>Economic!L1</f>
        <v>StCathFTEAdj</v>
      </c>
      <c r="AU1" s="82" t="str">
        <f>Economic!M1</f>
        <v>StCathFTE</v>
      </c>
      <c r="AV1" s="82" t="str">
        <f>Economic!N1</f>
        <v>StCathUnemployAdj</v>
      </c>
      <c r="AW1" s="82" t="str">
        <f>Economic!O1</f>
        <v>StCathUnemploy</v>
      </c>
      <c r="AX1" s="82" t="str">
        <f>Economic!P1</f>
        <v>OntarioGDP%Change</v>
      </c>
      <c r="AY1" s="82" t="str">
        <f>Economic!Q1</f>
        <v>OntarioFTEAdj%Change</v>
      </c>
      <c r="AZ1" s="82" t="str">
        <f>Economic!R1</f>
        <v>OntarioFTE%Change</v>
      </c>
      <c r="BA1" s="82" t="str">
        <f>Economic!S1</f>
        <v>HamiltonFTEAdj%Change</v>
      </c>
      <c r="BB1" s="82" t="str">
        <f>Economic!T1</f>
        <v>HamiltonFTE%Change</v>
      </c>
      <c r="BC1" s="82" t="str">
        <f>Economic!U1</f>
        <v>StCathFTEAdj%Change</v>
      </c>
      <c r="BD1" s="82" t="str">
        <f>Economic!V1</f>
        <v>StCathFTE%Change</v>
      </c>
      <c r="BE1" s="82" t="str">
        <f>Economic!W1</f>
        <v>OntarioGDPChange</v>
      </c>
      <c r="BF1" s="82" t="str">
        <f>Economic!X1</f>
        <v>OntarioFTEAdjChange</v>
      </c>
      <c r="BG1" s="82" t="str">
        <f>Economic!Y1</f>
        <v>OntarioFTEChange</v>
      </c>
      <c r="BH1" s="82" t="str">
        <f>Economic!Z1</f>
        <v>HamiltonFTEAdjChange</v>
      </c>
      <c r="BI1" s="82" t="str">
        <f>Economic!AA1</f>
        <v>HamiltonFTEChange</v>
      </c>
      <c r="BJ1" s="82" t="str">
        <f>Economic!AB1</f>
        <v>StCathFTEAdjChange</v>
      </c>
      <c r="BK1" s="82" t="str">
        <f>Economic!AC1</f>
        <v>StCathFTEChange</v>
      </c>
      <c r="BL1" s="82" t="str">
        <f>Weather!C1</f>
        <v>MeanTemp</v>
      </c>
      <c r="BM1" s="82" t="str">
        <f>Weather!D1</f>
        <v>HDD20</v>
      </c>
      <c r="BN1" s="82" t="str">
        <f>Weather!E1</f>
        <v>CDD20</v>
      </c>
      <c r="BO1" s="82" t="str">
        <f>Weather!F1</f>
        <v>HDD18</v>
      </c>
      <c r="BP1" s="82" t="str">
        <f>Weather!G1</f>
        <v>CDD18</v>
      </c>
      <c r="BQ1" s="82" t="str">
        <f>Weather!H1</f>
        <v>HDD16</v>
      </c>
      <c r="BR1" s="82" t="str">
        <f>Weather!I1</f>
        <v>CDD16</v>
      </c>
      <c r="BS1" s="82" t="str">
        <f>Weather!J1</f>
        <v>HDD14</v>
      </c>
      <c r="BT1" s="82" t="str">
        <f>Weather!K1</f>
        <v>CDD14</v>
      </c>
      <c r="BU1" s="82" t="str">
        <f>Weather!L1</f>
        <v>HDD12</v>
      </c>
      <c r="BV1" s="82" t="str">
        <f>Weather!M1</f>
        <v>CDD12</v>
      </c>
      <c r="BW1" s="82" t="str">
        <f>Weather!N1</f>
        <v>HDD10</v>
      </c>
      <c r="BX1" s="82" t="str">
        <f>Weather!O1</f>
        <v>CDD10</v>
      </c>
    </row>
    <row r="2" spans="1:76" x14ac:dyDescent="0.2">
      <c r="A2" s="66">
        <v>42825</v>
      </c>
      <c r="B2" s="114">
        <f t="shared" ref="B2:B44" si="0">YEAR(A2)</f>
        <v>2017</v>
      </c>
      <c r="C2" s="104">
        <v>17164609.959131006</v>
      </c>
      <c r="D2" s="104">
        <v>2413945.7550129993</v>
      </c>
      <c r="E2" s="171">
        <f ca="1">CDM!D97</f>
        <v>840037.47472214</v>
      </c>
      <c r="F2" s="94">
        <f t="shared" ref="F2:F44" ca="1" si="1">C2+E2-D2</f>
        <v>15590701.678840145</v>
      </c>
      <c r="G2" s="94">
        <f ca="1">VLOOKUP(B2,CDM!$A$3:$G$14,7,FALSE)</f>
        <v>898139.50877827685</v>
      </c>
      <c r="H2" s="94">
        <f t="shared" ref="H2:H47" ca="1" si="2">C2-D2+G2</f>
        <v>15648803.712896284</v>
      </c>
      <c r="I2" s="90">
        <f>Weather!F196</f>
        <v>540.6</v>
      </c>
      <c r="J2" s="90">
        <f>Weather!G196</f>
        <v>0</v>
      </c>
      <c r="K2" s="108">
        <v>31</v>
      </c>
      <c r="L2" s="108">
        <f>Data!L76</f>
        <v>0</v>
      </c>
      <c r="M2" s="108">
        <f>Data!M76</f>
        <v>0</v>
      </c>
      <c r="N2" s="108">
        <f>Data!N76</f>
        <v>1</v>
      </c>
      <c r="O2" s="108">
        <f>Data!O76</f>
        <v>0</v>
      </c>
      <c r="P2" s="108">
        <f>Data!P76</f>
        <v>0</v>
      </c>
      <c r="Q2" s="108">
        <f>Data!Q76</f>
        <v>0</v>
      </c>
      <c r="R2" s="108">
        <f>Data!R76</f>
        <v>0</v>
      </c>
      <c r="S2" s="108">
        <f>Data!S76</f>
        <v>0</v>
      </c>
      <c r="T2" s="108">
        <f>Data!T76</f>
        <v>0</v>
      </c>
      <c r="U2" s="108">
        <f>Data!U76</f>
        <v>0</v>
      </c>
      <c r="V2" s="108">
        <f>Data!V76</f>
        <v>0</v>
      </c>
      <c r="W2" s="108">
        <f>Data!W76</f>
        <v>0</v>
      </c>
      <c r="X2" s="109">
        <v>1</v>
      </c>
      <c r="Y2" s="108">
        <f>Data!Y76</f>
        <v>1</v>
      </c>
      <c r="Z2" s="108">
        <f>Data!Z76</f>
        <v>0</v>
      </c>
      <c r="AA2" s="152">
        <v>0</v>
      </c>
      <c r="AB2" s="152">
        <v>0</v>
      </c>
      <c r="AC2" s="152">
        <f t="shared" ref="AC2:AC37" si="3">AA2*I2</f>
        <v>0</v>
      </c>
      <c r="AD2" s="152">
        <f t="shared" ref="AD2:AD37" si="4">AA2*J2</f>
        <v>0</v>
      </c>
      <c r="AE2" s="152">
        <v>0</v>
      </c>
      <c r="AF2" s="150">
        <f>'Customer Count'!I76</f>
        <v>13897</v>
      </c>
      <c r="AG2" s="150">
        <f>AF2-'Customer Count'!G76-'Customer Count'!F76</f>
        <v>11198.5</v>
      </c>
      <c r="AH2" s="109">
        <f>1</f>
        <v>1</v>
      </c>
      <c r="AI2" s="109">
        <v>352</v>
      </c>
      <c r="AJ2" s="91">
        <v>151.61059696663892</v>
      </c>
      <c r="AK2" s="91">
        <f>Economic!C88</f>
        <v>711695.1</v>
      </c>
      <c r="AL2" s="91">
        <f>Economic!D88</f>
        <v>7074.2</v>
      </c>
      <c r="AM2" s="91">
        <f>Economic!E88</f>
        <v>6972</v>
      </c>
      <c r="AN2" s="91">
        <f>Economic!F88</f>
        <v>6.3</v>
      </c>
      <c r="AO2" s="91">
        <f>Economic!G88</f>
        <v>6.5</v>
      </c>
      <c r="AP2" s="91">
        <f>Economic!H88</f>
        <v>402</v>
      </c>
      <c r="AQ2" s="91">
        <f>Economic!I88</f>
        <v>396.5</v>
      </c>
      <c r="AR2" s="91">
        <f>Economic!J88</f>
        <v>5.8</v>
      </c>
      <c r="AS2" s="91">
        <f>Economic!K88</f>
        <v>5.8</v>
      </c>
      <c r="AT2" s="91">
        <f>Economic!L88</f>
        <v>196.4</v>
      </c>
      <c r="AU2" s="91">
        <f>Economic!M88</f>
        <v>191</v>
      </c>
      <c r="AV2" s="91">
        <f>Economic!N88</f>
        <v>6.8</v>
      </c>
      <c r="AW2" s="91">
        <f>Economic!O88</f>
        <v>7.7</v>
      </c>
      <c r="AX2" s="91">
        <f>Economic!P88</f>
        <v>2.7539311554027668E-2</v>
      </c>
      <c r="AY2" s="91">
        <f>Economic!Q88</f>
        <v>1.3771657041314889E-2</v>
      </c>
      <c r="AZ2" s="91">
        <f>Economic!R88</f>
        <v>1.449275362318847E-2</v>
      </c>
      <c r="BA2" s="91">
        <f>Economic!S88</f>
        <v>4.3613707165109039E-2</v>
      </c>
      <c r="BB2" s="91">
        <f>Economic!T88</f>
        <v>4.6450250725785125E-2</v>
      </c>
      <c r="BC2" s="91">
        <f>Economic!U88</f>
        <v>-3.4414945919370665E-2</v>
      </c>
      <c r="BD2" s="91">
        <f>Economic!V88</f>
        <v>-3.7783375314861423E-2</v>
      </c>
      <c r="BE2" s="91">
        <f>Economic!W88</f>
        <v>19074.29999999993</v>
      </c>
      <c r="BF2" s="91">
        <f>Economic!X88</f>
        <v>96.099999999999454</v>
      </c>
      <c r="BG2" s="91">
        <f>Economic!Y88</f>
        <v>99.600000000000364</v>
      </c>
      <c r="BH2" s="91">
        <f>Economic!Z88</f>
        <v>16.800000000000011</v>
      </c>
      <c r="BI2" s="91">
        <f>Economic!AA88</f>
        <v>17.600000000000023</v>
      </c>
      <c r="BJ2" s="91">
        <f>Economic!AB88</f>
        <v>-7</v>
      </c>
      <c r="BK2" s="91">
        <f>Economic!AC88</f>
        <v>-7.5</v>
      </c>
      <c r="BL2" s="91">
        <f>Weather!C196</f>
        <v>0.56129032258064526</v>
      </c>
      <c r="BM2" s="91">
        <f>Weather!D196</f>
        <v>602.60000000000014</v>
      </c>
      <c r="BN2" s="91">
        <f>Weather!E196</f>
        <v>0</v>
      </c>
      <c r="BO2" s="91">
        <f>Weather!F196</f>
        <v>540.6</v>
      </c>
      <c r="BP2" s="91">
        <f>Weather!G196</f>
        <v>0</v>
      </c>
      <c r="BQ2" s="91">
        <f>Weather!H196</f>
        <v>478.59999999999997</v>
      </c>
      <c r="BR2" s="91">
        <f>Weather!I196</f>
        <v>0</v>
      </c>
      <c r="BS2" s="91">
        <f>Weather!J196</f>
        <v>416.59999999999997</v>
      </c>
      <c r="BT2" s="91">
        <f>Weather!K196</f>
        <v>0</v>
      </c>
      <c r="BU2" s="91">
        <f>Weather!L196</f>
        <v>354.59999999999997</v>
      </c>
      <c r="BV2" s="91">
        <f>Weather!M196</f>
        <v>0</v>
      </c>
      <c r="BW2" s="91">
        <f>Weather!N196</f>
        <v>293.39999999999998</v>
      </c>
      <c r="BX2" s="91">
        <f>Weather!O196</f>
        <v>0.80000000000000071</v>
      </c>
    </row>
    <row r="3" spans="1:76" x14ac:dyDescent="0.2">
      <c r="A3" s="66">
        <v>42855</v>
      </c>
      <c r="B3" s="114">
        <f t="shared" si="0"/>
        <v>2017</v>
      </c>
      <c r="C3" s="104">
        <v>15201392.558417326</v>
      </c>
      <c r="D3" s="104">
        <v>2181294.6017022091</v>
      </c>
      <c r="E3" s="171">
        <f ca="1">CDM!D98</f>
        <v>856638.05588103621</v>
      </c>
      <c r="F3" s="94">
        <f t="shared" ca="1" si="1"/>
        <v>13876736.012596153</v>
      </c>
      <c r="G3" s="94">
        <f ca="1">VLOOKUP(B3,CDM!$A$3:$G$14,7,FALSE)</f>
        <v>898139.50877827685</v>
      </c>
      <c r="H3" s="94">
        <f t="shared" ca="1" si="2"/>
        <v>13918237.465493392</v>
      </c>
      <c r="I3" s="90">
        <f>Weather!F197</f>
        <v>257.2999999999999</v>
      </c>
      <c r="J3" s="90">
        <f>Weather!G197</f>
        <v>1.3000000000000007</v>
      </c>
      <c r="K3" s="108">
        <v>30</v>
      </c>
      <c r="L3" s="108">
        <f>Data!L77</f>
        <v>0</v>
      </c>
      <c r="M3" s="108">
        <f>Data!M77</f>
        <v>0</v>
      </c>
      <c r="N3" s="108">
        <f>Data!N77</f>
        <v>0</v>
      </c>
      <c r="O3" s="108">
        <f>Data!O77</f>
        <v>1</v>
      </c>
      <c r="P3" s="108">
        <f>Data!P77</f>
        <v>0</v>
      </c>
      <c r="Q3" s="108">
        <f>Data!Q77</f>
        <v>0</v>
      </c>
      <c r="R3" s="108">
        <f>Data!R77</f>
        <v>0</v>
      </c>
      <c r="S3" s="108">
        <f>Data!S77</f>
        <v>0</v>
      </c>
      <c r="T3" s="108">
        <f>Data!T77</f>
        <v>0</v>
      </c>
      <c r="U3" s="108">
        <f>Data!U77</f>
        <v>0</v>
      </c>
      <c r="V3" s="108">
        <f>Data!V77</f>
        <v>0</v>
      </c>
      <c r="W3" s="108">
        <f>Data!W77</f>
        <v>0</v>
      </c>
      <c r="X3" s="109">
        <v>1</v>
      </c>
      <c r="Y3" s="108">
        <f>Data!Y77</f>
        <v>1</v>
      </c>
      <c r="Z3" s="108">
        <f>Data!Z77</f>
        <v>0</v>
      </c>
      <c r="AA3" s="152">
        <v>0</v>
      </c>
      <c r="AB3" s="152">
        <v>0</v>
      </c>
      <c r="AC3" s="152">
        <f t="shared" si="3"/>
        <v>0</v>
      </c>
      <c r="AD3" s="152">
        <f t="shared" si="4"/>
        <v>0</v>
      </c>
      <c r="AE3" s="152">
        <v>0</v>
      </c>
      <c r="AF3" s="150">
        <f>'Customer Count'!I77</f>
        <v>13921</v>
      </c>
      <c r="AG3" s="150">
        <f>AF3-'Customer Count'!G77-'Customer Count'!F77</f>
        <v>11223</v>
      </c>
      <c r="AH3" s="109">
        <f t="shared" ref="AH3:AH47" si="5">1+AH2</f>
        <v>2</v>
      </c>
      <c r="AI3" s="109">
        <v>336</v>
      </c>
      <c r="AJ3" s="91">
        <v>151.92288997316331</v>
      </c>
      <c r="AK3" s="91">
        <f>Economic!C89</f>
        <v>711695.1</v>
      </c>
      <c r="AL3" s="91">
        <f>Economic!D89</f>
        <v>7074.8</v>
      </c>
      <c r="AM3" s="91">
        <f>Economic!E89</f>
        <v>6982.8</v>
      </c>
      <c r="AN3" s="91">
        <f>Economic!F89</f>
        <v>6.2</v>
      </c>
      <c r="AO3" s="91">
        <f>Economic!G89</f>
        <v>6.3</v>
      </c>
      <c r="AP3" s="91">
        <f>Economic!H89</f>
        <v>411</v>
      </c>
      <c r="AQ3" s="91">
        <f>Economic!I89</f>
        <v>406.8</v>
      </c>
      <c r="AR3" s="91">
        <f>Economic!J89</f>
        <v>5.4</v>
      </c>
      <c r="AS3" s="91">
        <f>Economic!K89</f>
        <v>5.2</v>
      </c>
      <c r="AT3" s="91">
        <f>Economic!L89</f>
        <v>196.3</v>
      </c>
      <c r="AU3" s="91">
        <f>Economic!M89</f>
        <v>191</v>
      </c>
      <c r="AV3" s="91">
        <f>Economic!N89</f>
        <v>7.1</v>
      </c>
      <c r="AW3" s="91">
        <f>Economic!O89</f>
        <v>7.9</v>
      </c>
      <c r="AX3" s="91">
        <f>Economic!P89</f>
        <v>2.7539311554027668E-2</v>
      </c>
      <c r="AY3" s="91">
        <f>Economic!Q89</f>
        <v>1.3320347188404247E-2</v>
      </c>
      <c r="AZ3" s="91">
        <f>Economic!R89</f>
        <v>1.3424669462868133E-2</v>
      </c>
      <c r="BA3" s="91">
        <f>Economic!S89</f>
        <v>5.9551430781129122E-2</v>
      </c>
      <c r="BB3" s="91">
        <f>Economic!T89</f>
        <v>6.0203283815480901E-2</v>
      </c>
      <c r="BC3" s="91">
        <f>Economic!U89</f>
        <v>-2.532274081429986E-2</v>
      </c>
      <c r="BD3" s="91">
        <f>Economic!V89</f>
        <v>-2.8484231943031513E-2</v>
      </c>
      <c r="BE3" s="91">
        <f>Economic!W89</f>
        <v>19074.29999999993</v>
      </c>
      <c r="BF3" s="91">
        <f>Economic!X89</f>
        <v>93</v>
      </c>
      <c r="BG3" s="91">
        <f>Economic!Y89</f>
        <v>92.5</v>
      </c>
      <c r="BH3" s="91">
        <f>Economic!Z89</f>
        <v>23.100000000000023</v>
      </c>
      <c r="BI3" s="91">
        <f>Economic!AA89</f>
        <v>23.100000000000023</v>
      </c>
      <c r="BJ3" s="91">
        <f>Economic!AB89</f>
        <v>-5.0999999999999943</v>
      </c>
      <c r="BK3" s="91">
        <f>Economic!AC89</f>
        <v>-5.5999999999999943</v>
      </c>
      <c r="BL3" s="91">
        <f>Weather!C197</f>
        <v>9.4666666666666703</v>
      </c>
      <c r="BM3" s="91">
        <f>Weather!D197</f>
        <v>315.99999999999989</v>
      </c>
      <c r="BN3" s="91">
        <f>Weather!E197</f>
        <v>0</v>
      </c>
      <c r="BO3" s="91">
        <f>Weather!F197</f>
        <v>257.2999999999999</v>
      </c>
      <c r="BP3" s="91">
        <f>Weather!G197</f>
        <v>1.3000000000000007</v>
      </c>
      <c r="BQ3" s="91">
        <f>Weather!H197</f>
        <v>201.29999999999995</v>
      </c>
      <c r="BR3" s="91">
        <f>Weather!I197</f>
        <v>5.3000000000000007</v>
      </c>
      <c r="BS3" s="91">
        <f>Weather!J197</f>
        <v>147.1</v>
      </c>
      <c r="BT3" s="91">
        <f>Weather!K197</f>
        <v>11.100000000000001</v>
      </c>
      <c r="BU3" s="91">
        <f>Weather!L197</f>
        <v>96.40000000000002</v>
      </c>
      <c r="BV3" s="91">
        <f>Weather!M197</f>
        <v>20.400000000000002</v>
      </c>
      <c r="BW3" s="91">
        <f>Weather!N197</f>
        <v>55.600000000000023</v>
      </c>
      <c r="BX3" s="91">
        <f>Weather!O197</f>
        <v>39.600000000000009</v>
      </c>
    </row>
    <row r="4" spans="1:76" x14ac:dyDescent="0.2">
      <c r="A4" s="66">
        <v>42886</v>
      </c>
      <c r="B4" s="114">
        <f t="shared" si="0"/>
        <v>2017</v>
      </c>
      <c r="C4" s="104">
        <v>16229118.897553997</v>
      </c>
      <c r="D4" s="104">
        <v>2595303.9357047086</v>
      </c>
      <c r="E4" s="171">
        <f ca="1">CDM!D99</f>
        <v>873238.63703993242</v>
      </c>
      <c r="F4" s="94">
        <f t="shared" ca="1" si="1"/>
        <v>14507053.598889221</v>
      </c>
      <c r="G4" s="94">
        <f ca="1">VLOOKUP(B4,CDM!$A$3:$G$14,7,FALSE)</f>
        <v>898139.50877827685</v>
      </c>
      <c r="H4" s="94">
        <f t="shared" ca="1" si="2"/>
        <v>14531954.470627565</v>
      </c>
      <c r="I4" s="90">
        <f>Weather!F198</f>
        <v>174.89999999999998</v>
      </c>
      <c r="J4" s="90">
        <f>Weather!G198</f>
        <v>12.000000000000004</v>
      </c>
      <c r="K4" s="108">
        <v>31</v>
      </c>
      <c r="L4" s="108">
        <f>Data!L78</f>
        <v>0</v>
      </c>
      <c r="M4" s="108">
        <f>Data!M78</f>
        <v>0</v>
      </c>
      <c r="N4" s="108">
        <f>Data!N78</f>
        <v>0</v>
      </c>
      <c r="O4" s="108">
        <f>Data!O78</f>
        <v>0</v>
      </c>
      <c r="P4" s="108">
        <f>Data!P78</f>
        <v>1</v>
      </c>
      <c r="Q4" s="108">
        <f>Data!Q78</f>
        <v>0</v>
      </c>
      <c r="R4" s="108">
        <f>Data!R78</f>
        <v>0</v>
      </c>
      <c r="S4" s="108">
        <f>Data!S78</f>
        <v>0</v>
      </c>
      <c r="T4" s="108">
        <f>Data!T78</f>
        <v>0</v>
      </c>
      <c r="U4" s="108">
        <f>Data!U78</f>
        <v>0</v>
      </c>
      <c r="V4" s="108">
        <f>Data!V78</f>
        <v>0</v>
      </c>
      <c r="W4" s="108">
        <f>Data!W78</f>
        <v>0</v>
      </c>
      <c r="X4" s="109">
        <v>1</v>
      </c>
      <c r="Y4" s="108">
        <f>Data!Y78</f>
        <v>1</v>
      </c>
      <c r="Z4" s="108">
        <f>Data!Z78</f>
        <v>0</v>
      </c>
      <c r="AA4" s="152">
        <v>0</v>
      </c>
      <c r="AB4" s="152">
        <v>0</v>
      </c>
      <c r="AC4" s="152">
        <f t="shared" si="3"/>
        <v>0</v>
      </c>
      <c r="AD4" s="152">
        <f t="shared" si="4"/>
        <v>0</v>
      </c>
      <c r="AE4" s="152">
        <v>0</v>
      </c>
      <c r="AF4" s="150">
        <f>'Customer Count'!I78</f>
        <v>13937.5</v>
      </c>
      <c r="AG4" s="150">
        <f>AF4-'Customer Count'!G78-'Customer Count'!F78</f>
        <v>11239.5</v>
      </c>
      <c r="AH4" s="109">
        <f t="shared" si="5"/>
        <v>3</v>
      </c>
      <c r="AI4" s="109">
        <v>320</v>
      </c>
      <c r="AJ4" s="91">
        <v>152.23582625214937</v>
      </c>
      <c r="AK4" s="91">
        <f>Economic!C90</f>
        <v>711695.1</v>
      </c>
      <c r="AL4" s="91">
        <f>Economic!D90</f>
        <v>7080.7</v>
      </c>
      <c r="AM4" s="91">
        <f>Economic!E90</f>
        <v>7047.4</v>
      </c>
      <c r="AN4" s="91">
        <f>Economic!F90</f>
        <v>6.2</v>
      </c>
      <c r="AO4" s="91">
        <f>Economic!G90</f>
        <v>6.4</v>
      </c>
      <c r="AP4" s="91">
        <f>Economic!H90</f>
        <v>416.7</v>
      </c>
      <c r="AQ4" s="91">
        <f>Economic!I90</f>
        <v>414.8</v>
      </c>
      <c r="AR4" s="91">
        <f>Economic!J90</f>
        <v>5.2</v>
      </c>
      <c r="AS4" s="91">
        <f>Economic!K90</f>
        <v>5.3</v>
      </c>
      <c r="AT4" s="91">
        <f>Economic!L90</f>
        <v>198.2</v>
      </c>
      <c r="AU4" s="91">
        <f>Economic!M90</f>
        <v>195.1</v>
      </c>
      <c r="AV4" s="91">
        <f>Economic!N90</f>
        <v>7</v>
      </c>
      <c r="AW4" s="91">
        <f>Economic!O90</f>
        <v>7.4</v>
      </c>
      <c r="AX4" s="91">
        <f>Economic!P90</f>
        <v>2.7539311554027668E-2</v>
      </c>
      <c r="AY4" s="91">
        <f>Economic!Q90</f>
        <v>1.2338442182317388E-2</v>
      </c>
      <c r="AZ4" s="91">
        <f>Economic!R90</f>
        <v>1.2193895870735938E-2</v>
      </c>
      <c r="BA4" s="91">
        <f>Economic!S90</f>
        <v>8.742171189979131E-2</v>
      </c>
      <c r="BB4" s="91">
        <f>Economic!T90</f>
        <v>8.5011770860580649E-2</v>
      </c>
      <c r="BC4" s="91">
        <f>Economic!U90</f>
        <v>-1.0080645161291146E-3</v>
      </c>
      <c r="BD4" s="91">
        <f>Economic!V90</f>
        <v>-6.1130922058074688E-3</v>
      </c>
      <c r="BE4" s="91">
        <f>Economic!W90</f>
        <v>19074.29999999993</v>
      </c>
      <c r="BF4" s="91">
        <f>Economic!X90</f>
        <v>86.300000000000182</v>
      </c>
      <c r="BG4" s="91">
        <f>Economic!Y90</f>
        <v>84.899999999999636</v>
      </c>
      <c r="BH4" s="91">
        <f>Economic!Z90</f>
        <v>33.5</v>
      </c>
      <c r="BI4" s="91">
        <f>Economic!AA90</f>
        <v>32.5</v>
      </c>
      <c r="BJ4" s="91">
        <f>Economic!AB90</f>
        <v>-0.20000000000001705</v>
      </c>
      <c r="BK4" s="91">
        <f>Economic!AC90</f>
        <v>-1.2000000000000171</v>
      </c>
      <c r="BL4" s="91">
        <f>Weather!C198</f>
        <v>12.745161290322583</v>
      </c>
      <c r="BM4" s="91">
        <f>Weather!D198</f>
        <v>229.69999999999987</v>
      </c>
      <c r="BN4" s="91">
        <f>Weather!E198</f>
        <v>4.8000000000000007</v>
      </c>
      <c r="BO4" s="91">
        <f>Weather!F198</f>
        <v>174.89999999999998</v>
      </c>
      <c r="BP4" s="91">
        <f>Weather!G198</f>
        <v>12.000000000000004</v>
      </c>
      <c r="BQ4" s="91">
        <f>Weather!H198</f>
        <v>124.90000000000002</v>
      </c>
      <c r="BR4" s="91">
        <f>Weather!I198</f>
        <v>24.000000000000004</v>
      </c>
      <c r="BS4" s="91">
        <f>Weather!J198</f>
        <v>79.300000000000011</v>
      </c>
      <c r="BT4" s="91">
        <f>Weather!K198</f>
        <v>40.400000000000006</v>
      </c>
      <c r="BU4" s="91">
        <f>Weather!L198</f>
        <v>45.900000000000006</v>
      </c>
      <c r="BV4" s="91">
        <f>Weather!M198</f>
        <v>69</v>
      </c>
      <c r="BW4" s="91">
        <f>Weather!N198</f>
        <v>20.7</v>
      </c>
      <c r="BX4" s="91">
        <f>Weather!O198</f>
        <v>105.79999999999998</v>
      </c>
    </row>
    <row r="5" spans="1:76" x14ac:dyDescent="0.2">
      <c r="A5" s="66">
        <v>42916</v>
      </c>
      <c r="B5" s="114">
        <f t="shared" si="0"/>
        <v>2017</v>
      </c>
      <c r="C5" s="104">
        <v>18871717.803001981</v>
      </c>
      <c r="D5" s="104">
        <v>3158025.9024923728</v>
      </c>
      <c r="E5" s="171">
        <f ca="1">CDM!D100</f>
        <v>889839.21819882875</v>
      </c>
      <c r="F5" s="94">
        <f t="shared" ca="1" si="1"/>
        <v>16603531.118708437</v>
      </c>
      <c r="G5" s="94">
        <f ca="1">VLOOKUP(B5,CDM!$A$3:$G$14,7,FALSE)</f>
        <v>898139.50877827685</v>
      </c>
      <c r="H5" s="94">
        <f t="shared" ca="1" si="2"/>
        <v>16611831.409287885</v>
      </c>
      <c r="I5" s="90">
        <f>Weather!F199</f>
        <v>21.199999999999996</v>
      </c>
      <c r="J5" s="90">
        <f>Weather!G199</f>
        <v>74.399999999999991</v>
      </c>
      <c r="K5" s="108">
        <v>30</v>
      </c>
      <c r="L5" s="108">
        <f>Data!L79</f>
        <v>0</v>
      </c>
      <c r="M5" s="108">
        <f>Data!M79</f>
        <v>0</v>
      </c>
      <c r="N5" s="108">
        <f>Data!N79</f>
        <v>0</v>
      </c>
      <c r="O5" s="108">
        <f>Data!O79</f>
        <v>0</v>
      </c>
      <c r="P5" s="108">
        <f>Data!P79</f>
        <v>0</v>
      </c>
      <c r="Q5" s="108">
        <f>Data!Q79</f>
        <v>1</v>
      </c>
      <c r="R5" s="108">
        <f>Data!R79</f>
        <v>0</v>
      </c>
      <c r="S5" s="108">
        <f>Data!S79</f>
        <v>0</v>
      </c>
      <c r="T5" s="108">
        <f>Data!T79</f>
        <v>0</v>
      </c>
      <c r="U5" s="108">
        <f>Data!U79</f>
        <v>0</v>
      </c>
      <c r="V5" s="108">
        <f>Data!V79</f>
        <v>0</v>
      </c>
      <c r="W5" s="108">
        <f>Data!W79</f>
        <v>0</v>
      </c>
      <c r="X5" s="109">
        <v>0</v>
      </c>
      <c r="Y5" s="108">
        <f>Data!Y79</f>
        <v>0</v>
      </c>
      <c r="Z5" s="108">
        <f>Data!Z79</f>
        <v>0</v>
      </c>
      <c r="AA5" s="152">
        <v>0</v>
      </c>
      <c r="AB5" s="152">
        <v>0</v>
      </c>
      <c r="AC5" s="152">
        <f t="shared" si="3"/>
        <v>0</v>
      </c>
      <c r="AD5" s="152">
        <f t="shared" si="4"/>
        <v>0</v>
      </c>
      <c r="AE5" s="152">
        <v>0</v>
      </c>
      <c r="AF5" s="150">
        <f>'Customer Count'!I79</f>
        <v>13950.5</v>
      </c>
      <c r="AG5" s="150">
        <f>AF5-'Customer Count'!G79-'Customer Count'!F79</f>
        <v>11252.5</v>
      </c>
      <c r="AH5" s="109">
        <f t="shared" si="5"/>
        <v>4</v>
      </c>
      <c r="AI5" s="109">
        <v>352</v>
      </c>
      <c r="AJ5" s="91">
        <v>152.54940712863302</v>
      </c>
      <c r="AK5" s="91">
        <f>Economic!C91</f>
        <v>711695.1</v>
      </c>
      <c r="AL5" s="91">
        <f>Economic!D91</f>
        <v>7085.4</v>
      </c>
      <c r="AM5" s="91">
        <f>Economic!E91</f>
        <v>7129.6</v>
      </c>
      <c r="AN5" s="91">
        <f>Economic!F91</f>
        <v>6.2</v>
      </c>
      <c r="AO5" s="91">
        <f>Economic!G91</f>
        <v>6.2</v>
      </c>
      <c r="AP5" s="91">
        <f>Economic!H91</f>
        <v>417.8</v>
      </c>
      <c r="AQ5" s="91">
        <f>Economic!I91</f>
        <v>419.3</v>
      </c>
      <c r="AR5" s="91">
        <f>Economic!J91</f>
        <v>5</v>
      </c>
      <c r="AS5" s="91">
        <f>Economic!K91</f>
        <v>5.0999999999999996</v>
      </c>
      <c r="AT5" s="91">
        <f>Economic!L91</f>
        <v>198.7</v>
      </c>
      <c r="AU5" s="91">
        <f>Economic!M91</f>
        <v>198.8</v>
      </c>
      <c r="AV5" s="91">
        <f>Economic!N91</f>
        <v>7</v>
      </c>
      <c r="AW5" s="91">
        <f>Economic!O91</f>
        <v>6.7</v>
      </c>
      <c r="AX5" s="91">
        <f>Economic!P91</f>
        <v>2.7539311554027668E-2</v>
      </c>
      <c r="AY5" s="91">
        <f>Economic!Q91</f>
        <v>1.1925334552050249E-2</v>
      </c>
      <c r="AZ5" s="91">
        <f>Economic!R91</f>
        <v>1.16782313793935E-2</v>
      </c>
      <c r="BA5" s="91">
        <f>Economic!S91</f>
        <v>9.3431038995027471E-2</v>
      </c>
      <c r="BB5" s="91">
        <f>Economic!T91</f>
        <v>9.0223608944357769E-2</v>
      </c>
      <c r="BC5" s="91">
        <f>Economic!U91</f>
        <v>5.0352467270897705E-4</v>
      </c>
      <c r="BD5" s="91">
        <f>Economic!V91</f>
        <v>-3.5087719298244613E-3</v>
      </c>
      <c r="BE5" s="91">
        <f>Economic!W91</f>
        <v>19074.29999999993</v>
      </c>
      <c r="BF5" s="91">
        <f>Economic!X91</f>
        <v>83.5</v>
      </c>
      <c r="BG5" s="91">
        <f>Economic!Y91</f>
        <v>82.300000000000182</v>
      </c>
      <c r="BH5" s="91">
        <f>Economic!Z91</f>
        <v>35.699999999999989</v>
      </c>
      <c r="BI5" s="91">
        <f>Economic!AA91</f>
        <v>34.699999999999989</v>
      </c>
      <c r="BJ5" s="91">
        <f>Economic!AB91</f>
        <v>9.9999999999994316E-2</v>
      </c>
      <c r="BK5" s="91">
        <f>Economic!AC91</f>
        <v>-0.69999999999998863</v>
      </c>
      <c r="BL5" s="91">
        <f>Weather!C199</f>
        <v>19.77333333333333</v>
      </c>
      <c r="BM5" s="91">
        <f>Weather!D199</f>
        <v>51.400000000000006</v>
      </c>
      <c r="BN5" s="91">
        <f>Weather!E199</f>
        <v>44.59999999999998</v>
      </c>
      <c r="BO5" s="91">
        <f>Weather!F199</f>
        <v>21.199999999999996</v>
      </c>
      <c r="BP5" s="91">
        <f>Weather!G199</f>
        <v>74.399999999999991</v>
      </c>
      <c r="BQ5" s="91">
        <f>Weather!H199</f>
        <v>5.5999999999999979</v>
      </c>
      <c r="BR5" s="91">
        <f>Weather!I199</f>
        <v>118.79999999999998</v>
      </c>
      <c r="BS5" s="91">
        <f>Weather!J199</f>
        <v>0</v>
      </c>
      <c r="BT5" s="91">
        <f>Weather!K199</f>
        <v>173.20000000000005</v>
      </c>
      <c r="BU5" s="91">
        <f>Weather!L199</f>
        <v>0</v>
      </c>
      <c r="BV5" s="91">
        <f>Weather!M199</f>
        <v>233.20000000000007</v>
      </c>
      <c r="BW5" s="91">
        <f>Weather!N199</f>
        <v>0</v>
      </c>
      <c r="BX5" s="91">
        <f>Weather!O199</f>
        <v>293.20000000000005</v>
      </c>
    </row>
    <row r="6" spans="1:76" x14ac:dyDescent="0.2">
      <c r="A6" s="66">
        <v>42947</v>
      </c>
      <c r="B6" s="114">
        <f t="shared" si="0"/>
        <v>2017</v>
      </c>
      <c r="C6" s="104">
        <v>22363391.152751956</v>
      </c>
      <c r="D6" s="104">
        <v>4500801.1910749236</v>
      </c>
      <c r="E6" s="171">
        <f ca="1">CDM!D101</f>
        <v>906439.79935772507</v>
      </c>
      <c r="F6" s="94">
        <f t="shared" ca="1" si="1"/>
        <v>18769029.761034757</v>
      </c>
      <c r="G6" s="94">
        <f ca="1">VLOOKUP(B6,CDM!$A$3:$G$14,7,FALSE)</f>
        <v>898139.50877827685</v>
      </c>
      <c r="H6" s="94">
        <f t="shared" ca="1" si="2"/>
        <v>18760729.470455311</v>
      </c>
      <c r="I6" s="90">
        <f>Weather!F200</f>
        <v>0</v>
      </c>
      <c r="J6" s="90">
        <f>Weather!G200</f>
        <v>119.99999999999997</v>
      </c>
      <c r="K6" s="108">
        <v>31</v>
      </c>
      <c r="L6" s="108">
        <f>Data!L80</f>
        <v>0</v>
      </c>
      <c r="M6" s="108">
        <f>Data!M80</f>
        <v>0</v>
      </c>
      <c r="N6" s="108">
        <f>Data!N80</f>
        <v>0</v>
      </c>
      <c r="O6" s="108">
        <f>Data!O80</f>
        <v>0</v>
      </c>
      <c r="P6" s="108">
        <f>Data!P80</f>
        <v>0</v>
      </c>
      <c r="Q6" s="108">
        <f>Data!Q80</f>
        <v>0</v>
      </c>
      <c r="R6" s="108">
        <f>Data!R80</f>
        <v>1</v>
      </c>
      <c r="S6" s="108">
        <f>Data!S80</f>
        <v>0</v>
      </c>
      <c r="T6" s="108">
        <f>Data!T80</f>
        <v>0</v>
      </c>
      <c r="U6" s="108">
        <f>Data!U80</f>
        <v>0</v>
      </c>
      <c r="V6" s="108">
        <f>Data!V80</f>
        <v>0</v>
      </c>
      <c r="W6" s="108">
        <f>Data!W80</f>
        <v>0</v>
      </c>
      <c r="X6" s="109">
        <v>0</v>
      </c>
      <c r="Y6" s="108">
        <f>Data!Y80</f>
        <v>0</v>
      </c>
      <c r="Z6" s="108">
        <f>Data!Z80</f>
        <v>0</v>
      </c>
      <c r="AA6" s="152">
        <v>0</v>
      </c>
      <c r="AB6" s="152">
        <v>0</v>
      </c>
      <c r="AC6" s="152">
        <f t="shared" si="3"/>
        <v>0</v>
      </c>
      <c r="AD6" s="152">
        <f t="shared" si="4"/>
        <v>0</v>
      </c>
      <c r="AE6" s="152">
        <v>1</v>
      </c>
      <c r="AF6" s="150">
        <f>'Customer Count'!I80</f>
        <v>13960.5</v>
      </c>
      <c r="AG6" s="150">
        <f>AF6-'Customer Count'!G80-'Customer Count'!F80</f>
        <v>11262.5</v>
      </c>
      <c r="AH6" s="109">
        <f t="shared" si="5"/>
        <v>5</v>
      </c>
      <c r="AI6" s="109">
        <v>352</v>
      </c>
      <c r="AJ6" s="91">
        <v>152.86363393037959</v>
      </c>
      <c r="AK6" s="91">
        <f>Economic!C92</f>
        <v>711695.1</v>
      </c>
      <c r="AL6" s="91">
        <f>Economic!D92</f>
        <v>7099.9</v>
      </c>
      <c r="AM6" s="91">
        <f>Economic!E92</f>
        <v>7195</v>
      </c>
      <c r="AN6" s="91">
        <f>Economic!F92</f>
        <v>6.3</v>
      </c>
      <c r="AO6" s="91">
        <f>Economic!G92</f>
        <v>6.4</v>
      </c>
      <c r="AP6" s="91">
        <f>Economic!H92</f>
        <v>421.3</v>
      </c>
      <c r="AQ6" s="91">
        <f>Economic!I92</f>
        <v>422.9</v>
      </c>
      <c r="AR6" s="91">
        <f>Economic!J92</f>
        <v>5</v>
      </c>
      <c r="AS6" s="91">
        <f>Economic!K92</f>
        <v>5.4</v>
      </c>
      <c r="AT6" s="91">
        <f>Economic!L92</f>
        <v>200.4</v>
      </c>
      <c r="AU6" s="91">
        <f>Economic!M92</f>
        <v>204.6</v>
      </c>
      <c r="AV6" s="91">
        <f>Economic!N92</f>
        <v>6.4</v>
      </c>
      <c r="AW6" s="91">
        <f>Economic!O92</f>
        <v>5.8</v>
      </c>
      <c r="AX6" s="91">
        <f>Economic!P92</f>
        <v>2.7539311554027668E-2</v>
      </c>
      <c r="AY6" s="91">
        <f>Economic!Q92</f>
        <v>1.4894863987878315E-2</v>
      </c>
      <c r="AZ6" s="91">
        <f>Economic!R92</f>
        <v>1.46950978733007E-2</v>
      </c>
      <c r="BA6" s="91">
        <f>Economic!S92</f>
        <v>0.11131627538907929</v>
      </c>
      <c r="BB6" s="91">
        <f>Economic!T92</f>
        <v>0.10648874934589214</v>
      </c>
      <c r="BC6" s="91">
        <f>Economic!U92</f>
        <v>6.0240963855422436E-3</v>
      </c>
      <c r="BD6" s="91">
        <f>Economic!V92</f>
        <v>2.9411764705882248E-3</v>
      </c>
      <c r="BE6" s="91">
        <f>Economic!W92</f>
        <v>19074.29999999993</v>
      </c>
      <c r="BF6" s="91">
        <f>Economic!X92</f>
        <v>104.19999999999982</v>
      </c>
      <c r="BG6" s="91">
        <f>Economic!Y92</f>
        <v>104.19999999999982</v>
      </c>
      <c r="BH6" s="91">
        <f>Economic!Z92</f>
        <v>42.199999999999989</v>
      </c>
      <c r="BI6" s="91">
        <f>Economic!AA92</f>
        <v>40.699999999999989</v>
      </c>
      <c r="BJ6" s="91">
        <f>Economic!AB92</f>
        <v>1.2000000000000171</v>
      </c>
      <c r="BK6" s="91">
        <f>Economic!AC92</f>
        <v>0.59999999999999432</v>
      </c>
      <c r="BL6" s="91">
        <f>Weather!C200</f>
        <v>21.87096774193548</v>
      </c>
      <c r="BM6" s="91">
        <f>Weather!D200</f>
        <v>3.3999999999999986</v>
      </c>
      <c r="BN6" s="91">
        <f>Weather!E200</f>
        <v>61.399999999999991</v>
      </c>
      <c r="BO6" s="91">
        <f>Weather!F200</f>
        <v>0</v>
      </c>
      <c r="BP6" s="91">
        <f>Weather!G200</f>
        <v>119.99999999999997</v>
      </c>
      <c r="BQ6" s="91">
        <f>Weather!H200</f>
        <v>0</v>
      </c>
      <c r="BR6" s="91">
        <f>Weather!I200</f>
        <v>182.00000000000006</v>
      </c>
      <c r="BS6" s="91">
        <f>Weather!J200</f>
        <v>0</v>
      </c>
      <c r="BT6" s="91">
        <f>Weather!K200</f>
        <v>244.00000000000006</v>
      </c>
      <c r="BU6" s="91">
        <f>Weather!L200</f>
        <v>0</v>
      </c>
      <c r="BV6" s="91">
        <f>Weather!M200</f>
        <v>306.00000000000006</v>
      </c>
      <c r="BW6" s="91">
        <f>Weather!N200</f>
        <v>0</v>
      </c>
      <c r="BX6" s="91">
        <f>Weather!O200</f>
        <v>368.00000000000011</v>
      </c>
    </row>
    <row r="7" spans="1:76" x14ac:dyDescent="0.2">
      <c r="A7" s="66">
        <v>42978</v>
      </c>
      <c r="B7" s="114">
        <f t="shared" si="0"/>
        <v>2017</v>
      </c>
      <c r="C7" s="104">
        <v>21211440.486327328</v>
      </c>
      <c r="D7" s="104">
        <v>4110221.2645936697</v>
      </c>
      <c r="E7" s="171">
        <f ca="1">CDM!D102</f>
        <v>923040.38051662128</v>
      </c>
      <c r="F7" s="94">
        <f t="shared" ca="1" si="1"/>
        <v>18024259.602250282</v>
      </c>
      <c r="G7" s="94">
        <f ca="1">VLOOKUP(B7,CDM!$A$3:$G$14,7,FALSE)</f>
        <v>898139.50877827685</v>
      </c>
      <c r="H7" s="94">
        <f t="shared" ca="1" si="2"/>
        <v>17999358.730511937</v>
      </c>
      <c r="I7" s="90">
        <f>Weather!F201</f>
        <v>4.7999999999999972</v>
      </c>
      <c r="J7" s="90">
        <f>Weather!G201</f>
        <v>92.099999999999966</v>
      </c>
      <c r="K7" s="108">
        <v>31</v>
      </c>
      <c r="L7" s="108">
        <f>Data!L81</f>
        <v>0</v>
      </c>
      <c r="M7" s="108">
        <f>Data!M81</f>
        <v>0</v>
      </c>
      <c r="N7" s="108">
        <f>Data!N81</f>
        <v>0</v>
      </c>
      <c r="O7" s="108">
        <f>Data!O81</f>
        <v>0</v>
      </c>
      <c r="P7" s="108">
        <f>Data!P81</f>
        <v>0</v>
      </c>
      <c r="Q7" s="108">
        <f>Data!Q81</f>
        <v>0</v>
      </c>
      <c r="R7" s="108">
        <f>Data!R81</f>
        <v>0</v>
      </c>
      <c r="S7" s="108">
        <f>Data!S81</f>
        <v>1</v>
      </c>
      <c r="T7" s="108">
        <f>Data!T81</f>
        <v>0</v>
      </c>
      <c r="U7" s="108">
        <f>Data!U81</f>
        <v>0</v>
      </c>
      <c r="V7" s="108">
        <f>Data!V81</f>
        <v>0</v>
      </c>
      <c r="W7" s="108">
        <f>Data!W81</f>
        <v>0</v>
      </c>
      <c r="X7" s="109">
        <v>0</v>
      </c>
      <c r="Y7" s="108">
        <f>Data!Y81</f>
        <v>0</v>
      </c>
      <c r="Z7" s="108">
        <f>Data!Z81</f>
        <v>0</v>
      </c>
      <c r="AA7" s="152">
        <v>0</v>
      </c>
      <c r="AB7" s="152">
        <v>0</v>
      </c>
      <c r="AC7" s="152">
        <f t="shared" si="3"/>
        <v>0</v>
      </c>
      <c r="AD7" s="152">
        <f t="shared" si="4"/>
        <v>0</v>
      </c>
      <c r="AE7" s="152">
        <v>1</v>
      </c>
      <c r="AF7" s="150">
        <f>'Customer Count'!I81</f>
        <v>13971</v>
      </c>
      <c r="AG7" s="150">
        <f>AF7-'Customer Count'!G81-'Customer Count'!F81</f>
        <v>11273</v>
      </c>
      <c r="AH7" s="109">
        <f t="shared" si="5"/>
        <v>6</v>
      </c>
      <c r="AI7" s="109">
        <v>320</v>
      </c>
      <c r="AJ7" s="91">
        <v>153.17850798788936</v>
      </c>
      <c r="AK7" s="91">
        <f>Economic!C93</f>
        <v>711695.1</v>
      </c>
      <c r="AL7" s="91">
        <f>Economic!D93</f>
        <v>7121.3</v>
      </c>
      <c r="AM7" s="91">
        <f>Economic!E93</f>
        <v>7213.7</v>
      </c>
      <c r="AN7" s="91">
        <f>Economic!F93</f>
        <v>5.9</v>
      </c>
      <c r="AO7" s="91">
        <f>Economic!G93</f>
        <v>6.3</v>
      </c>
      <c r="AP7" s="91">
        <f>Economic!H93</f>
        <v>427.8</v>
      </c>
      <c r="AQ7" s="91">
        <f>Economic!I93</f>
        <v>429.1</v>
      </c>
      <c r="AR7" s="91">
        <f>Economic!J93</f>
        <v>4.4000000000000004</v>
      </c>
      <c r="AS7" s="91">
        <f>Economic!K93</f>
        <v>5</v>
      </c>
      <c r="AT7" s="91">
        <f>Economic!L93</f>
        <v>200.1</v>
      </c>
      <c r="AU7" s="91">
        <f>Economic!M93</f>
        <v>204.9</v>
      </c>
      <c r="AV7" s="91">
        <f>Economic!N93</f>
        <v>6.3</v>
      </c>
      <c r="AW7" s="91">
        <f>Economic!O93</f>
        <v>5.9</v>
      </c>
      <c r="AX7" s="91">
        <f>Economic!P93</f>
        <v>2.7539311554027668E-2</v>
      </c>
      <c r="AY7" s="91">
        <f>Economic!Q93</f>
        <v>1.8696535347466625E-2</v>
      </c>
      <c r="AZ7" s="91">
        <f>Economic!R93</f>
        <v>1.8409498397639501E-2</v>
      </c>
      <c r="BA7" s="91">
        <f>Economic!S93</f>
        <v>0.1272727272727272</v>
      </c>
      <c r="BB7" s="91">
        <f>Economic!T93</f>
        <v>0.12743037309511296</v>
      </c>
      <c r="BC7" s="91">
        <f>Economic!U93</f>
        <v>-5.9612518628913147E-3</v>
      </c>
      <c r="BD7" s="91">
        <f>Economic!V93</f>
        <v>-7.2674418604651292E-3</v>
      </c>
      <c r="BE7" s="91">
        <f>Economic!W93</f>
        <v>19074.29999999993</v>
      </c>
      <c r="BF7" s="91">
        <f>Economic!X93</f>
        <v>130.69999999999982</v>
      </c>
      <c r="BG7" s="91">
        <f>Economic!Y93</f>
        <v>130.39999999999964</v>
      </c>
      <c r="BH7" s="91">
        <f>Economic!Z93</f>
        <v>48.300000000000011</v>
      </c>
      <c r="BI7" s="91">
        <f>Economic!AA93</f>
        <v>48.5</v>
      </c>
      <c r="BJ7" s="91">
        <f>Economic!AB93</f>
        <v>-1.2000000000000171</v>
      </c>
      <c r="BK7" s="91">
        <f>Economic!AC93</f>
        <v>-1.5</v>
      </c>
      <c r="BL7" s="91">
        <f>Weather!C201</f>
        <v>20.816129032258058</v>
      </c>
      <c r="BM7" s="91">
        <f>Weather!D201</f>
        <v>18.499999999999993</v>
      </c>
      <c r="BN7" s="91">
        <f>Weather!E201</f>
        <v>43.8</v>
      </c>
      <c r="BO7" s="91">
        <f>Weather!F201</f>
        <v>4.7999999999999972</v>
      </c>
      <c r="BP7" s="91">
        <f>Weather!G201</f>
        <v>92.099999999999966</v>
      </c>
      <c r="BQ7" s="91">
        <f>Weather!H201</f>
        <v>0</v>
      </c>
      <c r="BR7" s="91">
        <f>Weather!I201</f>
        <v>149.30000000000007</v>
      </c>
      <c r="BS7" s="91">
        <f>Weather!J201</f>
        <v>0</v>
      </c>
      <c r="BT7" s="91">
        <f>Weather!K201</f>
        <v>211.3000000000001</v>
      </c>
      <c r="BU7" s="91">
        <f>Weather!L201</f>
        <v>0</v>
      </c>
      <c r="BV7" s="91">
        <f>Weather!M201</f>
        <v>273.30000000000013</v>
      </c>
      <c r="BW7" s="91">
        <f>Weather!N201</f>
        <v>0</v>
      </c>
      <c r="BX7" s="91">
        <f>Weather!O201</f>
        <v>335.30000000000013</v>
      </c>
    </row>
    <row r="8" spans="1:76" x14ac:dyDescent="0.2">
      <c r="A8" s="66">
        <v>43008</v>
      </c>
      <c r="B8" s="114">
        <f t="shared" si="0"/>
        <v>2017</v>
      </c>
      <c r="C8" s="104">
        <v>19533578.176179972</v>
      </c>
      <c r="D8" s="104">
        <v>4259176.9817509372</v>
      </c>
      <c r="E8" s="171">
        <f ca="1">CDM!D103</f>
        <v>939640.96167551749</v>
      </c>
      <c r="F8" s="94">
        <f t="shared" ca="1" si="1"/>
        <v>16214042.156104552</v>
      </c>
      <c r="G8" s="94">
        <f ca="1">VLOOKUP(B8,CDM!$A$3:$G$14,7,FALSE)</f>
        <v>898139.50877827685</v>
      </c>
      <c r="H8" s="94">
        <f t="shared" ca="1" si="2"/>
        <v>16172540.70320731</v>
      </c>
      <c r="I8" s="90">
        <f>Weather!F202</f>
        <v>42.3</v>
      </c>
      <c r="J8" s="90">
        <f>Weather!G202</f>
        <v>64.099999999999994</v>
      </c>
      <c r="K8" s="108">
        <v>30</v>
      </c>
      <c r="L8" s="108">
        <f>Data!L82</f>
        <v>0</v>
      </c>
      <c r="M8" s="108">
        <f>Data!M82</f>
        <v>0</v>
      </c>
      <c r="N8" s="108">
        <f>Data!N82</f>
        <v>0</v>
      </c>
      <c r="O8" s="108">
        <f>Data!O82</f>
        <v>0</v>
      </c>
      <c r="P8" s="108">
        <f>Data!P82</f>
        <v>0</v>
      </c>
      <c r="Q8" s="108">
        <f>Data!Q82</f>
        <v>0</v>
      </c>
      <c r="R8" s="108">
        <f>Data!R82</f>
        <v>0</v>
      </c>
      <c r="S8" s="108">
        <f>Data!S82</f>
        <v>0</v>
      </c>
      <c r="T8" s="108">
        <f>Data!T82</f>
        <v>1</v>
      </c>
      <c r="U8" s="108">
        <f>Data!U82</f>
        <v>0</v>
      </c>
      <c r="V8" s="108">
        <f>Data!V82</f>
        <v>0</v>
      </c>
      <c r="W8" s="108">
        <f>Data!W82</f>
        <v>0</v>
      </c>
      <c r="X8" s="109">
        <v>1</v>
      </c>
      <c r="Y8" s="108">
        <f>Data!Y82</f>
        <v>0</v>
      </c>
      <c r="Z8" s="108">
        <f>Data!Z82</f>
        <v>1</v>
      </c>
      <c r="AA8" s="152">
        <v>0</v>
      </c>
      <c r="AB8" s="152">
        <v>0</v>
      </c>
      <c r="AC8" s="152">
        <f t="shared" si="3"/>
        <v>0</v>
      </c>
      <c r="AD8" s="152">
        <f t="shared" si="4"/>
        <v>0</v>
      </c>
      <c r="AE8" s="152">
        <v>1</v>
      </c>
      <c r="AF8" s="150">
        <f>'Customer Count'!I82</f>
        <v>13977.5</v>
      </c>
      <c r="AG8" s="150">
        <f>AF8-'Customer Count'!G82-'Customer Count'!F82</f>
        <v>11279.5</v>
      </c>
      <c r="AH8" s="109">
        <f t="shared" si="5"/>
        <v>7</v>
      </c>
      <c r="AI8" s="109">
        <v>336</v>
      </c>
      <c r="AJ8" s="91">
        <v>153.4940306344032</v>
      </c>
      <c r="AK8" s="91">
        <f>Economic!C94</f>
        <v>711695.1</v>
      </c>
      <c r="AL8" s="91">
        <f>Economic!D94</f>
        <v>7150.1</v>
      </c>
      <c r="AM8" s="91">
        <f>Economic!E94</f>
        <v>7197</v>
      </c>
      <c r="AN8" s="91">
        <f>Economic!F94</f>
        <v>5.7</v>
      </c>
      <c r="AO8" s="91">
        <f>Economic!G94</f>
        <v>6</v>
      </c>
      <c r="AP8" s="91">
        <f>Economic!H94</f>
        <v>432.9</v>
      </c>
      <c r="AQ8" s="91">
        <f>Economic!I94</f>
        <v>432.4</v>
      </c>
      <c r="AR8" s="91">
        <f>Economic!J94</f>
        <v>4</v>
      </c>
      <c r="AS8" s="91">
        <f>Economic!K94</f>
        <v>4.7</v>
      </c>
      <c r="AT8" s="91">
        <f>Economic!L94</f>
        <v>197.8</v>
      </c>
      <c r="AU8" s="91">
        <f>Economic!M94</f>
        <v>202.2</v>
      </c>
      <c r="AV8" s="91">
        <f>Economic!N94</f>
        <v>6.3</v>
      </c>
      <c r="AW8" s="91">
        <f>Economic!O94</f>
        <v>5.7</v>
      </c>
      <c r="AX8" s="91">
        <f>Economic!P94</f>
        <v>2.7539311554027668E-2</v>
      </c>
      <c r="AY8" s="91">
        <f>Economic!Q94</f>
        <v>2.3065146160340166E-2</v>
      </c>
      <c r="AZ8" s="91">
        <f>Economic!R94</f>
        <v>2.2736961773482944E-2</v>
      </c>
      <c r="BA8" s="91">
        <f>Economic!S94</f>
        <v>0.13235678786293481</v>
      </c>
      <c r="BB8" s="91">
        <f>Economic!T94</f>
        <v>0.1328268273513229</v>
      </c>
      <c r="BC8" s="91">
        <f>Economic!U94</f>
        <v>-2.6574803149606141E-2</v>
      </c>
      <c r="BD8" s="91">
        <f>Economic!V94</f>
        <v>-2.5542168674698829E-2</v>
      </c>
      <c r="BE8" s="91">
        <f>Economic!W94</f>
        <v>19074.29999999993</v>
      </c>
      <c r="BF8" s="91">
        <f>Economic!X94</f>
        <v>161.20000000000073</v>
      </c>
      <c r="BG8" s="91">
        <f>Economic!Y94</f>
        <v>160</v>
      </c>
      <c r="BH8" s="91">
        <f>Economic!Z94</f>
        <v>50.599999999999966</v>
      </c>
      <c r="BI8" s="91">
        <f>Economic!AA94</f>
        <v>50.699999999999989</v>
      </c>
      <c r="BJ8" s="91">
        <f>Economic!AB94</f>
        <v>-5.3999999999999773</v>
      </c>
      <c r="BK8" s="91">
        <f>Economic!AC94</f>
        <v>-5.3000000000000114</v>
      </c>
      <c r="BL8" s="91">
        <f>Weather!C202</f>
        <v>18.726666666666667</v>
      </c>
      <c r="BM8" s="91">
        <f>Weather!D202</f>
        <v>72.300000000000011</v>
      </c>
      <c r="BN8" s="91">
        <f>Weather!E202</f>
        <v>34.100000000000009</v>
      </c>
      <c r="BO8" s="91">
        <f>Weather!F202</f>
        <v>42.3</v>
      </c>
      <c r="BP8" s="91">
        <f>Weather!G202</f>
        <v>64.099999999999994</v>
      </c>
      <c r="BQ8" s="91">
        <f>Weather!H202</f>
        <v>18.399999999999995</v>
      </c>
      <c r="BR8" s="91">
        <f>Weather!I202</f>
        <v>100.2</v>
      </c>
      <c r="BS8" s="91">
        <f>Weather!J202</f>
        <v>2.8999999999999986</v>
      </c>
      <c r="BT8" s="91">
        <f>Weather!K202</f>
        <v>144.70000000000002</v>
      </c>
      <c r="BU8" s="91">
        <f>Weather!L202</f>
        <v>0.69999999999999929</v>
      </c>
      <c r="BV8" s="91">
        <f>Weather!M202</f>
        <v>202.50000000000003</v>
      </c>
      <c r="BW8" s="91">
        <f>Weather!N202</f>
        <v>0</v>
      </c>
      <c r="BX8" s="91">
        <f>Weather!O202</f>
        <v>261.80000000000007</v>
      </c>
    </row>
    <row r="9" spans="1:76" x14ac:dyDescent="0.2">
      <c r="A9" s="66">
        <v>43039</v>
      </c>
      <c r="B9" s="114">
        <f t="shared" si="0"/>
        <v>2017</v>
      </c>
      <c r="C9" s="104">
        <v>15916473.155721987</v>
      </c>
      <c r="D9" s="104">
        <v>2009640.1544891417</v>
      </c>
      <c r="E9" s="171">
        <f ca="1">CDM!D104</f>
        <v>956241.54283441382</v>
      </c>
      <c r="F9" s="94">
        <f t="shared" ca="1" si="1"/>
        <v>14863074.54406726</v>
      </c>
      <c r="G9" s="94">
        <f ca="1">VLOOKUP(B9,CDM!$A$3:$G$14,7,FALSE)</f>
        <v>898139.50877827685</v>
      </c>
      <c r="H9" s="94">
        <f t="shared" ca="1" si="2"/>
        <v>14804972.510011122</v>
      </c>
      <c r="I9" s="90">
        <f>Weather!F203</f>
        <v>126.9</v>
      </c>
      <c r="J9" s="90">
        <f>Weather!G203</f>
        <v>15.400000000000002</v>
      </c>
      <c r="K9" s="108">
        <v>31</v>
      </c>
      <c r="L9" s="108">
        <f>Data!L83</f>
        <v>0</v>
      </c>
      <c r="M9" s="108">
        <f>Data!M83</f>
        <v>0</v>
      </c>
      <c r="N9" s="108">
        <f>Data!N83</f>
        <v>0</v>
      </c>
      <c r="O9" s="108">
        <f>Data!O83</f>
        <v>0</v>
      </c>
      <c r="P9" s="108">
        <f>Data!P83</f>
        <v>0</v>
      </c>
      <c r="Q9" s="108">
        <f>Data!Q83</f>
        <v>0</v>
      </c>
      <c r="R9" s="108">
        <f>Data!R83</f>
        <v>0</v>
      </c>
      <c r="S9" s="108">
        <f>Data!S83</f>
        <v>0</v>
      </c>
      <c r="T9" s="108">
        <f>Data!T83</f>
        <v>0</v>
      </c>
      <c r="U9" s="108">
        <f>Data!U83</f>
        <v>1</v>
      </c>
      <c r="V9" s="108">
        <f>Data!V83</f>
        <v>0</v>
      </c>
      <c r="W9" s="108">
        <f>Data!W83</f>
        <v>0</v>
      </c>
      <c r="X9" s="109">
        <v>1</v>
      </c>
      <c r="Y9" s="108">
        <f>Data!Y83</f>
        <v>0</v>
      </c>
      <c r="Z9" s="108">
        <f>Data!Z83</f>
        <v>1</v>
      </c>
      <c r="AA9" s="152">
        <v>0</v>
      </c>
      <c r="AB9" s="152">
        <v>0</v>
      </c>
      <c r="AC9" s="152">
        <f t="shared" si="3"/>
        <v>0</v>
      </c>
      <c r="AD9" s="152">
        <f t="shared" si="4"/>
        <v>0</v>
      </c>
      <c r="AE9" s="152">
        <v>1</v>
      </c>
      <c r="AF9" s="150">
        <f>'Customer Count'!I83</f>
        <v>13996</v>
      </c>
      <c r="AG9" s="150">
        <f>AF9-'Customer Count'!G83-'Customer Count'!F83</f>
        <v>11298</v>
      </c>
      <c r="AH9" s="109">
        <f t="shared" si="5"/>
        <v>8</v>
      </c>
      <c r="AI9" s="109">
        <v>336</v>
      </c>
      <c r="AJ9" s="91">
        <v>153.81020320590829</v>
      </c>
      <c r="AK9" s="91">
        <f>Economic!C95</f>
        <v>711695.1</v>
      </c>
      <c r="AL9" s="91">
        <f>Economic!D95</f>
        <v>7170.5</v>
      </c>
      <c r="AM9" s="91">
        <f>Economic!E95</f>
        <v>7193.7</v>
      </c>
      <c r="AN9" s="91">
        <f>Economic!F95</f>
        <v>5.6</v>
      </c>
      <c r="AO9" s="91">
        <f>Economic!G95</f>
        <v>5.7</v>
      </c>
      <c r="AP9" s="91">
        <f>Economic!H95</f>
        <v>430.7</v>
      </c>
      <c r="AQ9" s="91">
        <f>Economic!I95</f>
        <v>430.3</v>
      </c>
      <c r="AR9" s="91">
        <f>Economic!J95</f>
        <v>3.9</v>
      </c>
      <c r="AS9" s="91">
        <f>Economic!K95</f>
        <v>4.3</v>
      </c>
      <c r="AT9" s="91">
        <f>Economic!L95</f>
        <v>195</v>
      </c>
      <c r="AU9" s="91">
        <f>Economic!M95</f>
        <v>198.9</v>
      </c>
      <c r="AV9" s="91">
        <f>Economic!N95</f>
        <v>6.7</v>
      </c>
      <c r="AW9" s="91">
        <f>Economic!O95</f>
        <v>6.1</v>
      </c>
      <c r="AX9" s="91">
        <f>Economic!P95</f>
        <v>2.7539311554027668E-2</v>
      </c>
      <c r="AY9" s="91">
        <f>Economic!Q95</f>
        <v>2.3450657988638657E-2</v>
      </c>
      <c r="AZ9" s="91">
        <f>Economic!R95</f>
        <v>2.2791253163477077E-2</v>
      </c>
      <c r="BA9" s="91">
        <f>Economic!S95</f>
        <v>0.11522527187985498</v>
      </c>
      <c r="BB9" s="91">
        <f>Economic!T95</f>
        <v>0.11882475299011963</v>
      </c>
      <c r="BC9" s="91">
        <f>Economic!U95</f>
        <v>-5.5232558139534871E-2</v>
      </c>
      <c r="BD9" s="91">
        <f>Economic!V95</f>
        <v>-5.375832540437675E-2</v>
      </c>
      <c r="BE9" s="91">
        <f>Economic!W95</f>
        <v>19074.29999999993</v>
      </c>
      <c r="BF9" s="91">
        <f>Economic!X95</f>
        <v>164.30000000000018</v>
      </c>
      <c r="BG9" s="91">
        <f>Economic!Y95</f>
        <v>160.30000000000018</v>
      </c>
      <c r="BH9" s="91">
        <f>Economic!Z95</f>
        <v>44.5</v>
      </c>
      <c r="BI9" s="91">
        <f>Economic!AA95</f>
        <v>45.699999999999989</v>
      </c>
      <c r="BJ9" s="91">
        <f>Economic!AB95</f>
        <v>-11.400000000000006</v>
      </c>
      <c r="BK9" s="91">
        <f>Economic!AC95</f>
        <v>-11.299999999999983</v>
      </c>
      <c r="BL9" s="91">
        <f>Weather!C203</f>
        <v>14.403225806451617</v>
      </c>
      <c r="BM9" s="91">
        <f>Weather!D203</f>
        <v>179.29999999999998</v>
      </c>
      <c r="BN9" s="91">
        <f>Weather!E203</f>
        <v>5.8000000000000007</v>
      </c>
      <c r="BO9" s="91">
        <f>Weather!F203</f>
        <v>126.9</v>
      </c>
      <c r="BP9" s="91">
        <f>Weather!G203</f>
        <v>15.400000000000002</v>
      </c>
      <c r="BQ9" s="91">
        <f>Weather!H203</f>
        <v>90.100000000000009</v>
      </c>
      <c r="BR9" s="91">
        <f>Weather!I203</f>
        <v>40.600000000000009</v>
      </c>
      <c r="BS9" s="91">
        <f>Weather!J203</f>
        <v>60.600000000000009</v>
      </c>
      <c r="BT9" s="91">
        <f>Weather!K203</f>
        <v>73.099999999999994</v>
      </c>
      <c r="BU9" s="91">
        <f>Weather!L203</f>
        <v>36</v>
      </c>
      <c r="BV9" s="91">
        <f>Weather!M203</f>
        <v>110.49999999999999</v>
      </c>
      <c r="BW9" s="91">
        <f>Weather!N203</f>
        <v>16.600000000000001</v>
      </c>
      <c r="BX9" s="91">
        <f>Weather!O203</f>
        <v>153.1</v>
      </c>
    </row>
    <row r="10" spans="1:76" x14ac:dyDescent="0.2">
      <c r="A10" s="66">
        <v>43069</v>
      </c>
      <c r="B10" s="114">
        <f t="shared" si="0"/>
        <v>2017</v>
      </c>
      <c r="C10" s="104">
        <v>16479806.154822662</v>
      </c>
      <c r="D10" s="104">
        <v>2222237.4702646215</v>
      </c>
      <c r="E10" s="171">
        <f ca="1">CDM!D105</f>
        <v>972842.12399331015</v>
      </c>
      <c r="F10" s="94">
        <f t="shared" ca="1" si="1"/>
        <v>15230410.808551352</v>
      </c>
      <c r="G10" s="94">
        <f ca="1">VLOOKUP(B10,CDM!$A$3:$G$14,7,FALSE)</f>
        <v>898139.50877827685</v>
      </c>
      <c r="H10" s="94">
        <f t="shared" ca="1" si="2"/>
        <v>15155708.193336319</v>
      </c>
      <c r="I10" s="90">
        <f>Weather!F204</f>
        <v>410.7</v>
      </c>
      <c r="J10" s="90">
        <f>Weather!G204</f>
        <v>0</v>
      </c>
      <c r="K10" s="108">
        <v>30</v>
      </c>
      <c r="L10" s="108">
        <f>Data!L84</f>
        <v>0</v>
      </c>
      <c r="M10" s="108">
        <f>Data!M84</f>
        <v>0</v>
      </c>
      <c r="N10" s="108">
        <f>Data!N84</f>
        <v>0</v>
      </c>
      <c r="O10" s="108">
        <f>Data!O84</f>
        <v>0</v>
      </c>
      <c r="P10" s="108">
        <f>Data!P84</f>
        <v>0</v>
      </c>
      <c r="Q10" s="108">
        <f>Data!Q84</f>
        <v>0</v>
      </c>
      <c r="R10" s="108">
        <f>Data!R84</f>
        <v>0</v>
      </c>
      <c r="S10" s="108">
        <f>Data!S84</f>
        <v>0</v>
      </c>
      <c r="T10" s="108">
        <f>Data!T84</f>
        <v>0</v>
      </c>
      <c r="U10" s="108">
        <f>Data!U84</f>
        <v>0</v>
      </c>
      <c r="V10" s="108">
        <f>Data!V84</f>
        <v>1</v>
      </c>
      <c r="W10" s="108">
        <f>Data!W84</f>
        <v>0</v>
      </c>
      <c r="X10" s="109">
        <v>1</v>
      </c>
      <c r="Y10" s="108">
        <f>Data!Y84</f>
        <v>0</v>
      </c>
      <c r="Z10" s="108">
        <f>Data!Z84</f>
        <v>1</v>
      </c>
      <c r="AA10" s="152">
        <v>0</v>
      </c>
      <c r="AB10" s="152">
        <v>0</v>
      </c>
      <c r="AC10" s="152">
        <f t="shared" si="3"/>
        <v>0</v>
      </c>
      <c r="AD10" s="152">
        <f t="shared" si="4"/>
        <v>0</v>
      </c>
      <c r="AE10" s="152">
        <v>1</v>
      </c>
      <c r="AF10" s="150">
        <f>'Customer Count'!I84</f>
        <v>14031.5</v>
      </c>
      <c r="AG10" s="150">
        <f>AF10-'Customer Count'!G84-'Customer Count'!F84</f>
        <v>11316.5</v>
      </c>
      <c r="AH10" s="109">
        <f t="shared" si="5"/>
        <v>9</v>
      </c>
      <c r="AI10" s="109">
        <v>320</v>
      </c>
      <c r="AJ10" s="91">
        <v>154.12702704114372</v>
      </c>
      <c r="AK10" s="91">
        <f>Economic!C96</f>
        <v>711695.1</v>
      </c>
      <c r="AL10" s="91">
        <f>Economic!D96</f>
        <v>7189.6</v>
      </c>
      <c r="AM10" s="91">
        <f>Economic!E96</f>
        <v>7194.2</v>
      </c>
      <c r="AN10" s="91">
        <f>Economic!F96</f>
        <v>5.7</v>
      </c>
      <c r="AO10" s="91">
        <f>Economic!G96</f>
        <v>5.2</v>
      </c>
      <c r="AP10" s="91">
        <f>Economic!H96</f>
        <v>426.2</v>
      </c>
      <c r="AQ10" s="91">
        <f>Economic!I96</f>
        <v>426.2</v>
      </c>
      <c r="AR10" s="91">
        <f>Economic!J96</f>
        <v>4.2</v>
      </c>
      <c r="AS10" s="91">
        <f>Economic!K96</f>
        <v>4.2</v>
      </c>
      <c r="AT10" s="91">
        <f>Economic!L96</f>
        <v>194.4</v>
      </c>
      <c r="AU10" s="91">
        <f>Economic!M96</f>
        <v>197.4</v>
      </c>
      <c r="AV10" s="91">
        <f>Economic!N96</f>
        <v>6.9</v>
      </c>
      <c r="AW10" s="91">
        <f>Economic!O96</f>
        <v>6</v>
      </c>
      <c r="AX10" s="91">
        <f>Economic!P96</f>
        <v>2.7539311554027668E-2</v>
      </c>
      <c r="AY10" s="91">
        <f>Economic!Q96</f>
        <v>2.4378428439125299E-2</v>
      </c>
      <c r="AZ10" s="91">
        <f>Economic!R96</f>
        <v>2.3808507307632176E-2</v>
      </c>
      <c r="BA10" s="91">
        <f>Economic!S96</f>
        <v>8.669046404895453E-2</v>
      </c>
      <c r="BB10" s="91">
        <f>Economic!T96</f>
        <v>8.7799897907095303E-2</v>
      </c>
      <c r="BC10" s="91">
        <f>Economic!U96</f>
        <v>-5.8139534883720922E-2</v>
      </c>
      <c r="BD10" s="91">
        <f>Economic!V96</f>
        <v>-5.5502392344497609E-2</v>
      </c>
      <c r="BE10" s="91">
        <f>Economic!W96</f>
        <v>19074.29999999993</v>
      </c>
      <c r="BF10" s="91">
        <f>Economic!X96</f>
        <v>171.10000000000036</v>
      </c>
      <c r="BG10" s="91">
        <f>Economic!Y96</f>
        <v>167.30000000000018</v>
      </c>
      <c r="BH10" s="91">
        <f>Economic!Z96</f>
        <v>34</v>
      </c>
      <c r="BI10" s="91">
        <f>Economic!AA96</f>
        <v>34.399999999999977</v>
      </c>
      <c r="BJ10" s="91">
        <f>Economic!AB96</f>
        <v>-12</v>
      </c>
      <c r="BK10" s="91">
        <f>Economic!AC96</f>
        <v>-11.599999999999994</v>
      </c>
      <c r="BL10" s="91">
        <f>Weather!C204</f>
        <v>4.3099999999999996</v>
      </c>
      <c r="BM10" s="91">
        <f>Weather!D204</f>
        <v>470.7</v>
      </c>
      <c r="BN10" s="91">
        <f>Weather!E204</f>
        <v>0</v>
      </c>
      <c r="BO10" s="91">
        <f>Weather!F204</f>
        <v>410.7</v>
      </c>
      <c r="BP10" s="91">
        <f>Weather!G204</f>
        <v>0</v>
      </c>
      <c r="BQ10" s="91">
        <f>Weather!H204</f>
        <v>350.69999999999993</v>
      </c>
      <c r="BR10" s="91">
        <f>Weather!I204</f>
        <v>0</v>
      </c>
      <c r="BS10" s="91">
        <f>Weather!J204</f>
        <v>290.69999999999993</v>
      </c>
      <c r="BT10" s="91">
        <f>Weather!K204</f>
        <v>0</v>
      </c>
      <c r="BU10" s="91">
        <f>Weather!L204</f>
        <v>230.69999999999996</v>
      </c>
      <c r="BV10" s="91">
        <f>Weather!M204</f>
        <v>0</v>
      </c>
      <c r="BW10" s="91">
        <f>Weather!N204</f>
        <v>173</v>
      </c>
      <c r="BX10" s="91">
        <f>Weather!O204</f>
        <v>2.3000000000000007</v>
      </c>
    </row>
    <row r="11" spans="1:76" x14ac:dyDescent="0.2">
      <c r="A11" s="66">
        <v>43100</v>
      </c>
      <c r="B11" s="114">
        <f t="shared" si="0"/>
        <v>2017</v>
      </c>
      <c r="C11" s="104">
        <v>18908989.901477978</v>
      </c>
      <c r="D11" s="104">
        <v>2532743.8747246251</v>
      </c>
      <c r="E11" s="171">
        <f ca="1">CDM!D106</f>
        <v>989442.70515220636</v>
      </c>
      <c r="F11" s="94">
        <f t="shared" ca="1" si="1"/>
        <v>17365688.731905557</v>
      </c>
      <c r="G11" s="94">
        <f ca="1">VLOOKUP(B11,CDM!$A$3:$G$14,7,FALSE)</f>
        <v>898139.50877827685</v>
      </c>
      <c r="H11" s="94">
        <f t="shared" ca="1" si="2"/>
        <v>17274385.535531629</v>
      </c>
      <c r="I11" s="90">
        <f>Weather!F205</f>
        <v>675.29999999999984</v>
      </c>
      <c r="J11" s="90">
        <f>Weather!G205</f>
        <v>0</v>
      </c>
      <c r="K11" s="108">
        <v>31</v>
      </c>
      <c r="L11" s="108">
        <f>Data!L85</f>
        <v>0</v>
      </c>
      <c r="M11" s="108">
        <f>Data!M85</f>
        <v>0</v>
      </c>
      <c r="N11" s="108">
        <f>Data!N85</f>
        <v>0</v>
      </c>
      <c r="O11" s="108">
        <f>Data!O85</f>
        <v>0</v>
      </c>
      <c r="P11" s="108">
        <f>Data!P85</f>
        <v>0</v>
      </c>
      <c r="Q11" s="108">
        <f>Data!Q85</f>
        <v>0</v>
      </c>
      <c r="R11" s="108">
        <f>Data!R85</f>
        <v>0</v>
      </c>
      <c r="S11" s="108">
        <f>Data!S85</f>
        <v>0</v>
      </c>
      <c r="T11" s="108">
        <f>Data!T85</f>
        <v>0</v>
      </c>
      <c r="U11" s="108">
        <f>Data!U85</f>
        <v>0</v>
      </c>
      <c r="V11" s="108">
        <f>Data!V85</f>
        <v>0</v>
      </c>
      <c r="W11" s="108">
        <f>Data!W85</f>
        <v>1</v>
      </c>
      <c r="X11" s="109">
        <v>0</v>
      </c>
      <c r="Y11" s="108">
        <f>Data!Y85</f>
        <v>0</v>
      </c>
      <c r="Z11" s="108">
        <f>Data!Z85</f>
        <v>0</v>
      </c>
      <c r="AA11" s="152">
        <v>0</v>
      </c>
      <c r="AB11" s="152">
        <v>0</v>
      </c>
      <c r="AC11" s="152">
        <f t="shared" si="3"/>
        <v>0</v>
      </c>
      <c r="AD11" s="152">
        <f t="shared" si="4"/>
        <v>0</v>
      </c>
      <c r="AE11" s="152">
        <v>1</v>
      </c>
      <c r="AF11" s="150">
        <f>'Customer Count'!I85</f>
        <v>14068.5</v>
      </c>
      <c r="AG11" s="150">
        <f>AF11-'Customer Count'!G85-'Customer Count'!F85</f>
        <v>11336.5</v>
      </c>
      <c r="AH11" s="109">
        <f t="shared" si="5"/>
        <v>10</v>
      </c>
      <c r="AI11" s="109">
        <v>352</v>
      </c>
      <c r="AJ11" s="91">
        <v>154.44450348160629</v>
      </c>
      <c r="AK11" s="91">
        <f>Economic!C97</f>
        <v>711695.1</v>
      </c>
      <c r="AL11" s="91">
        <f>Economic!D97</f>
        <v>7203.1</v>
      </c>
      <c r="AM11" s="91">
        <f>Economic!E97</f>
        <v>7213.4</v>
      </c>
      <c r="AN11" s="91">
        <f>Economic!F97</f>
        <v>5.7</v>
      </c>
      <c r="AO11" s="91">
        <f>Economic!G97</f>
        <v>5.0999999999999996</v>
      </c>
      <c r="AP11" s="91">
        <f>Economic!H97</f>
        <v>421.4</v>
      </c>
      <c r="AQ11" s="91">
        <f>Economic!I97</f>
        <v>423.3</v>
      </c>
      <c r="AR11" s="91">
        <f>Economic!J97</f>
        <v>4.7</v>
      </c>
      <c r="AS11" s="91">
        <f>Economic!K97</f>
        <v>4.3</v>
      </c>
      <c r="AT11" s="91">
        <f>Economic!L97</f>
        <v>196</v>
      </c>
      <c r="AU11" s="91">
        <f>Economic!M97</f>
        <v>198.5</v>
      </c>
      <c r="AV11" s="91">
        <f>Economic!N97</f>
        <v>6.6</v>
      </c>
      <c r="AW11" s="91">
        <f>Economic!O97</f>
        <v>6.1</v>
      </c>
      <c r="AX11" s="91">
        <f>Economic!P97</f>
        <v>2.7539311554027668E-2</v>
      </c>
      <c r="AY11" s="91">
        <f>Economic!Q97</f>
        <v>2.4797974049624472E-2</v>
      </c>
      <c r="AZ11" s="91">
        <f>Economic!R97</f>
        <v>2.4397864121790347E-2</v>
      </c>
      <c r="BA11" s="91">
        <f>Economic!S97</f>
        <v>6.1193653991437724E-2</v>
      </c>
      <c r="BB11" s="91">
        <f>Economic!T97</f>
        <v>6.3567839195979969E-2</v>
      </c>
      <c r="BC11" s="91">
        <f>Economic!U97</f>
        <v>-4.3902439024390283E-2</v>
      </c>
      <c r="BD11" s="91">
        <f>Economic!V97</f>
        <v>-4.0135396518375277E-2</v>
      </c>
      <c r="BE11" s="91">
        <f>Economic!W97</f>
        <v>19074.29999999993</v>
      </c>
      <c r="BF11" s="91">
        <f>Economic!X97</f>
        <v>174.30000000000018</v>
      </c>
      <c r="BG11" s="91">
        <f>Economic!Y97</f>
        <v>171.79999999999927</v>
      </c>
      <c r="BH11" s="91">
        <f>Economic!Z97</f>
        <v>24.299999999999955</v>
      </c>
      <c r="BI11" s="91">
        <f>Economic!AA97</f>
        <v>25.300000000000011</v>
      </c>
      <c r="BJ11" s="91">
        <f>Economic!AB97</f>
        <v>-9</v>
      </c>
      <c r="BK11" s="91">
        <f>Economic!AC97</f>
        <v>-8.3000000000000114</v>
      </c>
      <c r="BL11" s="91">
        <f>Weather!C205</f>
        <v>-3.7838709677419349</v>
      </c>
      <c r="BM11" s="91">
        <f>Weather!D205</f>
        <v>737.29999999999973</v>
      </c>
      <c r="BN11" s="91">
        <f>Weather!E205</f>
        <v>0</v>
      </c>
      <c r="BO11" s="91">
        <f>Weather!F205</f>
        <v>675.29999999999984</v>
      </c>
      <c r="BP11" s="91">
        <f>Weather!G205</f>
        <v>0</v>
      </c>
      <c r="BQ11" s="91">
        <f>Weather!H205</f>
        <v>613.29999999999995</v>
      </c>
      <c r="BR11" s="91">
        <f>Weather!I205</f>
        <v>0</v>
      </c>
      <c r="BS11" s="91">
        <f>Weather!J205</f>
        <v>551.30000000000007</v>
      </c>
      <c r="BT11" s="91">
        <f>Weather!K205</f>
        <v>0</v>
      </c>
      <c r="BU11" s="91">
        <f>Weather!L205</f>
        <v>489.30000000000007</v>
      </c>
      <c r="BV11" s="91">
        <f>Weather!M205</f>
        <v>0</v>
      </c>
      <c r="BW11" s="91">
        <f>Weather!N205</f>
        <v>427.30000000000007</v>
      </c>
      <c r="BX11" s="91">
        <f>Weather!O205</f>
        <v>0</v>
      </c>
    </row>
    <row r="12" spans="1:76" x14ac:dyDescent="0.2">
      <c r="A12" s="66">
        <v>43131</v>
      </c>
      <c r="B12" s="114">
        <f t="shared" si="0"/>
        <v>2018</v>
      </c>
      <c r="C12" s="104">
        <v>18920116.782666825</v>
      </c>
      <c r="D12" s="104">
        <v>1852730.1844645019</v>
      </c>
      <c r="E12" s="171">
        <f ca="1">CDM!D107</f>
        <v>970970.20593671221</v>
      </c>
      <c r="F12" s="94">
        <f t="shared" ca="1" si="1"/>
        <v>18038356.804139033</v>
      </c>
      <c r="G12" s="94">
        <f ca="1">VLOOKUP(B12,CDM!$A$3:$G$14,7,FALSE)</f>
        <v>1006028.4251290415</v>
      </c>
      <c r="H12" s="94">
        <f t="shared" ca="1" si="2"/>
        <v>18073415.023331363</v>
      </c>
      <c r="I12" s="90">
        <f>Weather!F206</f>
        <v>698.6</v>
      </c>
      <c r="J12" s="90">
        <f>Weather!G206</f>
        <v>0</v>
      </c>
      <c r="K12" s="108">
        <v>31</v>
      </c>
      <c r="L12" s="108">
        <f>Data!L86</f>
        <v>1</v>
      </c>
      <c r="M12" s="108">
        <f>Data!M86</f>
        <v>0</v>
      </c>
      <c r="N12" s="108">
        <f>Data!N86</f>
        <v>0</v>
      </c>
      <c r="O12" s="108">
        <f>Data!O86</f>
        <v>0</v>
      </c>
      <c r="P12" s="108">
        <f>Data!P86</f>
        <v>0</v>
      </c>
      <c r="Q12" s="108">
        <f>Data!Q86</f>
        <v>0</v>
      </c>
      <c r="R12" s="108">
        <f>Data!R86</f>
        <v>0</v>
      </c>
      <c r="S12" s="108">
        <f>Data!S86</f>
        <v>0</v>
      </c>
      <c r="T12" s="108">
        <f>Data!T86</f>
        <v>0</v>
      </c>
      <c r="U12" s="108">
        <f>Data!U86</f>
        <v>0</v>
      </c>
      <c r="V12" s="108">
        <f>Data!V86</f>
        <v>0</v>
      </c>
      <c r="W12" s="108">
        <f>Data!W86</f>
        <v>0</v>
      </c>
      <c r="X12" s="109">
        <v>0</v>
      </c>
      <c r="Y12" s="108">
        <f>Data!Y86</f>
        <v>0</v>
      </c>
      <c r="Z12" s="108">
        <f>Data!Z86</f>
        <v>0</v>
      </c>
      <c r="AA12" s="152">
        <v>0</v>
      </c>
      <c r="AB12" s="152">
        <v>0</v>
      </c>
      <c r="AC12" s="152">
        <f t="shared" si="3"/>
        <v>0</v>
      </c>
      <c r="AD12" s="152">
        <f t="shared" si="4"/>
        <v>0</v>
      </c>
      <c r="AE12" s="152">
        <v>1</v>
      </c>
      <c r="AF12" s="150">
        <f>'Customer Count'!I86</f>
        <v>14069.5</v>
      </c>
      <c r="AG12" s="150">
        <f>AF12-'Customer Count'!G86-'Customer Count'!F86</f>
        <v>11354.5</v>
      </c>
      <c r="AH12" s="109">
        <f t="shared" si="5"/>
        <v>11</v>
      </c>
      <c r="AI12" s="109">
        <v>320</v>
      </c>
      <c r="AJ12" s="91">
        <v>154.72483615659849</v>
      </c>
      <c r="AK12" s="91">
        <f>Economic!C98</f>
        <v>732426.3</v>
      </c>
      <c r="AL12" s="91">
        <f>Economic!D98</f>
        <v>7199.8</v>
      </c>
      <c r="AM12" s="91">
        <f>Economic!E98</f>
        <v>7172.6</v>
      </c>
      <c r="AN12" s="91">
        <f>Economic!F98</f>
        <v>5.6</v>
      </c>
      <c r="AO12" s="91">
        <f>Economic!G98</f>
        <v>5.2</v>
      </c>
      <c r="AP12" s="91">
        <f>Economic!H98</f>
        <v>420.4</v>
      </c>
      <c r="AQ12" s="91">
        <f>Economic!I98</f>
        <v>420.7</v>
      </c>
      <c r="AR12" s="91">
        <f>Economic!J98</f>
        <v>4.9000000000000004</v>
      </c>
      <c r="AS12" s="91">
        <f>Economic!K98</f>
        <v>4.5999999999999996</v>
      </c>
      <c r="AT12" s="91">
        <f>Economic!L98</f>
        <v>198.5</v>
      </c>
      <c r="AU12" s="91">
        <f>Economic!M98</f>
        <v>197.8</v>
      </c>
      <c r="AV12" s="91">
        <f>Economic!N98</f>
        <v>5.9</v>
      </c>
      <c r="AW12" s="91">
        <f>Economic!O98</f>
        <v>5.8</v>
      </c>
      <c r="AX12" s="91">
        <f>Economic!P98</f>
        <v>2.9129327994530385E-2</v>
      </c>
      <c r="AY12" s="91">
        <f>Economic!Q98</f>
        <v>2.1885999772907949E-2</v>
      </c>
      <c r="AZ12" s="91">
        <f>Economic!R98</f>
        <v>2.1941697774484847E-2</v>
      </c>
      <c r="BA12" s="91">
        <f>Economic!S98</f>
        <v>5.6016076362722877E-2</v>
      </c>
      <c r="BB12" s="91">
        <f>Economic!T98</f>
        <v>5.8098591549295753E-2</v>
      </c>
      <c r="BC12" s="91">
        <f>Economic!U98</f>
        <v>-1.3909587680079549E-2</v>
      </c>
      <c r="BD12" s="91">
        <f>Economic!V98</f>
        <v>-8.0240722166499134E-3</v>
      </c>
      <c r="BE12" s="91">
        <f>Economic!W98</f>
        <v>20731.20000000007</v>
      </c>
      <c r="BF12" s="91">
        <f>Economic!X98</f>
        <v>154.19999999999982</v>
      </c>
      <c r="BG12" s="91">
        <f>Economic!Y98</f>
        <v>154</v>
      </c>
      <c r="BH12" s="91">
        <f>Economic!Z98</f>
        <v>22.299999999999955</v>
      </c>
      <c r="BI12" s="91">
        <f>Economic!AA98</f>
        <v>23.099999999999966</v>
      </c>
      <c r="BJ12" s="91">
        <f>Economic!AB98</f>
        <v>-2.8000000000000114</v>
      </c>
      <c r="BK12" s="91">
        <f>Economic!AC98</f>
        <v>-1.5999999999999943</v>
      </c>
      <c r="BL12" s="91">
        <f>Weather!C206</f>
        <v>-4.5354838709677407</v>
      </c>
      <c r="BM12" s="91">
        <f>Weather!D206</f>
        <v>760.60000000000014</v>
      </c>
      <c r="BN12" s="91">
        <f>Weather!E206</f>
        <v>0</v>
      </c>
      <c r="BO12" s="91">
        <f>Weather!F206</f>
        <v>698.6</v>
      </c>
      <c r="BP12" s="91">
        <f>Weather!G206</f>
        <v>0</v>
      </c>
      <c r="BQ12" s="91">
        <f>Weather!H206</f>
        <v>636.6</v>
      </c>
      <c r="BR12" s="91">
        <f>Weather!I206</f>
        <v>0</v>
      </c>
      <c r="BS12" s="91">
        <f>Weather!J206</f>
        <v>574.59999999999991</v>
      </c>
      <c r="BT12" s="91">
        <f>Weather!K206</f>
        <v>0</v>
      </c>
      <c r="BU12" s="91">
        <f>Weather!L206</f>
        <v>512.59999999999991</v>
      </c>
      <c r="BV12" s="91">
        <f>Weather!M206</f>
        <v>0</v>
      </c>
      <c r="BW12" s="91">
        <f>Weather!N206</f>
        <v>450.59999999999997</v>
      </c>
      <c r="BX12" s="91">
        <f>Weather!O206</f>
        <v>0</v>
      </c>
    </row>
    <row r="13" spans="1:76" x14ac:dyDescent="0.2">
      <c r="A13" s="66">
        <v>43159</v>
      </c>
      <c r="B13" s="114">
        <f t="shared" si="0"/>
        <v>2018</v>
      </c>
      <c r="C13" s="104">
        <v>16165609.621245151</v>
      </c>
      <c r="D13" s="104">
        <v>1758839.4821045175</v>
      </c>
      <c r="E13" s="171">
        <f ca="1">CDM!D108</f>
        <v>977344.42760804482</v>
      </c>
      <c r="F13" s="94">
        <f t="shared" ca="1" si="1"/>
        <v>15384114.566748679</v>
      </c>
      <c r="G13" s="94">
        <f ca="1">VLOOKUP(B13,CDM!$A$3:$G$14,7,FALSE)</f>
        <v>1006028.4251290415</v>
      </c>
      <c r="H13" s="94">
        <f t="shared" ca="1" si="2"/>
        <v>15412798.564269675</v>
      </c>
      <c r="I13" s="90">
        <f>Weather!F207</f>
        <v>517.90000000000009</v>
      </c>
      <c r="J13" s="90">
        <f>Weather!G207</f>
        <v>0</v>
      </c>
      <c r="K13" s="108">
        <v>29</v>
      </c>
      <c r="L13" s="108">
        <f>Data!L87</f>
        <v>0</v>
      </c>
      <c r="M13" s="108">
        <f>Data!M87</f>
        <v>1</v>
      </c>
      <c r="N13" s="108">
        <f>Data!N87</f>
        <v>0</v>
      </c>
      <c r="O13" s="108">
        <f>Data!O87</f>
        <v>0</v>
      </c>
      <c r="P13" s="108">
        <f>Data!P87</f>
        <v>0</v>
      </c>
      <c r="Q13" s="108">
        <f>Data!Q87</f>
        <v>0</v>
      </c>
      <c r="R13" s="108">
        <f>Data!R87</f>
        <v>0</v>
      </c>
      <c r="S13" s="108">
        <f>Data!S87</f>
        <v>0</v>
      </c>
      <c r="T13" s="108">
        <f>Data!T87</f>
        <v>0</v>
      </c>
      <c r="U13" s="108">
        <f>Data!U87</f>
        <v>0</v>
      </c>
      <c r="V13" s="108">
        <f>Data!V87</f>
        <v>0</v>
      </c>
      <c r="W13" s="108">
        <f>Data!W87</f>
        <v>0</v>
      </c>
      <c r="X13" s="109">
        <v>0</v>
      </c>
      <c r="Y13" s="108">
        <f>Data!Y87</f>
        <v>0</v>
      </c>
      <c r="Z13" s="108">
        <f>Data!Z87</f>
        <v>0</v>
      </c>
      <c r="AA13" s="152">
        <v>0</v>
      </c>
      <c r="AB13" s="152">
        <v>0</v>
      </c>
      <c r="AC13" s="152">
        <f t="shared" si="3"/>
        <v>0</v>
      </c>
      <c r="AD13" s="152">
        <f t="shared" si="4"/>
        <v>0</v>
      </c>
      <c r="AE13" s="152">
        <v>1</v>
      </c>
      <c r="AF13" s="150">
        <f>'Customer Count'!I87</f>
        <v>14092</v>
      </c>
      <c r="AG13" s="150">
        <f>AF13-'Customer Count'!G87-'Customer Count'!F87</f>
        <v>11360</v>
      </c>
      <c r="AH13" s="109">
        <f t="shared" si="5"/>
        <v>12</v>
      </c>
      <c r="AI13" s="109">
        <v>320</v>
      </c>
      <c r="AJ13" s="91">
        <v>155.00567766425806</v>
      </c>
      <c r="AK13" s="91">
        <f>Economic!C99</f>
        <v>732426.3</v>
      </c>
      <c r="AL13" s="91">
        <f>Economic!D99</f>
        <v>7189.2</v>
      </c>
      <c r="AM13" s="91">
        <f>Economic!E99</f>
        <v>7125.8</v>
      </c>
      <c r="AN13" s="91">
        <f>Economic!F99</f>
        <v>5.6</v>
      </c>
      <c r="AO13" s="91">
        <f>Economic!G99</f>
        <v>5.4</v>
      </c>
      <c r="AP13" s="91">
        <f>Economic!H99</f>
        <v>415.9</v>
      </c>
      <c r="AQ13" s="91">
        <f>Economic!I99</f>
        <v>413.8</v>
      </c>
      <c r="AR13" s="91">
        <f>Economic!J99</f>
        <v>5.4</v>
      </c>
      <c r="AS13" s="91">
        <f>Economic!K99</f>
        <v>5.2</v>
      </c>
      <c r="AT13" s="91">
        <f>Economic!L99</f>
        <v>199.8</v>
      </c>
      <c r="AU13" s="91">
        <f>Economic!M99</f>
        <v>196.8</v>
      </c>
      <c r="AV13" s="91">
        <f>Economic!N99</f>
        <v>5.3</v>
      </c>
      <c r="AW13" s="91">
        <f>Economic!O99</f>
        <v>5.6</v>
      </c>
      <c r="AX13" s="91">
        <f>Economic!P99</f>
        <v>2.9129327994530385E-2</v>
      </c>
      <c r="AY13" s="91">
        <f>Economic!Q99</f>
        <v>1.8199328678459636E-2</v>
      </c>
      <c r="AZ13" s="91">
        <f>Economic!R99</f>
        <v>1.8553459119496907E-2</v>
      </c>
      <c r="BA13" s="91">
        <f>Economic!S99</f>
        <v>4.3401906673356638E-2</v>
      </c>
      <c r="BB13" s="91">
        <f>Economic!T99</f>
        <v>4.4685685432971356E-2</v>
      </c>
      <c r="BC13" s="91">
        <f>Economic!U99</f>
        <v>1.0622154779969861E-2</v>
      </c>
      <c r="BD13" s="91">
        <f>Economic!V99</f>
        <v>1.391035548686248E-2</v>
      </c>
      <c r="BE13" s="91">
        <f>Economic!W99</f>
        <v>20731.20000000007</v>
      </c>
      <c r="BF13" s="91">
        <f>Economic!X99</f>
        <v>128.5</v>
      </c>
      <c r="BG13" s="91">
        <f>Economic!Y99</f>
        <v>129.80000000000018</v>
      </c>
      <c r="BH13" s="91">
        <f>Economic!Z99</f>
        <v>17.299999999999955</v>
      </c>
      <c r="BI13" s="91">
        <f>Economic!AA99</f>
        <v>17.699999999999989</v>
      </c>
      <c r="BJ13" s="91">
        <f>Economic!AB99</f>
        <v>2.1000000000000227</v>
      </c>
      <c r="BK13" s="91">
        <f>Economic!AC99</f>
        <v>2.7000000000000171</v>
      </c>
      <c r="BL13" s="91">
        <f>Weather!C207</f>
        <v>-0.49642857142857139</v>
      </c>
      <c r="BM13" s="91">
        <f>Weather!D207</f>
        <v>573.9000000000002</v>
      </c>
      <c r="BN13" s="91">
        <f>Weather!E207</f>
        <v>0</v>
      </c>
      <c r="BO13" s="91">
        <f>Weather!F207</f>
        <v>517.90000000000009</v>
      </c>
      <c r="BP13" s="91">
        <f>Weather!G207</f>
        <v>0</v>
      </c>
      <c r="BQ13" s="91">
        <f>Weather!H207</f>
        <v>461.90000000000003</v>
      </c>
      <c r="BR13" s="91">
        <f>Weather!I207</f>
        <v>0</v>
      </c>
      <c r="BS13" s="91">
        <f>Weather!J207</f>
        <v>405.90000000000003</v>
      </c>
      <c r="BT13" s="91">
        <f>Weather!K207</f>
        <v>0</v>
      </c>
      <c r="BU13" s="91">
        <f>Weather!L207</f>
        <v>349.9</v>
      </c>
      <c r="BV13" s="91">
        <f>Weather!M207</f>
        <v>0</v>
      </c>
      <c r="BW13" s="91">
        <f>Weather!N207</f>
        <v>294.39999999999998</v>
      </c>
      <c r="BX13" s="91">
        <f>Weather!O207</f>
        <v>0.5</v>
      </c>
    </row>
    <row r="14" spans="1:76" x14ac:dyDescent="0.2">
      <c r="A14" s="66">
        <v>43190</v>
      </c>
      <c r="B14" s="114">
        <f t="shared" si="0"/>
        <v>2018</v>
      </c>
      <c r="C14" s="104">
        <v>17475012.52885266</v>
      </c>
      <c r="D14" s="104">
        <v>2375340.9491960937</v>
      </c>
      <c r="E14" s="171">
        <f ca="1">CDM!D109</f>
        <v>983718.64927937742</v>
      </c>
      <c r="F14" s="94">
        <f t="shared" ca="1" si="1"/>
        <v>16083390.228935946</v>
      </c>
      <c r="G14" s="94">
        <f ca="1">VLOOKUP(B14,CDM!$A$3:$G$14,7,FALSE)</f>
        <v>1006028.4251290415</v>
      </c>
      <c r="H14" s="94">
        <f t="shared" ca="1" si="2"/>
        <v>16105700.004785609</v>
      </c>
      <c r="I14" s="90">
        <f>Weather!F208</f>
        <v>546.1</v>
      </c>
      <c r="J14" s="90">
        <f>Weather!G208</f>
        <v>0</v>
      </c>
      <c r="K14" s="108">
        <v>31</v>
      </c>
      <c r="L14" s="108">
        <f>Data!L88</f>
        <v>0</v>
      </c>
      <c r="M14" s="108">
        <f>Data!M88</f>
        <v>0</v>
      </c>
      <c r="N14" s="108">
        <f>Data!N88</f>
        <v>1</v>
      </c>
      <c r="O14" s="108">
        <f>Data!O88</f>
        <v>0</v>
      </c>
      <c r="P14" s="108">
        <f>Data!P88</f>
        <v>0</v>
      </c>
      <c r="Q14" s="108">
        <f>Data!Q88</f>
        <v>0</v>
      </c>
      <c r="R14" s="108">
        <f>Data!R88</f>
        <v>0</v>
      </c>
      <c r="S14" s="108">
        <f>Data!S88</f>
        <v>0</v>
      </c>
      <c r="T14" s="108">
        <f>Data!T88</f>
        <v>0</v>
      </c>
      <c r="U14" s="108">
        <f>Data!U88</f>
        <v>0</v>
      </c>
      <c r="V14" s="108">
        <f>Data!V88</f>
        <v>0</v>
      </c>
      <c r="W14" s="108">
        <f>Data!W88</f>
        <v>0</v>
      </c>
      <c r="X14" s="109">
        <v>1</v>
      </c>
      <c r="Y14" s="108">
        <f>Data!Y88</f>
        <v>1</v>
      </c>
      <c r="Z14" s="108">
        <f>Data!Z88</f>
        <v>0</v>
      </c>
      <c r="AA14" s="152">
        <v>0</v>
      </c>
      <c r="AB14" s="152">
        <v>0</v>
      </c>
      <c r="AC14" s="152">
        <f t="shared" si="3"/>
        <v>0</v>
      </c>
      <c r="AD14" s="152">
        <f t="shared" si="4"/>
        <v>0</v>
      </c>
      <c r="AE14" s="152">
        <v>1</v>
      </c>
      <c r="AF14" s="150">
        <f>'Customer Count'!I88</f>
        <v>14099.5</v>
      </c>
      <c r="AG14" s="150">
        <f>AF14-'Customer Count'!G88-'Customer Count'!F88</f>
        <v>11367.5</v>
      </c>
      <c r="AH14" s="109">
        <f t="shared" si="5"/>
        <v>13</v>
      </c>
      <c r="AI14" s="109">
        <v>352</v>
      </c>
      <c r="AJ14" s="91">
        <v>155.2870289281687</v>
      </c>
      <c r="AK14" s="91">
        <f>Economic!C100</f>
        <v>732426.3</v>
      </c>
      <c r="AL14" s="91">
        <f>Economic!D100</f>
        <v>7185</v>
      </c>
      <c r="AM14" s="91">
        <f>Economic!E100</f>
        <v>7082.3</v>
      </c>
      <c r="AN14" s="91">
        <f>Economic!F100</f>
        <v>5.5</v>
      </c>
      <c r="AO14" s="91">
        <f>Economic!G100</f>
        <v>5.7</v>
      </c>
      <c r="AP14" s="91">
        <f>Economic!H100</f>
        <v>413.4</v>
      </c>
      <c r="AQ14" s="91">
        <f>Economic!I100</f>
        <v>407.7</v>
      </c>
      <c r="AR14" s="91">
        <f>Economic!J100</f>
        <v>5.5</v>
      </c>
      <c r="AS14" s="91">
        <f>Economic!K100</f>
        <v>5.5</v>
      </c>
      <c r="AT14" s="91">
        <f>Economic!L100</f>
        <v>201.2</v>
      </c>
      <c r="AU14" s="91">
        <f>Economic!M100</f>
        <v>195.4</v>
      </c>
      <c r="AV14" s="91">
        <f>Economic!N100</f>
        <v>5.8</v>
      </c>
      <c r="AW14" s="91">
        <f>Economic!O100</f>
        <v>6.6</v>
      </c>
      <c r="AX14" s="91">
        <f>Economic!P100</f>
        <v>2.9129327994530385E-2</v>
      </c>
      <c r="AY14" s="91">
        <f>Economic!Q100</f>
        <v>1.5662548415368516E-2</v>
      </c>
      <c r="AZ14" s="91">
        <f>Economic!R100</f>
        <v>1.5820424555364365E-2</v>
      </c>
      <c r="BA14" s="91">
        <f>Economic!S100</f>
        <v>2.8358208955223896E-2</v>
      </c>
      <c r="BB14" s="91">
        <f>Economic!T100</f>
        <v>2.8247162673392223E-2</v>
      </c>
      <c r="BC14" s="91">
        <f>Economic!U100</f>
        <v>2.4439918533604832E-2</v>
      </c>
      <c r="BD14" s="91">
        <f>Economic!V100</f>
        <v>2.3036649214659644E-2</v>
      </c>
      <c r="BE14" s="91">
        <f>Economic!W100</f>
        <v>20731.20000000007</v>
      </c>
      <c r="BF14" s="91">
        <f>Economic!X100</f>
        <v>110.80000000000018</v>
      </c>
      <c r="BG14" s="91">
        <f>Economic!Y100</f>
        <v>110.30000000000018</v>
      </c>
      <c r="BH14" s="91">
        <f>Economic!Z100</f>
        <v>11.399999999999977</v>
      </c>
      <c r="BI14" s="91">
        <f>Economic!AA100</f>
        <v>11.199999999999989</v>
      </c>
      <c r="BJ14" s="91">
        <f>Economic!AB100</f>
        <v>4.7999999999999829</v>
      </c>
      <c r="BK14" s="91">
        <f>Economic!AC100</f>
        <v>4.4000000000000057</v>
      </c>
      <c r="BL14" s="91">
        <f>Weather!C208</f>
        <v>0.38387096774193546</v>
      </c>
      <c r="BM14" s="91">
        <f>Weather!D208</f>
        <v>608.10000000000014</v>
      </c>
      <c r="BN14" s="91">
        <f>Weather!E208</f>
        <v>0</v>
      </c>
      <c r="BO14" s="91">
        <f>Weather!F208</f>
        <v>546.1</v>
      </c>
      <c r="BP14" s="91">
        <f>Weather!G208</f>
        <v>0</v>
      </c>
      <c r="BQ14" s="91">
        <f>Weather!H208</f>
        <v>484.09999999999997</v>
      </c>
      <c r="BR14" s="91">
        <f>Weather!I208</f>
        <v>0</v>
      </c>
      <c r="BS14" s="91">
        <f>Weather!J208</f>
        <v>422.09999999999997</v>
      </c>
      <c r="BT14" s="91">
        <f>Weather!K208</f>
        <v>0</v>
      </c>
      <c r="BU14" s="91">
        <f>Weather!L208</f>
        <v>360.09999999999997</v>
      </c>
      <c r="BV14" s="91">
        <f>Weather!M208</f>
        <v>0</v>
      </c>
      <c r="BW14" s="91">
        <f>Weather!N208</f>
        <v>298.09999999999997</v>
      </c>
      <c r="BX14" s="91">
        <f>Weather!O208</f>
        <v>0</v>
      </c>
    </row>
    <row r="15" spans="1:76" x14ac:dyDescent="0.2">
      <c r="A15" s="66">
        <v>43220</v>
      </c>
      <c r="B15" s="114">
        <f t="shared" si="0"/>
        <v>2018</v>
      </c>
      <c r="C15" s="104">
        <v>16622054.862042977</v>
      </c>
      <c r="D15" s="104">
        <v>2485375.9892984647</v>
      </c>
      <c r="E15" s="171">
        <f ca="1">CDM!D110</f>
        <v>990092.87095071003</v>
      </c>
      <c r="F15" s="94">
        <f t="shared" ca="1" si="1"/>
        <v>15126771.74369522</v>
      </c>
      <c r="G15" s="94">
        <f ca="1">VLOOKUP(B15,CDM!$A$3:$G$14,7,FALSE)</f>
        <v>1006028.4251290415</v>
      </c>
      <c r="H15" s="94">
        <f t="shared" ca="1" si="2"/>
        <v>15142707.297873553</v>
      </c>
      <c r="I15" s="90">
        <f>Weather!F209</f>
        <v>425.69999999999993</v>
      </c>
      <c r="J15" s="90">
        <f>Weather!G209</f>
        <v>0</v>
      </c>
      <c r="K15" s="108">
        <v>30</v>
      </c>
      <c r="L15" s="108">
        <f>Data!L89</f>
        <v>0</v>
      </c>
      <c r="M15" s="108">
        <f>Data!M89</f>
        <v>0</v>
      </c>
      <c r="N15" s="108">
        <f>Data!N89</f>
        <v>0</v>
      </c>
      <c r="O15" s="108">
        <f>Data!O89</f>
        <v>1</v>
      </c>
      <c r="P15" s="108">
        <f>Data!P89</f>
        <v>0</v>
      </c>
      <c r="Q15" s="108">
        <f>Data!Q89</f>
        <v>0</v>
      </c>
      <c r="R15" s="108">
        <f>Data!R89</f>
        <v>0</v>
      </c>
      <c r="S15" s="108">
        <f>Data!S89</f>
        <v>0</v>
      </c>
      <c r="T15" s="108">
        <f>Data!T89</f>
        <v>0</v>
      </c>
      <c r="U15" s="108">
        <f>Data!U89</f>
        <v>0</v>
      </c>
      <c r="V15" s="108">
        <f>Data!V89</f>
        <v>0</v>
      </c>
      <c r="W15" s="108">
        <f>Data!W89</f>
        <v>0</v>
      </c>
      <c r="X15" s="109">
        <v>1</v>
      </c>
      <c r="Y15" s="108">
        <f>Data!Y89</f>
        <v>1</v>
      </c>
      <c r="Z15" s="108">
        <f>Data!Z89</f>
        <v>0</v>
      </c>
      <c r="AA15" s="152">
        <v>0</v>
      </c>
      <c r="AB15" s="152">
        <v>0</v>
      </c>
      <c r="AC15" s="152">
        <f t="shared" si="3"/>
        <v>0</v>
      </c>
      <c r="AD15" s="152">
        <f t="shared" si="4"/>
        <v>0</v>
      </c>
      <c r="AE15" s="152">
        <v>1</v>
      </c>
      <c r="AF15" s="150">
        <f>'Customer Count'!I89</f>
        <v>14119</v>
      </c>
      <c r="AG15" s="150">
        <f>AF15-'Customer Count'!G89-'Customer Count'!F89</f>
        <v>11387.5</v>
      </c>
      <c r="AH15" s="109">
        <f t="shared" si="5"/>
        <v>14</v>
      </c>
      <c r="AI15" s="109">
        <v>336</v>
      </c>
      <c r="AJ15" s="91">
        <v>155.56889087359048</v>
      </c>
      <c r="AK15" s="91">
        <f>Economic!C101</f>
        <v>732426.3</v>
      </c>
      <c r="AL15" s="91">
        <f>Economic!D101</f>
        <v>7198.2</v>
      </c>
      <c r="AM15" s="91">
        <f>Economic!E101</f>
        <v>7108.4</v>
      </c>
      <c r="AN15" s="91">
        <f>Economic!F101</f>
        <v>5.5</v>
      </c>
      <c r="AO15" s="91">
        <f>Economic!G101</f>
        <v>5.7</v>
      </c>
      <c r="AP15" s="91">
        <f>Economic!H101</f>
        <v>410</v>
      </c>
      <c r="AQ15" s="91">
        <f>Economic!I101</f>
        <v>403.8</v>
      </c>
      <c r="AR15" s="91">
        <f>Economic!J101</f>
        <v>5.3</v>
      </c>
      <c r="AS15" s="91">
        <f>Economic!K101</f>
        <v>4.9000000000000004</v>
      </c>
      <c r="AT15" s="91">
        <f>Economic!L101</f>
        <v>202.6</v>
      </c>
      <c r="AU15" s="91">
        <f>Economic!M101</f>
        <v>197.1</v>
      </c>
      <c r="AV15" s="91">
        <f>Economic!N101</f>
        <v>5.9</v>
      </c>
      <c r="AW15" s="91">
        <f>Economic!O101</f>
        <v>6.7</v>
      </c>
      <c r="AX15" s="91">
        <f>Economic!P101</f>
        <v>2.9129327994530385E-2</v>
      </c>
      <c r="AY15" s="91">
        <f>Economic!Q101</f>
        <v>1.7442189178492606E-2</v>
      </c>
      <c r="AZ15" s="91">
        <f>Economic!R101</f>
        <v>1.7987053903878003E-2</v>
      </c>
      <c r="BA15" s="91">
        <f>Economic!S101</f>
        <v>-2.4330900243308973E-3</v>
      </c>
      <c r="BB15" s="91">
        <f>Economic!T101</f>
        <v>-7.3746312684366266E-3</v>
      </c>
      <c r="BC15" s="91">
        <f>Economic!U101</f>
        <v>3.2093734080488989E-2</v>
      </c>
      <c r="BD15" s="91">
        <f>Economic!V101</f>
        <v>3.1937172774869182E-2</v>
      </c>
      <c r="BE15" s="91">
        <f>Economic!W101</f>
        <v>20731.20000000007</v>
      </c>
      <c r="BF15" s="91">
        <f>Economic!X101</f>
        <v>123.39999999999964</v>
      </c>
      <c r="BG15" s="91">
        <f>Economic!Y101</f>
        <v>125.59999999999945</v>
      </c>
      <c r="BH15" s="91">
        <f>Economic!Z101</f>
        <v>-1</v>
      </c>
      <c r="BI15" s="91">
        <f>Economic!AA101</f>
        <v>-3</v>
      </c>
      <c r="BJ15" s="91">
        <f>Economic!AB101</f>
        <v>6.2999999999999829</v>
      </c>
      <c r="BK15" s="91">
        <f>Economic!AC101</f>
        <v>6.0999999999999943</v>
      </c>
      <c r="BL15" s="91">
        <f>Weather!C209</f>
        <v>3.8099999999999996</v>
      </c>
      <c r="BM15" s="91">
        <f>Weather!D209</f>
        <v>485.7</v>
      </c>
      <c r="BN15" s="91">
        <f>Weather!E209</f>
        <v>0</v>
      </c>
      <c r="BO15" s="91">
        <f>Weather!F209</f>
        <v>425.69999999999993</v>
      </c>
      <c r="BP15" s="91">
        <f>Weather!G209</f>
        <v>0</v>
      </c>
      <c r="BQ15" s="91">
        <f>Weather!H209</f>
        <v>365.69999999999993</v>
      </c>
      <c r="BR15" s="91">
        <f>Weather!I209</f>
        <v>0</v>
      </c>
      <c r="BS15" s="91">
        <f>Weather!J209</f>
        <v>305.69999999999993</v>
      </c>
      <c r="BT15" s="91">
        <f>Weather!K209</f>
        <v>0</v>
      </c>
      <c r="BU15" s="91">
        <f>Weather!L209</f>
        <v>245.69999999999993</v>
      </c>
      <c r="BV15" s="91">
        <f>Weather!M209</f>
        <v>0</v>
      </c>
      <c r="BW15" s="91">
        <f>Weather!N209</f>
        <v>187.19999999999993</v>
      </c>
      <c r="BX15" s="91">
        <f>Weather!O209</f>
        <v>1.5</v>
      </c>
    </row>
    <row r="16" spans="1:76" x14ac:dyDescent="0.2">
      <c r="A16" s="66">
        <v>43251</v>
      </c>
      <c r="B16" s="114">
        <f t="shared" si="0"/>
        <v>2018</v>
      </c>
      <c r="C16" s="104">
        <v>19779671.223524317</v>
      </c>
      <c r="D16" s="104">
        <v>5433603.1230769819</v>
      </c>
      <c r="E16" s="171">
        <f ca="1">CDM!D111</f>
        <v>996467.09262204263</v>
      </c>
      <c r="F16" s="94">
        <f t="shared" ca="1" si="1"/>
        <v>15342535.193069376</v>
      </c>
      <c r="G16" s="94">
        <f ca="1">VLOOKUP(B16,CDM!$A$3:$G$14,7,FALSE)</f>
        <v>1006028.4251290415</v>
      </c>
      <c r="H16" s="94">
        <f t="shared" ca="1" si="2"/>
        <v>15352096.525576375</v>
      </c>
      <c r="I16" s="90">
        <f>Weather!F210</f>
        <v>81.700000000000017</v>
      </c>
      <c r="J16" s="90">
        <f>Weather!G210</f>
        <v>31.500000000000004</v>
      </c>
      <c r="K16" s="108">
        <v>31</v>
      </c>
      <c r="L16" s="108">
        <f>Data!L90</f>
        <v>0</v>
      </c>
      <c r="M16" s="108">
        <f>Data!M90</f>
        <v>0</v>
      </c>
      <c r="N16" s="108">
        <f>Data!N90</f>
        <v>0</v>
      </c>
      <c r="O16" s="108">
        <f>Data!O90</f>
        <v>0</v>
      </c>
      <c r="P16" s="108">
        <f>Data!P90</f>
        <v>1</v>
      </c>
      <c r="Q16" s="108">
        <f>Data!Q90</f>
        <v>0</v>
      </c>
      <c r="R16" s="108">
        <f>Data!R90</f>
        <v>0</v>
      </c>
      <c r="S16" s="108">
        <f>Data!S90</f>
        <v>0</v>
      </c>
      <c r="T16" s="108">
        <f>Data!T90</f>
        <v>0</v>
      </c>
      <c r="U16" s="108">
        <f>Data!U90</f>
        <v>0</v>
      </c>
      <c r="V16" s="108">
        <f>Data!V90</f>
        <v>0</v>
      </c>
      <c r="W16" s="108">
        <f>Data!W90</f>
        <v>0</v>
      </c>
      <c r="X16" s="109">
        <v>1</v>
      </c>
      <c r="Y16" s="108">
        <f>Data!Y90</f>
        <v>1</v>
      </c>
      <c r="Z16" s="108">
        <f>Data!Z90</f>
        <v>0</v>
      </c>
      <c r="AA16" s="152">
        <v>0</v>
      </c>
      <c r="AB16" s="152">
        <v>0</v>
      </c>
      <c r="AC16" s="152">
        <f t="shared" si="3"/>
        <v>0</v>
      </c>
      <c r="AD16" s="152">
        <f t="shared" si="4"/>
        <v>0</v>
      </c>
      <c r="AE16" s="152">
        <v>1</v>
      </c>
      <c r="AF16" s="150">
        <f>'Customer Count'!I90</f>
        <v>14142</v>
      </c>
      <c r="AG16" s="150">
        <f>AF16-'Customer Count'!G90-'Customer Count'!F90</f>
        <v>11411</v>
      </c>
      <c r="AH16" s="109">
        <f t="shared" si="5"/>
        <v>15</v>
      </c>
      <c r="AI16" s="109">
        <v>336</v>
      </c>
      <c r="AJ16" s="91">
        <v>155.85126442746289</v>
      </c>
      <c r="AK16" s="91">
        <f>Economic!C102</f>
        <v>732426.3</v>
      </c>
      <c r="AL16" s="91">
        <f>Economic!D102</f>
        <v>7208.1</v>
      </c>
      <c r="AM16" s="91">
        <f>Economic!E102</f>
        <v>7174.7</v>
      </c>
      <c r="AN16" s="91">
        <f>Economic!F102</f>
        <v>5.6</v>
      </c>
      <c r="AO16" s="91">
        <f>Economic!G102</f>
        <v>5.8</v>
      </c>
      <c r="AP16" s="91">
        <f>Economic!H102</f>
        <v>412.2</v>
      </c>
      <c r="AQ16" s="91">
        <f>Economic!I102</f>
        <v>408.1</v>
      </c>
      <c r="AR16" s="91">
        <f>Economic!J102</f>
        <v>4.8</v>
      </c>
      <c r="AS16" s="91">
        <f>Economic!K102</f>
        <v>4.5999999999999996</v>
      </c>
      <c r="AT16" s="91">
        <f>Economic!L102</f>
        <v>203.9</v>
      </c>
      <c r="AU16" s="91">
        <f>Economic!M102</f>
        <v>200.9</v>
      </c>
      <c r="AV16" s="91">
        <f>Economic!N102</f>
        <v>6.5</v>
      </c>
      <c r="AW16" s="91">
        <f>Economic!O102</f>
        <v>6.9</v>
      </c>
      <c r="AX16" s="91">
        <f>Economic!P102</f>
        <v>2.9129327994530385E-2</v>
      </c>
      <c r="AY16" s="91">
        <f>Economic!Q102</f>
        <v>1.7992571355939457E-2</v>
      </c>
      <c r="AZ16" s="91">
        <f>Economic!R102</f>
        <v>1.8063399267815194E-2</v>
      </c>
      <c r="BA16" s="91">
        <f>Economic!S102</f>
        <v>-1.0799136069114423E-2</v>
      </c>
      <c r="BB16" s="91">
        <f>Economic!T102</f>
        <v>-1.6152362584378022E-2</v>
      </c>
      <c r="BC16" s="91">
        <f>Economic!U102</f>
        <v>2.8758829465186819E-2</v>
      </c>
      <c r="BD16" s="91">
        <f>Economic!V102</f>
        <v>2.9728344438749499E-2</v>
      </c>
      <c r="BE16" s="91">
        <f>Economic!W102</f>
        <v>20731.20000000007</v>
      </c>
      <c r="BF16" s="91">
        <f>Economic!X102</f>
        <v>127.40000000000055</v>
      </c>
      <c r="BG16" s="91">
        <f>Economic!Y102</f>
        <v>127.30000000000018</v>
      </c>
      <c r="BH16" s="91">
        <f>Economic!Z102</f>
        <v>-4.5</v>
      </c>
      <c r="BI16" s="91">
        <f>Economic!AA102</f>
        <v>-6.6999999999999886</v>
      </c>
      <c r="BJ16" s="91">
        <f>Economic!AB102</f>
        <v>5.7000000000000171</v>
      </c>
      <c r="BK16" s="91">
        <f>Economic!AC102</f>
        <v>5.8000000000000114</v>
      </c>
      <c r="BL16" s="91">
        <f>Weather!C210</f>
        <v>16.380645161290328</v>
      </c>
      <c r="BM16" s="91">
        <f>Weather!D210</f>
        <v>125.60000000000002</v>
      </c>
      <c r="BN16" s="91">
        <f>Weather!E210</f>
        <v>13.400000000000002</v>
      </c>
      <c r="BO16" s="91">
        <f>Weather!F210</f>
        <v>81.700000000000017</v>
      </c>
      <c r="BP16" s="91">
        <f>Weather!G210</f>
        <v>31.500000000000004</v>
      </c>
      <c r="BQ16" s="91">
        <f>Weather!H210</f>
        <v>48.800000000000011</v>
      </c>
      <c r="BR16" s="91">
        <f>Weather!I210</f>
        <v>60.599999999999994</v>
      </c>
      <c r="BS16" s="91">
        <f>Weather!J210</f>
        <v>25.199999999999996</v>
      </c>
      <c r="BT16" s="91">
        <f>Weather!K210</f>
        <v>98.999999999999986</v>
      </c>
      <c r="BU16" s="91">
        <f>Weather!L210</f>
        <v>9.8999999999999986</v>
      </c>
      <c r="BV16" s="91">
        <f>Weather!M210</f>
        <v>145.69999999999999</v>
      </c>
      <c r="BW16" s="91">
        <f>Weather!N210</f>
        <v>3</v>
      </c>
      <c r="BX16" s="91">
        <f>Weather!O210</f>
        <v>200.8</v>
      </c>
    </row>
    <row r="17" spans="1:76" x14ac:dyDescent="0.2">
      <c r="A17" s="66">
        <v>43281</v>
      </c>
      <c r="B17" s="114">
        <f t="shared" si="0"/>
        <v>2018</v>
      </c>
      <c r="C17" s="104">
        <v>19936672.391649656</v>
      </c>
      <c r="D17" s="104">
        <v>3916619.5607652208</v>
      </c>
      <c r="E17" s="171">
        <f ca="1">CDM!D112</f>
        <v>1002841.3142933752</v>
      </c>
      <c r="F17" s="94">
        <f t="shared" ca="1" si="1"/>
        <v>17022894.145177811</v>
      </c>
      <c r="G17" s="94">
        <f ca="1">VLOOKUP(B17,CDM!$A$3:$G$14,7,FALSE)</f>
        <v>1006028.4251290415</v>
      </c>
      <c r="H17" s="94">
        <f t="shared" ca="1" si="2"/>
        <v>17026081.256013475</v>
      </c>
      <c r="I17" s="90">
        <f>Weather!F211</f>
        <v>19.699999999999992</v>
      </c>
      <c r="J17" s="90">
        <f>Weather!G211</f>
        <v>67.499999999999986</v>
      </c>
      <c r="K17" s="108">
        <v>30</v>
      </c>
      <c r="L17" s="108">
        <f>Data!L91</f>
        <v>0</v>
      </c>
      <c r="M17" s="108">
        <f>Data!M91</f>
        <v>0</v>
      </c>
      <c r="N17" s="108">
        <f>Data!N91</f>
        <v>0</v>
      </c>
      <c r="O17" s="108">
        <f>Data!O91</f>
        <v>0</v>
      </c>
      <c r="P17" s="108">
        <f>Data!P91</f>
        <v>0</v>
      </c>
      <c r="Q17" s="108">
        <f>Data!Q91</f>
        <v>1</v>
      </c>
      <c r="R17" s="108">
        <f>Data!R91</f>
        <v>0</v>
      </c>
      <c r="S17" s="108">
        <f>Data!S91</f>
        <v>0</v>
      </c>
      <c r="T17" s="108">
        <f>Data!T91</f>
        <v>0</v>
      </c>
      <c r="U17" s="108">
        <f>Data!U91</f>
        <v>0</v>
      </c>
      <c r="V17" s="108">
        <f>Data!V91</f>
        <v>0</v>
      </c>
      <c r="W17" s="108">
        <f>Data!W91</f>
        <v>0</v>
      </c>
      <c r="X17" s="109">
        <v>0</v>
      </c>
      <c r="Y17" s="108">
        <f>Data!Y91</f>
        <v>0</v>
      </c>
      <c r="Z17" s="108">
        <f>Data!Z91</f>
        <v>0</v>
      </c>
      <c r="AA17" s="152">
        <v>0</v>
      </c>
      <c r="AB17" s="152">
        <v>0</v>
      </c>
      <c r="AC17" s="152">
        <f t="shared" si="3"/>
        <v>0</v>
      </c>
      <c r="AD17" s="152">
        <f t="shared" si="4"/>
        <v>0</v>
      </c>
      <c r="AE17" s="152">
        <v>1</v>
      </c>
      <c r="AF17" s="150">
        <f>'Customer Count'!I91</f>
        <v>14155</v>
      </c>
      <c r="AG17" s="150">
        <f>AF17-'Customer Count'!G91-'Customer Count'!F91</f>
        <v>11424</v>
      </c>
      <c r="AH17" s="109">
        <f t="shared" si="5"/>
        <v>16</v>
      </c>
      <c r="AI17" s="109">
        <v>352</v>
      </c>
      <c r="AJ17" s="91">
        <v>156.13415051840798</v>
      </c>
      <c r="AK17" s="91">
        <f>Economic!C103</f>
        <v>732426.3</v>
      </c>
      <c r="AL17" s="91">
        <f>Economic!D103</f>
        <v>7224.1</v>
      </c>
      <c r="AM17" s="91">
        <f>Economic!E103</f>
        <v>7269.2</v>
      </c>
      <c r="AN17" s="91">
        <f>Economic!F103</f>
        <v>5.8</v>
      </c>
      <c r="AO17" s="91">
        <f>Economic!G103</f>
        <v>5.8</v>
      </c>
      <c r="AP17" s="91">
        <f>Economic!H103</f>
        <v>414.9</v>
      </c>
      <c r="AQ17" s="91">
        <f>Economic!I103</f>
        <v>414.3</v>
      </c>
      <c r="AR17" s="91">
        <f>Economic!J103</f>
        <v>4.5</v>
      </c>
      <c r="AS17" s="91">
        <f>Economic!K103</f>
        <v>4.3</v>
      </c>
      <c r="AT17" s="91">
        <f>Economic!L103</f>
        <v>203.8</v>
      </c>
      <c r="AU17" s="91">
        <f>Economic!M103</f>
        <v>204.4</v>
      </c>
      <c r="AV17" s="91">
        <f>Economic!N103</f>
        <v>6.5</v>
      </c>
      <c r="AW17" s="91">
        <f>Economic!O103</f>
        <v>6.2</v>
      </c>
      <c r="AX17" s="91">
        <f>Economic!P103</f>
        <v>2.9129327994530385E-2</v>
      </c>
      <c r="AY17" s="91">
        <f>Economic!Q103</f>
        <v>1.957546504078822E-2</v>
      </c>
      <c r="AZ17" s="91">
        <f>Economic!R103</f>
        <v>1.9580341113105915E-2</v>
      </c>
      <c r="BA17" s="91">
        <f>Economic!S103</f>
        <v>-6.9411201531833777E-3</v>
      </c>
      <c r="BB17" s="91">
        <f>Economic!T103</f>
        <v>-1.1924636298592861E-2</v>
      </c>
      <c r="BC17" s="91">
        <f>Economic!U103</f>
        <v>2.5666834423754503E-2</v>
      </c>
      <c r="BD17" s="91">
        <f>Economic!V103</f>
        <v>2.8169014084507005E-2</v>
      </c>
      <c r="BE17" s="91">
        <f>Economic!W103</f>
        <v>20731.20000000007</v>
      </c>
      <c r="BF17" s="91">
        <f>Economic!X103</f>
        <v>138.70000000000073</v>
      </c>
      <c r="BG17" s="91">
        <f>Economic!Y103</f>
        <v>139.59999999999945</v>
      </c>
      <c r="BH17" s="91">
        <f>Economic!Z103</f>
        <v>-2.9000000000000341</v>
      </c>
      <c r="BI17" s="91">
        <f>Economic!AA103</f>
        <v>-5</v>
      </c>
      <c r="BJ17" s="91">
        <f>Economic!AB103</f>
        <v>5.1000000000000227</v>
      </c>
      <c r="BK17" s="91">
        <f>Economic!AC103</f>
        <v>5.5999999999999943</v>
      </c>
      <c r="BL17" s="91">
        <f>Weather!C211</f>
        <v>19.593333333333337</v>
      </c>
      <c r="BM17" s="91">
        <f>Weather!D211</f>
        <v>53.500000000000014</v>
      </c>
      <c r="BN17" s="91">
        <f>Weather!E211</f>
        <v>41.3</v>
      </c>
      <c r="BO17" s="91">
        <f>Weather!F211</f>
        <v>19.699999999999992</v>
      </c>
      <c r="BP17" s="91">
        <f>Weather!G211</f>
        <v>67.499999999999986</v>
      </c>
      <c r="BQ17" s="91">
        <f>Weather!H211</f>
        <v>5.0999999999999979</v>
      </c>
      <c r="BR17" s="91">
        <f>Weather!I211</f>
        <v>112.89999999999998</v>
      </c>
      <c r="BS17" s="91">
        <f>Weather!J211</f>
        <v>0.69999999999999929</v>
      </c>
      <c r="BT17" s="91">
        <f>Weather!K211</f>
        <v>168.5</v>
      </c>
      <c r="BU17" s="91">
        <f>Weather!L211</f>
        <v>0</v>
      </c>
      <c r="BV17" s="91">
        <f>Weather!M211</f>
        <v>227.8000000000001</v>
      </c>
      <c r="BW17" s="91">
        <f>Weather!N211</f>
        <v>0</v>
      </c>
      <c r="BX17" s="91">
        <f>Weather!O211</f>
        <v>287.80000000000007</v>
      </c>
    </row>
    <row r="18" spans="1:76" x14ac:dyDescent="0.2">
      <c r="A18" s="66">
        <v>43312</v>
      </c>
      <c r="B18" s="114">
        <f t="shared" si="0"/>
        <v>2018</v>
      </c>
      <c r="C18" s="104">
        <v>26519724.751660287</v>
      </c>
      <c r="D18" s="104">
        <v>5890671.1113334885</v>
      </c>
      <c r="E18" s="171">
        <f ca="1">CDM!D113</f>
        <v>1009215.5359647078</v>
      </c>
      <c r="F18" s="94">
        <f t="shared" ca="1" si="1"/>
        <v>21638269.176291507</v>
      </c>
      <c r="G18" s="94">
        <f ca="1">VLOOKUP(B18,CDM!$A$3:$G$14,7,FALSE)</f>
        <v>1006028.4251290415</v>
      </c>
      <c r="H18" s="94">
        <f t="shared" ca="1" si="2"/>
        <v>21635082.065455839</v>
      </c>
      <c r="I18" s="90">
        <f>Weather!F212</f>
        <v>0</v>
      </c>
      <c r="J18" s="90">
        <f>Weather!G212</f>
        <v>175.30000000000004</v>
      </c>
      <c r="K18" s="108">
        <v>31</v>
      </c>
      <c r="L18" s="108">
        <f>Data!L92</f>
        <v>0</v>
      </c>
      <c r="M18" s="108">
        <f>Data!M92</f>
        <v>0</v>
      </c>
      <c r="N18" s="108">
        <f>Data!N92</f>
        <v>0</v>
      </c>
      <c r="O18" s="108">
        <f>Data!O92</f>
        <v>0</v>
      </c>
      <c r="P18" s="108">
        <f>Data!P92</f>
        <v>0</v>
      </c>
      <c r="Q18" s="108">
        <f>Data!Q92</f>
        <v>0</v>
      </c>
      <c r="R18" s="108">
        <f>Data!R92</f>
        <v>1</v>
      </c>
      <c r="S18" s="108">
        <f>Data!S92</f>
        <v>0</v>
      </c>
      <c r="T18" s="108">
        <f>Data!T92</f>
        <v>0</v>
      </c>
      <c r="U18" s="108">
        <f>Data!U92</f>
        <v>0</v>
      </c>
      <c r="V18" s="108">
        <f>Data!V92</f>
        <v>0</v>
      </c>
      <c r="W18" s="108">
        <f>Data!W92</f>
        <v>0</v>
      </c>
      <c r="X18" s="109">
        <v>0</v>
      </c>
      <c r="Y18" s="108">
        <f>Data!Y92</f>
        <v>0</v>
      </c>
      <c r="Z18" s="108">
        <f>Data!Z92</f>
        <v>0</v>
      </c>
      <c r="AA18" s="152">
        <v>0</v>
      </c>
      <c r="AB18" s="152">
        <v>0</v>
      </c>
      <c r="AC18" s="152">
        <f t="shared" si="3"/>
        <v>0</v>
      </c>
      <c r="AD18" s="152">
        <f t="shared" si="4"/>
        <v>0</v>
      </c>
      <c r="AE18" s="152">
        <v>1</v>
      </c>
      <c r="AF18" s="150">
        <f>'Customer Count'!I92</f>
        <v>14165</v>
      </c>
      <c r="AG18" s="150">
        <f>AF18-'Customer Count'!G92-'Customer Count'!F92</f>
        <v>11434</v>
      </c>
      <c r="AH18" s="109">
        <f t="shared" si="5"/>
        <v>17</v>
      </c>
      <c r="AI18" s="109">
        <v>320</v>
      </c>
      <c r="AJ18" s="91">
        <v>156.41755007673331</v>
      </c>
      <c r="AK18" s="91">
        <f>Economic!C104</f>
        <v>732426.3</v>
      </c>
      <c r="AL18" s="91">
        <f>Economic!D104</f>
        <v>7258.6</v>
      </c>
      <c r="AM18" s="91">
        <f>Economic!E104</f>
        <v>7352.5</v>
      </c>
      <c r="AN18" s="91">
        <f>Economic!F104</f>
        <v>5.7</v>
      </c>
      <c r="AO18" s="91">
        <f>Economic!G104</f>
        <v>5.9</v>
      </c>
      <c r="AP18" s="91">
        <f>Economic!H104</f>
        <v>416.4</v>
      </c>
      <c r="AQ18" s="91">
        <f>Economic!I104</f>
        <v>418.9</v>
      </c>
      <c r="AR18" s="91">
        <f>Economic!J104</f>
        <v>4.5999999999999996</v>
      </c>
      <c r="AS18" s="91">
        <f>Economic!K104</f>
        <v>5.0999999999999996</v>
      </c>
      <c r="AT18" s="91">
        <f>Economic!L104</f>
        <v>202.7</v>
      </c>
      <c r="AU18" s="91">
        <f>Economic!M104</f>
        <v>206.1</v>
      </c>
      <c r="AV18" s="91">
        <f>Economic!N104</f>
        <v>7.1</v>
      </c>
      <c r="AW18" s="91">
        <f>Economic!O104</f>
        <v>6.9</v>
      </c>
      <c r="AX18" s="91">
        <f>Economic!P104</f>
        <v>2.9129327994530385E-2</v>
      </c>
      <c r="AY18" s="91">
        <f>Economic!Q104</f>
        <v>2.2352427498979033E-2</v>
      </c>
      <c r="AZ18" s="91">
        <f>Economic!R104</f>
        <v>2.1890201528839581E-2</v>
      </c>
      <c r="BA18" s="91">
        <f>Economic!S104</f>
        <v>-1.163066698314752E-2</v>
      </c>
      <c r="BB18" s="91">
        <f>Economic!T104</f>
        <v>-9.4585008276187876E-3</v>
      </c>
      <c r="BC18" s="91">
        <f>Economic!U104</f>
        <v>1.1477045908183436E-2</v>
      </c>
      <c r="BD18" s="91">
        <f>Economic!V104</f>
        <v>7.3313782991202281E-3</v>
      </c>
      <c r="BE18" s="91">
        <f>Economic!W104</f>
        <v>20731.20000000007</v>
      </c>
      <c r="BF18" s="91">
        <f>Economic!X104</f>
        <v>158.70000000000073</v>
      </c>
      <c r="BG18" s="91">
        <f>Economic!Y104</f>
        <v>157.5</v>
      </c>
      <c r="BH18" s="91">
        <f>Economic!Z104</f>
        <v>-4.9000000000000341</v>
      </c>
      <c r="BI18" s="91">
        <f>Economic!AA104</f>
        <v>-4</v>
      </c>
      <c r="BJ18" s="91">
        <f>Economic!AB104</f>
        <v>2.2999999999999829</v>
      </c>
      <c r="BK18" s="91">
        <f>Economic!AC104</f>
        <v>1.5</v>
      </c>
      <c r="BL18" s="91">
        <f>Weather!C212</f>
        <v>23.654838709677414</v>
      </c>
      <c r="BM18" s="91">
        <f>Weather!D212</f>
        <v>1</v>
      </c>
      <c r="BN18" s="91">
        <f>Weather!E212</f>
        <v>114.29999999999997</v>
      </c>
      <c r="BO18" s="91">
        <f>Weather!F212</f>
        <v>0</v>
      </c>
      <c r="BP18" s="91">
        <f>Weather!G212</f>
        <v>175.30000000000004</v>
      </c>
      <c r="BQ18" s="91">
        <f>Weather!H212</f>
        <v>0</v>
      </c>
      <c r="BR18" s="91">
        <f>Weather!I212</f>
        <v>237.30000000000007</v>
      </c>
      <c r="BS18" s="91">
        <f>Weather!J212</f>
        <v>0</v>
      </c>
      <c r="BT18" s="91">
        <f>Weather!K212</f>
        <v>299.30000000000007</v>
      </c>
      <c r="BU18" s="91">
        <f>Weather!L212</f>
        <v>0</v>
      </c>
      <c r="BV18" s="91">
        <f>Weather!M212</f>
        <v>361.30000000000013</v>
      </c>
      <c r="BW18" s="91">
        <f>Weather!N212</f>
        <v>0</v>
      </c>
      <c r="BX18" s="91">
        <f>Weather!O212</f>
        <v>423.30000000000013</v>
      </c>
    </row>
    <row r="19" spans="1:76" x14ac:dyDescent="0.2">
      <c r="A19" s="66">
        <v>43343</v>
      </c>
      <c r="B19" s="114">
        <f t="shared" si="0"/>
        <v>2018</v>
      </c>
      <c r="C19" s="104">
        <v>26948242.609250635</v>
      </c>
      <c r="D19" s="104">
        <v>6778894.4532912951</v>
      </c>
      <c r="E19" s="171">
        <f ca="1">CDM!D114</f>
        <v>1015589.7576360404</v>
      </c>
      <c r="F19" s="94">
        <f t="shared" ca="1" si="1"/>
        <v>21184937.913595378</v>
      </c>
      <c r="G19" s="94">
        <f ca="1">VLOOKUP(B19,CDM!$A$3:$G$14,7,FALSE)</f>
        <v>1006028.4251290415</v>
      </c>
      <c r="H19" s="94">
        <f t="shared" ca="1" si="2"/>
        <v>21175376.581088379</v>
      </c>
      <c r="I19" s="90">
        <f>Weather!F213</f>
        <v>0.5</v>
      </c>
      <c r="J19" s="90">
        <f>Weather!G213</f>
        <v>171.8</v>
      </c>
      <c r="K19" s="108">
        <v>31</v>
      </c>
      <c r="L19" s="108">
        <f>Data!L93</f>
        <v>0</v>
      </c>
      <c r="M19" s="108">
        <f>Data!M93</f>
        <v>0</v>
      </c>
      <c r="N19" s="108">
        <f>Data!N93</f>
        <v>0</v>
      </c>
      <c r="O19" s="108">
        <f>Data!O93</f>
        <v>0</v>
      </c>
      <c r="P19" s="108">
        <f>Data!P93</f>
        <v>0</v>
      </c>
      <c r="Q19" s="108">
        <f>Data!Q93</f>
        <v>0</v>
      </c>
      <c r="R19" s="108">
        <f>Data!R93</f>
        <v>0</v>
      </c>
      <c r="S19" s="108">
        <f>Data!S93</f>
        <v>1</v>
      </c>
      <c r="T19" s="108">
        <f>Data!T93</f>
        <v>0</v>
      </c>
      <c r="U19" s="108">
        <f>Data!U93</f>
        <v>0</v>
      </c>
      <c r="V19" s="108">
        <f>Data!V93</f>
        <v>0</v>
      </c>
      <c r="W19" s="108">
        <f>Data!W93</f>
        <v>0</v>
      </c>
      <c r="X19" s="109">
        <v>0</v>
      </c>
      <c r="Y19" s="108">
        <f>Data!Y93</f>
        <v>0</v>
      </c>
      <c r="Z19" s="108">
        <f>Data!Z93</f>
        <v>0</v>
      </c>
      <c r="AA19" s="152">
        <v>0</v>
      </c>
      <c r="AB19" s="152">
        <v>0</v>
      </c>
      <c r="AC19" s="152">
        <f t="shared" si="3"/>
        <v>0</v>
      </c>
      <c r="AD19" s="152">
        <f t="shared" si="4"/>
        <v>0</v>
      </c>
      <c r="AE19" s="152">
        <v>1</v>
      </c>
      <c r="AF19" s="150">
        <f>'Customer Count'!I93</f>
        <v>14170</v>
      </c>
      <c r="AG19" s="150">
        <f>AF19-'Customer Count'!G93-'Customer Count'!F93</f>
        <v>11439</v>
      </c>
      <c r="AH19" s="109">
        <f t="shared" si="5"/>
        <v>18</v>
      </c>
      <c r="AI19" s="109">
        <v>352</v>
      </c>
      <c r="AJ19" s="91">
        <v>156.70146403443502</v>
      </c>
      <c r="AK19" s="91">
        <f>Economic!C105</f>
        <v>732426.3</v>
      </c>
      <c r="AL19" s="91">
        <f>Economic!D105</f>
        <v>7264.8</v>
      </c>
      <c r="AM19" s="91">
        <f>Economic!E105</f>
        <v>7356</v>
      </c>
      <c r="AN19" s="91">
        <f>Economic!F105</f>
        <v>5.7</v>
      </c>
      <c r="AO19" s="91">
        <f>Economic!G105</f>
        <v>6.1</v>
      </c>
      <c r="AP19" s="91">
        <f>Economic!H105</f>
        <v>413.1</v>
      </c>
      <c r="AQ19" s="91">
        <f>Economic!I105</f>
        <v>416.3</v>
      </c>
      <c r="AR19" s="91">
        <f>Economic!J105</f>
        <v>4.8</v>
      </c>
      <c r="AS19" s="91">
        <f>Economic!K105</f>
        <v>5.5</v>
      </c>
      <c r="AT19" s="91">
        <f>Economic!L105</f>
        <v>201.2</v>
      </c>
      <c r="AU19" s="91">
        <f>Economic!M105</f>
        <v>205.4</v>
      </c>
      <c r="AV19" s="91">
        <f>Economic!N105</f>
        <v>7.4</v>
      </c>
      <c r="AW19" s="91">
        <f>Economic!O105</f>
        <v>7.3</v>
      </c>
      <c r="AX19" s="91">
        <f>Economic!P105</f>
        <v>2.9129327994530385E-2</v>
      </c>
      <c r="AY19" s="91">
        <f>Economic!Q105</f>
        <v>2.0150815160153268E-2</v>
      </c>
      <c r="AZ19" s="91">
        <f>Economic!R105</f>
        <v>1.9726354020821457E-2</v>
      </c>
      <c r="BA19" s="91">
        <f>Economic!S105</f>
        <v>-3.436185133239833E-2</v>
      </c>
      <c r="BB19" s="91">
        <f>Economic!T105</f>
        <v>-2.9829876485667706E-2</v>
      </c>
      <c r="BC19" s="91">
        <f>Economic!U105</f>
        <v>5.4972513743127838E-3</v>
      </c>
      <c r="BD19" s="91">
        <f>Economic!V105</f>
        <v>2.4402147388971063E-3</v>
      </c>
      <c r="BE19" s="91">
        <f>Economic!W105</f>
        <v>20731.20000000007</v>
      </c>
      <c r="BF19" s="91">
        <f>Economic!X105</f>
        <v>143.5</v>
      </c>
      <c r="BG19" s="91">
        <f>Economic!Y105</f>
        <v>142.30000000000018</v>
      </c>
      <c r="BH19" s="91">
        <f>Economic!Z105</f>
        <v>-14.699999999999989</v>
      </c>
      <c r="BI19" s="91">
        <f>Economic!AA105</f>
        <v>-12.800000000000011</v>
      </c>
      <c r="BJ19" s="91">
        <f>Economic!AB105</f>
        <v>1.0999999999999943</v>
      </c>
      <c r="BK19" s="91">
        <f>Economic!AC105</f>
        <v>0.5</v>
      </c>
      <c r="BL19" s="91">
        <f>Weather!C213</f>
        <v>23.525806451612898</v>
      </c>
      <c r="BM19" s="91">
        <f>Weather!D213</f>
        <v>4.1999999999999993</v>
      </c>
      <c r="BN19" s="91">
        <f>Weather!E213</f>
        <v>113.49999999999997</v>
      </c>
      <c r="BO19" s="91">
        <f>Weather!F213</f>
        <v>0.5</v>
      </c>
      <c r="BP19" s="91">
        <f>Weather!G213</f>
        <v>171.8</v>
      </c>
      <c r="BQ19" s="91">
        <f>Weather!H213</f>
        <v>0</v>
      </c>
      <c r="BR19" s="91">
        <f>Weather!I213</f>
        <v>233.3000000000001</v>
      </c>
      <c r="BS19" s="91">
        <f>Weather!J213</f>
        <v>0</v>
      </c>
      <c r="BT19" s="91">
        <f>Weather!K213</f>
        <v>295.30000000000013</v>
      </c>
      <c r="BU19" s="91">
        <f>Weather!L213</f>
        <v>0</v>
      </c>
      <c r="BV19" s="91">
        <f>Weather!M213</f>
        <v>357.30000000000013</v>
      </c>
      <c r="BW19" s="91">
        <f>Weather!N213</f>
        <v>0</v>
      </c>
      <c r="BX19" s="91">
        <f>Weather!O213</f>
        <v>419.30000000000013</v>
      </c>
    </row>
    <row r="20" spans="1:76" x14ac:dyDescent="0.2">
      <c r="A20" s="66">
        <v>43373</v>
      </c>
      <c r="B20" s="114">
        <f t="shared" si="0"/>
        <v>2018</v>
      </c>
      <c r="C20" s="104">
        <v>21215817.727722466</v>
      </c>
      <c r="D20" s="104">
        <v>4496004.9261929411</v>
      </c>
      <c r="E20" s="171">
        <f ca="1">CDM!D115</f>
        <v>1021963.9793073732</v>
      </c>
      <c r="F20" s="94">
        <f t="shared" ca="1" si="1"/>
        <v>17741776.780836895</v>
      </c>
      <c r="G20" s="94">
        <f ca="1">VLOOKUP(B20,CDM!$A$3:$G$14,7,FALSE)</f>
        <v>1006028.4251290415</v>
      </c>
      <c r="H20" s="94">
        <f t="shared" ca="1" si="2"/>
        <v>17725841.226658568</v>
      </c>
      <c r="I20" s="90">
        <f>Weather!F214</f>
        <v>41.2</v>
      </c>
      <c r="J20" s="90">
        <f>Weather!G214</f>
        <v>80.999999999999986</v>
      </c>
      <c r="K20" s="108">
        <v>30</v>
      </c>
      <c r="L20" s="108">
        <f>Data!L94</f>
        <v>0</v>
      </c>
      <c r="M20" s="108">
        <f>Data!M94</f>
        <v>0</v>
      </c>
      <c r="N20" s="108">
        <f>Data!N94</f>
        <v>0</v>
      </c>
      <c r="O20" s="108">
        <f>Data!O94</f>
        <v>0</v>
      </c>
      <c r="P20" s="108">
        <f>Data!P94</f>
        <v>0</v>
      </c>
      <c r="Q20" s="108">
        <f>Data!Q94</f>
        <v>0</v>
      </c>
      <c r="R20" s="108">
        <f>Data!R94</f>
        <v>0</v>
      </c>
      <c r="S20" s="108">
        <f>Data!S94</f>
        <v>0</v>
      </c>
      <c r="T20" s="108">
        <f>Data!T94</f>
        <v>1</v>
      </c>
      <c r="U20" s="108">
        <f>Data!U94</f>
        <v>0</v>
      </c>
      <c r="V20" s="108">
        <f>Data!V94</f>
        <v>0</v>
      </c>
      <c r="W20" s="108">
        <f>Data!W94</f>
        <v>0</v>
      </c>
      <c r="X20" s="109">
        <v>1</v>
      </c>
      <c r="Y20" s="108">
        <f>Data!Y94</f>
        <v>0</v>
      </c>
      <c r="Z20" s="108">
        <f>Data!Z94</f>
        <v>1</v>
      </c>
      <c r="AA20" s="152">
        <v>0</v>
      </c>
      <c r="AB20" s="152">
        <v>0</v>
      </c>
      <c r="AC20" s="152">
        <f t="shared" si="3"/>
        <v>0</v>
      </c>
      <c r="AD20" s="152">
        <f t="shared" si="4"/>
        <v>0</v>
      </c>
      <c r="AE20" s="152">
        <v>1</v>
      </c>
      <c r="AF20" s="150">
        <f>'Customer Count'!I94</f>
        <v>14216.5</v>
      </c>
      <c r="AG20" s="150">
        <f>AF20-'Customer Count'!G94-'Customer Count'!F94</f>
        <v>11485.5</v>
      </c>
      <c r="AH20" s="109">
        <f t="shared" si="5"/>
        <v>19</v>
      </c>
      <c r="AI20" s="109">
        <v>336</v>
      </c>
      <c r="AJ20" s="91">
        <v>156.98589332520095</v>
      </c>
      <c r="AK20" s="91">
        <f>Economic!C106</f>
        <v>732426.3</v>
      </c>
      <c r="AL20" s="91">
        <f>Economic!D106</f>
        <v>7268.1</v>
      </c>
      <c r="AM20" s="91">
        <f>Economic!E106</f>
        <v>7315.2</v>
      </c>
      <c r="AN20" s="91">
        <f>Economic!F106</f>
        <v>5.6</v>
      </c>
      <c r="AO20" s="91">
        <f>Economic!G106</f>
        <v>6</v>
      </c>
      <c r="AP20" s="91">
        <f>Economic!H106</f>
        <v>411.2</v>
      </c>
      <c r="AQ20" s="91">
        <f>Economic!I106</f>
        <v>412.4</v>
      </c>
      <c r="AR20" s="91">
        <f>Economic!J106</f>
        <v>4.9000000000000004</v>
      </c>
      <c r="AS20" s="91">
        <f>Economic!K106</f>
        <v>5.8</v>
      </c>
      <c r="AT20" s="91">
        <f>Economic!L106</f>
        <v>200.9</v>
      </c>
      <c r="AU20" s="91">
        <f>Economic!M106</f>
        <v>205.1</v>
      </c>
      <c r="AV20" s="91">
        <f>Economic!N106</f>
        <v>7.3</v>
      </c>
      <c r="AW20" s="91">
        <f>Economic!O106</f>
        <v>7.1</v>
      </c>
      <c r="AX20" s="91">
        <f>Economic!P106</f>
        <v>2.9129327994530385E-2</v>
      </c>
      <c r="AY20" s="91">
        <f>Economic!Q106</f>
        <v>1.6503265688591728E-2</v>
      </c>
      <c r="AZ20" s="91">
        <f>Economic!R106</f>
        <v>1.6423509795748137E-2</v>
      </c>
      <c r="BA20" s="91">
        <f>Economic!S106</f>
        <v>-5.0127050127050099E-2</v>
      </c>
      <c r="BB20" s="91">
        <f>Economic!T106</f>
        <v>-4.6253469010175796E-2</v>
      </c>
      <c r="BC20" s="91">
        <f>Economic!U106</f>
        <v>1.5672396359959428E-2</v>
      </c>
      <c r="BD20" s="91">
        <f>Economic!V106</f>
        <v>1.4342235410484738E-2</v>
      </c>
      <c r="BE20" s="91">
        <f>Economic!W106</f>
        <v>20731.20000000007</v>
      </c>
      <c r="BF20" s="91">
        <f>Economic!X106</f>
        <v>118</v>
      </c>
      <c r="BG20" s="91">
        <f>Economic!Y106</f>
        <v>118.19999999999982</v>
      </c>
      <c r="BH20" s="91">
        <f>Economic!Z106</f>
        <v>-21.699999999999989</v>
      </c>
      <c r="BI20" s="91">
        <f>Economic!AA106</f>
        <v>-20</v>
      </c>
      <c r="BJ20" s="91">
        <f>Economic!AB106</f>
        <v>3.0999999999999943</v>
      </c>
      <c r="BK20" s="91">
        <f>Economic!AC106</f>
        <v>2.9000000000000057</v>
      </c>
      <c r="BL20" s="91">
        <f>Weather!C214</f>
        <v>19.326666666666664</v>
      </c>
      <c r="BM20" s="91">
        <f>Weather!D214</f>
        <v>70.800000000000011</v>
      </c>
      <c r="BN20" s="91">
        <f>Weather!E214</f>
        <v>50.600000000000009</v>
      </c>
      <c r="BO20" s="91">
        <f>Weather!F214</f>
        <v>41.2</v>
      </c>
      <c r="BP20" s="91">
        <f>Weather!G214</f>
        <v>80.999999999999986</v>
      </c>
      <c r="BQ20" s="91">
        <f>Weather!H214</f>
        <v>21.299999999999997</v>
      </c>
      <c r="BR20" s="91">
        <f>Weather!I214</f>
        <v>121.09999999999998</v>
      </c>
      <c r="BS20" s="91">
        <f>Weather!J214</f>
        <v>6.5999999999999979</v>
      </c>
      <c r="BT20" s="91">
        <f>Weather!K214</f>
        <v>166.40000000000003</v>
      </c>
      <c r="BU20" s="91">
        <f>Weather!L214</f>
        <v>0.19999999999999929</v>
      </c>
      <c r="BV20" s="91">
        <f>Weather!M214</f>
        <v>220.00000000000006</v>
      </c>
      <c r="BW20" s="91">
        <f>Weather!N214</f>
        <v>0</v>
      </c>
      <c r="BX20" s="91">
        <f>Weather!O214</f>
        <v>279.80000000000007</v>
      </c>
    </row>
    <row r="21" spans="1:76" x14ac:dyDescent="0.2">
      <c r="A21" s="66">
        <v>43404</v>
      </c>
      <c r="B21" s="114">
        <f t="shared" si="0"/>
        <v>2018</v>
      </c>
      <c r="C21" s="104">
        <v>17077098.534574993</v>
      </c>
      <c r="D21" s="104">
        <v>2542408.0313404463</v>
      </c>
      <c r="E21" s="171">
        <f ca="1">CDM!D116</f>
        <v>1028338.2009787058</v>
      </c>
      <c r="F21" s="94">
        <f t="shared" ca="1" si="1"/>
        <v>15563028.704213254</v>
      </c>
      <c r="G21" s="94">
        <f ca="1">VLOOKUP(B21,CDM!$A$3:$G$14,7,FALSE)</f>
        <v>1006028.4251290415</v>
      </c>
      <c r="H21" s="94">
        <f t="shared" ca="1" si="2"/>
        <v>15540718.928363588</v>
      </c>
      <c r="I21" s="90">
        <f>Weather!F215</f>
        <v>241.39999999999992</v>
      </c>
      <c r="J21" s="90">
        <f>Weather!G215</f>
        <v>9.8000000000000007</v>
      </c>
      <c r="K21" s="108">
        <v>31</v>
      </c>
      <c r="L21" s="108">
        <f>Data!L95</f>
        <v>0</v>
      </c>
      <c r="M21" s="108">
        <f>Data!M95</f>
        <v>0</v>
      </c>
      <c r="N21" s="108">
        <f>Data!N95</f>
        <v>0</v>
      </c>
      <c r="O21" s="108">
        <f>Data!O95</f>
        <v>0</v>
      </c>
      <c r="P21" s="108">
        <f>Data!P95</f>
        <v>0</v>
      </c>
      <c r="Q21" s="108">
        <f>Data!Q95</f>
        <v>0</v>
      </c>
      <c r="R21" s="108">
        <f>Data!R95</f>
        <v>0</v>
      </c>
      <c r="S21" s="108">
        <f>Data!S95</f>
        <v>0</v>
      </c>
      <c r="T21" s="108">
        <f>Data!T95</f>
        <v>0</v>
      </c>
      <c r="U21" s="108">
        <f>Data!U95</f>
        <v>1</v>
      </c>
      <c r="V21" s="108">
        <f>Data!V95</f>
        <v>0</v>
      </c>
      <c r="W21" s="108">
        <f>Data!W95</f>
        <v>0</v>
      </c>
      <c r="X21" s="109">
        <v>1</v>
      </c>
      <c r="Y21" s="108">
        <f>Data!Y95</f>
        <v>0</v>
      </c>
      <c r="Z21" s="108">
        <f>Data!Z95</f>
        <v>1</v>
      </c>
      <c r="AA21" s="152">
        <v>0</v>
      </c>
      <c r="AB21" s="152">
        <v>0</v>
      </c>
      <c r="AC21" s="152">
        <f t="shared" si="3"/>
        <v>0</v>
      </c>
      <c r="AD21" s="152">
        <f t="shared" si="4"/>
        <v>0</v>
      </c>
      <c r="AE21" s="152">
        <v>1</v>
      </c>
      <c r="AF21" s="150">
        <f>'Customer Count'!I95</f>
        <v>14264.5</v>
      </c>
      <c r="AG21" s="150">
        <f>AF21-'Customer Count'!G95-'Customer Count'!F95</f>
        <v>11533.5</v>
      </c>
      <c r="AH21" s="109">
        <f t="shared" si="5"/>
        <v>20</v>
      </c>
      <c r="AI21" s="109">
        <v>320</v>
      </c>
      <c r="AJ21" s="91">
        <v>157.27083888441365</v>
      </c>
      <c r="AK21" s="91">
        <f>Economic!C107</f>
        <v>732426.3</v>
      </c>
      <c r="AL21" s="91">
        <f>Economic!D107</f>
        <v>7253</v>
      </c>
      <c r="AM21" s="91">
        <f>Economic!E107</f>
        <v>7274.4</v>
      </c>
      <c r="AN21" s="91">
        <f>Economic!F107</f>
        <v>5.7</v>
      </c>
      <c r="AO21" s="91">
        <f>Economic!G107</f>
        <v>5.8</v>
      </c>
      <c r="AP21" s="91">
        <f>Economic!H107</f>
        <v>411.9</v>
      </c>
      <c r="AQ21" s="91">
        <f>Economic!I107</f>
        <v>412.1</v>
      </c>
      <c r="AR21" s="91">
        <f>Economic!J107</f>
        <v>4.9000000000000004</v>
      </c>
      <c r="AS21" s="91">
        <f>Economic!K107</f>
        <v>5.3</v>
      </c>
      <c r="AT21" s="91">
        <f>Economic!L107</f>
        <v>200.4</v>
      </c>
      <c r="AU21" s="91">
        <f>Economic!M107</f>
        <v>204.7</v>
      </c>
      <c r="AV21" s="91">
        <f>Economic!N107</f>
        <v>7.2</v>
      </c>
      <c r="AW21" s="91">
        <f>Economic!O107</f>
        <v>6.5</v>
      </c>
      <c r="AX21" s="91">
        <f>Economic!P107</f>
        <v>2.9129327994530385E-2</v>
      </c>
      <c r="AY21" s="91">
        <f>Economic!Q107</f>
        <v>1.1505473816330714E-2</v>
      </c>
      <c r="AZ21" s="91">
        <f>Economic!R107</f>
        <v>1.1218149213895412E-2</v>
      </c>
      <c r="BA21" s="91">
        <f>Economic!S107</f>
        <v>-4.3649872300905557E-2</v>
      </c>
      <c r="BB21" s="91">
        <f>Economic!T107</f>
        <v>-4.2296072507552851E-2</v>
      </c>
      <c r="BC21" s="91">
        <f>Economic!U107</f>
        <v>2.7692307692307683E-2</v>
      </c>
      <c r="BD21" s="91">
        <f>Economic!V107</f>
        <v>2.9160382101558469E-2</v>
      </c>
      <c r="BE21" s="91">
        <f>Economic!W107</f>
        <v>20731.20000000007</v>
      </c>
      <c r="BF21" s="91">
        <f>Economic!X107</f>
        <v>82.5</v>
      </c>
      <c r="BG21" s="91">
        <f>Economic!Y107</f>
        <v>80.699999999999818</v>
      </c>
      <c r="BH21" s="91">
        <f>Economic!Z107</f>
        <v>-18.800000000000011</v>
      </c>
      <c r="BI21" s="91">
        <f>Economic!AA107</f>
        <v>-18.199999999999989</v>
      </c>
      <c r="BJ21" s="91">
        <f>Economic!AB107</f>
        <v>5.4000000000000057</v>
      </c>
      <c r="BK21" s="91">
        <f>Economic!AC107</f>
        <v>5.7999999999999829</v>
      </c>
      <c r="BL21" s="91">
        <f>Weather!C215</f>
        <v>10.529032258064522</v>
      </c>
      <c r="BM21" s="91">
        <f>Weather!D215</f>
        <v>298.89999999999992</v>
      </c>
      <c r="BN21" s="91">
        <f>Weather!E215</f>
        <v>5.3000000000000007</v>
      </c>
      <c r="BO21" s="91">
        <f>Weather!F215</f>
        <v>241.39999999999992</v>
      </c>
      <c r="BP21" s="91">
        <f>Weather!G215</f>
        <v>9.8000000000000007</v>
      </c>
      <c r="BQ21" s="91">
        <f>Weather!H215</f>
        <v>187.99999999999994</v>
      </c>
      <c r="BR21" s="91">
        <f>Weather!I215</f>
        <v>18.400000000000002</v>
      </c>
      <c r="BS21" s="91">
        <f>Weather!J215</f>
        <v>139.6</v>
      </c>
      <c r="BT21" s="91">
        <f>Weather!K215</f>
        <v>32</v>
      </c>
      <c r="BU21" s="91">
        <f>Weather!L215</f>
        <v>95.100000000000009</v>
      </c>
      <c r="BV21" s="91">
        <f>Weather!M215</f>
        <v>49.5</v>
      </c>
      <c r="BW21" s="91">
        <f>Weather!N215</f>
        <v>54.800000000000011</v>
      </c>
      <c r="BX21" s="91">
        <f>Weather!O215</f>
        <v>71.199999999999989</v>
      </c>
    </row>
    <row r="22" spans="1:76" x14ac:dyDescent="0.2">
      <c r="A22" s="66">
        <v>43434</v>
      </c>
      <c r="B22" s="114">
        <f t="shared" si="0"/>
        <v>2018</v>
      </c>
      <c r="C22" s="104">
        <v>17872678.440282173</v>
      </c>
      <c r="D22" s="104">
        <v>2900973.5563793778</v>
      </c>
      <c r="E22" s="171">
        <f ca="1">CDM!D117</f>
        <v>1034712.4226500384</v>
      </c>
      <c r="F22" s="94">
        <f t="shared" ca="1" si="1"/>
        <v>16006417.306552835</v>
      </c>
      <c r="G22" s="94">
        <f ca="1">VLOOKUP(B22,CDM!$A$3:$G$14,7,FALSE)</f>
        <v>1006028.4251290415</v>
      </c>
      <c r="H22" s="94">
        <f t="shared" ca="1" si="2"/>
        <v>15977733.309031837</v>
      </c>
      <c r="I22" s="90">
        <f>Weather!F216</f>
        <v>474.4</v>
      </c>
      <c r="J22" s="90">
        <f>Weather!G216</f>
        <v>0</v>
      </c>
      <c r="K22" s="108">
        <v>30</v>
      </c>
      <c r="L22" s="108">
        <f>Data!L96</f>
        <v>0</v>
      </c>
      <c r="M22" s="108">
        <f>Data!M96</f>
        <v>0</v>
      </c>
      <c r="N22" s="108">
        <f>Data!N96</f>
        <v>0</v>
      </c>
      <c r="O22" s="108">
        <f>Data!O96</f>
        <v>0</v>
      </c>
      <c r="P22" s="108">
        <f>Data!P96</f>
        <v>0</v>
      </c>
      <c r="Q22" s="108">
        <f>Data!Q96</f>
        <v>0</v>
      </c>
      <c r="R22" s="108">
        <f>Data!R96</f>
        <v>0</v>
      </c>
      <c r="S22" s="108">
        <f>Data!S96</f>
        <v>0</v>
      </c>
      <c r="T22" s="108">
        <f>Data!T96</f>
        <v>0</v>
      </c>
      <c r="U22" s="108">
        <f>Data!U96</f>
        <v>0</v>
      </c>
      <c r="V22" s="108">
        <f>Data!V96</f>
        <v>1</v>
      </c>
      <c r="W22" s="108">
        <f>Data!W96</f>
        <v>0</v>
      </c>
      <c r="X22" s="109">
        <v>1</v>
      </c>
      <c r="Y22" s="108">
        <f>Data!Y96</f>
        <v>0</v>
      </c>
      <c r="Z22" s="108">
        <f>Data!Z96</f>
        <v>1</v>
      </c>
      <c r="AA22" s="152">
        <v>0</v>
      </c>
      <c r="AB22" s="152">
        <v>0</v>
      </c>
      <c r="AC22" s="152">
        <f t="shared" si="3"/>
        <v>0</v>
      </c>
      <c r="AD22" s="152">
        <f t="shared" si="4"/>
        <v>0</v>
      </c>
      <c r="AE22" s="152">
        <v>1</v>
      </c>
      <c r="AF22" s="150">
        <f>'Customer Count'!I96</f>
        <v>14269</v>
      </c>
      <c r="AG22" s="150">
        <f>AF22-'Customer Count'!G96-'Customer Count'!F96</f>
        <v>11538</v>
      </c>
      <c r="AH22" s="109">
        <f t="shared" si="5"/>
        <v>21</v>
      </c>
      <c r="AI22" s="109">
        <v>336</v>
      </c>
      <c r="AJ22" s="91">
        <v>157.55630164915351</v>
      </c>
      <c r="AK22" s="91">
        <f>Economic!C108</f>
        <v>732426.3</v>
      </c>
      <c r="AL22" s="91">
        <f>Economic!D108</f>
        <v>7273.5</v>
      </c>
      <c r="AM22" s="91">
        <f>Economic!E108</f>
        <v>7279</v>
      </c>
      <c r="AN22" s="91">
        <f>Economic!F108</f>
        <v>5.7</v>
      </c>
      <c r="AO22" s="91">
        <f>Economic!G108</f>
        <v>5.2</v>
      </c>
      <c r="AP22" s="91">
        <f>Economic!H108</f>
        <v>416</v>
      </c>
      <c r="AQ22" s="91">
        <f>Economic!I108</f>
        <v>415.5</v>
      </c>
      <c r="AR22" s="91">
        <f>Economic!J108</f>
        <v>4.5</v>
      </c>
      <c r="AS22" s="91">
        <f>Economic!K108</f>
        <v>4.5999999999999996</v>
      </c>
      <c r="AT22" s="91">
        <f>Economic!L108</f>
        <v>199.2</v>
      </c>
      <c r="AU22" s="91">
        <f>Economic!M108</f>
        <v>202.6</v>
      </c>
      <c r="AV22" s="91">
        <f>Economic!N108</f>
        <v>6.9</v>
      </c>
      <c r="AW22" s="91">
        <f>Economic!O108</f>
        <v>6.1</v>
      </c>
      <c r="AX22" s="91">
        <f>Economic!P108</f>
        <v>2.9129327994530385E-2</v>
      </c>
      <c r="AY22" s="91">
        <f>Economic!Q108</f>
        <v>1.1669633915655897E-2</v>
      </c>
      <c r="AZ22" s="91">
        <f>Economic!R108</f>
        <v>1.1787273081093064E-2</v>
      </c>
      <c r="BA22" s="91">
        <f>Economic!S108</f>
        <v>-2.3932426091037073E-2</v>
      </c>
      <c r="BB22" s="91">
        <f>Economic!T108</f>
        <v>-2.5105584232754552E-2</v>
      </c>
      <c r="BC22" s="91">
        <f>Economic!U108</f>
        <v>2.4691358024691246E-2</v>
      </c>
      <c r="BD22" s="91">
        <f>Economic!V108</f>
        <v>2.6342451874366679E-2</v>
      </c>
      <c r="BE22" s="91">
        <f>Economic!W108</f>
        <v>20731.20000000007</v>
      </c>
      <c r="BF22" s="91">
        <f>Economic!X108</f>
        <v>83.899999999999636</v>
      </c>
      <c r="BG22" s="91">
        <f>Economic!Y108</f>
        <v>84.800000000000182</v>
      </c>
      <c r="BH22" s="91">
        <f>Economic!Z108</f>
        <v>-10.199999999999989</v>
      </c>
      <c r="BI22" s="91">
        <f>Economic!AA108</f>
        <v>-10.699999999999989</v>
      </c>
      <c r="BJ22" s="91">
        <f>Economic!AB108</f>
        <v>4.7999999999999829</v>
      </c>
      <c r="BK22" s="91">
        <f>Economic!AC108</f>
        <v>5.1999999999999886</v>
      </c>
      <c r="BL22" s="91">
        <f>Weather!C216</f>
        <v>2.1866666666666665</v>
      </c>
      <c r="BM22" s="91">
        <f>Weather!D216</f>
        <v>534.40000000000009</v>
      </c>
      <c r="BN22" s="91">
        <f>Weather!E216</f>
        <v>0</v>
      </c>
      <c r="BO22" s="91">
        <f>Weather!F216</f>
        <v>474.4</v>
      </c>
      <c r="BP22" s="91">
        <f>Weather!G216</f>
        <v>0</v>
      </c>
      <c r="BQ22" s="91">
        <f>Weather!H216</f>
        <v>414.4</v>
      </c>
      <c r="BR22" s="91">
        <f>Weather!I216</f>
        <v>0</v>
      </c>
      <c r="BS22" s="91">
        <f>Weather!J216</f>
        <v>354.4</v>
      </c>
      <c r="BT22" s="91">
        <f>Weather!K216</f>
        <v>0</v>
      </c>
      <c r="BU22" s="91">
        <f>Weather!L216</f>
        <v>295.7</v>
      </c>
      <c r="BV22" s="91">
        <f>Weather!M216</f>
        <v>1.3000000000000007</v>
      </c>
      <c r="BW22" s="91">
        <f>Weather!N216</f>
        <v>237.7</v>
      </c>
      <c r="BX22" s="91">
        <f>Weather!O216</f>
        <v>3.3000000000000007</v>
      </c>
    </row>
    <row r="23" spans="1:76" x14ac:dyDescent="0.2">
      <c r="A23" s="66">
        <v>43465</v>
      </c>
      <c r="B23" s="114">
        <f t="shared" si="0"/>
        <v>2018</v>
      </c>
      <c r="C23" s="104">
        <v>19117837.684365984</v>
      </c>
      <c r="D23" s="104">
        <v>2949172.2066761004</v>
      </c>
      <c r="E23" s="171">
        <f ca="1">CDM!D118</f>
        <v>1041086.644321371</v>
      </c>
      <c r="F23" s="94">
        <f ca="1">C23+E23-D23</f>
        <v>17209752.122011255</v>
      </c>
      <c r="G23" s="94">
        <f ca="1">VLOOKUP(B23,CDM!$A$3:$G$14,7,FALSE)</f>
        <v>1006028.4251290415</v>
      </c>
      <c r="H23" s="94">
        <f t="shared" ca="1" si="2"/>
        <v>17174693.902818926</v>
      </c>
      <c r="I23" s="90">
        <f>Weather!F217</f>
        <v>540.1</v>
      </c>
      <c r="J23" s="90">
        <f>Weather!G217</f>
        <v>0</v>
      </c>
      <c r="K23" s="108">
        <v>31</v>
      </c>
      <c r="L23" s="108">
        <f>Data!L97</f>
        <v>0</v>
      </c>
      <c r="M23" s="108">
        <f>Data!M97</f>
        <v>0</v>
      </c>
      <c r="N23" s="108">
        <f>Data!N97</f>
        <v>0</v>
      </c>
      <c r="O23" s="108">
        <f>Data!O97</f>
        <v>0</v>
      </c>
      <c r="P23" s="108">
        <f>Data!P97</f>
        <v>0</v>
      </c>
      <c r="Q23" s="108">
        <f>Data!Q97</f>
        <v>0</v>
      </c>
      <c r="R23" s="108">
        <f>Data!R97</f>
        <v>0</v>
      </c>
      <c r="S23" s="108">
        <f>Data!S97</f>
        <v>0</v>
      </c>
      <c r="T23" s="108">
        <f>Data!T97</f>
        <v>0</v>
      </c>
      <c r="U23" s="108">
        <f>Data!U97</f>
        <v>0</v>
      </c>
      <c r="V23" s="108">
        <f>Data!V97</f>
        <v>0</v>
      </c>
      <c r="W23" s="108">
        <f>Data!W97</f>
        <v>1</v>
      </c>
      <c r="X23" s="109">
        <v>0</v>
      </c>
      <c r="Y23" s="108">
        <f>Data!Y97</f>
        <v>0</v>
      </c>
      <c r="Z23" s="108">
        <f>Data!Z97</f>
        <v>0</v>
      </c>
      <c r="AA23" s="152">
        <v>0</v>
      </c>
      <c r="AB23" s="152">
        <v>0</v>
      </c>
      <c r="AC23" s="152">
        <f t="shared" si="3"/>
        <v>0</v>
      </c>
      <c r="AD23" s="152">
        <f t="shared" si="4"/>
        <v>0</v>
      </c>
      <c r="AE23" s="152">
        <v>1</v>
      </c>
      <c r="AF23" s="150">
        <f>'Customer Count'!I97</f>
        <v>14276.5</v>
      </c>
      <c r="AG23" s="150">
        <f>AF23-'Customer Count'!G97-'Customer Count'!F97</f>
        <v>11545.5</v>
      </c>
      <c r="AH23" s="109">
        <f t="shared" si="5"/>
        <v>22</v>
      </c>
      <c r="AI23" s="109">
        <v>336</v>
      </c>
      <c r="AJ23" s="91">
        <v>157.84228255820162</v>
      </c>
      <c r="AK23" s="91">
        <f>Economic!C109</f>
        <v>732426.3</v>
      </c>
      <c r="AL23" s="91">
        <f>Economic!D109</f>
        <v>7289.2</v>
      </c>
      <c r="AM23" s="91">
        <f>Economic!E109</f>
        <v>7302.7</v>
      </c>
      <c r="AN23" s="91">
        <f>Economic!F109</f>
        <v>5.6</v>
      </c>
      <c r="AO23" s="91">
        <f>Economic!G109</f>
        <v>4.9000000000000004</v>
      </c>
      <c r="AP23" s="91">
        <f>Economic!H109</f>
        <v>419.2</v>
      </c>
      <c r="AQ23" s="91">
        <f>Economic!I109</f>
        <v>420.7</v>
      </c>
      <c r="AR23" s="91">
        <f>Economic!J109</f>
        <v>4.2</v>
      </c>
      <c r="AS23" s="91">
        <f>Economic!K109</f>
        <v>3.9</v>
      </c>
      <c r="AT23" s="91">
        <f>Economic!L109</f>
        <v>198.8</v>
      </c>
      <c r="AU23" s="91">
        <f>Economic!M109</f>
        <v>201.8</v>
      </c>
      <c r="AV23" s="91">
        <f>Economic!N109</f>
        <v>6.9</v>
      </c>
      <c r="AW23" s="91">
        <f>Economic!O109</f>
        <v>6.3</v>
      </c>
      <c r="AX23" s="91">
        <f>Economic!P109</f>
        <v>2.9129327994530385E-2</v>
      </c>
      <c r="AY23" s="91">
        <f>Economic!Q109</f>
        <v>1.1953186822340367E-2</v>
      </c>
      <c r="AZ23" s="91">
        <f>Economic!R109</f>
        <v>1.2379737710372485E-2</v>
      </c>
      <c r="BA23" s="91">
        <f>Economic!S109</f>
        <v>-5.2206929283340475E-3</v>
      </c>
      <c r="BB23" s="91">
        <f>Economic!T109</f>
        <v>-6.1422159225136275E-3</v>
      </c>
      <c r="BC23" s="91">
        <f>Economic!U109</f>
        <v>1.4285714285714235E-2</v>
      </c>
      <c r="BD23" s="91">
        <f>Economic!V109</f>
        <v>1.6624685138539208E-2</v>
      </c>
      <c r="BE23" s="91">
        <f>Economic!W109</f>
        <v>20731.20000000007</v>
      </c>
      <c r="BF23" s="91">
        <f>Economic!X109</f>
        <v>86.099999999999454</v>
      </c>
      <c r="BG23" s="91">
        <f>Economic!Y109</f>
        <v>89.300000000000182</v>
      </c>
      <c r="BH23" s="91">
        <f>Economic!Z109</f>
        <v>-2.1999999999999886</v>
      </c>
      <c r="BI23" s="91">
        <f>Economic!AA109</f>
        <v>-2.6000000000000227</v>
      </c>
      <c r="BJ23" s="91">
        <f>Economic!AB109</f>
        <v>2.8000000000000114</v>
      </c>
      <c r="BK23" s="91">
        <f>Economic!AC109</f>
        <v>3.3000000000000114</v>
      </c>
      <c r="BL23" s="91">
        <f>Weather!C217</f>
        <v>0.57741935483870965</v>
      </c>
      <c r="BM23" s="91">
        <f>Weather!D217</f>
        <v>602.09999999999991</v>
      </c>
      <c r="BN23" s="91">
        <f>Weather!E217</f>
        <v>0</v>
      </c>
      <c r="BO23" s="91">
        <f>Weather!F217</f>
        <v>540.1</v>
      </c>
      <c r="BP23" s="91">
        <f>Weather!G217</f>
        <v>0</v>
      </c>
      <c r="BQ23" s="91">
        <f>Weather!H217</f>
        <v>478.09999999999997</v>
      </c>
      <c r="BR23" s="91">
        <f>Weather!I217</f>
        <v>0</v>
      </c>
      <c r="BS23" s="91">
        <f>Weather!J217</f>
        <v>416.09999999999997</v>
      </c>
      <c r="BT23" s="91">
        <f>Weather!K217</f>
        <v>0</v>
      </c>
      <c r="BU23" s="91">
        <f>Weather!L217</f>
        <v>354.09999999999997</v>
      </c>
      <c r="BV23" s="91">
        <f>Weather!M217</f>
        <v>0</v>
      </c>
      <c r="BW23" s="91">
        <f>Weather!N217</f>
        <v>292.09999999999997</v>
      </c>
      <c r="BX23" s="91">
        <f>Weather!O217</f>
        <v>0</v>
      </c>
    </row>
    <row r="24" spans="1:76" x14ac:dyDescent="0.2">
      <c r="A24" s="66">
        <v>43496</v>
      </c>
      <c r="B24" s="114">
        <f t="shared" si="0"/>
        <v>2019</v>
      </c>
      <c r="C24" s="104">
        <v>19470279.931793816</v>
      </c>
      <c r="D24" s="104">
        <v>2345384.3176812418</v>
      </c>
      <c r="E24" s="171">
        <f ca="1">CDM!D119</f>
        <v>1047457.2026998744</v>
      </c>
      <c r="F24" s="94">
        <f t="shared" ca="1" si="1"/>
        <v>18172352.816812448</v>
      </c>
      <c r="G24" s="94">
        <f ca="1">VLOOKUP(B24,CDM!$A$3:$G$14,7,FALSE)</f>
        <v>1053324.4700333148</v>
      </c>
      <c r="H24" s="94">
        <f t="shared" ca="1" si="2"/>
        <v>18178220.084145889</v>
      </c>
      <c r="I24" s="90">
        <f>Weather!F218</f>
        <v>723.19999999999982</v>
      </c>
      <c r="J24" s="90">
        <f>Weather!G218</f>
        <v>0</v>
      </c>
      <c r="K24" s="108">
        <v>31</v>
      </c>
      <c r="L24" s="108">
        <f>Data!L98</f>
        <v>1</v>
      </c>
      <c r="M24" s="108">
        <f>Data!M98</f>
        <v>0</v>
      </c>
      <c r="N24" s="108">
        <f>Data!N98</f>
        <v>0</v>
      </c>
      <c r="O24" s="108">
        <f>Data!O98</f>
        <v>0</v>
      </c>
      <c r="P24" s="108">
        <f>Data!P98</f>
        <v>0</v>
      </c>
      <c r="Q24" s="108">
        <f>Data!Q98</f>
        <v>0</v>
      </c>
      <c r="R24" s="108">
        <f>Data!R98</f>
        <v>0</v>
      </c>
      <c r="S24" s="108">
        <f>Data!S98</f>
        <v>0</v>
      </c>
      <c r="T24" s="108">
        <f>Data!T98</f>
        <v>0</v>
      </c>
      <c r="U24" s="108">
        <f>Data!U98</f>
        <v>0</v>
      </c>
      <c r="V24" s="108">
        <f>Data!V98</f>
        <v>0</v>
      </c>
      <c r="W24" s="108">
        <f>Data!W98</f>
        <v>0</v>
      </c>
      <c r="X24" s="109">
        <v>0</v>
      </c>
      <c r="Y24" s="108">
        <f>Data!Y98</f>
        <v>0</v>
      </c>
      <c r="Z24" s="108">
        <f>Data!Z98</f>
        <v>0</v>
      </c>
      <c r="AA24" s="152">
        <v>0</v>
      </c>
      <c r="AB24" s="152">
        <v>0</v>
      </c>
      <c r="AC24" s="152">
        <f t="shared" si="3"/>
        <v>0</v>
      </c>
      <c r="AD24" s="152">
        <f t="shared" si="4"/>
        <v>0</v>
      </c>
      <c r="AE24" s="152">
        <v>1</v>
      </c>
      <c r="AF24" s="150">
        <f>'Customer Count'!I98</f>
        <v>14284.5</v>
      </c>
      <c r="AG24" s="150">
        <f>AF24-'Customer Count'!G98-'Customer Count'!F98</f>
        <v>11553.5</v>
      </c>
      <c r="AH24" s="109">
        <f t="shared" si="5"/>
        <v>23</v>
      </c>
      <c r="AI24" s="109">
        <v>336</v>
      </c>
      <c r="AJ24" s="91">
        <v>158.15454692394951</v>
      </c>
      <c r="AK24" s="91">
        <f>Economic!C110</f>
        <v>747589.4</v>
      </c>
      <c r="AL24" s="91">
        <f>Economic!D110</f>
        <v>7315.7</v>
      </c>
      <c r="AM24" s="91">
        <f>Economic!E110</f>
        <v>7293.3</v>
      </c>
      <c r="AN24" s="91">
        <f>Economic!F110</f>
        <v>5.6</v>
      </c>
      <c r="AO24" s="91">
        <f>Economic!G110</f>
        <v>5.2</v>
      </c>
      <c r="AP24" s="91">
        <f>Economic!H110</f>
        <v>420.6</v>
      </c>
      <c r="AQ24" s="91">
        <f>Economic!I110</f>
        <v>420.6</v>
      </c>
      <c r="AR24" s="91">
        <f>Economic!J110</f>
        <v>3.9</v>
      </c>
      <c r="AS24" s="91">
        <f>Economic!K110</f>
        <v>3.6</v>
      </c>
      <c r="AT24" s="91">
        <f>Economic!L110</f>
        <v>199.1</v>
      </c>
      <c r="AU24" s="91">
        <f>Economic!M110</f>
        <v>199.1</v>
      </c>
      <c r="AV24" s="91">
        <f>Economic!N110</f>
        <v>6.7</v>
      </c>
      <c r="AW24" s="91">
        <f>Economic!O110</f>
        <v>6.5</v>
      </c>
      <c r="AX24" s="91">
        <f>Economic!P110</f>
        <v>2.0702560790075264E-2</v>
      </c>
      <c r="AY24" s="91">
        <f>Economic!Q110</f>
        <v>1.6097669379705026E-2</v>
      </c>
      <c r="AZ24" s="91">
        <f>Economic!R110</f>
        <v>1.682792850570225E-2</v>
      </c>
      <c r="BA24" s="91">
        <f>Economic!S110</f>
        <v>4.757373929591413E-4</v>
      </c>
      <c r="BB24" s="91">
        <f>Economic!T110</f>
        <v>-2.3769907297355175E-4</v>
      </c>
      <c r="BC24" s="91">
        <f>Economic!U110</f>
        <v>3.0226700251889671E-3</v>
      </c>
      <c r="BD24" s="91">
        <f>Economic!V110</f>
        <v>6.5722952477249574E-3</v>
      </c>
      <c r="BE24" s="91">
        <f>Economic!W110</f>
        <v>15163.099999999977</v>
      </c>
      <c r="BF24" s="91">
        <f>Economic!X110</f>
        <v>115.89999999999964</v>
      </c>
      <c r="BG24" s="91">
        <f>Economic!Y110</f>
        <v>120.69999999999982</v>
      </c>
      <c r="BH24" s="91">
        <f>Economic!Z110</f>
        <v>0.20000000000004547</v>
      </c>
      <c r="BI24" s="91">
        <f>Economic!AA110</f>
        <v>-9.9999999999965894E-2</v>
      </c>
      <c r="BJ24" s="91">
        <f>Economic!AB110</f>
        <v>0.59999999999999432</v>
      </c>
      <c r="BK24" s="91">
        <f>Economic!AC110</f>
        <v>1.2999999999999829</v>
      </c>
      <c r="BL24" s="91">
        <f>Weather!C218</f>
        <v>-5.3290322580645162</v>
      </c>
      <c r="BM24" s="91">
        <f>Weather!D218</f>
        <v>785.19999999999982</v>
      </c>
      <c r="BN24" s="91">
        <f>Weather!E218</f>
        <v>0</v>
      </c>
      <c r="BO24" s="91">
        <f>Weather!F218</f>
        <v>723.19999999999982</v>
      </c>
      <c r="BP24" s="91">
        <f>Weather!G218</f>
        <v>0</v>
      </c>
      <c r="BQ24" s="91">
        <f>Weather!H218</f>
        <v>661.19999999999982</v>
      </c>
      <c r="BR24" s="91">
        <f>Weather!I218</f>
        <v>0</v>
      </c>
      <c r="BS24" s="91">
        <f>Weather!J218</f>
        <v>599.19999999999993</v>
      </c>
      <c r="BT24" s="91">
        <f>Weather!K218</f>
        <v>0</v>
      </c>
      <c r="BU24" s="91">
        <f>Weather!L218</f>
        <v>537.20000000000005</v>
      </c>
      <c r="BV24" s="91">
        <f>Weather!M218</f>
        <v>0</v>
      </c>
      <c r="BW24" s="91">
        <f>Weather!N218</f>
        <v>475.2000000000001</v>
      </c>
      <c r="BX24" s="91">
        <f>Weather!O218</f>
        <v>0</v>
      </c>
    </row>
    <row r="25" spans="1:76" x14ac:dyDescent="0.2">
      <c r="A25" s="66">
        <v>43524</v>
      </c>
      <c r="B25" s="114">
        <f t="shared" si="0"/>
        <v>2019</v>
      </c>
      <c r="C25" s="104">
        <v>17623038.944653146</v>
      </c>
      <c r="D25" s="104">
        <v>2502127.9915483254</v>
      </c>
      <c r="E25" s="171">
        <f ca="1">CDM!D120</f>
        <v>1048523.9785786817</v>
      </c>
      <c r="F25" s="94">
        <f t="shared" ca="1" si="1"/>
        <v>16169434.931683503</v>
      </c>
      <c r="G25" s="94">
        <f ca="1">VLOOKUP(B25,CDM!$A$3:$G$14,7,FALSE)</f>
        <v>1053324.4700333148</v>
      </c>
      <c r="H25" s="94">
        <f t="shared" ca="1" si="2"/>
        <v>16174235.423138134</v>
      </c>
      <c r="I25" s="90">
        <f>Weather!F219</f>
        <v>582.79999999999995</v>
      </c>
      <c r="J25" s="90">
        <f>Weather!G219</f>
        <v>0</v>
      </c>
      <c r="K25" s="108">
        <v>28</v>
      </c>
      <c r="L25" s="108">
        <f>Data!L99</f>
        <v>0</v>
      </c>
      <c r="M25" s="108">
        <f>Data!M99</f>
        <v>1</v>
      </c>
      <c r="N25" s="108">
        <f>Data!N99</f>
        <v>0</v>
      </c>
      <c r="O25" s="108">
        <f>Data!O99</f>
        <v>0</v>
      </c>
      <c r="P25" s="108">
        <f>Data!P99</f>
        <v>0</v>
      </c>
      <c r="Q25" s="108">
        <f>Data!Q99</f>
        <v>0</v>
      </c>
      <c r="R25" s="108">
        <f>Data!R99</f>
        <v>0</v>
      </c>
      <c r="S25" s="108">
        <f>Data!S99</f>
        <v>0</v>
      </c>
      <c r="T25" s="108">
        <f>Data!T99</f>
        <v>0</v>
      </c>
      <c r="U25" s="108">
        <f>Data!U99</f>
        <v>0</v>
      </c>
      <c r="V25" s="108">
        <f>Data!V99</f>
        <v>0</v>
      </c>
      <c r="W25" s="108">
        <f>Data!W99</f>
        <v>0</v>
      </c>
      <c r="X25" s="109">
        <v>0</v>
      </c>
      <c r="Y25" s="108">
        <f>Data!Y99</f>
        <v>0</v>
      </c>
      <c r="Z25" s="108">
        <f>Data!Z99</f>
        <v>0</v>
      </c>
      <c r="AA25" s="152">
        <v>0</v>
      </c>
      <c r="AB25" s="152">
        <v>0</v>
      </c>
      <c r="AC25" s="152">
        <f t="shared" si="3"/>
        <v>0</v>
      </c>
      <c r="AD25" s="152">
        <f t="shared" si="4"/>
        <v>0</v>
      </c>
      <c r="AE25" s="152">
        <v>1</v>
      </c>
      <c r="AF25" s="150">
        <f>'Customer Count'!I99</f>
        <v>14285</v>
      </c>
      <c r="AG25" s="150">
        <f>AF25-'Customer Count'!G99-'Customer Count'!F99</f>
        <v>11554</v>
      </c>
      <c r="AH25" s="109">
        <f t="shared" si="5"/>
        <v>24</v>
      </c>
      <c r="AI25" s="109">
        <v>304</v>
      </c>
      <c r="AJ25" s="91">
        <v>158.46742905214063</v>
      </c>
      <c r="AK25" s="91">
        <f>Economic!C111</f>
        <v>747589.4</v>
      </c>
      <c r="AL25" s="91">
        <f>Economic!D111</f>
        <v>7346.7</v>
      </c>
      <c r="AM25" s="91">
        <f>Economic!E111</f>
        <v>7286.5</v>
      </c>
      <c r="AN25" s="91">
        <f>Economic!F111</f>
        <v>5.6</v>
      </c>
      <c r="AO25" s="91">
        <f>Economic!G111</f>
        <v>5.4</v>
      </c>
      <c r="AP25" s="91">
        <f>Economic!H111</f>
        <v>421.7</v>
      </c>
      <c r="AQ25" s="91">
        <f>Economic!I111</f>
        <v>419.8</v>
      </c>
      <c r="AR25" s="91">
        <f>Economic!J111</f>
        <v>3.7</v>
      </c>
      <c r="AS25" s="91">
        <f>Economic!K111</f>
        <v>3.5</v>
      </c>
      <c r="AT25" s="91">
        <f>Economic!L111</f>
        <v>199.8</v>
      </c>
      <c r="AU25" s="91">
        <f>Economic!M111</f>
        <v>197.4</v>
      </c>
      <c r="AV25" s="91">
        <f>Economic!N111</f>
        <v>6.8</v>
      </c>
      <c r="AW25" s="91">
        <f>Economic!O111</f>
        <v>7</v>
      </c>
      <c r="AX25" s="91">
        <f>Economic!P111</f>
        <v>2.0702560790075264E-2</v>
      </c>
      <c r="AY25" s="91">
        <f>Economic!Q111</f>
        <v>2.1907861792689109E-2</v>
      </c>
      <c r="AZ25" s="91">
        <f>Economic!R111</f>
        <v>2.2551853826938695E-2</v>
      </c>
      <c r="BA25" s="91">
        <f>Economic!S111</f>
        <v>1.3945660014426542E-2</v>
      </c>
      <c r="BB25" s="91">
        <f>Economic!T111</f>
        <v>1.4499758337360946E-2</v>
      </c>
      <c r="BC25" s="91">
        <f>Economic!U111</f>
        <v>0</v>
      </c>
      <c r="BD25" s="91">
        <f>Economic!V111</f>
        <v>3.0487804878047697E-3</v>
      </c>
      <c r="BE25" s="91">
        <f>Economic!W111</f>
        <v>15163.099999999977</v>
      </c>
      <c r="BF25" s="91">
        <f>Economic!X111</f>
        <v>157.5</v>
      </c>
      <c r="BG25" s="91">
        <f>Economic!Y111</f>
        <v>160.69999999999982</v>
      </c>
      <c r="BH25" s="91">
        <f>Economic!Z111</f>
        <v>5.8000000000000114</v>
      </c>
      <c r="BI25" s="91">
        <f>Economic!AA111</f>
        <v>6</v>
      </c>
      <c r="BJ25" s="91">
        <f>Economic!AB111</f>
        <v>0</v>
      </c>
      <c r="BK25" s="91">
        <f>Economic!AC111</f>
        <v>0.59999999999999432</v>
      </c>
      <c r="BL25" s="91">
        <f>Weather!C219</f>
        <v>-2.8142857142857141</v>
      </c>
      <c r="BM25" s="91">
        <f>Weather!D219</f>
        <v>638.79999999999995</v>
      </c>
      <c r="BN25" s="91">
        <f>Weather!E219</f>
        <v>0</v>
      </c>
      <c r="BO25" s="91">
        <f>Weather!F219</f>
        <v>582.79999999999995</v>
      </c>
      <c r="BP25" s="91">
        <f>Weather!G219</f>
        <v>0</v>
      </c>
      <c r="BQ25" s="91">
        <f>Weather!H219</f>
        <v>526.80000000000007</v>
      </c>
      <c r="BR25" s="91">
        <f>Weather!I219</f>
        <v>0</v>
      </c>
      <c r="BS25" s="91">
        <f>Weather!J219</f>
        <v>470.80000000000007</v>
      </c>
      <c r="BT25" s="91">
        <f>Weather!K219</f>
        <v>0</v>
      </c>
      <c r="BU25" s="91">
        <f>Weather!L219</f>
        <v>414.80000000000007</v>
      </c>
      <c r="BV25" s="91">
        <f>Weather!M219</f>
        <v>0</v>
      </c>
      <c r="BW25" s="91">
        <f>Weather!N219</f>
        <v>358.80000000000007</v>
      </c>
      <c r="BX25" s="91">
        <f>Weather!O219</f>
        <v>0</v>
      </c>
    </row>
    <row r="26" spans="1:76" x14ac:dyDescent="0.2">
      <c r="A26" s="66">
        <v>43555</v>
      </c>
      <c r="B26" s="114">
        <f t="shared" si="0"/>
        <v>2019</v>
      </c>
      <c r="C26" s="104">
        <v>18298309.582286663</v>
      </c>
      <c r="D26" s="104">
        <v>2643551.1870212546</v>
      </c>
      <c r="E26" s="171">
        <f ca="1">CDM!D121</f>
        <v>1049590.7544574891</v>
      </c>
      <c r="F26" s="94">
        <f t="shared" ca="1" si="1"/>
        <v>16704349.149722897</v>
      </c>
      <c r="G26" s="94">
        <f ca="1">VLOOKUP(B26,CDM!$A$3:$G$14,7,FALSE)</f>
        <v>1053324.4700333148</v>
      </c>
      <c r="H26" s="94">
        <f t="shared" ca="1" si="2"/>
        <v>16708082.865298722</v>
      </c>
      <c r="I26" s="90">
        <f>Weather!F220</f>
        <v>548</v>
      </c>
      <c r="J26" s="90">
        <f>Weather!G220</f>
        <v>0</v>
      </c>
      <c r="K26" s="108">
        <v>31</v>
      </c>
      <c r="L26" s="108">
        <f>Data!L100</f>
        <v>0</v>
      </c>
      <c r="M26" s="108">
        <f>Data!M100</f>
        <v>0</v>
      </c>
      <c r="N26" s="108">
        <f>Data!N100</f>
        <v>1</v>
      </c>
      <c r="O26" s="108">
        <f>Data!O100</f>
        <v>0</v>
      </c>
      <c r="P26" s="108">
        <f>Data!P100</f>
        <v>0</v>
      </c>
      <c r="Q26" s="108">
        <f>Data!Q100</f>
        <v>0</v>
      </c>
      <c r="R26" s="108">
        <f>Data!R100</f>
        <v>0</v>
      </c>
      <c r="S26" s="108">
        <f>Data!S100</f>
        <v>0</v>
      </c>
      <c r="T26" s="108">
        <f>Data!T100</f>
        <v>0</v>
      </c>
      <c r="U26" s="108">
        <f>Data!U100</f>
        <v>0</v>
      </c>
      <c r="V26" s="108">
        <f>Data!V100</f>
        <v>0</v>
      </c>
      <c r="W26" s="108">
        <f>Data!W100</f>
        <v>0</v>
      </c>
      <c r="X26" s="109">
        <v>1</v>
      </c>
      <c r="Y26" s="108">
        <f>Data!Y100</f>
        <v>1</v>
      </c>
      <c r="Z26" s="108">
        <f>Data!Z100</f>
        <v>0</v>
      </c>
      <c r="AA26" s="152">
        <v>0</v>
      </c>
      <c r="AB26" s="152">
        <v>0</v>
      </c>
      <c r="AC26" s="152">
        <f t="shared" si="3"/>
        <v>0</v>
      </c>
      <c r="AD26" s="152">
        <f t="shared" si="4"/>
        <v>0</v>
      </c>
      <c r="AE26" s="152">
        <v>1</v>
      </c>
      <c r="AF26" s="150">
        <f>'Customer Count'!I100</f>
        <v>14284.5</v>
      </c>
      <c r="AG26" s="150">
        <f>AF26-'Customer Count'!G100-'Customer Count'!F100</f>
        <v>11553.5</v>
      </c>
      <c r="AH26" s="109">
        <f t="shared" si="5"/>
        <v>25</v>
      </c>
      <c r="AI26" s="109">
        <v>368</v>
      </c>
      <c r="AJ26" s="91">
        <v>158.78093016491388</v>
      </c>
      <c r="AK26" s="91">
        <f>Economic!C112</f>
        <v>747589.4</v>
      </c>
      <c r="AL26" s="91">
        <f>Economic!D112</f>
        <v>7371</v>
      </c>
      <c r="AM26" s="91">
        <f>Economic!E112</f>
        <v>7268.2</v>
      </c>
      <c r="AN26" s="91">
        <f>Economic!F112</f>
        <v>5.8</v>
      </c>
      <c r="AO26" s="91">
        <f>Economic!G112</f>
        <v>5.9</v>
      </c>
      <c r="AP26" s="91">
        <f>Economic!H112</f>
        <v>420.5</v>
      </c>
      <c r="AQ26" s="91">
        <f>Economic!I112</f>
        <v>415.1</v>
      </c>
      <c r="AR26" s="91">
        <f>Economic!J112</f>
        <v>3.6</v>
      </c>
      <c r="AS26" s="91">
        <f>Economic!K112</f>
        <v>3.5</v>
      </c>
      <c r="AT26" s="91">
        <f>Economic!L112</f>
        <v>198</v>
      </c>
      <c r="AU26" s="91">
        <f>Economic!M112</f>
        <v>192.4</v>
      </c>
      <c r="AV26" s="91">
        <f>Economic!N112</f>
        <v>6.5</v>
      </c>
      <c r="AW26" s="91">
        <f>Economic!O112</f>
        <v>7.3</v>
      </c>
      <c r="AX26" s="91">
        <f>Economic!P112</f>
        <v>2.0702560790075264E-2</v>
      </c>
      <c r="AY26" s="91">
        <f>Economic!Q112</f>
        <v>2.5887265135699389E-2</v>
      </c>
      <c r="AZ26" s="91">
        <f>Economic!R112</f>
        <v>2.6248535080411584E-2</v>
      </c>
      <c r="BA26" s="91">
        <f>Economic!S112</f>
        <v>1.7174649250121021E-2</v>
      </c>
      <c r="BB26" s="91">
        <f>Economic!T112</f>
        <v>1.8150600932058003E-2</v>
      </c>
      <c r="BC26" s="91">
        <f>Economic!U112</f>
        <v>-1.5904572564612307E-2</v>
      </c>
      <c r="BD26" s="91">
        <f>Economic!V112</f>
        <v>-1.5353121801433001E-2</v>
      </c>
      <c r="BE26" s="91">
        <f>Economic!W112</f>
        <v>15163.099999999977</v>
      </c>
      <c r="BF26" s="91">
        <f>Economic!X112</f>
        <v>186</v>
      </c>
      <c r="BG26" s="91">
        <f>Economic!Y112</f>
        <v>185.89999999999964</v>
      </c>
      <c r="BH26" s="91">
        <f>Economic!Z112</f>
        <v>7.1000000000000227</v>
      </c>
      <c r="BI26" s="91">
        <f>Economic!AA112</f>
        <v>7.4000000000000341</v>
      </c>
      <c r="BJ26" s="91">
        <f>Economic!AB112</f>
        <v>-3.1999999999999886</v>
      </c>
      <c r="BK26" s="91">
        <f>Economic!AC112</f>
        <v>-3</v>
      </c>
      <c r="BL26" s="91">
        <f>Weather!C220</f>
        <v>0.3225806451612902</v>
      </c>
      <c r="BM26" s="91">
        <f>Weather!D220</f>
        <v>610</v>
      </c>
      <c r="BN26" s="91">
        <f>Weather!E220</f>
        <v>0</v>
      </c>
      <c r="BO26" s="91">
        <f>Weather!F220</f>
        <v>548</v>
      </c>
      <c r="BP26" s="91">
        <f>Weather!G220</f>
        <v>0</v>
      </c>
      <c r="BQ26" s="91">
        <f>Weather!H220</f>
        <v>485.99999999999994</v>
      </c>
      <c r="BR26" s="91">
        <f>Weather!I220</f>
        <v>0</v>
      </c>
      <c r="BS26" s="91">
        <f>Weather!J220</f>
        <v>423.99999999999989</v>
      </c>
      <c r="BT26" s="91">
        <f>Weather!K220</f>
        <v>0</v>
      </c>
      <c r="BU26" s="91">
        <f>Weather!L220</f>
        <v>361.99999999999994</v>
      </c>
      <c r="BV26" s="91">
        <f>Weather!M220</f>
        <v>0</v>
      </c>
      <c r="BW26" s="91">
        <f>Weather!N220</f>
        <v>299.99999999999989</v>
      </c>
      <c r="BX26" s="91">
        <f>Weather!O220</f>
        <v>0</v>
      </c>
    </row>
    <row r="27" spans="1:76" x14ac:dyDescent="0.2">
      <c r="A27" s="66">
        <v>43585</v>
      </c>
      <c r="B27" s="114">
        <f t="shared" si="0"/>
        <v>2019</v>
      </c>
      <c r="C27" s="104">
        <v>16030754.75111879</v>
      </c>
      <c r="D27" s="104">
        <v>2306272.4364213278</v>
      </c>
      <c r="E27" s="171">
        <f ca="1">CDM!D122</f>
        <v>1050657.5303362964</v>
      </c>
      <c r="F27" s="94">
        <f t="shared" ca="1" si="1"/>
        <v>14775139.845033761</v>
      </c>
      <c r="G27" s="94">
        <f ca="1">VLOOKUP(B27,CDM!$A$3:$G$14,7,FALSE)</f>
        <v>1053324.4700333148</v>
      </c>
      <c r="H27" s="94">
        <f t="shared" ca="1" si="2"/>
        <v>14777806.784730777</v>
      </c>
      <c r="I27" s="90">
        <f>Weather!F221</f>
        <v>340.79999999999984</v>
      </c>
      <c r="J27" s="90">
        <f>Weather!G221</f>
        <v>0</v>
      </c>
      <c r="K27" s="108">
        <v>30</v>
      </c>
      <c r="L27" s="108">
        <f>Data!L101</f>
        <v>0</v>
      </c>
      <c r="M27" s="108">
        <f>Data!M101</f>
        <v>0</v>
      </c>
      <c r="N27" s="108">
        <f>Data!N101</f>
        <v>0</v>
      </c>
      <c r="O27" s="108">
        <f>Data!O101</f>
        <v>1</v>
      </c>
      <c r="P27" s="108">
        <f>Data!P101</f>
        <v>0</v>
      </c>
      <c r="Q27" s="108">
        <f>Data!Q101</f>
        <v>0</v>
      </c>
      <c r="R27" s="108">
        <f>Data!R101</f>
        <v>0</v>
      </c>
      <c r="S27" s="108">
        <f>Data!S101</f>
        <v>0</v>
      </c>
      <c r="T27" s="108">
        <f>Data!T101</f>
        <v>0</v>
      </c>
      <c r="U27" s="108">
        <f>Data!U101</f>
        <v>0</v>
      </c>
      <c r="V27" s="108">
        <f>Data!V101</f>
        <v>0</v>
      </c>
      <c r="W27" s="108">
        <f>Data!W101</f>
        <v>0</v>
      </c>
      <c r="X27" s="109">
        <v>1</v>
      </c>
      <c r="Y27" s="108">
        <f>Data!Y101</f>
        <v>1</v>
      </c>
      <c r="Z27" s="108">
        <f>Data!Z101</f>
        <v>0</v>
      </c>
      <c r="AA27" s="152">
        <v>0</v>
      </c>
      <c r="AB27" s="152">
        <v>0</v>
      </c>
      <c r="AC27" s="152">
        <f t="shared" si="3"/>
        <v>0</v>
      </c>
      <c r="AD27" s="152">
        <f t="shared" si="4"/>
        <v>0</v>
      </c>
      <c r="AE27" s="152">
        <v>1</v>
      </c>
      <c r="AF27" s="150">
        <f>'Customer Count'!I101</f>
        <v>14285.5</v>
      </c>
      <c r="AG27" s="150">
        <f>AF27-'Customer Count'!G101-'Customer Count'!F101</f>
        <v>11554.5</v>
      </c>
      <c r="AH27" s="109">
        <f t="shared" si="5"/>
        <v>26</v>
      </c>
      <c r="AI27" s="109">
        <v>304</v>
      </c>
      <c r="AJ27" s="91">
        <v>159.09505148682601</v>
      </c>
      <c r="AK27" s="91">
        <f>Economic!C113</f>
        <v>747589.4</v>
      </c>
      <c r="AL27" s="91">
        <f>Economic!D113</f>
        <v>7395.4</v>
      </c>
      <c r="AM27" s="91">
        <f>Economic!E113</f>
        <v>7304.3</v>
      </c>
      <c r="AN27" s="91">
        <f>Economic!F113</f>
        <v>5.8</v>
      </c>
      <c r="AO27" s="91">
        <f>Economic!G113</f>
        <v>6</v>
      </c>
      <c r="AP27" s="91">
        <f>Economic!H113</f>
        <v>417.5</v>
      </c>
      <c r="AQ27" s="91">
        <f>Economic!I113</f>
        <v>411.2</v>
      </c>
      <c r="AR27" s="91">
        <f>Economic!J113</f>
        <v>4</v>
      </c>
      <c r="AS27" s="91">
        <f>Economic!K113</f>
        <v>3.6</v>
      </c>
      <c r="AT27" s="91">
        <f>Economic!L113</f>
        <v>196</v>
      </c>
      <c r="AU27" s="91">
        <f>Economic!M113</f>
        <v>190.2</v>
      </c>
      <c r="AV27" s="91">
        <f>Economic!N113</f>
        <v>6.4</v>
      </c>
      <c r="AW27" s="91">
        <f>Economic!O113</f>
        <v>7.2</v>
      </c>
      <c r="AX27" s="91">
        <f>Economic!P113</f>
        <v>2.0702560790075264E-2</v>
      </c>
      <c r="AY27" s="91">
        <f>Economic!Q113</f>
        <v>2.7395737823344701E-2</v>
      </c>
      <c r="AZ27" s="91">
        <f>Economic!R113</f>
        <v>2.7558944347532588E-2</v>
      </c>
      <c r="BA27" s="91">
        <f>Economic!S113</f>
        <v>1.8292682926829285E-2</v>
      </c>
      <c r="BB27" s="91">
        <f>Economic!T113</f>
        <v>1.8325903912828068E-2</v>
      </c>
      <c r="BC27" s="91">
        <f>Economic!U113</f>
        <v>-3.257650542941759E-2</v>
      </c>
      <c r="BD27" s="91">
        <f>Economic!V113</f>
        <v>-3.5007610350076157E-2</v>
      </c>
      <c r="BE27" s="91">
        <f>Economic!W113</f>
        <v>15163.099999999977</v>
      </c>
      <c r="BF27" s="91">
        <f>Economic!X113</f>
        <v>197.19999999999982</v>
      </c>
      <c r="BG27" s="91">
        <f>Economic!Y113</f>
        <v>195.90000000000055</v>
      </c>
      <c r="BH27" s="91">
        <f>Economic!Z113</f>
        <v>7.5</v>
      </c>
      <c r="BI27" s="91">
        <f>Economic!AA113</f>
        <v>7.3999999999999773</v>
      </c>
      <c r="BJ27" s="91">
        <f>Economic!AB113</f>
        <v>-6.5999999999999943</v>
      </c>
      <c r="BK27" s="91">
        <f>Economic!AC113</f>
        <v>-6.9000000000000057</v>
      </c>
      <c r="BL27" s="91">
        <f>Weather!C221</f>
        <v>6.6400000000000006</v>
      </c>
      <c r="BM27" s="91">
        <f>Weather!D221</f>
        <v>400.79999999999984</v>
      </c>
      <c r="BN27" s="91">
        <f>Weather!E221</f>
        <v>0</v>
      </c>
      <c r="BO27" s="91">
        <f>Weather!F221</f>
        <v>340.79999999999984</v>
      </c>
      <c r="BP27" s="91">
        <f>Weather!G221</f>
        <v>0</v>
      </c>
      <c r="BQ27" s="91">
        <f>Weather!H221</f>
        <v>280.7999999999999</v>
      </c>
      <c r="BR27" s="91">
        <f>Weather!I221</f>
        <v>0</v>
      </c>
      <c r="BS27" s="91">
        <f>Weather!J221</f>
        <v>220.7999999999999</v>
      </c>
      <c r="BT27" s="91">
        <f>Weather!K221</f>
        <v>0</v>
      </c>
      <c r="BU27" s="91">
        <f>Weather!L221</f>
        <v>164.6</v>
      </c>
      <c r="BV27" s="91">
        <f>Weather!M221</f>
        <v>3.8000000000000007</v>
      </c>
      <c r="BW27" s="91">
        <f>Weather!N221</f>
        <v>110.70000000000003</v>
      </c>
      <c r="BX27" s="91">
        <f>Weather!O221</f>
        <v>9.9000000000000021</v>
      </c>
    </row>
    <row r="28" spans="1:76" x14ac:dyDescent="0.2">
      <c r="A28" s="66">
        <v>43616</v>
      </c>
      <c r="B28" s="114">
        <f t="shared" si="0"/>
        <v>2019</v>
      </c>
      <c r="C28" s="104">
        <v>17509709.360292483</v>
      </c>
      <c r="D28" s="104">
        <v>3898830.8811403029</v>
      </c>
      <c r="E28" s="171">
        <f ca="1">CDM!D123</f>
        <v>1051724.3062151039</v>
      </c>
      <c r="F28" s="94">
        <f t="shared" ca="1" si="1"/>
        <v>14662602.785367284</v>
      </c>
      <c r="G28" s="94">
        <f ca="1">VLOOKUP(B28,CDM!$A$3:$G$14,7,FALSE)</f>
        <v>1053324.4700333148</v>
      </c>
      <c r="H28" s="94">
        <f t="shared" ca="1" si="2"/>
        <v>14664202.949185494</v>
      </c>
      <c r="I28" s="90">
        <f>Weather!F222</f>
        <v>181.09999999999991</v>
      </c>
      <c r="J28" s="90">
        <f>Weather!G222</f>
        <v>2.3000000000000007</v>
      </c>
      <c r="K28" s="108">
        <v>31</v>
      </c>
      <c r="L28" s="108">
        <f>Data!L102</f>
        <v>0</v>
      </c>
      <c r="M28" s="108">
        <f>Data!M102</f>
        <v>0</v>
      </c>
      <c r="N28" s="108">
        <f>Data!N102</f>
        <v>0</v>
      </c>
      <c r="O28" s="108">
        <f>Data!O102</f>
        <v>0</v>
      </c>
      <c r="P28" s="108">
        <f>Data!P102</f>
        <v>1</v>
      </c>
      <c r="Q28" s="108">
        <f>Data!Q102</f>
        <v>0</v>
      </c>
      <c r="R28" s="108">
        <f>Data!R102</f>
        <v>0</v>
      </c>
      <c r="S28" s="108">
        <f>Data!S102</f>
        <v>0</v>
      </c>
      <c r="T28" s="108">
        <f>Data!T102</f>
        <v>0</v>
      </c>
      <c r="U28" s="108">
        <f>Data!U102</f>
        <v>0</v>
      </c>
      <c r="V28" s="108">
        <f>Data!V102</f>
        <v>0</v>
      </c>
      <c r="W28" s="108">
        <f>Data!W102</f>
        <v>0</v>
      </c>
      <c r="X28" s="109">
        <v>1</v>
      </c>
      <c r="Y28" s="108">
        <f>Data!Y102</f>
        <v>1</v>
      </c>
      <c r="Z28" s="108">
        <f>Data!Z102</f>
        <v>0</v>
      </c>
      <c r="AA28" s="152">
        <v>0</v>
      </c>
      <c r="AB28" s="152">
        <v>0</v>
      </c>
      <c r="AC28" s="152">
        <f t="shared" si="3"/>
        <v>0</v>
      </c>
      <c r="AD28" s="152">
        <f t="shared" si="4"/>
        <v>0</v>
      </c>
      <c r="AE28" s="152">
        <v>1</v>
      </c>
      <c r="AF28" s="150">
        <f>'Customer Count'!I102</f>
        <v>14286</v>
      </c>
      <c r="AG28" s="150">
        <f>AF28-'Customer Count'!G102-'Customer Count'!F102</f>
        <v>11555</v>
      </c>
      <c r="AH28" s="109">
        <f t="shared" si="5"/>
        <v>27</v>
      </c>
      <c r="AI28" s="109">
        <v>352</v>
      </c>
      <c r="AJ28" s="91">
        <v>159.4097942448563</v>
      </c>
      <c r="AK28" s="91">
        <f>Economic!C114</f>
        <v>747589.4</v>
      </c>
      <c r="AL28" s="91">
        <f>Economic!D114</f>
        <v>7412.6</v>
      </c>
      <c r="AM28" s="91">
        <f>Economic!E114</f>
        <v>7376.9</v>
      </c>
      <c r="AN28" s="91">
        <f>Economic!F114</f>
        <v>5.7</v>
      </c>
      <c r="AO28" s="91">
        <f>Economic!G114</f>
        <v>5.9</v>
      </c>
      <c r="AP28" s="91">
        <f>Economic!H114</f>
        <v>415.7</v>
      </c>
      <c r="AQ28" s="91">
        <f>Economic!I114</f>
        <v>411.2</v>
      </c>
      <c r="AR28" s="91">
        <f>Economic!J114</f>
        <v>4.3</v>
      </c>
      <c r="AS28" s="91">
        <f>Economic!K114</f>
        <v>4.0999999999999996</v>
      </c>
      <c r="AT28" s="91">
        <f>Economic!L114</f>
        <v>195</v>
      </c>
      <c r="AU28" s="91">
        <f>Economic!M114</f>
        <v>191.9</v>
      </c>
      <c r="AV28" s="91">
        <f>Economic!N114</f>
        <v>5.8</v>
      </c>
      <c r="AW28" s="91">
        <f>Economic!O114</f>
        <v>6.2</v>
      </c>
      <c r="AX28" s="91">
        <f>Economic!P114</f>
        <v>2.0702560790075264E-2</v>
      </c>
      <c r="AY28" s="91">
        <f>Economic!Q114</f>
        <v>2.8370860559648214E-2</v>
      </c>
      <c r="AZ28" s="91">
        <f>Economic!R114</f>
        <v>2.8182363025631707E-2</v>
      </c>
      <c r="BA28" s="91">
        <f>Economic!S114</f>
        <v>8.4910237748665462E-3</v>
      </c>
      <c r="BB28" s="91">
        <f>Economic!T114</f>
        <v>7.5961774074981836E-3</v>
      </c>
      <c r="BC28" s="91">
        <f>Economic!U114</f>
        <v>-4.3648847474252128E-2</v>
      </c>
      <c r="BD28" s="91">
        <f>Economic!V114</f>
        <v>-4.4798407167745191E-2</v>
      </c>
      <c r="BE28" s="91">
        <f>Economic!W114</f>
        <v>15163.099999999977</v>
      </c>
      <c r="BF28" s="91">
        <f>Economic!X114</f>
        <v>204.5</v>
      </c>
      <c r="BG28" s="91">
        <f>Economic!Y114</f>
        <v>202.19999999999982</v>
      </c>
      <c r="BH28" s="91">
        <f>Economic!Z114</f>
        <v>3.5</v>
      </c>
      <c r="BI28" s="91">
        <f>Economic!AA114</f>
        <v>3.0999999999999659</v>
      </c>
      <c r="BJ28" s="91">
        <f>Economic!AB114</f>
        <v>-8.9000000000000057</v>
      </c>
      <c r="BK28" s="91">
        <f>Economic!AC114</f>
        <v>-9</v>
      </c>
      <c r="BL28" s="91">
        <f>Weather!C222</f>
        <v>12.232258064516133</v>
      </c>
      <c r="BM28" s="91">
        <f>Weather!D222</f>
        <v>240.7999999999999</v>
      </c>
      <c r="BN28" s="91">
        <f>Weather!E222</f>
        <v>0</v>
      </c>
      <c r="BO28" s="91">
        <f>Weather!F222</f>
        <v>181.09999999999991</v>
      </c>
      <c r="BP28" s="91">
        <f>Weather!G222</f>
        <v>2.3000000000000007</v>
      </c>
      <c r="BQ28" s="91">
        <f>Weather!H222</f>
        <v>128.50000000000003</v>
      </c>
      <c r="BR28" s="91">
        <f>Weather!I222</f>
        <v>11.700000000000003</v>
      </c>
      <c r="BS28" s="91">
        <f>Weather!J222</f>
        <v>87.100000000000023</v>
      </c>
      <c r="BT28" s="91">
        <f>Weather!K222</f>
        <v>32.300000000000004</v>
      </c>
      <c r="BU28" s="91">
        <f>Weather!L222</f>
        <v>50.900000000000006</v>
      </c>
      <c r="BV28" s="91">
        <f>Weather!M222</f>
        <v>58.099999999999994</v>
      </c>
      <c r="BW28" s="91">
        <f>Weather!N222</f>
        <v>24.099999999999994</v>
      </c>
      <c r="BX28" s="91">
        <f>Weather!O222</f>
        <v>93.299999999999983</v>
      </c>
    </row>
    <row r="29" spans="1:76" x14ac:dyDescent="0.2">
      <c r="A29" s="66">
        <v>43646</v>
      </c>
      <c r="B29" s="114">
        <f t="shared" si="0"/>
        <v>2019</v>
      </c>
      <c r="C29" s="104">
        <v>19696522.675138813</v>
      </c>
      <c r="D29" s="104">
        <v>4853572.3585318187</v>
      </c>
      <c r="E29" s="171">
        <f ca="1">CDM!D124</f>
        <v>1052791.0820939112</v>
      </c>
      <c r="F29" s="94">
        <f t="shared" ca="1" si="1"/>
        <v>15895741.398700908</v>
      </c>
      <c r="G29" s="94">
        <f ca="1">VLOOKUP(B29,CDM!$A$3:$G$14,7,FALSE)</f>
        <v>1053324.4700333148</v>
      </c>
      <c r="H29" s="94">
        <f t="shared" ca="1" si="2"/>
        <v>15896274.786640309</v>
      </c>
      <c r="I29" s="90">
        <f>Weather!F223</f>
        <v>36.399999999999991</v>
      </c>
      <c r="J29" s="90">
        <f>Weather!G223</f>
        <v>39.900000000000006</v>
      </c>
      <c r="K29" s="108">
        <v>30</v>
      </c>
      <c r="L29" s="108">
        <f>Data!L103</f>
        <v>0</v>
      </c>
      <c r="M29" s="108">
        <f>Data!M103</f>
        <v>0</v>
      </c>
      <c r="N29" s="108">
        <f>Data!N103</f>
        <v>0</v>
      </c>
      <c r="O29" s="108">
        <f>Data!O103</f>
        <v>0</v>
      </c>
      <c r="P29" s="108">
        <f>Data!P103</f>
        <v>0</v>
      </c>
      <c r="Q29" s="108">
        <f>Data!Q103</f>
        <v>1</v>
      </c>
      <c r="R29" s="108">
        <f>Data!R103</f>
        <v>0</v>
      </c>
      <c r="S29" s="108">
        <f>Data!S103</f>
        <v>0</v>
      </c>
      <c r="T29" s="108">
        <f>Data!T103</f>
        <v>0</v>
      </c>
      <c r="U29" s="108">
        <f>Data!U103</f>
        <v>0</v>
      </c>
      <c r="V29" s="108">
        <f>Data!V103</f>
        <v>0</v>
      </c>
      <c r="W29" s="108">
        <f>Data!W103</f>
        <v>0</v>
      </c>
      <c r="X29" s="109">
        <v>0</v>
      </c>
      <c r="Y29" s="108">
        <f>Data!Y103</f>
        <v>0</v>
      </c>
      <c r="Z29" s="108">
        <f>Data!Z103</f>
        <v>0</v>
      </c>
      <c r="AA29" s="152">
        <v>0</v>
      </c>
      <c r="AB29" s="152">
        <v>0</v>
      </c>
      <c r="AC29" s="152">
        <f t="shared" si="3"/>
        <v>0</v>
      </c>
      <c r="AD29" s="152">
        <f t="shared" si="4"/>
        <v>0</v>
      </c>
      <c r="AE29" s="152">
        <v>1</v>
      </c>
      <c r="AF29" s="150">
        <f>'Customer Count'!I103</f>
        <v>14286.5</v>
      </c>
      <c r="AG29" s="150">
        <f>AF29-'Customer Count'!G103-'Customer Count'!F103</f>
        <v>11555.5</v>
      </c>
      <c r="AH29" s="109">
        <f t="shared" si="5"/>
        <v>28</v>
      </c>
      <c r="AI29" s="109">
        <v>352</v>
      </c>
      <c r="AJ29" s="91">
        <v>159.72515966841141</v>
      </c>
      <c r="AK29" s="91">
        <f>Economic!C115</f>
        <v>747589.4</v>
      </c>
      <c r="AL29" s="91">
        <f>Economic!D115</f>
        <v>7430.3</v>
      </c>
      <c r="AM29" s="91">
        <f>Economic!E115</f>
        <v>7472.1</v>
      </c>
      <c r="AN29" s="91">
        <f>Economic!F115</f>
        <v>5.5</v>
      </c>
      <c r="AO29" s="91">
        <f>Economic!G115</f>
        <v>5.6</v>
      </c>
      <c r="AP29" s="91">
        <f>Economic!H115</f>
        <v>416.3</v>
      </c>
      <c r="AQ29" s="91">
        <f>Economic!I115</f>
        <v>415.4</v>
      </c>
      <c r="AR29" s="91">
        <f>Economic!J115</f>
        <v>4.7</v>
      </c>
      <c r="AS29" s="91">
        <f>Economic!K115</f>
        <v>4.5999999999999996</v>
      </c>
      <c r="AT29" s="91">
        <f>Economic!L115</f>
        <v>195.7</v>
      </c>
      <c r="AU29" s="91">
        <f>Economic!M115</f>
        <v>196</v>
      </c>
      <c r="AV29" s="91">
        <f>Economic!N115</f>
        <v>5.6</v>
      </c>
      <c r="AW29" s="91">
        <f>Economic!O115</f>
        <v>5.4</v>
      </c>
      <c r="AX29" s="91">
        <f>Economic!P115</f>
        <v>2.0702560790075264E-2</v>
      </c>
      <c r="AY29" s="91">
        <f>Economic!Q115</f>
        <v>2.8543347960299448E-2</v>
      </c>
      <c r="AZ29" s="91">
        <f>Economic!R115</f>
        <v>2.7912287459417984E-2</v>
      </c>
      <c r="BA29" s="91">
        <f>Economic!S115</f>
        <v>3.3743070619427495E-3</v>
      </c>
      <c r="BB29" s="91">
        <f>Economic!T115</f>
        <v>2.6550808592806785E-3</v>
      </c>
      <c r="BC29" s="91">
        <f>Economic!U115</f>
        <v>-3.9744847890088475E-2</v>
      </c>
      <c r="BD29" s="91">
        <f>Economic!V115</f>
        <v>-4.1095890410958957E-2</v>
      </c>
      <c r="BE29" s="91">
        <f>Economic!W115</f>
        <v>15163.099999999977</v>
      </c>
      <c r="BF29" s="91">
        <f>Economic!X115</f>
        <v>206.19999999999982</v>
      </c>
      <c r="BG29" s="91">
        <f>Economic!Y115</f>
        <v>202.90000000000055</v>
      </c>
      <c r="BH29" s="91">
        <f>Economic!Z115</f>
        <v>1.4000000000000341</v>
      </c>
      <c r="BI29" s="91">
        <f>Economic!AA115</f>
        <v>1.0999999999999659</v>
      </c>
      <c r="BJ29" s="91">
        <f>Economic!AB115</f>
        <v>-8.1000000000000227</v>
      </c>
      <c r="BK29" s="91">
        <f>Economic!AC115</f>
        <v>-8.4000000000000057</v>
      </c>
      <c r="BL29" s="91">
        <f>Weather!C223</f>
        <v>18.116666666666667</v>
      </c>
      <c r="BM29" s="91">
        <f>Weather!D223</f>
        <v>76.300000000000011</v>
      </c>
      <c r="BN29" s="91">
        <f>Weather!E223</f>
        <v>19.8</v>
      </c>
      <c r="BO29" s="91">
        <f>Weather!F223</f>
        <v>36.399999999999991</v>
      </c>
      <c r="BP29" s="91">
        <f>Weather!G223</f>
        <v>39.900000000000006</v>
      </c>
      <c r="BQ29" s="91">
        <f>Weather!H223</f>
        <v>11.099999999999998</v>
      </c>
      <c r="BR29" s="91">
        <f>Weather!I223</f>
        <v>74.600000000000009</v>
      </c>
      <c r="BS29" s="91">
        <f>Weather!J223</f>
        <v>2.1999999999999993</v>
      </c>
      <c r="BT29" s="91">
        <f>Weather!K223</f>
        <v>125.69999999999999</v>
      </c>
      <c r="BU29" s="91">
        <f>Weather!L223</f>
        <v>0.19999999999999929</v>
      </c>
      <c r="BV29" s="91">
        <f>Weather!M223</f>
        <v>183.7</v>
      </c>
      <c r="BW29" s="91">
        <f>Weather!N223</f>
        <v>0</v>
      </c>
      <c r="BX29" s="91">
        <f>Weather!O223</f>
        <v>243.50000000000003</v>
      </c>
    </row>
    <row r="30" spans="1:76" x14ac:dyDescent="0.2">
      <c r="A30" s="66">
        <v>43677</v>
      </c>
      <c r="B30" s="114">
        <f t="shared" si="0"/>
        <v>2019</v>
      </c>
      <c r="C30" s="104">
        <v>27560108.31326063</v>
      </c>
      <c r="D30" s="104">
        <v>6991030.6470110817</v>
      </c>
      <c r="E30" s="171">
        <f ca="1">CDM!D125</f>
        <v>1053857.8579727185</v>
      </c>
      <c r="F30" s="94">
        <f t="shared" ca="1" si="1"/>
        <v>21622935.524222266</v>
      </c>
      <c r="G30" s="94">
        <f ca="1">VLOOKUP(B30,CDM!$A$3:$G$14,7,FALSE)</f>
        <v>1053324.4700333148</v>
      </c>
      <c r="H30" s="94">
        <f t="shared" ca="1" si="2"/>
        <v>21622402.136282861</v>
      </c>
      <c r="I30" s="90">
        <f>Weather!F224</f>
        <v>0</v>
      </c>
      <c r="J30" s="90">
        <f>Weather!G224</f>
        <v>168.10000000000002</v>
      </c>
      <c r="K30" s="108">
        <v>31</v>
      </c>
      <c r="L30" s="108">
        <f>Data!L104</f>
        <v>0</v>
      </c>
      <c r="M30" s="108">
        <f>Data!M104</f>
        <v>0</v>
      </c>
      <c r="N30" s="108">
        <f>Data!N104</f>
        <v>0</v>
      </c>
      <c r="O30" s="108">
        <f>Data!O104</f>
        <v>0</v>
      </c>
      <c r="P30" s="108">
        <f>Data!P104</f>
        <v>0</v>
      </c>
      <c r="Q30" s="108">
        <f>Data!Q104</f>
        <v>0</v>
      </c>
      <c r="R30" s="108">
        <f>Data!R104</f>
        <v>1</v>
      </c>
      <c r="S30" s="108">
        <f>Data!S104</f>
        <v>0</v>
      </c>
      <c r="T30" s="108">
        <f>Data!T104</f>
        <v>0</v>
      </c>
      <c r="U30" s="108">
        <f>Data!U104</f>
        <v>0</v>
      </c>
      <c r="V30" s="108">
        <f>Data!V104</f>
        <v>0</v>
      </c>
      <c r="W30" s="108">
        <f>Data!W104</f>
        <v>0</v>
      </c>
      <c r="X30" s="109">
        <v>0</v>
      </c>
      <c r="Y30" s="108">
        <f>Data!Y104</f>
        <v>0</v>
      </c>
      <c r="Z30" s="108">
        <f>Data!Z104</f>
        <v>0</v>
      </c>
      <c r="AA30" s="152">
        <v>0</v>
      </c>
      <c r="AB30" s="152">
        <v>0</v>
      </c>
      <c r="AC30" s="152">
        <f t="shared" si="3"/>
        <v>0</v>
      </c>
      <c r="AD30" s="152">
        <f t="shared" si="4"/>
        <v>0</v>
      </c>
      <c r="AE30" s="152">
        <v>1</v>
      </c>
      <c r="AF30" s="150">
        <f>'Customer Count'!I104</f>
        <v>14291.5</v>
      </c>
      <c r="AG30" s="150">
        <f>AF30-'Customer Count'!G104-'Customer Count'!F104</f>
        <v>11560.5</v>
      </c>
      <c r="AH30" s="109">
        <f t="shared" si="5"/>
        <v>29</v>
      </c>
      <c r="AI30" s="109">
        <v>320</v>
      </c>
      <c r="AJ30" s="91">
        <v>160.0411489893302</v>
      </c>
      <c r="AK30" s="91">
        <f>Economic!C116</f>
        <v>747589.4</v>
      </c>
      <c r="AL30" s="91">
        <f>Economic!D116</f>
        <v>7432.9</v>
      </c>
      <c r="AM30" s="91">
        <f>Economic!E116</f>
        <v>7524.4</v>
      </c>
      <c r="AN30" s="91">
        <f>Economic!F116</f>
        <v>5.5</v>
      </c>
      <c r="AO30" s="91">
        <f>Economic!G116</f>
        <v>5.7</v>
      </c>
      <c r="AP30" s="91">
        <f>Economic!H116</f>
        <v>415.9</v>
      </c>
      <c r="AQ30" s="91">
        <f>Economic!I116</f>
        <v>417.8</v>
      </c>
      <c r="AR30" s="91">
        <f>Economic!J116</f>
        <v>4.8</v>
      </c>
      <c r="AS30" s="91">
        <f>Economic!K116</f>
        <v>5.3</v>
      </c>
      <c r="AT30" s="91">
        <f>Economic!L116</f>
        <v>196.1</v>
      </c>
      <c r="AU30" s="91">
        <f>Economic!M116</f>
        <v>199.2</v>
      </c>
      <c r="AV30" s="91">
        <f>Economic!N116</f>
        <v>5.6</v>
      </c>
      <c r="AW30" s="91">
        <f>Economic!O116</f>
        <v>5.4</v>
      </c>
      <c r="AX30" s="91">
        <f>Economic!P116</f>
        <v>2.0702560790075264E-2</v>
      </c>
      <c r="AY30" s="91">
        <f>Economic!Q116</f>
        <v>2.4012895048631799E-2</v>
      </c>
      <c r="AZ30" s="91">
        <f>Economic!R116</f>
        <v>2.3379802788167314E-2</v>
      </c>
      <c r="BA30" s="91">
        <f>Economic!S116</f>
        <v>-1.2007684918348138E-3</v>
      </c>
      <c r="BB30" s="91">
        <f>Economic!T116</f>
        <v>-2.625925041775945E-3</v>
      </c>
      <c r="BC30" s="91">
        <f>Economic!U116</f>
        <v>-3.2560434139121797E-2</v>
      </c>
      <c r="BD30" s="91">
        <f>Economic!V116</f>
        <v>-3.3478893740902516E-2</v>
      </c>
      <c r="BE30" s="91">
        <f>Economic!W116</f>
        <v>15163.099999999977</v>
      </c>
      <c r="BF30" s="91">
        <f>Economic!X116</f>
        <v>174.29999999999927</v>
      </c>
      <c r="BG30" s="91">
        <f>Economic!Y116</f>
        <v>171.89999999999964</v>
      </c>
      <c r="BH30" s="91">
        <f>Economic!Z116</f>
        <v>-0.5</v>
      </c>
      <c r="BI30" s="91">
        <f>Economic!AA116</f>
        <v>-1.0999999999999659</v>
      </c>
      <c r="BJ30" s="91">
        <f>Economic!AB116</f>
        <v>-6.5999999999999943</v>
      </c>
      <c r="BK30" s="91">
        <f>Economic!AC116</f>
        <v>-6.9000000000000057</v>
      </c>
      <c r="BL30" s="91">
        <f>Weather!C224</f>
        <v>23.422580645161286</v>
      </c>
      <c r="BM30" s="91">
        <f>Weather!D224</f>
        <v>1.1999999999999993</v>
      </c>
      <c r="BN30" s="91">
        <f>Weather!E224</f>
        <v>107.29999999999998</v>
      </c>
      <c r="BO30" s="91">
        <f>Weather!F224</f>
        <v>0</v>
      </c>
      <c r="BP30" s="91">
        <f>Weather!G224</f>
        <v>168.10000000000002</v>
      </c>
      <c r="BQ30" s="91">
        <f>Weather!H224</f>
        <v>0</v>
      </c>
      <c r="BR30" s="91">
        <f>Weather!I224</f>
        <v>230.10000000000005</v>
      </c>
      <c r="BS30" s="91">
        <f>Weather!J224</f>
        <v>0</v>
      </c>
      <c r="BT30" s="91">
        <f>Weather!K224</f>
        <v>292.10000000000008</v>
      </c>
      <c r="BU30" s="91">
        <f>Weather!L224</f>
        <v>0</v>
      </c>
      <c r="BV30" s="91">
        <f>Weather!M224</f>
        <v>354.10000000000008</v>
      </c>
      <c r="BW30" s="91">
        <f>Weather!N224</f>
        <v>0</v>
      </c>
      <c r="BX30" s="91">
        <f>Weather!O224</f>
        <v>416.1</v>
      </c>
    </row>
    <row r="31" spans="1:76" x14ac:dyDescent="0.2">
      <c r="A31" s="66">
        <v>43708</v>
      </c>
      <c r="B31" s="114">
        <f t="shared" si="0"/>
        <v>2019</v>
      </c>
      <c r="C31" s="104">
        <v>24718341.509218462</v>
      </c>
      <c r="D31" s="104">
        <v>6140130.9663574947</v>
      </c>
      <c r="E31" s="171">
        <f ca="1">CDM!D126</f>
        <v>1054924.6338515261</v>
      </c>
      <c r="F31" s="94">
        <f t="shared" ca="1" si="1"/>
        <v>19633135.176712491</v>
      </c>
      <c r="G31" s="94">
        <f ca="1">VLOOKUP(B31,CDM!$A$3:$G$14,7,FALSE)</f>
        <v>1053324.4700333148</v>
      </c>
      <c r="H31" s="94">
        <f t="shared" ca="1" si="2"/>
        <v>19631535.01289428</v>
      </c>
      <c r="I31" s="90">
        <f>Weather!F225</f>
        <v>1.1999999999999993</v>
      </c>
      <c r="J31" s="90">
        <f>Weather!G225</f>
        <v>107.09999999999997</v>
      </c>
      <c r="K31" s="108">
        <v>31</v>
      </c>
      <c r="L31" s="108">
        <f>Data!L105</f>
        <v>0</v>
      </c>
      <c r="M31" s="108">
        <f>Data!M105</f>
        <v>0</v>
      </c>
      <c r="N31" s="108">
        <f>Data!N105</f>
        <v>0</v>
      </c>
      <c r="O31" s="108">
        <f>Data!O105</f>
        <v>0</v>
      </c>
      <c r="P31" s="108">
        <f>Data!P105</f>
        <v>0</v>
      </c>
      <c r="Q31" s="108">
        <f>Data!Q105</f>
        <v>0</v>
      </c>
      <c r="R31" s="108">
        <f>Data!R105</f>
        <v>0</v>
      </c>
      <c r="S31" s="108">
        <f>Data!S105</f>
        <v>1</v>
      </c>
      <c r="T31" s="108">
        <f>Data!T105</f>
        <v>0</v>
      </c>
      <c r="U31" s="108">
        <f>Data!U105</f>
        <v>0</v>
      </c>
      <c r="V31" s="108">
        <f>Data!V105</f>
        <v>0</v>
      </c>
      <c r="W31" s="108">
        <f>Data!W105</f>
        <v>0</v>
      </c>
      <c r="X31" s="109">
        <v>0</v>
      </c>
      <c r="Y31" s="108">
        <f>Data!Y105</f>
        <v>0</v>
      </c>
      <c r="Z31" s="108">
        <f>Data!Z105</f>
        <v>0</v>
      </c>
      <c r="AA31" s="152">
        <v>0</v>
      </c>
      <c r="AB31" s="152">
        <v>0</v>
      </c>
      <c r="AC31" s="152">
        <f t="shared" si="3"/>
        <v>0</v>
      </c>
      <c r="AD31" s="152">
        <f t="shared" si="4"/>
        <v>0</v>
      </c>
      <c r="AE31" s="152">
        <v>1</v>
      </c>
      <c r="AF31" s="150">
        <f>'Customer Count'!I105</f>
        <v>14302</v>
      </c>
      <c r="AG31" s="150">
        <f>AF31-'Customer Count'!G105-'Customer Count'!F105</f>
        <v>11571</v>
      </c>
      <c r="AH31" s="109">
        <f t="shared" si="5"/>
        <v>30</v>
      </c>
      <c r="AI31" s="109">
        <v>352</v>
      </c>
      <c r="AJ31" s="91">
        <v>160.35776344188849</v>
      </c>
      <c r="AK31" s="91">
        <f>Economic!C117</f>
        <v>747589.4</v>
      </c>
      <c r="AL31" s="91">
        <f>Economic!D117</f>
        <v>7449.6</v>
      </c>
      <c r="AM31" s="91">
        <f>Economic!E117</f>
        <v>7540.9</v>
      </c>
      <c r="AN31" s="91">
        <f>Economic!F117</f>
        <v>5.6</v>
      </c>
      <c r="AO31" s="91">
        <f>Economic!G117</f>
        <v>6</v>
      </c>
      <c r="AP31" s="91">
        <f>Economic!H117</f>
        <v>418.8</v>
      </c>
      <c r="AQ31" s="91">
        <f>Economic!I117</f>
        <v>422.3</v>
      </c>
      <c r="AR31" s="91">
        <f>Economic!J117</f>
        <v>4.9000000000000004</v>
      </c>
      <c r="AS31" s="91">
        <f>Economic!K117</f>
        <v>5.4</v>
      </c>
      <c r="AT31" s="91">
        <f>Economic!L117</f>
        <v>198</v>
      </c>
      <c r="AU31" s="91">
        <f>Economic!M117</f>
        <v>202</v>
      </c>
      <c r="AV31" s="91">
        <f>Economic!N117</f>
        <v>5.7</v>
      </c>
      <c r="AW31" s="91">
        <f>Economic!O117</f>
        <v>5.7</v>
      </c>
      <c r="AX31" s="91">
        <f>Economic!P117</f>
        <v>2.0702560790075264E-2</v>
      </c>
      <c r="AY31" s="91">
        <f>Economic!Q117</f>
        <v>2.5437727122563647E-2</v>
      </c>
      <c r="AZ31" s="91">
        <f>Economic!R117</f>
        <v>2.5135943447525788E-2</v>
      </c>
      <c r="BA31" s="91">
        <f>Economic!S117</f>
        <v>1.3798111837327598E-2</v>
      </c>
      <c r="BB31" s="91">
        <f>Economic!T117</f>
        <v>1.4412683161181938E-2</v>
      </c>
      <c r="BC31" s="91">
        <f>Economic!U117</f>
        <v>-1.5904572564612307E-2</v>
      </c>
      <c r="BD31" s="91">
        <f>Economic!V117</f>
        <v>-1.6553067185978598E-2</v>
      </c>
      <c r="BE31" s="91">
        <f>Economic!W117</f>
        <v>15163.099999999977</v>
      </c>
      <c r="BF31" s="91">
        <f>Economic!X117</f>
        <v>184.80000000000018</v>
      </c>
      <c r="BG31" s="91">
        <f>Economic!Y117</f>
        <v>184.89999999999964</v>
      </c>
      <c r="BH31" s="91">
        <f>Economic!Z117</f>
        <v>5.6999999999999886</v>
      </c>
      <c r="BI31" s="91">
        <f>Economic!AA117</f>
        <v>6</v>
      </c>
      <c r="BJ31" s="91">
        <f>Economic!AB117</f>
        <v>-3.1999999999999886</v>
      </c>
      <c r="BK31" s="91">
        <f>Economic!AC117</f>
        <v>-3.4000000000000057</v>
      </c>
      <c r="BL31" s="91">
        <f>Weather!C225</f>
        <v>21.416129032258059</v>
      </c>
      <c r="BM31" s="91">
        <f>Weather!D225</f>
        <v>8.9999999999999964</v>
      </c>
      <c r="BN31" s="91">
        <f>Weather!E225</f>
        <v>52.899999999999991</v>
      </c>
      <c r="BO31" s="91">
        <f>Weather!F225</f>
        <v>1.1999999999999993</v>
      </c>
      <c r="BP31" s="91">
        <f>Weather!G225</f>
        <v>107.09999999999997</v>
      </c>
      <c r="BQ31" s="91">
        <f>Weather!H225</f>
        <v>0</v>
      </c>
      <c r="BR31" s="91">
        <f>Weather!I225</f>
        <v>167.90000000000006</v>
      </c>
      <c r="BS31" s="91">
        <f>Weather!J225</f>
        <v>0</v>
      </c>
      <c r="BT31" s="91">
        <f>Weather!K225</f>
        <v>229.90000000000009</v>
      </c>
      <c r="BU31" s="91">
        <f>Weather!L225</f>
        <v>0</v>
      </c>
      <c r="BV31" s="91">
        <f>Weather!M225</f>
        <v>291.90000000000015</v>
      </c>
      <c r="BW31" s="91">
        <f>Weather!N225</f>
        <v>0</v>
      </c>
      <c r="BX31" s="91">
        <f>Weather!O225</f>
        <v>353.90000000000015</v>
      </c>
    </row>
    <row r="32" spans="1:76" x14ac:dyDescent="0.2">
      <c r="A32" s="66">
        <v>43738</v>
      </c>
      <c r="B32" s="114">
        <f t="shared" si="0"/>
        <v>2019</v>
      </c>
      <c r="C32" s="104">
        <v>20237615.335729983</v>
      </c>
      <c r="D32" s="104">
        <v>4814361.1713148011</v>
      </c>
      <c r="E32" s="171">
        <f ca="1">CDM!D127</f>
        <v>1055991.4097303334</v>
      </c>
      <c r="F32" s="94">
        <f t="shared" ca="1" si="1"/>
        <v>16479245.574145515</v>
      </c>
      <c r="G32" s="94">
        <f ca="1">VLOOKUP(B32,CDM!$A$3:$G$14,7,FALSE)</f>
        <v>1053324.4700333148</v>
      </c>
      <c r="H32" s="94">
        <f t="shared" ca="1" si="2"/>
        <v>16476578.634448495</v>
      </c>
      <c r="I32" s="90">
        <f>Weather!F226</f>
        <v>21.199999999999996</v>
      </c>
      <c r="J32" s="90">
        <f>Weather!G226</f>
        <v>38.200000000000003</v>
      </c>
      <c r="K32" s="108">
        <v>30</v>
      </c>
      <c r="L32" s="108">
        <f>Data!L106</f>
        <v>0</v>
      </c>
      <c r="M32" s="108">
        <f>Data!M106</f>
        <v>0</v>
      </c>
      <c r="N32" s="108">
        <f>Data!N106</f>
        <v>0</v>
      </c>
      <c r="O32" s="108">
        <f>Data!O106</f>
        <v>0</v>
      </c>
      <c r="P32" s="108">
        <f>Data!P106</f>
        <v>0</v>
      </c>
      <c r="Q32" s="108">
        <f>Data!Q106</f>
        <v>0</v>
      </c>
      <c r="R32" s="108">
        <f>Data!R106</f>
        <v>0</v>
      </c>
      <c r="S32" s="108">
        <f>Data!S106</f>
        <v>0</v>
      </c>
      <c r="T32" s="108">
        <f>Data!T106</f>
        <v>1</v>
      </c>
      <c r="U32" s="108">
        <f>Data!U106</f>
        <v>0</v>
      </c>
      <c r="V32" s="108">
        <f>Data!V106</f>
        <v>0</v>
      </c>
      <c r="W32" s="108">
        <f>Data!W106</f>
        <v>0</v>
      </c>
      <c r="X32" s="109">
        <v>1</v>
      </c>
      <c r="Y32" s="108">
        <f>Data!Y106</f>
        <v>0</v>
      </c>
      <c r="Z32" s="108">
        <f>Data!Z106</f>
        <v>1</v>
      </c>
      <c r="AA32" s="152">
        <v>0</v>
      </c>
      <c r="AB32" s="152">
        <v>0</v>
      </c>
      <c r="AC32" s="152">
        <f t="shared" si="3"/>
        <v>0</v>
      </c>
      <c r="AD32" s="152">
        <f t="shared" si="4"/>
        <v>0</v>
      </c>
      <c r="AE32" s="152">
        <v>1</v>
      </c>
      <c r="AF32" s="150">
        <f>'Customer Count'!I106</f>
        <v>14340.5</v>
      </c>
      <c r="AG32" s="150">
        <f>AF32-'Customer Count'!G106-'Customer Count'!F106</f>
        <v>11589.5</v>
      </c>
      <c r="AH32" s="109">
        <f t="shared" si="5"/>
        <v>31</v>
      </c>
      <c r="AI32" s="109">
        <v>320</v>
      </c>
      <c r="AJ32" s="91">
        <v>160.67500426280395</v>
      </c>
      <c r="AK32" s="91">
        <f>Economic!C118</f>
        <v>747589.4</v>
      </c>
      <c r="AL32" s="91">
        <f>Economic!D118</f>
        <v>7478.3</v>
      </c>
      <c r="AM32" s="91">
        <f>Economic!E118</f>
        <v>7535</v>
      </c>
      <c r="AN32" s="91">
        <f>Economic!F118</f>
        <v>5.5</v>
      </c>
      <c r="AO32" s="91">
        <f>Economic!G118</f>
        <v>5.8</v>
      </c>
      <c r="AP32" s="91">
        <f>Economic!H118</f>
        <v>419.9</v>
      </c>
      <c r="AQ32" s="91">
        <f>Economic!I118</f>
        <v>423.1</v>
      </c>
      <c r="AR32" s="91">
        <f>Economic!J118</f>
        <v>5</v>
      </c>
      <c r="AS32" s="91">
        <f>Economic!K118</f>
        <v>5.6</v>
      </c>
      <c r="AT32" s="91">
        <f>Economic!L118</f>
        <v>200.2</v>
      </c>
      <c r="AU32" s="91">
        <f>Economic!M118</f>
        <v>203.1</v>
      </c>
      <c r="AV32" s="91">
        <f>Economic!N118</f>
        <v>5.8</v>
      </c>
      <c r="AW32" s="91">
        <f>Economic!O118</f>
        <v>5.7</v>
      </c>
      <c r="AX32" s="91">
        <f>Economic!P118</f>
        <v>2.0702560790075264E-2</v>
      </c>
      <c r="AY32" s="91">
        <f>Economic!Q118</f>
        <v>2.8920900923212312E-2</v>
      </c>
      <c r="AZ32" s="91">
        <f>Economic!R118</f>
        <v>3.0047025371828573E-2</v>
      </c>
      <c r="BA32" s="91">
        <f>Economic!S118</f>
        <v>2.1157587548638057E-2</v>
      </c>
      <c r="BB32" s="91">
        <f>Economic!T118</f>
        <v>2.5945683802133912E-2</v>
      </c>
      <c r="BC32" s="91">
        <f>Economic!U118</f>
        <v>-3.4843205574913716E-3</v>
      </c>
      <c r="BD32" s="91">
        <f>Economic!V118</f>
        <v>-9.7513408093612419E-3</v>
      </c>
      <c r="BE32" s="91">
        <f>Economic!W118</f>
        <v>15163.099999999977</v>
      </c>
      <c r="BF32" s="91">
        <f>Economic!X118</f>
        <v>210.19999999999982</v>
      </c>
      <c r="BG32" s="91">
        <f>Economic!Y118</f>
        <v>219.80000000000018</v>
      </c>
      <c r="BH32" s="91">
        <f>Economic!Z118</f>
        <v>8.6999999999999886</v>
      </c>
      <c r="BI32" s="91">
        <f>Economic!AA118</f>
        <v>10.700000000000045</v>
      </c>
      <c r="BJ32" s="91">
        <f>Economic!AB118</f>
        <v>-0.70000000000001705</v>
      </c>
      <c r="BK32" s="91">
        <f>Economic!AC118</f>
        <v>-2</v>
      </c>
      <c r="BL32" s="91">
        <f>Weather!C226</f>
        <v>18.566666666666666</v>
      </c>
      <c r="BM32" s="91">
        <f>Weather!D226</f>
        <v>58.2</v>
      </c>
      <c r="BN32" s="91">
        <f>Weather!E226</f>
        <v>15.200000000000003</v>
      </c>
      <c r="BO32" s="91">
        <f>Weather!F226</f>
        <v>21.199999999999996</v>
      </c>
      <c r="BP32" s="91">
        <f>Weather!G226</f>
        <v>38.200000000000003</v>
      </c>
      <c r="BQ32" s="91">
        <f>Weather!H226</f>
        <v>1.6999999999999993</v>
      </c>
      <c r="BR32" s="91">
        <f>Weather!I226</f>
        <v>78.699999999999989</v>
      </c>
      <c r="BS32" s="91">
        <f>Weather!J226</f>
        <v>0</v>
      </c>
      <c r="BT32" s="91">
        <f>Weather!K226</f>
        <v>137</v>
      </c>
      <c r="BU32" s="91">
        <f>Weather!L226</f>
        <v>0</v>
      </c>
      <c r="BV32" s="91">
        <f>Weather!M226</f>
        <v>197.00000000000006</v>
      </c>
      <c r="BW32" s="91">
        <f>Weather!N226</f>
        <v>0</v>
      </c>
      <c r="BX32" s="91">
        <f>Weather!O226</f>
        <v>257.00000000000006</v>
      </c>
    </row>
    <row r="33" spans="1:76" x14ac:dyDescent="0.2">
      <c r="A33" s="66">
        <v>43769</v>
      </c>
      <c r="B33" s="114">
        <f t="shared" si="0"/>
        <v>2019</v>
      </c>
      <c r="C33" s="104">
        <v>18098714.600466475</v>
      </c>
      <c r="D33" s="104">
        <v>3841776.1678357082</v>
      </c>
      <c r="E33" s="171">
        <f ca="1">CDM!D128</f>
        <v>1057058.1856091407</v>
      </c>
      <c r="F33" s="94">
        <f t="shared" ca="1" si="1"/>
        <v>15313996.618239906</v>
      </c>
      <c r="G33" s="94">
        <f ca="1">VLOOKUP(B33,CDM!$A$3:$G$14,7,FALSE)</f>
        <v>1053324.4700333148</v>
      </c>
      <c r="H33" s="94">
        <f t="shared" ca="1" si="2"/>
        <v>15310262.90266408</v>
      </c>
      <c r="I33" s="90">
        <f>Weather!F227</f>
        <v>207.5</v>
      </c>
      <c r="J33" s="90">
        <f>Weather!G227</f>
        <v>4.8000000000000007</v>
      </c>
      <c r="K33" s="108">
        <v>31</v>
      </c>
      <c r="L33" s="108">
        <f>Data!L107</f>
        <v>0</v>
      </c>
      <c r="M33" s="108">
        <f>Data!M107</f>
        <v>0</v>
      </c>
      <c r="N33" s="108">
        <f>Data!N107</f>
        <v>0</v>
      </c>
      <c r="O33" s="108">
        <f>Data!O107</f>
        <v>0</v>
      </c>
      <c r="P33" s="108">
        <f>Data!P107</f>
        <v>0</v>
      </c>
      <c r="Q33" s="108">
        <f>Data!Q107</f>
        <v>0</v>
      </c>
      <c r="R33" s="108">
        <f>Data!R107</f>
        <v>0</v>
      </c>
      <c r="S33" s="108">
        <f>Data!S107</f>
        <v>0</v>
      </c>
      <c r="T33" s="108">
        <f>Data!T107</f>
        <v>0</v>
      </c>
      <c r="U33" s="108">
        <f>Data!U107</f>
        <v>1</v>
      </c>
      <c r="V33" s="108">
        <f>Data!V107</f>
        <v>0</v>
      </c>
      <c r="W33" s="108">
        <f>Data!W107</f>
        <v>0</v>
      </c>
      <c r="X33" s="109">
        <v>1</v>
      </c>
      <c r="Y33" s="108">
        <f>Data!Y107</f>
        <v>0</v>
      </c>
      <c r="Z33" s="108">
        <f>Data!Z107</f>
        <v>1</v>
      </c>
      <c r="AA33" s="152">
        <v>0</v>
      </c>
      <c r="AB33" s="152">
        <v>0</v>
      </c>
      <c r="AC33" s="152">
        <f t="shared" si="3"/>
        <v>0</v>
      </c>
      <c r="AD33" s="152">
        <f t="shared" si="4"/>
        <v>0</v>
      </c>
      <c r="AE33" s="152">
        <v>1</v>
      </c>
      <c r="AF33" s="150">
        <f>'Customer Count'!I107</f>
        <v>14379</v>
      </c>
      <c r="AG33" s="150">
        <f>AF33-'Customer Count'!G107-'Customer Count'!F107</f>
        <v>11608.5</v>
      </c>
      <c r="AH33" s="109">
        <f t="shared" si="5"/>
        <v>32</v>
      </c>
      <c r="AI33" s="109">
        <v>336</v>
      </c>
      <c r="AJ33" s="91">
        <v>160.99287269124085</v>
      </c>
      <c r="AK33" s="91">
        <f>Economic!C119</f>
        <v>747589.4</v>
      </c>
      <c r="AL33" s="91">
        <f>Economic!D119</f>
        <v>7504</v>
      </c>
      <c r="AM33" s="91">
        <f>Economic!E119</f>
        <v>7538.5</v>
      </c>
      <c r="AN33" s="91">
        <f>Economic!F119</f>
        <v>5.4</v>
      </c>
      <c r="AO33" s="91">
        <f>Economic!G119</f>
        <v>5.4</v>
      </c>
      <c r="AP33" s="91">
        <f>Economic!H119</f>
        <v>427.3</v>
      </c>
      <c r="AQ33" s="91">
        <f>Economic!I119</f>
        <v>433.4</v>
      </c>
      <c r="AR33" s="91">
        <f>Economic!J119</f>
        <v>4.7</v>
      </c>
      <c r="AS33" s="91">
        <f>Economic!K119</f>
        <v>4.7</v>
      </c>
      <c r="AT33" s="91">
        <f>Economic!L119</f>
        <v>202.4</v>
      </c>
      <c r="AU33" s="91">
        <f>Economic!M119</f>
        <v>204.3</v>
      </c>
      <c r="AV33" s="91">
        <f>Economic!N119</f>
        <v>5.4</v>
      </c>
      <c r="AW33" s="91">
        <f>Economic!O119</f>
        <v>5</v>
      </c>
      <c r="AX33" s="91">
        <f>Economic!P119</f>
        <v>2.0702560790075264E-2</v>
      </c>
      <c r="AY33" s="91">
        <f>Economic!Q119</f>
        <v>3.4606369778022783E-2</v>
      </c>
      <c r="AZ33" s="91">
        <f>Economic!R119</f>
        <v>3.6305399758055801E-2</v>
      </c>
      <c r="BA33" s="91">
        <f>Economic!S119</f>
        <v>3.7387715464918703E-2</v>
      </c>
      <c r="BB33" s="91">
        <f>Economic!T119</f>
        <v>5.1686483863139898E-2</v>
      </c>
      <c r="BC33" s="91">
        <f>Economic!U119</f>
        <v>9.9800399201597223E-3</v>
      </c>
      <c r="BD33" s="91">
        <f>Economic!V119</f>
        <v>-1.9540791402050672E-3</v>
      </c>
      <c r="BE33" s="91">
        <f>Economic!W119</f>
        <v>15163.099999999977</v>
      </c>
      <c r="BF33" s="91">
        <f>Economic!X119</f>
        <v>251</v>
      </c>
      <c r="BG33" s="91">
        <f>Economic!Y119</f>
        <v>264.10000000000036</v>
      </c>
      <c r="BH33" s="91">
        <f>Economic!Z119</f>
        <v>15.400000000000034</v>
      </c>
      <c r="BI33" s="91">
        <f>Economic!AA119</f>
        <v>21.299999999999955</v>
      </c>
      <c r="BJ33" s="91">
        <f>Economic!AB119</f>
        <v>2</v>
      </c>
      <c r="BK33" s="91">
        <f>Economic!AC119</f>
        <v>-0.39999999999997726</v>
      </c>
      <c r="BL33" s="91">
        <f>Weather!C227</f>
        <v>11.461290322580648</v>
      </c>
      <c r="BM33" s="91">
        <f>Weather!D227</f>
        <v>267.5</v>
      </c>
      <c r="BN33" s="91">
        <f>Weather!E227</f>
        <v>2.8000000000000007</v>
      </c>
      <c r="BO33" s="91">
        <f>Weather!F227</f>
        <v>207.5</v>
      </c>
      <c r="BP33" s="91">
        <f>Weather!G227</f>
        <v>4.8000000000000007</v>
      </c>
      <c r="BQ33" s="91">
        <f>Weather!H227</f>
        <v>147.5</v>
      </c>
      <c r="BR33" s="91">
        <f>Weather!I227</f>
        <v>6.8000000000000007</v>
      </c>
      <c r="BS33" s="91">
        <f>Weather!J227</f>
        <v>90.100000000000009</v>
      </c>
      <c r="BT33" s="91">
        <f>Weather!K227</f>
        <v>11.400000000000002</v>
      </c>
      <c r="BU33" s="91">
        <f>Weather!L227</f>
        <v>43.5</v>
      </c>
      <c r="BV33" s="91">
        <f>Weather!M227</f>
        <v>26.800000000000004</v>
      </c>
      <c r="BW33" s="91">
        <f>Weather!N227</f>
        <v>13.999999999999996</v>
      </c>
      <c r="BX33" s="91">
        <f>Weather!O227</f>
        <v>59.299999999999983</v>
      </c>
    </row>
    <row r="34" spans="1:76" x14ac:dyDescent="0.2">
      <c r="A34" s="66">
        <v>43799</v>
      </c>
      <c r="B34" s="114">
        <f t="shared" si="0"/>
        <v>2019</v>
      </c>
      <c r="C34" s="104">
        <v>19512627.908904467</v>
      </c>
      <c r="D34" s="104">
        <v>4374163.1948623955</v>
      </c>
      <c r="E34" s="171">
        <f ca="1">CDM!D129</f>
        <v>1058124.961487948</v>
      </c>
      <c r="F34" s="94">
        <f t="shared" ca="1" si="1"/>
        <v>16196589.67553002</v>
      </c>
      <c r="G34" s="94">
        <f ca="1">VLOOKUP(B34,CDM!$A$3:$G$14,7,FALSE)</f>
        <v>1053324.4700333148</v>
      </c>
      <c r="H34" s="94">
        <f t="shared" ca="1" si="2"/>
        <v>16191789.184075385</v>
      </c>
      <c r="I34" s="90">
        <f>Weather!F228</f>
        <v>485.2</v>
      </c>
      <c r="J34" s="90">
        <f>Weather!G228</f>
        <v>0</v>
      </c>
      <c r="K34" s="108">
        <v>30</v>
      </c>
      <c r="L34" s="108">
        <f>Data!L108</f>
        <v>0</v>
      </c>
      <c r="M34" s="108">
        <f>Data!M108</f>
        <v>0</v>
      </c>
      <c r="N34" s="108">
        <f>Data!N108</f>
        <v>0</v>
      </c>
      <c r="O34" s="108">
        <f>Data!O108</f>
        <v>0</v>
      </c>
      <c r="P34" s="108">
        <f>Data!P108</f>
        <v>0</v>
      </c>
      <c r="Q34" s="108">
        <f>Data!Q108</f>
        <v>0</v>
      </c>
      <c r="R34" s="108">
        <f>Data!R108</f>
        <v>0</v>
      </c>
      <c r="S34" s="108">
        <f>Data!S108</f>
        <v>0</v>
      </c>
      <c r="T34" s="108">
        <f>Data!T108</f>
        <v>0</v>
      </c>
      <c r="U34" s="108">
        <f>Data!U108</f>
        <v>0</v>
      </c>
      <c r="V34" s="108">
        <f>Data!V108</f>
        <v>1</v>
      </c>
      <c r="W34" s="108">
        <f>Data!W108</f>
        <v>0</v>
      </c>
      <c r="X34" s="109">
        <v>1</v>
      </c>
      <c r="Y34" s="108">
        <f>Data!Y108</f>
        <v>0</v>
      </c>
      <c r="Z34" s="108">
        <f>Data!Z108</f>
        <v>1</v>
      </c>
      <c r="AA34" s="152">
        <v>0</v>
      </c>
      <c r="AB34" s="152">
        <v>0</v>
      </c>
      <c r="AC34" s="152">
        <f t="shared" si="3"/>
        <v>0</v>
      </c>
      <c r="AD34" s="152">
        <f t="shared" si="4"/>
        <v>0</v>
      </c>
      <c r="AE34" s="152">
        <v>1</v>
      </c>
      <c r="AF34" s="150">
        <f>'Customer Count'!I108</f>
        <v>14389</v>
      </c>
      <c r="AG34" s="150">
        <f>AF34-'Customer Count'!G108-'Customer Count'!F108</f>
        <v>11619</v>
      </c>
      <c r="AH34" s="109">
        <f t="shared" si="5"/>
        <v>33</v>
      </c>
      <c r="AI34" s="109">
        <v>352</v>
      </c>
      <c r="AJ34" s="91">
        <v>161.31136996881492</v>
      </c>
      <c r="AK34" s="91">
        <f>Economic!C120</f>
        <v>747589.4</v>
      </c>
      <c r="AL34" s="91">
        <f>Economic!D120</f>
        <v>7517.3</v>
      </c>
      <c r="AM34" s="91">
        <f>Economic!E120</f>
        <v>7530.1</v>
      </c>
      <c r="AN34" s="91">
        <f>Economic!F120</f>
        <v>5.4</v>
      </c>
      <c r="AO34" s="91">
        <f>Economic!G120</f>
        <v>4.9000000000000004</v>
      </c>
      <c r="AP34" s="91">
        <f>Economic!H120</f>
        <v>427.5</v>
      </c>
      <c r="AQ34" s="91">
        <f>Economic!I120</f>
        <v>434.3</v>
      </c>
      <c r="AR34" s="91">
        <f>Economic!J120</f>
        <v>4.7</v>
      </c>
      <c r="AS34" s="91">
        <f>Economic!K120</f>
        <v>4.0999999999999996</v>
      </c>
      <c r="AT34" s="91">
        <f>Economic!L120</f>
        <v>204.9</v>
      </c>
      <c r="AU34" s="91">
        <f>Economic!M120</f>
        <v>205.2</v>
      </c>
      <c r="AV34" s="91">
        <f>Economic!N120</f>
        <v>5.2</v>
      </c>
      <c r="AW34" s="91">
        <f>Economic!O120</f>
        <v>4.9000000000000004</v>
      </c>
      <c r="AX34" s="91">
        <f>Economic!P120</f>
        <v>2.0702560790075264E-2</v>
      </c>
      <c r="AY34" s="91">
        <f>Economic!Q120</f>
        <v>3.3518938612772331E-2</v>
      </c>
      <c r="AZ34" s="91">
        <f>Economic!R120</f>
        <v>3.4496496771534657E-2</v>
      </c>
      <c r="BA34" s="91">
        <f>Economic!S120</f>
        <v>2.7644230769230838E-2</v>
      </c>
      <c r="BB34" s="91">
        <f>Economic!T120</f>
        <v>4.5246690734055406E-2</v>
      </c>
      <c r="BC34" s="91">
        <f>Economic!U120</f>
        <v>2.8614457831325435E-2</v>
      </c>
      <c r="BD34" s="91">
        <f>Economic!V120</f>
        <v>1.2833168805528095E-2</v>
      </c>
      <c r="BE34" s="91">
        <f>Economic!W120</f>
        <v>15163.099999999977</v>
      </c>
      <c r="BF34" s="91">
        <f>Economic!X120</f>
        <v>243.80000000000018</v>
      </c>
      <c r="BG34" s="91">
        <f>Economic!Y120</f>
        <v>251.10000000000036</v>
      </c>
      <c r="BH34" s="91">
        <f>Economic!Z120</f>
        <v>11.5</v>
      </c>
      <c r="BI34" s="91">
        <f>Economic!AA120</f>
        <v>18.800000000000011</v>
      </c>
      <c r="BJ34" s="91">
        <f>Economic!AB120</f>
        <v>5.7000000000000171</v>
      </c>
      <c r="BK34" s="91">
        <f>Economic!AC120</f>
        <v>2.5999999999999943</v>
      </c>
      <c r="BL34" s="91">
        <f>Weather!C228</f>
        <v>1.8266666666666667</v>
      </c>
      <c r="BM34" s="91">
        <f>Weather!D228</f>
        <v>545.19999999999993</v>
      </c>
      <c r="BN34" s="91">
        <f>Weather!E228</f>
        <v>0</v>
      </c>
      <c r="BO34" s="91">
        <f>Weather!F228</f>
        <v>485.2</v>
      </c>
      <c r="BP34" s="91">
        <f>Weather!G228</f>
        <v>0</v>
      </c>
      <c r="BQ34" s="91">
        <f>Weather!H228</f>
        <v>425.2</v>
      </c>
      <c r="BR34" s="91">
        <f>Weather!I228</f>
        <v>0</v>
      </c>
      <c r="BS34" s="91">
        <f>Weather!J228</f>
        <v>365.19999999999993</v>
      </c>
      <c r="BT34" s="91">
        <f>Weather!K228</f>
        <v>0</v>
      </c>
      <c r="BU34" s="91">
        <f>Weather!L228</f>
        <v>305.2</v>
      </c>
      <c r="BV34" s="91">
        <f>Weather!M228</f>
        <v>0</v>
      </c>
      <c r="BW34" s="91">
        <f>Weather!N228</f>
        <v>245.19999999999993</v>
      </c>
      <c r="BX34" s="91">
        <f>Weather!O228</f>
        <v>0</v>
      </c>
    </row>
    <row r="35" spans="1:76" x14ac:dyDescent="0.2">
      <c r="A35" s="66">
        <v>43830</v>
      </c>
      <c r="B35" s="114">
        <f t="shared" si="0"/>
        <v>2019</v>
      </c>
      <c r="C35" s="104">
        <v>20791848.943550967</v>
      </c>
      <c r="D35" s="104">
        <v>4357443.9816535302</v>
      </c>
      <c r="E35" s="171">
        <f ca="1">CDM!D130</f>
        <v>1059191.7373667555</v>
      </c>
      <c r="F35" s="94">
        <f t="shared" ca="1" si="1"/>
        <v>17493596.699264191</v>
      </c>
      <c r="G35" s="94">
        <f ca="1">VLOOKUP(B35,CDM!$A$3:$G$14,7,FALSE)</f>
        <v>1053324.4700333148</v>
      </c>
      <c r="H35" s="94">
        <f t="shared" ca="1" si="2"/>
        <v>17487729.431930751</v>
      </c>
      <c r="I35" s="90">
        <f>Weather!F229</f>
        <v>555.70000000000005</v>
      </c>
      <c r="J35" s="90">
        <f>Weather!G229</f>
        <v>0</v>
      </c>
      <c r="K35" s="108">
        <v>31</v>
      </c>
      <c r="L35" s="108">
        <f>Data!L109</f>
        <v>0</v>
      </c>
      <c r="M35" s="108">
        <f>Data!M109</f>
        <v>0</v>
      </c>
      <c r="N35" s="108">
        <f>Data!N109</f>
        <v>0</v>
      </c>
      <c r="O35" s="108">
        <f>Data!O109</f>
        <v>0</v>
      </c>
      <c r="P35" s="108">
        <f>Data!P109</f>
        <v>0</v>
      </c>
      <c r="Q35" s="108">
        <f>Data!Q109</f>
        <v>0</v>
      </c>
      <c r="R35" s="108">
        <f>Data!R109</f>
        <v>0</v>
      </c>
      <c r="S35" s="108">
        <f>Data!S109</f>
        <v>0</v>
      </c>
      <c r="T35" s="108">
        <f>Data!T109</f>
        <v>0</v>
      </c>
      <c r="U35" s="108">
        <f>Data!U109</f>
        <v>0</v>
      </c>
      <c r="V35" s="108">
        <f>Data!V109</f>
        <v>0</v>
      </c>
      <c r="W35" s="108">
        <f>Data!W109</f>
        <v>1</v>
      </c>
      <c r="X35" s="109">
        <v>0</v>
      </c>
      <c r="Y35" s="108">
        <f>Data!Y109</f>
        <v>0</v>
      </c>
      <c r="Z35" s="108">
        <f>Data!Z109</f>
        <v>0</v>
      </c>
      <c r="AA35" s="152">
        <v>0</v>
      </c>
      <c r="AB35" s="152">
        <v>0</v>
      </c>
      <c r="AC35" s="152">
        <f t="shared" si="3"/>
        <v>0</v>
      </c>
      <c r="AD35" s="152">
        <f t="shared" si="4"/>
        <v>0</v>
      </c>
      <c r="AE35" s="152">
        <v>1</v>
      </c>
      <c r="AF35" s="150">
        <f>'Customer Count'!I109</f>
        <v>14397.5</v>
      </c>
      <c r="AG35" s="150">
        <f>AF35-'Customer Count'!G109-'Customer Count'!F109</f>
        <v>11627.5</v>
      </c>
      <c r="AH35" s="109">
        <f t="shared" si="5"/>
        <v>34</v>
      </c>
      <c r="AI35" s="109">
        <v>304</v>
      </c>
      <c r="AJ35" s="91">
        <v>161.63049733959846</v>
      </c>
      <c r="AK35" s="91">
        <f>Economic!C121</f>
        <v>747589.4</v>
      </c>
      <c r="AL35" s="91">
        <f>Economic!D121</f>
        <v>7525</v>
      </c>
      <c r="AM35" s="91">
        <f>Economic!E121</f>
        <v>7535.2</v>
      </c>
      <c r="AN35" s="91">
        <f>Economic!F121</f>
        <v>5.4</v>
      </c>
      <c r="AO35" s="91">
        <f>Economic!G121</f>
        <v>4.8</v>
      </c>
      <c r="AP35" s="91">
        <f>Economic!H121</f>
        <v>429.5</v>
      </c>
      <c r="AQ35" s="91">
        <f>Economic!I121</f>
        <v>437.6</v>
      </c>
      <c r="AR35" s="91">
        <f>Economic!J121</f>
        <v>4.5</v>
      </c>
      <c r="AS35" s="91">
        <f>Economic!K121</f>
        <v>3.6</v>
      </c>
      <c r="AT35" s="91">
        <f>Economic!L121</f>
        <v>206.5</v>
      </c>
      <c r="AU35" s="91">
        <f>Economic!M121</f>
        <v>206.8</v>
      </c>
      <c r="AV35" s="91">
        <f>Economic!N121</f>
        <v>4.8</v>
      </c>
      <c r="AW35" s="91">
        <f>Economic!O121</f>
        <v>4.7</v>
      </c>
      <c r="AX35" s="91">
        <f>Economic!P121</f>
        <v>2.0702560790075264E-2</v>
      </c>
      <c r="AY35" s="91">
        <f>Economic!Q121</f>
        <v>3.234922899632342E-2</v>
      </c>
      <c r="AZ35" s="91">
        <f>Economic!R121</f>
        <v>3.183753954016999E-2</v>
      </c>
      <c r="BA35" s="91">
        <f>Economic!S121</f>
        <v>2.4570610687022931E-2</v>
      </c>
      <c r="BB35" s="91">
        <f>Economic!T121</f>
        <v>4.0171143332541126E-2</v>
      </c>
      <c r="BC35" s="91">
        <f>Economic!U121</f>
        <v>3.873239436619702E-2</v>
      </c>
      <c r="BD35" s="91">
        <f>Economic!V121</f>
        <v>2.4777006937561907E-2</v>
      </c>
      <c r="BE35" s="91">
        <f>Economic!W121</f>
        <v>15163.099999999977</v>
      </c>
      <c r="BF35" s="91">
        <f>Economic!X121</f>
        <v>235.80000000000018</v>
      </c>
      <c r="BG35" s="91">
        <f>Economic!Y121</f>
        <v>232.5</v>
      </c>
      <c r="BH35" s="91">
        <f>Economic!Z121</f>
        <v>10.300000000000011</v>
      </c>
      <c r="BI35" s="91">
        <f>Economic!AA121</f>
        <v>16.900000000000034</v>
      </c>
      <c r="BJ35" s="91">
        <f>Economic!AB121</f>
        <v>7.6999999999999886</v>
      </c>
      <c r="BK35" s="91">
        <f>Economic!AC121</f>
        <v>5</v>
      </c>
      <c r="BL35" s="91">
        <f>Weather!C229</f>
        <v>7.4193548387096936E-2</v>
      </c>
      <c r="BM35" s="91">
        <f>Weather!D229</f>
        <v>617.70000000000016</v>
      </c>
      <c r="BN35" s="91">
        <f>Weather!E229</f>
        <v>0</v>
      </c>
      <c r="BO35" s="91">
        <f>Weather!F229</f>
        <v>555.70000000000005</v>
      </c>
      <c r="BP35" s="91">
        <f>Weather!G229</f>
        <v>0</v>
      </c>
      <c r="BQ35" s="91">
        <f>Weather!H229</f>
        <v>493.69999999999987</v>
      </c>
      <c r="BR35" s="91">
        <f>Weather!I229</f>
        <v>0</v>
      </c>
      <c r="BS35" s="91">
        <f>Weather!J229</f>
        <v>431.69999999999993</v>
      </c>
      <c r="BT35" s="91">
        <f>Weather!K229</f>
        <v>0</v>
      </c>
      <c r="BU35" s="91">
        <f>Weather!L229</f>
        <v>369.69999999999993</v>
      </c>
      <c r="BV35" s="91">
        <f>Weather!M229</f>
        <v>0</v>
      </c>
      <c r="BW35" s="91">
        <f>Weather!N229</f>
        <v>307.69999999999993</v>
      </c>
      <c r="BX35" s="91">
        <f>Weather!O229</f>
        <v>0</v>
      </c>
    </row>
    <row r="36" spans="1:76" x14ac:dyDescent="0.2">
      <c r="A36" s="66">
        <v>43861</v>
      </c>
      <c r="B36" s="114">
        <f t="shared" si="0"/>
        <v>2020</v>
      </c>
      <c r="C36" s="104">
        <v>21239209.767112821</v>
      </c>
      <c r="D36" s="104">
        <v>4833173.3349823048</v>
      </c>
      <c r="E36" s="171">
        <f ca="1">CDM!D131</f>
        <v>1049115.2733087833</v>
      </c>
      <c r="F36" s="94">
        <f t="shared" ca="1" si="1"/>
        <v>17455151.705439299</v>
      </c>
      <c r="G36" s="94">
        <f ca="1">VLOOKUP(B36,CDM!$A$3:$G$14,7,FALSE)</f>
        <v>1049115.2733087833</v>
      </c>
      <c r="H36" s="94">
        <f t="shared" ca="1" si="2"/>
        <v>17455151.705439299</v>
      </c>
      <c r="I36" s="90">
        <f>Weather!F230</f>
        <v>571.49999999999989</v>
      </c>
      <c r="J36" s="90">
        <f>Weather!G230</f>
        <v>0</v>
      </c>
      <c r="K36" s="108">
        <v>31</v>
      </c>
      <c r="L36" s="108">
        <f>Data!L110</f>
        <v>1</v>
      </c>
      <c r="M36" s="108">
        <f>Data!M110</f>
        <v>0</v>
      </c>
      <c r="N36" s="108">
        <f>Data!N110</f>
        <v>0</v>
      </c>
      <c r="O36" s="108">
        <f>Data!O110</f>
        <v>0</v>
      </c>
      <c r="P36" s="108">
        <f>Data!P110</f>
        <v>0</v>
      </c>
      <c r="Q36" s="108">
        <f>Data!Q110</f>
        <v>0</v>
      </c>
      <c r="R36" s="108">
        <f>Data!R110</f>
        <v>0</v>
      </c>
      <c r="S36" s="108">
        <f>Data!S110</f>
        <v>0</v>
      </c>
      <c r="T36" s="108">
        <f>Data!T110</f>
        <v>0</v>
      </c>
      <c r="U36" s="108">
        <f>Data!U110</f>
        <v>0</v>
      </c>
      <c r="V36" s="108">
        <f>Data!V110</f>
        <v>0</v>
      </c>
      <c r="W36" s="108">
        <f>Data!W110</f>
        <v>0</v>
      </c>
      <c r="X36" s="109">
        <v>0</v>
      </c>
      <c r="Y36" s="108">
        <f>Data!Y110</f>
        <v>0</v>
      </c>
      <c r="Z36" s="108">
        <f>Data!Z110</f>
        <v>0</v>
      </c>
      <c r="AA36" s="152">
        <v>0</v>
      </c>
      <c r="AB36" s="152">
        <v>0</v>
      </c>
      <c r="AC36" s="152">
        <f t="shared" si="3"/>
        <v>0</v>
      </c>
      <c r="AD36" s="152">
        <f t="shared" si="4"/>
        <v>0</v>
      </c>
      <c r="AE36" s="152">
        <v>1</v>
      </c>
      <c r="AF36" s="150">
        <f>'Customer Count'!I110</f>
        <v>14413.5</v>
      </c>
      <c r="AG36" s="150">
        <f>AF36-'Customer Count'!G110-'Customer Count'!F110</f>
        <v>11643.5</v>
      </c>
      <c r="AH36" s="109">
        <f t="shared" si="5"/>
        <v>35</v>
      </c>
      <c r="AI36" s="109">
        <v>352</v>
      </c>
      <c r="AJ36" s="91">
        <v>161.9238733332927</v>
      </c>
      <c r="AK36" s="91">
        <f>Economic!C122</f>
        <v>747589.4</v>
      </c>
      <c r="AL36" s="91">
        <f>Economic!D122</f>
        <v>7542</v>
      </c>
      <c r="AM36" s="91">
        <f>Economic!E122</f>
        <v>7512.5</v>
      </c>
      <c r="AN36" s="91">
        <f>Economic!F122</f>
        <v>5.4</v>
      </c>
      <c r="AO36" s="91">
        <f>Economic!G122</f>
        <v>5</v>
      </c>
      <c r="AP36" s="91">
        <f>Economic!H122</f>
        <v>426.7</v>
      </c>
      <c r="AQ36" s="91">
        <f>Economic!I122</f>
        <v>430.1</v>
      </c>
      <c r="AR36" s="91">
        <f>Economic!J122</f>
        <v>4.8</v>
      </c>
      <c r="AS36" s="91">
        <f>Economic!K122</f>
        <v>4.3</v>
      </c>
      <c r="AT36" s="91">
        <f>Economic!L122</f>
        <v>205</v>
      </c>
      <c r="AU36" s="91">
        <f>Economic!M122</f>
        <v>203.4</v>
      </c>
      <c r="AV36" s="91">
        <f>Economic!N122</f>
        <v>5.2</v>
      </c>
      <c r="AW36" s="91">
        <f>Economic!O122</f>
        <v>5.4</v>
      </c>
      <c r="AX36" s="91">
        <f>Economic!P122</f>
        <v>0</v>
      </c>
      <c r="AY36" s="91">
        <f>Economic!Q122</f>
        <v>3.093347184821682E-2</v>
      </c>
      <c r="AZ36" s="91">
        <f>Economic!R122</f>
        <v>3.0054981969753092E-2</v>
      </c>
      <c r="BA36" s="91">
        <f>Economic!S122</f>
        <v>1.4503090822634235E-2</v>
      </c>
      <c r="BB36" s="91">
        <f>Economic!T122</f>
        <v>2.2586780789348504E-2</v>
      </c>
      <c r="BC36" s="91">
        <f>Economic!U122</f>
        <v>2.963335007533896E-2</v>
      </c>
      <c r="BD36" s="91">
        <f>Economic!V122</f>
        <v>2.1597187343043833E-2</v>
      </c>
      <c r="BE36" s="91">
        <f>Economic!W122</f>
        <v>0</v>
      </c>
      <c r="BF36" s="91">
        <f>Economic!X122</f>
        <v>226.30000000000018</v>
      </c>
      <c r="BG36" s="91">
        <f>Economic!Y122</f>
        <v>219.19999999999982</v>
      </c>
      <c r="BH36" s="91">
        <f>Economic!Z122</f>
        <v>6.0999999999999659</v>
      </c>
      <c r="BI36" s="91">
        <f>Economic!AA122</f>
        <v>9.5</v>
      </c>
      <c r="BJ36" s="91">
        <f>Economic!AB122</f>
        <v>5.9000000000000057</v>
      </c>
      <c r="BK36" s="91">
        <f>Economic!AC122</f>
        <v>4.3000000000000114</v>
      </c>
      <c r="BL36" s="91">
        <f>Weather!C230</f>
        <v>-0.43548387096774183</v>
      </c>
      <c r="BM36" s="91">
        <f>Weather!D230</f>
        <v>633.5</v>
      </c>
      <c r="BN36" s="91">
        <f>Weather!E230</f>
        <v>0</v>
      </c>
      <c r="BO36" s="91">
        <f>Weather!F230</f>
        <v>571.49999999999989</v>
      </c>
      <c r="BP36" s="91">
        <f>Weather!G230</f>
        <v>0</v>
      </c>
      <c r="BQ36" s="91">
        <f>Weather!H230</f>
        <v>509.5</v>
      </c>
      <c r="BR36" s="91">
        <f>Weather!I230</f>
        <v>0</v>
      </c>
      <c r="BS36" s="91">
        <f>Weather!J230</f>
        <v>447.5</v>
      </c>
      <c r="BT36" s="91">
        <f>Weather!K230</f>
        <v>0</v>
      </c>
      <c r="BU36" s="91">
        <f>Weather!L230</f>
        <v>385.50000000000006</v>
      </c>
      <c r="BV36" s="91">
        <f>Weather!M230</f>
        <v>0</v>
      </c>
      <c r="BW36" s="91">
        <f>Weather!N230</f>
        <v>323.50000000000006</v>
      </c>
      <c r="BX36" s="91">
        <f>Weather!O230</f>
        <v>0</v>
      </c>
    </row>
    <row r="37" spans="1:76" x14ac:dyDescent="0.2">
      <c r="A37" s="66">
        <v>43890</v>
      </c>
      <c r="B37" s="114">
        <f t="shared" si="0"/>
        <v>2020</v>
      </c>
      <c r="C37" s="104">
        <v>19035160.954744305</v>
      </c>
      <c r="D37" s="104">
        <v>3781055.952817406</v>
      </c>
      <c r="E37" s="171">
        <f ca="1">CDM!D132</f>
        <v>1049115.2733087833</v>
      </c>
      <c r="F37" s="94">
        <f t="shared" ca="1" si="1"/>
        <v>16303220.275235683</v>
      </c>
      <c r="G37" s="94">
        <f ca="1">VLOOKUP(B37,CDM!$A$3:$G$14,7,FALSE)</f>
        <v>1049115.2733087833</v>
      </c>
      <c r="H37" s="94">
        <f t="shared" ca="1" si="2"/>
        <v>16303220.275235683</v>
      </c>
      <c r="I37" s="90">
        <f>Weather!F231</f>
        <v>564.19999999999993</v>
      </c>
      <c r="J37" s="90">
        <f>Weather!G231</f>
        <v>0</v>
      </c>
      <c r="K37" s="108">
        <v>29</v>
      </c>
      <c r="L37" s="108">
        <f>Data!L111</f>
        <v>0</v>
      </c>
      <c r="M37" s="108">
        <f>Data!M111</f>
        <v>1</v>
      </c>
      <c r="N37" s="108">
        <f>Data!N111</f>
        <v>0</v>
      </c>
      <c r="O37" s="108">
        <f>Data!O111</f>
        <v>0</v>
      </c>
      <c r="P37" s="108">
        <f>Data!P111</f>
        <v>0</v>
      </c>
      <c r="Q37" s="108">
        <f>Data!Q111</f>
        <v>0</v>
      </c>
      <c r="R37" s="108">
        <f>Data!R111</f>
        <v>0</v>
      </c>
      <c r="S37" s="108">
        <f>Data!S111</f>
        <v>0</v>
      </c>
      <c r="T37" s="108">
        <f>Data!T111</f>
        <v>0</v>
      </c>
      <c r="U37" s="108">
        <f>Data!U111</f>
        <v>0</v>
      </c>
      <c r="V37" s="108">
        <f>Data!V111</f>
        <v>0</v>
      </c>
      <c r="W37" s="108">
        <f>Data!W111</f>
        <v>0</v>
      </c>
      <c r="X37" s="109">
        <v>0</v>
      </c>
      <c r="Y37" s="108">
        <f>Data!Y111</f>
        <v>0</v>
      </c>
      <c r="Z37" s="108">
        <f>Data!Z111</f>
        <v>0</v>
      </c>
      <c r="AA37" s="152">
        <v>0</v>
      </c>
      <c r="AB37" s="152">
        <v>0</v>
      </c>
      <c r="AC37" s="152">
        <f t="shared" si="3"/>
        <v>0</v>
      </c>
      <c r="AD37" s="152">
        <f t="shared" si="4"/>
        <v>0</v>
      </c>
      <c r="AE37" s="152">
        <v>1</v>
      </c>
      <c r="AF37" s="150">
        <f>'Customer Count'!I111</f>
        <v>14427.5</v>
      </c>
      <c r="AG37" s="150">
        <f>AF37-'Customer Count'!G111-'Customer Count'!F111</f>
        <v>11657.5</v>
      </c>
      <c r="AH37" s="109">
        <f t="shared" si="5"/>
        <v>36</v>
      </c>
      <c r="AI37" s="109">
        <v>304</v>
      </c>
      <c r="AJ37" s="91">
        <v>162.21778183462067</v>
      </c>
      <c r="AK37" s="91">
        <f>Economic!C123</f>
        <v>747589.4</v>
      </c>
      <c r="AL37" s="91">
        <f>Economic!D123</f>
        <v>7551.9</v>
      </c>
      <c r="AM37" s="91">
        <f>Economic!E123</f>
        <v>7488.9</v>
      </c>
      <c r="AN37" s="91">
        <f>Economic!F123</f>
        <v>5.3</v>
      </c>
      <c r="AO37" s="91">
        <f>Economic!G123</f>
        <v>5.0999999999999996</v>
      </c>
      <c r="AP37" s="91">
        <f>Economic!H123</f>
        <v>427.9</v>
      </c>
      <c r="AQ37" s="91">
        <f>Economic!I123</f>
        <v>427.9</v>
      </c>
      <c r="AR37" s="91">
        <f>Economic!J123</f>
        <v>4.9000000000000004</v>
      </c>
      <c r="AS37" s="91">
        <f>Economic!K123</f>
        <v>4.5999999999999996</v>
      </c>
      <c r="AT37" s="91">
        <f>Economic!L123</f>
        <v>202.9</v>
      </c>
      <c r="AU37" s="91">
        <f>Economic!M123</f>
        <v>199.2</v>
      </c>
      <c r="AV37" s="91">
        <f>Economic!N123</f>
        <v>5.5</v>
      </c>
      <c r="AW37" s="91">
        <f>Economic!O123</f>
        <v>5.9</v>
      </c>
      <c r="AX37" s="91">
        <f>Economic!P123</f>
        <v>0</v>
      </c>
      <c r="AY37" s="91">
        <f>Economic!Q123</f>
        <v>2.7930907754502021E-2</v>
      </c>
      <c r="AZ37" s="91">
        <f>Economic!R123</f>
        <v>2.7777396555273448E-2</v>
      </c>
      <c r="BA37" s="91">
        <f>Economic!S123</f>
        <v>1.4702395067583529E-2</v>
      </c>
      <c r="BB37" s="91">
        <f>Economic!T123</f>
        <v>1.9294902334444863E-2</v>
      </c>
      <c r="BC37" s="91">
        <f>Economic!U123</f>
        <v>1.5515515515515554E-2</v>
      </c>
      <c r="BD37" s="91">
        <f>Economic!V123</f>
        <v>9.1185410334344574E-3</v>
      </c>
      <c r="BE37" s="91">
        <f>Economic!W123</f>
        <v>0</v>
      </c>
      <c r="BF37" s="91">
        <f>Economic!X123</f>
        <v>205.19999999999982</v>
      </c>
      <c r="BG37" s="91">
        <f>Economic!Y123</f>
        <v>202.39999999999964</v>
      </c>
      <c r="BH37" s="91">
        <f>Economic!Z123</f>
        <v>6.1999999999999886</v>
      </c>
      <c r="BI37" s="91">
        <f>Economic!AA123</f>
        <v>8.0999999999999659</v>
      </c>
      <c r="BJ37" s="91">
        <f>Economic!AB123</f>
        <v>3.0999999999999943</v>
      </c>
      <c r="BK37" s="91">
        <f>Economic!AC123</f>
        <v>1.7999999999999829</v>
      </c>
      <c r="BL37" s="91">
        <f>Weather!C231</f>
        <v>-1.4551724137931032</v>
      </c>
      <c r="BM37" s="91">
        <f>Weather!D231</f>
        <v>622.19999999999993</v>
      </c>
      <c r="BN37" s="91">
        <f>Weather!E231</f>
        <v>0</v>
      </c>
      <c r="BO37" s="91">
        <f>Weather!F231</f>
        <v>564.19999999999993</v>
      </c>
      <c r="BP37" s="91">
        <f>Weather!G231</f>
        <v>0</v>
      </c>
      <c r="BQ37" s="91">
        <f>Weather!H231</f>
        <v>506.20000000000005</v>
      </c>
      <c r="BR37" s="91">
        <f>Weather!I231</f>
        <v>0</v>
      </c>
      <c r="BS37" s="91">
        <f>Weather!J231</f>
        <v>448.20000000000005</v>
      </c>
      <c r="BT37" s="91">
        <f>Weather!K231</f>
        <v>0</v>
      </c>
      <c r="BU37" s="91">
        <f>Weather!L231</f>
        <v>390.20000000000005</v>
      </c>
      <c r="BV37" s="91">
        <f>Weather!M231</f>
        <v>0</v>
      </c>
      <c r="BW37" s="91">
        <f>Weather!N231</f>
        <v>332.20000000000005</v>
      </c>
      <c r="BX37" s="91">
        <f>Weather!O231</f>
        <v>0</v>
      </c>
    </row>
    <row r="38" spans="1:76" x14ac:dyDescent="0.2">
      <c r="A38" s="66">
        <v>43921</v>
      </c>
      <c r="B38" s="114">
        <f t="shared" si="0"/>
        <v>2020</v>
      </c>
      <c r="C38" s="104">
        <v>19087245.664711308</v>
      </c>
      <c r="D38" s="104">
        <v>4032656.886527366</v>
      </c>
      <c r="E38" s="171">
        <f ca="1">CDM!D133</f>
        <v>1049115.2733087833</v>
      </c>
      <c r="F38" s="94">
        <f t="shared" ca="1" si="1"/>
        <v>16103704.051492725</v>
      </c>
      <c r="G38" s="94">
        <f ca="1">VLOOKUP(B38,CDM!$A$3:$G$14,7,FALSE)</f>
        <v>1049115.2733087833</v>
      </c>
      <c r="H38" s="94">
        <f t="shared" ca="1" si="2"/>
        <v>16103704.051492725</v>
      </c>
      <c r="I38" s="90">
        <f>Weather!F232</f>
        <v>442.49999999999989</v>
      </c>
      <c r="J38" s="90">
        <f>Weather!G232</f>
        <v>0</v>
      </c>
      <c r="K38" s="108">
        <v>31</v>
      </c>
      <c r="L38" s="108">
        <f>Data!L112</f>
        <v>0</v>
      </c>
      <c r="M38" s="108">
        <f>Data!M112</f>
        <v>0</v>
      </c>
      <c r="N38" s="108">
        <f>Data!N112</f>
        <v>1</v>
      </c>
      <c r="O38" s="108">
        <f>Data!O112</f>
        <v>0</v>
      </c>
      <c r="P38" s="108">
        <f>Data!P112</f>
        <v>0</v>
      </c>
      <c r="Q38" s="108">
        <f>Data!Q112</f>
        <v>0</v>
      </c>
      <c r="R38" s="108">
        <f>Data!R112</f>
        <v>0</v>
      </c>
      <c r="S38" s="108">
        <f>Data!S112</f>
        <v>0</v>
      </c>
      <c r="T38" s="108">
        <f>Data!T112</f>
        <v>0</v>
      </c>
      <c r="U38" s="108">
        <f>Data!U112</f>
        <v>0</v>
      </c>
      <c r="V38" s="108">
        <f>Data!V112</f>
        <v>0</v>
      </c>
      <c r="W38" s="108">
        <f>Data!W112</f>
        <v>0</v>
      </c>
      <c r="X38" s="109">
        <v>1</v>
      </c>
      <c r="Y38" s="108">
        <f>Data!Y112</f>
        <v>1</v>
      </c>
      <c r="Z38" s="108">
        <f>Data!Z112</f>
        <v>0</v>
      </c>
      <c r="AA38" s="152">
        <v>1</v>
      </c>
      <c r="AB38" s="68">
        <v>1</v>
      </c>
      <c r="AC38" s="152">
        <f>AA38*BQ38</f>
        <v>380.49999999999989</v>
      </c>
      <c r="AD38" s="152">
        <f>AA38*BR38</f>
        <v>0</v>
      </c>
      <c r="AE38" s="152">
        <v>1</v>
      </c>
      <c r="AF38" s="150">
        <f>'Customer Count'!I112</f>
        <v>14433.5</v>
      </c>
      <c r="AG38" s="150">
        <f>AF38-'Customer Count'!G112-'Customer Count'!F112</f>
        <v>11664.5</v>
      </c>
      <c r="AH38" s="109">
        <f t="shared" si="5"/>
        <v>37</v>
      </c>
      <c r="AI38" s="109">
        <v>352</v>
      </c>
      <c r="AJ38" s="91">
        <v>162.51222381013852</v>
      </c>
      <c r="AK38" s="91">
        <f>Economic!C124</f>
        <v>747589.4</v>
      </c>
      <c r="AL38" s="91">
        <f>Economic!D124</f>
        <v>7421.9</v>
      </c>
      <c r="AM38" s="91">
        <f>Economic!E124</f>
        <v>7317</v>
      </c>
      <c r="AN38" s="91">
        <f>Economic!F124</f>
        <v>6.1</v>
      </c>
      <c r="AO38" s="91">
        <f>Economic!G124</f>
        <v>6.2</v>
      </c>
      <c r="AP38" s="91">
        <f>Economic!H124</f>
        <v>424</v>
      </c>
      <c r="AQ38" s="91">
        <f>Economic!I124</f>
        <v>417</v>
      </c>
      <c r="AR38" s="91">
        <f>Economic!J124</f>
        <v>5.7</v>
      </c>
      <c r="AS38" s="91">
        <f>Economic!K124</f>
        <v>5.9</v>
      </c>
      <c r="AT38" s="91">
        <f>Economic!L124</f>
        <v>193.7</v>
      </c>
      <c r="AU38" s="91">
        <f>Economic!M124</f>
        <v>188.2</v>
      </c>
      <c r="AV38" s="91">
        <f>Economic!N124</f>
        <v>7.8</v>
      </c>
      <c r="AW38" s="91">
        <f>Economic!O124</f>
        <v>8.6</v>
      </c>
      <c r="AX38" s="91">
        <f>Economic!P124</f>
        <v>0</v>
      </c>
      <c r="AY38" s="91">
        <f>Economic!Q124</f>
        <v>6.9054402387735969E-3</v>
      </c>
      <c r="AZ38" s="91">
        <f>Economic!R124</f>
        <v>6.7141795767866608E-3</v>
      </c>
      <c r="BA38" s="91">
        <f>Economic!S124</f>
        <v>8.3234244946492897E-3</v>
      </c>
      <c r="BB38" s="91">
        <f>Economic!T124</f>
        <v>4.5772103107684092E-3</v>
      </c>
      <c r="BC38" s="91">
        <f>Economic!U124</f>
        <v>-2.1717171717171802E-2</v>
      </c>
      <c r="BD38" s="91">
        <f>Economic!V124</f>
        <v>-2.1829521829521914E-2</v>
      </c>
      <c r="BE38" s="91">
        <f>Economic!W124</f>
        <v>0</v>
      </c>
      <c r="BF38" s="91">
        <f>Economic!X124</f>
        <v>50.899999999999636</v>
      </c>
      <c r="BG38" s="91">
        <f>Economic!Y124</f>
        <v>48.800000000000182</v>
      </c>
      <c r="BH38" s="91">
        <f>Economic!Z124</f>
        <v>3.5</v>
      </c>
      <c r="BI38" s="91">
        <f>Economic!AA124</f>
        <v>1.8999999999999773</v>
      </c>
      <c r="BJ38" s="91">
        <f>Economic!AB124</f>
        <v>-4.3000000000000114</v>
      </c>
      <c r="BK38" s="91">
        <f>Economic!AC124</f>
        <v>-4.2000000000000171</v>
      </c>
      <c r="BL38" s="91">
        <f>Weather!C232</f>
        <v>3.7258064516129021</v>
      </c>
      <c r="BM38" s="91">
        <f>Weather!D232</f>
        <v>504.49999999999989</v>
      </c>
      <c r="BN38" s="91">
        <f>Weather!E232</f>
        <v>0</v>
      </c>
      <c r="BO38" s="91">
        <f>Weather!F232</f>
        <v>442.49999999999989</v>
      </c>
      <c r="BP38" s="91">
        <f>Weather!G232</f>
        <v>0</v>
      </c>
      <c r="BQ38" s="91">
        <f>Weather!H232</f>
        <v>380.49999999999989</v>
      </c>
      <c r="BR38" s="91">
        <f>Weather!I232</f>
        <v>0</v>
      </c>
      <c r="BS38" s="91">
        <f>Weather!J232</f>
        <v>318.49999999999994</v>
      </c>
      <c r="BT38" s="91">
        <f>Weather!K232</f>
        <v>0</v>
      </c>
      <c r="BU38" s="91">
        <f>Weather!L232</f>
        <v>257.49999999999994</v>
      </c>
      <c r="BV38" s="91">
        <f>Weather!M232</f>
        <v>1</v>
      </c>
      <c r="BW38" s="91">
        <f>Weather!N232</f>
        <v>199.49999999999994</v>
      </c>
      <c r="BX38" s="91">
        <f>Weather!O232</f>
        <v>5</v>
      </c>
    </row>
    <row r="39" spans="1:76" x14ac:dyDescent="0.2">
      <c r="A39" s="66">
        <v>43951</v>
      </c>
      <c r="B39" s="114">
        <f t="shared" si="0"/>
        <v>2020</v>
      </c>
      <c r="C39" s="104">
        <v>17079543.476648476</v>
      </c>
      <c r="D39" s="104">
        <v>3435746.1940935161</v>
      </c>
      <c r="E39" s="171">
        <f ca="1">CDM!D134</f>
        <v>1049115.2733087833</v>
      </c>
      <c r="F39" s="94">
        <f t="shared" ca="1" si="1"/>
        <v>14692912.555863744</v>
      </c>
      <c r="G39" s="94">
        <f ca="1">VLOOKUP(B39,CDM!$A$3:$G$14,7,FALSE)</f>
        <v>1049115.2733087833</v>
      </c>
      <c r="H39" s="94">
        <f t="shared" ca="1" si="2"/>
        <v>14692912.555863744</v>
      </c>
      <c r="I39" s="90">
        <f>Weather!F233</f>
        <v>349.2999999999999</v>
      </c>
      <c r="J39" s="90">
        <f>Weather!G233</f>
        <v>0</v>
      </c>
      <c r="K39" s="108">
        <v>30</v>
      </c>
      <c r="L39" s="108">
        <f>Data!L113</f>
        <v>0</v>
      </c>
      <c r="M39" s="108">
        <f>Data!M113</f>
        <v>0</v>
      </c>
      <c r="N39" s="108">
        <f>Data!N113</f>
        <v>0</v>
      </c>
      <c r="O39" s="108">
        <f>Data!O113</f>
        <v>1</v>
      </c>
      <c r="P39" s="108">
        <f>Data!P113</f>
        <v>0</v>
      </c>
      <c r="Q39" s="108">
        <f>Data!Q113</f>
        <v>0</v>
      </c>
      <c r="R39" s="108">
        <f>Data!R113</f>
        <v>0</v>
      </c>
      <c r="S39" s="108">
        <f>Data!S113</f>
        <v>0</v>
      </c>
      <c r="T39" s="108">
        <f>Data!T113</f>
        <v>0</v>
      </c>
      <c r="U39" s="108">
        <f>Data!U113</f>
        <v>0</v>
      </c>
      <c r="V39" s="108">
        <f>Data!V113</f>
        <v>0</v>
      </c>
      <c r="W39" s="108">
        <f>Data!W113</f>
        <v>0</v>
      </c>
      <c r="X39" s="109">
        <v>1</v>
      </c>
      <c r="Y39" s="108">
        <f>Data!Y113</f>
        <v>1</v>
      </c>
      <c r="Z39" s="108">
        <f>Data!Z113</f>
        <v>0</v>
      </c>
      <c r="AA39" s="152">
        <v>1</v>
      </c>
      <c r="AB39" s="68">
        <v>1</v>
      </c>
      <c r="AC39" s="152">
        <f t="shared" ref="AC39:AC47" si="6">AA39*BQ39</f>
        <v>289.2999999999999</v>
      </c>
      <c r="AD39" s="152">
        <f t="shared" ref="AD39:AD47" si="7">AA39*BR39</f>
        <v>0</v>
      </c>
      <c r="AE39" s="152">
        <v>1</v>
      </c>
      <c r="AF39" s="150">
        <f>'Customer Count'!I113</f>
        <v>14426.5</v>
      </c>
      <c r="AG39" s="150">
        <f>AF39-'Customer Count'!G113-'Customer Count'!F113</f>
        <v>11671</v>
      </c>
      <c r="AH39" s="109">
        <f t="shared" si="5"/>
        <v>38</v>
      </c>
      <c r="AI39" s="109">
        <v>336</v>
      </c>
      <c r="AJ39" s="91">
        <v>162.80720022815689</v>
      </c>
      <c r="AK39" s="91">
        <f>Economic!C125</f>
        <v>747589.4</v>
      </c>
      <c r="AL39" s="91">
        <f>Economic!D125</f>
        <v>7056.8</v>
      </c>
      <c r="AM39" s="91">
        <f>Economic!E125</f>
        <v>6968.7</v>
      </c>
      <c r="AN39" s="91">
        <f>Economic!F125</f>
        <v>8</v>
      </c>
      <c r="AO39" s="91">
        <f>Economic!G125</f>
        <v>8.1999999999999993</v>
      </c>
      <c r="AP39" s="91">
        <f>Economic!H125</f>
        <v>407.4</v>
      </c>
      <c r="AQ39" s="91">
        <f>Economic!I125</f>
        <v>399</v>
      </c>
      <c r="AR39" s="91">
        <f>Economic!J125</f>
        <v>7.5</v>
      </c>
      <c r="AS39" s="91">
        <f>Economic!K125</f>
        <v>7.6</v>
      </c>
      <c r="AT39" s="91">
        <f>Economic!L125</f>
        <v>183.3</v>
      </c>
      <c r="AU39" s="91">
        <f>Economic!M125</f>
        <v>177.7</v>
      </c>
      <c r="AV39" s="91">
        <f>Economic!N125</f>
        <v>9.9</v>
      </c>
      <c r="AW39" s="91">
        <f>Economic!O125</f>
        <v>10.7</v>
      </c>
      <c r="AX39" s="91">
        <f>Economic!P125</f>
        <v>0</v>
      </c>
      <c r="AY39" s="91">
        <f>Economic!Q125</f>
        <v>-4.5785217838115511E-2</v>
      </c>
      <c r="AZ39" s="91">
        <f>Economic!R125</f>
        <v>-4.5945538929124008E-2</v>
      </c>
      <c r="BA39" s="91">
        <f>Economic!S125</f>
        <v>-2.4191616766467083E-2</v>
      </c>
      <c r="BB39" s="91">
        <f>Economic!T125</f>
        <v>-2.9669260700389111E-2</v>
      </c>
      <c r="BC39" s="91">
        <f>Economic!U125</f>
        <v>-6.4795918367346883E-2</v>
      </c>
      <c r="BD39" s="91">
        <f>Economic!V125</f>
        <v>-6.5720294426919068E-2</v>
      </c>
      <c r="BE39" s="91">
        <f>Economic!W125</f>
        <v>0</v>
      </c>
      <c r="BF39" s="91">
        <f>Economic!X125</f>
        <v>-338.59999999999945</v>
      </c>
      <c r="BG39" s="91">
        <f>Economic!Y125</f>
        <v>-335.60000000000036</v>
      </c>
      <c r="BH39" s="91">
        <f>Economic!Z125</f>
        <v>-10.100000000000023</v>
      </c>
      <c r="BI39" s="91">
        <f>Economic!AA125</f>
        <v>-12.199999999999989</v>
      </c>
      <c r="BJ39" s="91">
        <f>Economic!AB125</f>
        <v>-12.699999999999989</v>
      </c>
      <c r="BK39" s="91">
        <f>Economic!AC125</f>
        <v>-12.5</v>
      </c>
      <c r="BL39" s="91">
        <f>Weather!C233</f>
        <v>6.3566666666666682</v>
      </c>
      <c r="BM39" s="91">
        <f>Weather!D233</f>
        <v>409.29999999999984</v>
      </c>
      <c r="BN39" s="91">
        <f>Weather!E233</f>
        <v>0</v>
      </c>
      <c r="BO39" s="91">
        <f>Weather!F233</f>
        <v>349.2999999999999</v>
      </c>
      <c r="BP39" s="91">
        <f>Weather!G233</f>
        <v>0</v>
      </c>
      <c r="BQ39" s="91">
        <f>Weather!H233</f>
        <v>289.2999999999999</v>
      </c>
      <c r="BR39" s="91">
        <f>Weather!I233</f>
        <v>0</v>
      </c>
      <c r="BS39" s="91">
        <f>Weather!J233</f>
        <v>229.2999999999999</v>
      </c>
      <c r="BT39" s="91">
        <f>Weather!K233</f>
        <v>0</v>
      </c>
      <c r="BU39" s="91">
        <f>Weather!L233</f>
        <v>170.79999999999995</v>
      </c>
      <c r="BV39" s="91">
        <f>Weather!M233</f>
        <v>1.5</v>
      </c>
      <c r="BW39" s="91">
        <f>Weather!N233</f>
        <v>115.20000000000002</v>
      </c>
      <c r="BX39" s="91">
        <f>Weather!O233</f>
        <v>5.9000000000000021</v>
      </c>
    </row>
    <row r="40" spans="1:76" x14ac:dyDescent="0.2">
      <c r="A40" s="66">
        <v>43982</v>
      </c>
      <c r="B40" s="114">
        <f t="shared" si="0"/>
        <v>2020</v>
      </c>
      <c r="C40" s="104">
        <v>19158490.866862137</v>
      </c>
      <c r="D40" s="104">
        <v>4735242.6950270245</v>
      </c>
      <c r="E40" s="171">
        <f ca="1">CDM!D135</f>
        <v>1049115.2733087833</v>
      </c>
      <c r="F40" s="94">
        <f t="shared" ca="1" si="1"/>
        <v>15472363.445143897</v>
      </c>
      <c r="G40" s="94">
        <f ca="1">VLOOKUP(B40,CDM!$A$3:$G$14,7,FALSE)</f>
        <v>1049115.2733087833</v>
      </c>
      <c r="H40" s="94">
        <f t="shared" ca="1" si="2"/>
        <v>15472363.445143897</v>
      </c>
      <c r="I40" s="90">
        <f>Weather!F234</f>
        <v>202.59999999999994</v>
      </c>
      <c r="J40" s="90">
        <f>Weather!G234</f>
        <v>31.600000000000005</v>
      </c>
      <c r="K40" s="108">
        <v>31</v>
      </c>
      <c r="L40" s="108">
        <f>Data!L114</f>
        <v>0</v>
      </c>
      <c r="M40" s="108">
        <f>Data!M114</f>
        <v>0</v>
      </c>
      <c r="N40" s="108">
        <f>Data!N114</f>
        <v>0</v>
      </c>
      <c r="O40" s="108">
        <f>Data!O114</f>
        <v>0</v>
      </c>
      <c r="P40" s="108">
        <f>Data!P114</f>
        <v>1</v>
      </c>
      <c r="Q40" s="108">
        <f>Data!Q114</f>
        <v>0</v>
      </c>
      <c r="R40" s="108">
        <f>Data!R114</f>
        <v>0</v>
      </c>
      <c r="S40" s="108">
        <f>Data!S114</f>
        <v>0</v>
      </c>
      <c r="T40" s="108">
        <f>Data!T114</f>
        <v>0</v>
      </c>
      <c r="U40" s="108">
        <f>Data!U114</f>
        <v>0</v>
      </c>
      <c r="V40" s="108">
        <f>Data!V114</f>
        <v>0</v>
      </c>
      <c r="W40" s="108">
        <f>Data!W114</f>
        <v>0</v>
      </c>
      <c r="X40" s="109">
        <v>1</v>
      </c>
      <c r="Y40" s="108">
        <f>Data!Y114</f>
        <v>1</v>
      </c>
      <c r="Z40" s="108">
        <f>Data!Z114</f>
        <v>0</v>
      </c>
      <c r="AA40" s="152">
        <v>1</v>
      </c>
      <c r="AB40" s="68">
        <v>0.5</v>
      </c>
      <c r="AC40" s="152">
        <f t="shared" si="6"/>
        <v>154.59999999999997</v>
      </c>
      <c r="AD40" s="152">
        <f t="shared" si="7"/>
        <v>45.599999999999994</v>
      </c>
      <c r="AE40" s="152">
        <v>1</v>
      </c>
      <c r="AF40" s="150">
        <f>'Customer Count'!I114</f>
        <v>14418</v>
      </c>
      <c r="AG40" s="150">
        <f>AF40-'Customer Count'!G114-'Customer Count'!F114</f>
        <v>11675</v>
      </c>
      <c r="AH40" s="109">
        <f t="shared" si="5"/>
        <v>39</v>
      </c>
      <c r="AI40" s="109">
        <v>320</v>
      </c>
      <c r="AJ40" s="91">
        <v>163.10271205874389</v>
      </c>
      <c r="AK40" s="91">
        <f>Economic!C126</f>
        <v>747589.4</v>
      </c>
      <c r="AL40" s="91">
        <f>Economic!D126</f>
        <v>6671.4</v>
      </c>
      <c r="AM40" s="91">
        <f>Economic!E126</f>
        <v>6632</v>
      </c>
      <c r="AN40" s="91">
        <f>Economic!F126</f>
        <v>10.8</v>
      </c>
      <c r="AO40" s="91">
        <f>Economic!G126</f>
        <v>11</v>
      </c>
      <c r="AP40" s="91">
        <f>Economic!H126</f>
        <v>382</v>
      </c>
      <c r="AQ40" s="91">
        <f>Economic!I126</f>
        <v>374</v>
      </c>
      <c r="AR40" s="91">
        <f>Economic!J126</f>
        <v>10.3</v>
      </c>
      <c r="AS40" s="91">
        <f>Economic!K126</f>
        <v>10.7</v>
      </c>
      <c r="AT40" s="91">
        <f>Economic!L126</f>
        <v>171.3</v>
      </c>
      <c r="AU40" s="91">
        <f>Economic!M126</f>
        <v>168.2</v>
      </c>
      <c r="AV40" s="91">
        <f>Economic!N126</f>
        <v>12.6</v>
      </c>
      <c r="AW40" s="91">
        <f>Economic!O126</f>
        <v>13</v>
      </c>
      <c r="AX40" s="91">
        <f>Economic!P126</f>
        <v>0</v>
      </c>
      <c r="AY40" s="91">
        <f>Economic!Q126</f>
        <v>-9.9991905674122528E-2</v>
      </c>
      <c r="AZ40" s="91">
        <f>Economic!R126</f>
        <v>-0.10097737532025641</v>
      </c>
      <c r="BA40" s="91">
        <f>Economic!S126</f>
        <v>-8.1068077940822714E-2</v>
      </c>
      <c r="BB40" s="91">
        <f>Economic!T126</f>
        <v>-9.0466926070038922E-2</v>
      </c>
      <c r="BC40" s="91">
        <f>Economic!U126</f>
        <v>-0.12153846153846148</v>
      </c>
      <c r="BD40" s="91">
        <f>Economic!V126</f>
        <v>-0.12350182386659725</v>
      </c>
      <c r="BE40" s="91">
        <f>Economic!W126</f>
        <v>0</v>
      </c>
      <c r="BF40" s="91">
        <f>Economic!X126</f>
        <v>-741.20000000000073</v>
      </c>
      <c r="BG40" s="91">
        <f>Economic!Y126</f>
        <v>-744.89999999999964</v>
      </c>
      <c r="BH40" s="91">
        <f>Economic!Z126</f>
        <v>-33.699999999999989</v>
      </c>
      <c r="BI40" s="91">
        <f>Economic!AA126</f>
        <v>-37.199999999999989</v>
      </c>
      <c r="BJ40" s="91">
        <f>Economic!AB126</f>
        <v>-23.699999999999989</v>
      </c>
      <c r="BK40" s="91">
        <f>Economic!AC126</f>
        <v>-23.700000000000017</v>
      </c>
      <c r="BL40" s="91">
        <f>Weather!C234</f>
        <v>12.483870967741939</v>
      </c>
      <c r="BM40" s="91">
        <f>Weather!D234</f>
        <v>250.79999999999993</v>
      </c>
      <c r="BN40" s="91">
        <f>Weather!E234</f>
        <v>17.800000000000004</v>
      </c>
      <c r="BO40" s="91">
        <f>Weather!F234</f>
        <v>202.59999999999994</v>
      </c>
      <c r="BP40" s="91">
        <f>Weather!G234</f>
        <v>31.600000000000005</v>
      </c>
      <c r="BQ40" s="91">
        <f>Weather!H234</f>
        <v>154.59999999999997</v>
      </c>
      <c r="BR40" s="91">
        <f>Weather!I234</f>
        <v>45.599999999999994</v>
      </c>
      <c r="BS40" s="91">
        <f>Weather!J234</f>
        <v>113.70000000000002</v>
      </c>
      <c r="BT40" s="91">
        <f>Weather!K234</f>
        <v>66.699999999999989</v>
      </c>
      <c r="BU40" s="91">
        <f>Weather!L234</f>
        <v>75.8</v>
      </c>
      <c r="BV40" s="91">
        <f>Weather!M234</f>
        <v>90.8</v>
      </c>
      <c r="BW40" s="91">
        <f>Weather!N234</f>
        <v>47.099999999999994</v>
      </c>
      <c r="BX40" s="91">
        <f>Weather!O234</f>
        <v>124.09999999999998</v>
      </c>
    </row>
    <row r="41" spans="1:76" x14ac:dyDescent="0.2">
      <c r="A41" s="66">
        <v>44012</v>
      </c>
      <c r="B41" s="114">
        <f t="shared" si="0"/>
        <v>2020</v>
      </c>
      <c r="C41" s="104">
        <v>23659036.820064977</v>
      </c>
      <c r="D41" s="104">
        <v>6037296.4429668775</v>
      </c>
      <c r="E41" s="171">
        <f ca="1">CDM!D136</f>
        <v>1049115.2733087833</v>
      </c>
      <c r="F41" s="94">
        <f t="shared" ca="1" si="1"/>
        <v>18670855.650406882</v>
      </c>
      <c r="G41" s="94">
        <f ca="1">VLOOKUP(B41,CDM!$A$3:$G$14,7,FALSE)</f>
        <v>1049115.2733087833</v>
      </c>
      <c r="H41" s="94">
        <f t="shared" ca="1" si="2"/>
        <v>18670855.650406882</v>
      </c>
      <c r="I41" s="90">
        <f>Weather!F235</f>
        <v>20.199999999999996</v>
      </c>
      <c r="J41" s="90">
        <f>Weather!G235</f>
        <v>94.59999999999998</v>
      </c>
      <c r="K41" s="108">
        <v>30</v>
      </c>
      <c r="L41" s="108">
        <f>Data!L115</f>
        <v>0</v>
      </c>
      <c r="M41" s="108">
        <f>Data!M115</f>
        <v>0</v>
      </c>
      <c r="N41" s="108">
        <f>Data!N115</f>
        <v>0</v>
      </c>
      <c r="O41" s="108">
        <f>Data!O115</f>
        <v>0</v>
      </c>
      <c r="P41" s="108">
        <f>Data!P115</f>
        <v>0</v>
      </c>
      <c r="Q41" s="108">
        <f>Data!Q115</f>
        <v>1</v>
      </c>
      <c r="R41" s="108">
        <f>Data!R115</f>
        <v>0</v>
      </c>
      <c r="S41" s="108">
        <f>Data!S115</f>
        <v>0</v>
      </c>
      <c r="T41" s="108">
        <f>Data!T115</f>
        <v>0</v>
      </c>
      <c r="U41" s="108">
        <f>Data!U115</f>
        <v>0</v>
      </c>
      <c r="V41" s="108">
        <f>Data!V115</f>
        <v>0</v>
      </c>
      <c r="W41" s="108">
        <f>Data!W115</f>
        <v>0</v>
      </c>
      <c r="X41" s="109">
        <v>0</v>
      </c>
      <c r="Y41" s="108">
        <f>Data!Y115</f>
        <v>0</v>
      </c>
      <c r="Z41" s="108">
        <f>Data!Z115</f>
        <v>0</v>
      </c>
      <c r="AA41" s="152">
        <v>1</v>
      </c>
      <c r="AB41" s="68">
        <v>0.5</v>
      </c>
      <c r="AC41" s="152">
        <f t="shared" si="6"/>
        <v>7.5999999999999979</v>
      </c>
      <c r="AD41" s="152">
        <f t="shared" si="7"/>
        <v>142</v>
      </c>
      <c r="AE41" s="152">
        <v>1</v>
      </c>
      <c r="AF41" s="150">
        <f>'Customer Count'!I115</f>
        <v>14419.5</v>
      </c>
      <c r="AG41" s="150">
        <f>AF41-'Customer Count'!G115-'Customer Count'!F115</f>
        <v>11677</v>
      </c>
      <c r="AH41" s="109">
        <f t="shared" si="5"/>
        <v>40</v>
      </c>
      <c r="AI41" s="109">
        <v>352</v>
      </c>
      <c r="AJ41" s="91">
        <v>163.39876027372847</v>
      </c>
      <c r="AK41" s="91">
        <f>Economic!C127</f>
        <v>747589.4</v>
      </c>
      <c r="AL41" s="91">
        <f>Economic!D127</f>
        <v>6546.1</v>
      </c>
      <c r="AM41" s="91">
        <f>Economic!E127</f>
        <v>6583</v>
      </c>
      <c r="AN41" s="91">
        <f>Economic!F127</f>
        <v>12.4</v>
      </c>
      <c r="AO41" s="91">
        <f>Economic!G127</f>
        <v>12.5</v>
      </c>
      <c r="AP41" s="91">
        <f>Economic!H127</f>
        <v>371</v>
      </c>
      <c r="AQ41" s="91">
        <f>Economic!I127</f>
        <v>368.4</v>
      </c>
      <c r="AR41" s="91">
        <f>Economic!J127</f>
        <v>12.1</v>
      </c>
      <c r="AS41" s="91">
        <f>Economic!K127</f>
        <v>12.3</v>
      </c>
      <c r="AT41" s="91">
        <f>Economic!L127</f>
        <v>170</v>
      </c>
      <c r="AU41" s="91">
        <f>Economic!M127</f>
        <v>169.8</v>
      </c>
      <c r="AV41" s="91">
        <f>Economic!N127</f>
        <v>12.9</v>
      </c>
      <c r="AW41" s="91">
        <f>Economic!O127</f>
        <v>12.8</v>
      </c>
      <c r="AX41" s="91">
        <f>Economic!P127</f>
        <v>0</v>
      </c>
      <c r="AY41" s="91">
        <f>Economic!Q127</f>
        <v>-0.11899923287081271</v>
      </c>
      <c r="AZ41" s="91">
        <f>Economic!R127</f>
        <v>-0.11898930688829112</v>
      </c>
      <c r="BA41" s="91">
        <f>Economic!S127</f>
        <v>-0.10881575786692288</v>
      </c>
      <c r="BB41" s="91">
        <f>Economic!T127</f>
        <v>-0.11314395763119889</v>
      </c>
      <c r="BC41" s="91">
        <f>Economic!U127</f>
        <v>-0.13132345426673475</v>
      </c>
      <c r="BD41" s="91">
        <f>Economic!V127</f>
        <v>-0.13367346938775504</v>
      </c>
      <c r="BE41" s="91">
        <f>Economic!W127</f>
        <v>0</v>
      </c>
      <c r="BF41" s="91">
        <f>Economic!X127</f>
        <v>-884.19999999999982</v>
      </c>
      <c r="BG41" s="91">
        <f>Economic!Y127</f>
        <v>-889.10000000000036</v>
      </c>
      <c r="BH41" s="91">
        <f>Economic!Z127</f>
        <v>-45.300000000000011</v>
      </c>
      <c r="BI41" s="91">
        <f>Economic!AA127</f>
        <v>-47</v>
      </c>
      <c r="BJ41" s="91">
        <f>Economic!AB127</f>
        <v>-25.699999999999989</v>
      </c>
      <c r="BK41" s="91">
        <f>Economic!AC127</f>
        <v>-26.199999999999989</v>
      </c>
      <c r="BL41" s="91">
        <f>Weather!C235</f>
        <v>20.48</v>
      </c>
      <c r="BM41" s="91">
        <f>Weather!D235</f>
        <v>39.5</v>
      </c>
      <c r="BN41" s="91">
        <f>Weather!E235</f>
        <v>53.899999999999991</v>
      </c>
      <c r="BO41" s="91">
        <f>Weather!F235</f>
        <v>20.199999999999996</v>
      </c>
      <c r="BP41" s="91">
        <f>Weather!G235</f>
        <v>94.59999999999998</v>
      </c>
      <c r="BQ41" s="91">
        <f>Weather!H235</f>
        <v>7.5999999999999979</v>
      </c>
      <c r="BR41" s="91">
        <f>Weather!I235</f>
        <v>142</v>
      </c>
      <c r="BS41" s="91">
        <f>Weather!J235</f>
        <v>0.89999999999999858</v>
      </c>
      <c r="BT41" s="91">
        <f>Weather!K235</f>
        <v>195.3</v>
      </c>
      <c r="BU41" s="91">
        <f>Weather!L235</f>
        <v>0</v>
      </c>
      <c r="BV41" s="91">
        <f>Weather!M235</f>
        <v>254.40000000000003</v>
      </c>
      <c r="BW41" s="91">
        <f>Weather!N235</f>
        <v>0</v>
      </c>
      <c r="BX41" s="91">
        <f>Weather!O235</f>
        <v>314.40000000000009</v>
      </c>
    </row>
    <row r="42" spans="1:76" x14ac:dyDescent="0.2">
      <c r="A42" s="66">
        <v>44043</v>
      </c>
      <c r="B42" s="114">
        <f t="shared" si="0"/>
        <v>2020</v>
      </c>
      <c r="C42" s="104">
        <v>31068671.938821949</v>
      </c>
      <c r="D42" s="104">
        <v>8129921.4906045105</v>
      </c>
      <c r="E42" s="171">
        <f ca="1">CDM!D137</f>
        <v>1049115.2733087833</v>
      </c>
      <c r="F42" s="94">
        <f t="shared" ca="1" si="1"/>
        <v>23987865.72152622</v>
      </c>
      <c r="G42" s="94">
        <f ca="1">VLOOKUP(B42,CDM!$A$3:$G$14,7,FALSE)</f>
        <v>1049115.2733087833</v>
      </c>
      <c r="H42" s="94">
        <f t="shared" ca="1" si="2"/>
        <v>23987865.72152622</v>
      </c>
      <c r="I42" s="90">
        <f>Weather!F236</f>
        <v>0</v>
      </c>
      <c r="J42" s="90">
        <f>Weather!G236</f>
        <v>215.60000000000002</v>
      </c>
      <c r="K42" s="108">
        <v>31</v>
      </c>
      <c r="L42" s="108">
        <f>Data!L116</f>
        <v>0</v>
      </c>
      <c r="M42" s="108">
        <f>Data!M116</f>
        <v>0</v>
      </c>
      <c r="N42" s="108">
        <f>Data!N116</f>
        <v>0</v>
      </c>
      <c r="O42" s="108">
        <f>Data!O116</f>
        <v>0</v>
      </c>
      <c r="P42" s="108">
        <f>Data!P116</f>
        <v>0</v>
      </c>
      <c r="Q42" s="108">
        <f>Data!Q116</f>
        <v>0</v>
      </c>
      <c r="R42" s="108">
        <f>Data!R116</f>
        <v>1</v>
      </c>
      <c r="S42" s="108">
        <f>Data!S116</f>
        <v>0</v>
      </c>
      <c r="T42" s="108">
        <f>Data!T116</f>
        <v>0</v>
      </c>
      <c r="U42" s="108">
        <f>Data!U116</f>
        <v>0</v>
      </c>
      <c r="V42" s="108">
        <f>Data!V116</f>
        <v>0</v>
      </c>
      <c r="W42" s="108">
        <f>Data!W116</f>
        <v>0</v>
      </c>
      <c r="X42" s="109">
        <v>0</v>
      </c>
      <c r="Y42" s="108">
        <f>Data!Y116</f>
        <v>0</v>
      </c>
      <c r="Z42" s="108">
        <f>Data!Z116</f>
        <v>0</v>
      </c>
      <c r="AA42" s="152">
        <v>1</v>
      </c>
      <c r="AB42" s="68">
        <v>1</v>
      </c>
      <c r="AC42" s="152">
        <f t="shared" si="6"/>
        <v>0</v>
      </c>
      <c r="AD42" s="152">
        <f t="shared" si="7"/>
        <v>277.60000000000008</v>
      </c>
      <c r="AE42" s="152">
        <v>1</v>
      </c>
      <c r="AF42" s="150">
        <f>'Customer Count'!I116</f>
        <v>14419</v>
      </c>
      <c r="AG42" s="150">
        <f>AF42-'Customer Count'!G116-'Customer Count'!F116</f>
        <v>11677</v>
      </c>
      <c r="AH42" s="109">
        <f t="shared" si="5"/>
        <v>41</v>
      </c>
      <c r="AI42" s="109">
        <v>352</v>
      </c>
      <c r="AJ42" s="91">
        <v>163.69534584670356</v>
      </c>
      <c r="AK42" s="91">
        <f>Economic!C128</f>
        <v>747589.4</v>
      </c>
      <c r="AL42" s="91">
        <f>Economic!D128</f>
        <v>6700.8</v>
      </c>
      <c r="AM42" s="91">
        <f>Economic!E128</f>
        <v>6777</v>
      </c>
      <c r="AN42" s="91">
        <f>Economic!F128</f>
        <v>12.4</v>
      </c>
      <c r="AO42" s="91">
        <f>Economic!G128</f>
        <v>12.8</v>
      </c>
      <c r="AP42" s="91">
        <f>Economic!H128</f>
        <v>380.3</v>
      </c>
      <c r="AQ42" s="91">
        <f>Economic!I128</f>
        <v>379.6</v>
      </c>
      <c r="AR42" s="91">
        <f>Economic!J128</f>
        <v>11.3</v>
      </c>
      <c r="AS42" s="91">
        <f>Economic!K128</f>
        <v>12.1</v>
      </c>
      <c r="AT42" s="91">
        <f>Economic!L128</f>
        <v>174.7</v>
      </c>
      <c r="AU42" s="91">
        <f>Economic!M128</f>
        <v>176.7</v>
      </c>
      <c r="AV42" s="91">
        <f>Economic!N128</f>
        <v>12.5</v>
      </c>
      <c r="AW42" s="91">
        <f>Economic!O128</f>
        <v>12.3</v>
      </c>
      <c r="AX42" s="91">
        <f>Economic!P128</f>
        <v>0</v>
      </c>
      <c r="AY42" s="91">
        <f>Economic!Q128</f>
        <v>-9.8494531071318003E-2</v>
      </c>
      <c r="AZ42" s="91">
        <f>Economic!R128</f>
        <v>-9.9330179150497022E-2</v>
      </c>
      <c r="BA42" s="91">
        <f>Economic!S128</f>
        <v>-8.5597499398893939E-2</v>
      </c>
      <c r="BB42" s="91">
        <f>Economic!T128</f>
        <v>-9.1431306845380589E-2</v>
      </c>
      <c r="BC42" s="91">
        <f>Economic!U128</f>
        <v>-0.10912799592044875</v>
      </c>
      <c r="BD42" s="91">
        <f>Economic!V128</f>
        <v>-0.11295180722891562</v>
      </c>
      <c r="BE42" s="91">
        <f>Economic!W128</f>
        <v>0</v>
      </c>
      <c r="BF42" s="91">
        <f>Economic!X128</f>
        <v>-732.09999999999945</v>
      </c>
      <c r="BG42" s="91">
        <f>Economic!Y128</f>
        <v>-747.39999999999964</v>
      </c>
      <c r="BH42" s="91">
        <f>Economic!Z128</f>
        <v>-35.599999999999966</v>
      </c>
      <c r="BI42" s="91">
        <f>Economic!AA128</f>
        <v>-38.199999999999989</v>
      </c>
      <c r="BJ42" s="91">
        <f>Economic!AB128</f>
        <v>-21.400000000000006</v>
      </c>
      <c r="BK42" s="91">
        <f>Economic!AC128</f>
        <v>-22.5</v>
      </c>
      <c r="BL42" s="91">
        <f>Weather!C236</f>
        <v>24.954838709677418</v>
      </c>
      <c r="BM42" s="91">
        <f>Weather!D236</f>
        <v>0</v>
      </c>
      <c r="BN42" s="91">
        <f>Weather!E236</f>
        <v>153.60000000000002</v>
      </c>
      <c r="BO42" s="91">
        <f>Weather!F236</f>
        <v>0</v>
      </c>
      <c r="BP42" s="91">
        <f>Weather!G236</f>
        <v>215.60000000000002</v>
      </c>
      <c r="BQ42" s="91">
        <f>Weather!H236</f>
        <v>0</v>
      </c>
      <c r="BR42" s="91">
        <f>Weather!I236</f>
        <v>277.60000000000008</v>
      </c>
      <c r="BS42" s="91">
        <f>Weather!J236</f>
        <v>0</v>
      </c>
      <c r="BT42" s="91">
        <f>Weather!K236</f>
        <v>339.60000000000008</v>
      </c>
      <c r="BU42" s="91">
        <f>Weather!L236</f>
        <v>0</v>
      </c>
      <c r="BV42" s="91">
        <f>Weather!M236</f>
        <v>401.60000000000008</v>
      </c>
      <c r="BW42" s="91">
        <f>Weather!N236</f>
        <v>0</v>
      </c>
      <c r="BX42" s="91">
        <f>Weather!O236</f>
        <v>463.60000000000008</v>
      </c>
    </row>
    <row r="43" spans="1:76" x14ac:dyDescent="0.2">
      <c r="A43" s="66">
        <v>44074</v>
      </c>
      <c r="B43" s="114">
        <f t="shared" si="0"/>
        <v>2020</v>
      </c>
      <c r="C43" s="104">
        <v>26721444.06371244</v>
      </c>
      <c r="D43" s="104">
        <v>6612027.0517714433</v>
      </c>
      <c r="E43" s="171">
        <f ca="1">CDM!D138</f>
        <v>1049115.2733087833</v>
      </c>
      <c r="F43" s="94">
        <f t="shared" ca="1" si="1"/>
        <v>21158532.285249781</v>
      </c>
      <c r="G43" s="94">
        <f ca="1">VLOOKUP(B43,CDM!$A$3:$G$14,7,FALSE)</f>
        <v>1049115.2733087833</v>
      </c>
      <c r="H43" s="94">
        <f t="shared" ca="1" si="2"/>
        <v>21158532.285249781</v>
      </c>
      <c r="I43" s="90">
        <f>Weather!F237</f>
        <v>0.19999999999999929</v>
      </c>
      <c r="J43" s="90">
        <f>Weather!G237</f>
        <v>142.9</v>
      </c>
      <c r="K43" s="108">
        <v>31</v>
      </c>
      <c r="L43" s="108">
        <f>Data!L117</f>
        <v>0</v>
      </c>
      <c r="M43" s="108">
        <f>Data!M117</f>
        <v>0</v>
      </c>
      <c r="N43" s="108">
        <f>Data!N117</f>
        <v>0</v>
      </c>
      <c r="O43" s="108">
        <f>Data!O117</f>
        <v>0</v>
      </c>
      <c r="P43" s="108">
        <f>Data!P117</f>
        <v>0</v>
      </c>
      <c r="Q43" s="108">
        <f>Data!Q117</f>
        <v>0</v>
      </c>
      <c r="R43" s="108">
        <f>Data!R117</f>
        <v>0</v>
      </c>
      <c r="S43" s="108">
        <f>Data!S117</f>
        <v>1</v>
      </c>
      <c r="T43" s="108">
        <f>Data!T117</f>
        <v>0</v>
      </c>
      <c r="U43" s="108">
        <f>Data!U117</f>
        <v>0</v>
      </c>
      <c r="V43" s="108">
        <f>Data!V117</f>
        <v>0</v>
      </c>
      <c r="W43" s="108">
        <f>Data!W117</f>
        <v>0</v>
      </c>
      <c r="X43" s="109">
        <v>0</v>
      </c>
      <c r="Y43" s="108">
        <f>Data!Y117</f>
        <v>0</v>
      </c>
      <c r="Z43" s="108">
        <f>Data!Z117</f>
        <v>0</v>
      </c>
      <c r="AA43" s="152">
        <v>1</v>
      </c>
      <c r="AB43" s="68">
        <v>1</v>
      </c>
      <c r="AC43" s="152">
        <f t="shared" si="6"/>
        <v>0</v>
      </c>
      <c r="AD43" s="152">
        <f t="shared" si="7"/>
        <v>204.70000000000002</v>
      </c>
      <c r="AE43" s="152">
        <v>1</v>
      </c>
      <c r="AF43" s="150">
        <f>'Customer Count'!I117</f>
        <v>14421</v>
      </c>
      <c r="AG43" s="150">
        <f>AF43-'Customer Count'!G117-'Customer Count'!F117</f>
        <v>11679</v>
      </c>
      <c r="AH43" s="109">
        <f t="shared" si="5"/>
        <v>42</v>
      </c>
      <c r="AI43" s="109">
        <v>320</v>
      </c>
      <c r="AJ43" s="91">
        <v>163.99246975302921</v>
      </c>
      <c r="AK43" s="91">
        <f>Economic!C129</f>
        <v>747589.4</v>
      </c>
      <c r="AL43" s="91">
        <f>Economic!D129</f>
        <v>6924.2</v>
      </c>
      <c r="AM43" s="91">
        <f>Economic!E129</f>
        <v>7003.5</v>
      </c>
      <c r="AN43" s="91">
        <f>Economic!F129</f>
        <v>11.4</v>
      </c>
      <c r="AO43" s="91">
        <f>Economic!G129</f>
        <v>12.1</v>
      </c>
      <c r="AP43" s="91">
        <f>Economic!H129</f>
        <v>391.1</v>
      </c>
      <c r="AQ43" s="91">
        <f>Economic!I129</f>
        <v>392.2</v>
      </c>
      <c r="AR43" s="91">
        <f>Economic!J129</f>
        <v>10</v>
      </c>
      <c r="AS43" s="91">
        <f>Economic!K129</f>
        <v>11</v>
      </c>
      <c r="AT43" s="91">
        <f>Economic!L129</f>
        <v>182.9</v>
      </c>
      <c r="AU43" s="91">
        <f>Economic!M129</f>
        <v>185.9</v>
      </c>
      <c r="AV43" s="91">
        <f>Economic!N129</f>
        <v>11.3</v>
      </c>
      <c r="AW43" s="91">
        <f>Economic!O129</f>
        <v>11.3</v>
      </c>
      <c r="AX43" s="91">
        <f>Economic!P129</f>
        <v>0</v>
      </c>
      <c r="AY43" s="91">
        <f>Economic!Q129</f>
        <v>-7.0527276632302516E-2</v>
      </c>
      <c r="AZ43" s="91">
        <f>Economic!R129</f>
        <v>-7.1264703152143616E-2</v>
      </c>
      <c r="BA43" s="91">
        <f>Economic!S129</f>
        <v>-6.6141356255969397E-2</v>
      </c>
      <c r="BB43" s="91">
        <f>Economic!T129</f>
        <v>-7.127634383139958E-2</v>
      </c>
      <c r="BC43" s="91">
        <f>Economic!U129</f>
        <v>-7.6262626262626254E-2</v>
      </c>
      <c r="BD43" s="91">
        <f>Economic!V129</f>
        <v>-7.9702970297029663E-2</v>
      </c>
      <c r="BE43" s="91">
        <f>Economic!W129</f>
        <v>0</v>
      </c>
      <c r="BF43" s="91">
        <f>Economic!X129</f>
        <v>-525.40000000000055</v>
      </c>
      <c r="BG43" s="91">
        <f>Economic!Y129</f>
        <v>-537.39999999999964</v>
      </c>
      <c r="BH43" s="91">
        <f>Economic!Z129</f>
        <v>-27.699999999999989</v>
      </c>
      <c r="BI43" s="91">
        <f>Economic!AA129</f>
        <v>-30.100000000000023</v>
      </c>
      <c r="BJ43" s="91">
        <f>Economic!AB129</f>
        <v>-15.099999999999994</v>
      </c>
      <c r="BK43" s="91">
        <f>Economic!AC129</f>
        <v>-16.099999999999994</v>
      </c>
      <c r="BL43" s="91">
        <f>Weather!C237</f>
        <v>22.603225806451611</v>
      </c>
      <c r="BM43" s="91">
        <f>Weather!D237</f>
        <v>5.1999999999999993</v>
      </c>
      <c r="BN43" s="91">
        <f>Weather!E237</f>
        <v>85.899999999999977</v>
      </c>
      <c r="BO43" s="91">
        <f>Weather!F237</f>
        <v>0.19999999999999929</v>
      </c>
      <c r="BP43" s="91">
        <f>Weather!G237</f>
        <v>142.9</v>
      </c>
      <c r="BQ43" s="91">
        <f>Weather!H237</f>
        <v>0</v>
      </c>
      <c r="BR43" s="91">
        <f>Weather!I237</f>
        <v>204.70000000000002</v>
      </c>
      <c r="BS43" s="91">
        <f>Weather!J237</f>
        <v>0</v>
      </c>
      <c r="BT43" s="91">
        <f>Weather!K237</f>
        <v>266.7000000000001</v>
      </c>
      <c r="BU43" s="91">
        <f>Weather!L237</f>
        <v>0</v>
      </c>
      <c r="BV43" s="91">
        <f>Weather!M237</f>
        <v>328.7000000000001</v>
      </c>
      <c r="BW43" s="91">
        <f>Weather!N237</f>
        <v>0</v>
      </c>
      <c r="BX43" s="91">
        <f>Weather!O237</f>
        <v>390.7000000000001</v>
      </c>
    </row>
    <row r="44" spans="1:76" x14ac:dyDescent="0.2">
      <c r="A44" s="66">
        <v>44104</v>
      </c>
      <c r="B44" s="114">
        <f t="shared" si="0"/>
        <v>2020</v>
      </c>
      <c r="C44" s="104">
        <v>20324132.402995322</v>
      </c>
      <c r="D44" s="104">
        <v>4759664.6737366663</v>
      </c>
      <c r="E44" s="171">
        <f ca="1">CDM!D139</f>
        <v>1049115.2733087833</v>
      </c>
      <c r="F44" s="94">
        <f t="shared" ca="1" si="1"/>
        <v>16613583.00256744</v>
      </c>
      <c r="G44" s="94">
        <f ca="1">VLOOKUP(B44,CDM!$A$3:$G$14,7,FALSE)</f>
        <v>1049115.2733087833</v>
      </c>
      <c r="H44" s="94">
        <f t="shared" ca="1" si="2"/>
        <v>16613583.00256744</v>
      </c>
      <c r="I44" s="90">
        <f>Weather!F238</f>
        <v>52.3</v>
      </c>
      <c r="J44" s="90">
        <f>Weather!G238</f>
        <v>43.5</v>
      </c>
      <c r="K44" s="108">
        <v>30</v>
      </c>
      <c r="L44" s="108">
        <f>Data!L118</f>
        <v>0</v>
      </c>
      <c r="M44" s="108">
        <f>Data!M118</f>
        <v>0</v>
      </c>
      <c r="N44" s="108">
        <f>Data!N118</f>
        <v>0</v>
      </c>
      <c r="O44" s="108">
        <f>Data!O118</f>
        <v>0</v>
      </c>
      <c r="P44" s="108">
        <f>Data!P118</f>
        <v>0</v>
      </c>
      <c r="Q44" s="108">
        <f>Data!Q118</f>
        <v>0</v>
      </c>
      <c r="R44" s="108">
        <f>Data!R118</f>
        <v>0</v>
      </c>
      <c r="S44" s="108">
        <f>Data!S118</f>
        <v>0</v>
      </c>
      <c r="T44" s="108">
        <f>Data!T118</f>
        <v>1</v>
      </c>
      <c r="U44" s="108">
        <f>Data!U118</f>
        <v>0</v>
      </c>
      <c r="V44" s="108">
        <f>Data!V118</f>
        <v>0</v>
      </c>
      <c r="W44" s="108">
        <f>Data!W118</f>
        <v>0</v>
      </c>
      <c r="X44" s="109">
        <v>1</v>
      </c>
      <c r="Y44" s="108">
        <f>Data!Y118</f>
        <v>0</v>
      </c>
      <c r="Z44" s="108">
        <f>Data!Z118</f>
        <v>1</v>
      </c>
      <c r="AA44" s="152">
        <v>1</v>
      </c>
      <c r="AB44" s="68">
        <v>0.5</v>
      </c>
      <c r="AC44" s="152">
        <f t="shared" si="6"/>
        <v>21.899999999999995</v>
      </c>
      <c r="AD44" s="152">
        <f t="shared" si="7"/>
        <v>73.099999999999994</v>
      </c>
      <c r="AE44" s="152">
        <v>1</v>
      </c>
      <c r="AF44" s="150">
        <f>'Customer Count'!I118</f>
        <v>14423.5</v>
      </c>
      <c r="AG44" s="150">
        <f>AF44-'Customer Count'!G118-'Customer Count'!F118</f>
        <v>11681.5</v>
      </c>
      <c r="AH44" s="109">
        <f t="shared" si="5"/>
        <v>43</v>
      </c>
      <c r="AI44" s="109">
        <v>336</v>
      </c>
      <c r="AJ44" s="91">
        <v>164.29013296983589</v>
      </c>
      <c r="AK44" s="91">
        <f>Economic!C130</f>
        <v>747589.4</v>
      </c>
      <c r="AL44" s="91">
        <f>Economic!D130</f>
        <v>7077.6</v>
      </c>
      <c r="AM44" s="91">
        <f>Economic!E130</f>
        <v>7126.6</v>
      </c>
      <c r="AN44" s="91">
        <f>Economic!F130</f>
        <v>10.5</v>
      </c>
      <c r="AO44" s="91">
        <f>Economic!G130</f>
        <v>11</v>
      </c>
      <c r="AP44" s="91">
        <f>Economic!H130</f>
        <v>391.1</v>
      </c>
      <c r="AQ44" s="91">
        <f>Economic!I130</f>
        <v>390.5</v>
      </c>
      <c r="AR44" s="91">
        <f>Economic!J130</f>
        <v>8.9</v>
      </c>
      <c r="AS44" s="91">
        <f>Economic!K130</f>
        <v>9.9</v>
      </c>
      <c r="AT44" s="91">
        <f>Economic!L130</f>
        <v>189.3</v>
      </c>
      <c r="AU44" s="91">
        <f>Economic!M130</f>
        <v>191.8</v>
      </c>
      <c r="AV44" s="91">
        <f>Economic!N130</f>
        <v>8.6999999999999993</v>
      </c>
      <c r="AW44" s="91">
        <f>Economic!O130</f>
        <v>8.8000000000000007</v>
      </c>
      <c r="AX44" s="91">
        <f>Economic!P130</f>
        <v>0</v>
      </c>
      <c r="AY44" s="91">
        <f>Economic!Q130</f>
        <v>-5.3581696374844556E-2</v>
      </c>
      <c r="AZ44" s="91">
        <f>Economic!R130</f>
        <v>-5.4200398142003947E-2</v>
      </c>
      <c r="BA44" s="91">
        <f>Economic!S130</f>
        <v>-6.8587758990235614E-2</v>
      </c>
      <c r="BB44" s="91">
        <f>Economic!T130</f>
        <v>-7.7050342708579578E-2</v>
      </c>
      <c r="BC44" s="91">
        <f>Economic!U130</f>
        <v>-5.4445554445554323E-2</v>
      </c>
      <c r="BD44" s="91">
        <f>Economic!V130</f>
        <v>-5.5637616937469159E-2</v>
      </c>
      <c r="BE44" s="91">
        <f>Economic!W130</f>
        <v>0</v>
      </c>
      <c r="BF44" s="91">
        <f>Economic!X130</f>
        <v>-400.69999999999982</v>
      </c>
      <c r="BG44" s="91">
        <f>Economic!Y130</f>
        <v>-408.39999999999964</v>
      </c>
      <c r="BH44" s="91">
        <f>Economic!Z130</f>
        <v>-28.799999999999955</v>
      </c>
      <c r="BI44" s="91">
        <f>Economic!AA130</f>
        <v>-32.600000000000023</v>
      </c>
      <c r="BJ44" s="91">
        <f>Economic!AB130</f>
        <v>-10.899999999999977</v>
      </c>
      <c r="BK44" s="91">
        <f>Economic!AC130</f>
        <v>-11.299999999999983</v>
      </c>
      <c r="BL44" s="91">
        <f>Weather!C238</f>
        <v>17.706666666666667</v>
      </c>
      <c r="BM44" s="91">
        <f>Weather!D238</f>
        <v>90.40000000000002</v>
      </c>
      <c r="BN44" s="91">
        <f>Weather!E238</f>
        <v>21.600000000000005</v>
      </c>
      <c r="BO44" s="91">
        <f>Weather!F238</f>
        <v>52.3</v>
      </c>
      <c r="BP44" s="91">
        <f>Weather!G238</f>
        <v>43.5</v>
      </c>
      <c r="BQ44" s="91">
        <f>Weather!H238</f>
        <v>21.899999999999995</v>
      </c>
      <c r="BR44" s="91">
        <f>Weather!I238</f>
        <v>73.099999999999994</v>
      </c>
      <c r="BS44" s="91">
        <f>Weather!J238</f>
        <v>5.0999999999999979</v>
      </c>
      <c r="BT44" s="91">
        <f>Weather!K238</f>
        <v>116.29999999999997</v>
      </c>
      <c r="BU44" s="91">
        <f>Weather!L238</f>
        <v>0.19999999999999929</v>
      </c>
      <c r="BV44" s="91">
        <f>Weather!M238</f>
        <v>171.4</v>
      </c>
      <c r="BW44" s="91">
        <f>Weather!N238</f>
        <v>0</v>
      </c>
      <c r="BX44" s="91">
        <f>Weather!O238</f>
        <v>231.20000000000007</v>
      </c>
    </row>
    <row r="45" spans="1:76" x14ac:dyDescent="0.2">
      <c r="A45" s="66">
        <v>44135</v>
      </c>
      <c r="B45" s="114">
        <f>YEAR(A45)</f>
        <v>2020</v>
      </c>
      <c r="C45" s="104">
        <v>19166451.094120812</v>
      </c>
      <c r="D45" s="104">
        <v>4510134.313046311</v>
      </c>
      <c r="E45" s="171">
        <f ca="1">CDM!D140</f>
        <v>1049115.2733087833</v>
      </c>
      <c r="F45" s="94">
        <f ca="1">C45+E45-D45</f>
        <v>15705432.054383285</v>
      </c>
      <c r="G45" s="94">
        <f ca="1">VLOOKUP(B45,CDM!$A$3:$G$14,7,FALSE)</f>
        <v>1049115.2733087833</v>
      </c>
      <c r="H45" s="94">
        <f t="shared" ca="1" si="2"/>
        <v>15705432.054383285</v>
      </c>
      <c r="I45" s="90">
        <f>Weather!F239</f>
        <v>229.89999999999998</v>
      </c>
      <c r="J45" s="90">
        <f>Weather!G239</f>
        <v>1.5</v>
      </c>
      <c r="K45" s="108">
        <v>31</v>
      </c>
      <c r="L45" s="108">
        <f>Data!L119</f>
        <v>0</v>
      </c>
      <c r="M45" s="108">
        <f>Data!M119</f>
        <v>0</v>
      </c>
      <c r="N45" s="108">
        <f>Data!N119</f>
        <v>0</v>
      </c>
      <c r="O45" s="108">
        <f>Data!O119</f>
        <v>0</v>
      </c>
      <c r="P45" s="108">
        <f>Data!P119</f>
        <v>0</v>
      </c>
      <c r="Q45" s="108">
        <f>Data!Q119</f>
        <v>0</v>
      </c>
      <c r="R45" s="108">
        <f>Data!R119</f>
        <v>0</v>
      </c>
      <c r="S45" s="108">
        <f>Data!S119</f>
        <v>0</v>
      </c>
      <c r="T45" s="108">
        <f>Data!T119</f>
        <v>0</v>
      </c>
      <c r="U45" s="108">
        <f>Data!U119</f>
        <v>1</v>
      </c>
      <c r="V45" s="108">
        <f>Data!V119</f>
        <v>0</v>
      </c>
      <c r="W45" s="108">
        <f>Data!W119</f>
        <v>0</v>
      </c>
      <c r="X45" s="109">
        <v>1</v>
      </c>
      <c r="Y45" s="108">
        <f>Data!Y119</f>
        <v>0</v>
      </c>
      <c r="Z45" s="108">
        <f>Data!Z119</f>
        <v>1</v>
      </c>
      <c r="AA45" s="152">
        <v>1</v>
      </c>
      <c r="AB45" s="68">
        <v>0.5</v>
      </c>
      <c r="AC45" s="152">
        <f t="shared" si="6"/>
        <v>172.2</v>
      </c>
      <c r="AD45" s="152">
        <f t="shared" si="7"/>
        <v>5.8000000000000007</v>
      </c>
      <c r="AE45" s="152">
        <v>1</v>
      </c>
      <c r="AF45" s="150">
        <f>'Customer Count'!I119</f>
        <v>14424</v>
      </c>
      <c r="AG45" s="150">
        <f>AF45-'Customer Count'!G119-'Customer Count'!F119</f>
        <v>11682</v>
      </c>
      <c r="AH45" s="109">
        <f t="shared" si="5"/>
        <v>44</v>
      </c>
      <c r="AI45" s="109">
        <v>336</v>
      </c>
      <c r="AJ45" s="91">
        <v>164.58833647602765</v>
      </c>
      <c r="AK45" s="91">
        <f>Economic!C131</f>
        <v>747589.4</v>
      </c>
      <c r="AL45" s="91">
        <f>Economic!D131</f>
        <v>7190.9</v>
      </c>
      <c r="AM45" s="91">
        <f>Economic!E131</f>
        <v>7223.8</v>
      </c>
      <c r="AN45" s="91">
        <f>Economic!F131</f>
        <v>9.9</v>
      </c>
      <c r="AO45" s="91">
        <f>Economic!G131</f>
        <v>9.9</v>
      </c>
      <c r="AP45" s="91">
        <f>Economic!H131</f>
        <v>385.5</v>
      </c>
      <c r="AQ45" s="91">
        <f>Economic!I131</f>
        <v>388.3</v>
      </c>
      <c r="AR45" s="91">
        <f>Economic!J131</f>
        <v>9.1999999999999993</v>
      </c>
      <c r="AS45" s="91">
        <f>Economic!K131</f>
        <v>9.5</v>
      </c>
      <c r="AT45" s="91">
        <f>Economic!L131</f>
        <v>195.2</v>
      </c>
      <c r="AU45" s="91">
        <f>Economic!M131</f>
        <v>198.1</v>
      </c>
      <c r="AV45" s="91">
        <f>Economic!N131</f>
        <v>7.5</v>
      </c>
      <c r="AW45" s="91">
        <f>Economic!O131</f>
        <v>7.2</v>
      </c>
      <c r="AX45" s="91">
        <f>Economic!P131</f>
        <v>0</v>
      </c>
      <c r="AY45" s="91">
        <f>Economic!Q131</f>
        <v>-4.1724413646055503E-2</v>
      </c>
      <c r="AZ45" s="91">
        <f>Economic!R131</f>
        <v>-4.1745705379054199E-2</v>
      </c>
      <c r="BA45" s="91">
        <f>Economic!S131</f>
        <v>-9.7823543178095052E-2</v>
      </c>
      <c r="BB45" s="91">
        <f>Economic!T131</f>
        <v>-0.10406091370558368</v>
      </c>
      <c r="BC45" s="91">
        <f>Economic!U131</f>
        <v>-3.5573122529644396E-2</v>
      </c>
      <c r="BD45" s="91">
        <f>Economic!V131</f>
        <v>-3.0347528144885061E-2</v>
      </c>
      <c r="BE45" s="91">
        <f>Economic!W131</f>
        <v>0</v>
      </c>
      <c r="BF45" s="91">
        <f>Economic!X131</f>
        <v>-313.10000000000036</v>
      </c>
      <c r="BG45" s="91">
        <f>Economic!Y131</f>
        <v>-314.69999999999982</v>
      </c>
      <c r="BH45" s="91">
        <f>Economic!Z131</f>
        <v>-41.800000000000011</v>
      </c>
      <c r="BI45" s="91">
        <f>Economic!AA131</f>
        <v>-45.099999999999966</v>
      </c>
      <c r="BJ45" s="91">
        <f>Economic!AB131</f>
        <v>-7.2000000000000171</v>
      </c>
      <c r="BK45" s="91">
        <f>Economic!AC131</f>
        <v>-6.2000000000000171</v>
      </c>
      <c r="BL45" s="91">
        <f>Weather!C239</f>
        <v>10.632258064516131</v>
      </c>
      <c r="BM45" s="91">
        <f>Weather!D239</f>
        <v>290.39999999999998</v>
      </c>
      <c r="BN45" s="91">
        <f>Weather!E239</f>
        <v>0</v>
      </c>
      <c r="BO45" s="91">
        <f>Weather!F239</f>
        <v>229.89999999999998</v>
      </c>
      <c r="BP45" s="91">
        <f>Weather!G239</f>
        <v>1.5</v>
      </c>
      <c r="BQ45" s="91">
        <f>Weather!H239</f>
        <v>172.2</v>
      </c>
      <c r="BR45" s="91">
        <f>Weather!I239</f>
        <v>5.8000000000000007</v>
      </c>
      <c r="BS45" s="91">
        <f>Weather!J239</f>
        <v>117.10000000000001</v>
      </c>
      <c r="BT45" s="91">
        <f>Weather!K239</f>
        <v>12.700000000000003</v>
      </c>
      <c r="BU45" s="91">
        <f>Weather!L239</f>
        <v>71.2</v>
      </c>
      <c r="BV45" s="91">
        <f>Weather!M239</f>
        <v>28.800000000000004</v>
      </c>
      <c r="BW45" s="91">
        <f>Weather!N239</f>
        <v>37.799999999999997</v>
      </c>
      <c r="BX45" s="91">
        <f>Weather!O239</f>
        <v>57.399999999999991</v>
      </c>
    </row>
    <row r="46" spans="1:76" x14ac:dyDescent="0.2">
      <c r="A46" s="66">
        <v>44165</v>
      </c>
      <c r="B46" s="114">
        <f>YEAR(A46)</f>
        <v>2020</v>
      </c>
      <c r="C46" s="104">
        <v>18736074.894379988</v>
      </c>
      <c r="D46" s="104">
        <v>3624554.3128952486</v>
      </c>
      <c r="E46" s="171">
        <f ca="1">CDM!D141</f>
        <v>1049115.2733087833</v>
      </c>
      <c r="F46" s="94">
        <f ca="1">C46+E46-D46</f>
        <v>16160635.854793523</v>
      </c>
      <c r="G46" s="94">
        <f ca="1">VLOOKUP(B46,CDM!$A$3:$G$14,7,FALSE)</f>
        <v>1049115.2733087833</v>
      </c>
      <c r="H46" s="94">
        <f t="shared" ca="1" si="2"/>
        <v>16160635.854793523</v>
      </c>
      <c r="I46" s="90">
        <f>Weather!F240</f>
        <v>309.59999999999997</v>
      </c>
      <c r="J46" s="90">
        <f>Weather!G240</f>
        <v>0.80000000000000071</v>
      </c>
      <c r="K46" s="108">
        <v>30</v>
      </c>
      <c r="L46" s="108">
        <f>Data!L120</f>
        <v>0</v>
      </c>
      <c r="M46" s="108">
        <f>Data!M120</f>
        <v>0</v>
      </c>
      <c r="N46" s="108">
        <f>Data!N120</f>
        <v>0</v>
      </c>
      <c r="O46" s="108">
        <f>Data!O120</f>
        <v>0</v>
      </c>
      <c r="P46" s="108">
        <f>Data!P120</f>
        <v>0</v>
      </c>
      <c r="Q46" s="108">
        <f>Data!Q120</f>
        <v>0</v>
      </c>
      <c r="R46" s="108">
        <f>Data!R120</f>
        <v>0</v>
      </c>
      <c r="S46" s="108">
        <f>Data!S120</f>
        <v>0</v>
      </c>
      <c r="T46" s="108">
        <f>Data!T120</f>
        <v>0</v>
      </c>
      <c r="U46" s="108">
        <f>Data!U120</f>
        <v>0</v>
      </c>
      <c r="V46" s="108">
        <f>Data!V120</f>
        <v>1</v>
      </c>
      <c r="W46" s="108">
        <f>Data!W120</f>
        <v>0</v>
      </c>
      <c r="X46" s="109">
        <v>1</v>
      </c>
      <c r="Y46" s="108">
        <f>Data!Y120</f>
        <v>0</v>
      </c>
      <c r="Z46" s="108">
        <f>Data!Z120</f>
        <v>1</v>
      </c>
      <c r="AA46" s="152">
        <v>1</v>
      </c>
      <c r="AB46" s="68">
        <v>0.5</v>
      </c>
      <c r="AC46" s="152">
        <f t="shared" si="6"/>
        <v>251.89999999999998</v>
      </c>
      <c r="AD46" s="152">
        <f t="shared" si="7"/>
        <v>3.1000000000000014</v>
      </c>
      <c r="AE46" s="152">
        <v>1</v>
      </c>
      <c r="AF46" s="150">
        <f>'Customer Count'!I120</f>
        <v>14421</v>
      </c>
      <c r="AG46" s="150">
        <f>AF46-'Customer Count'!G120-'Customer Count'!F120</f>
        <v>11679</v>
      </c>
      <c r="AH46" s="109">
        <f t="shared" si="5"/>
        <v>45</v>
      </c>
      <c r="AI46" s="109">
        <v>336</v>
      </c>
      <c r="AJ46" s="91">
        <v>164.88708125228533</v>
      </c>
      <c r="AK46" s="91">
        <f>Economic!C132</f>
        <v>747589.4</v>
      </c>
      <c r="AL46" s="91">
        <f>Economic!D132</f>
        <v>7269.2</v>
      </c>
      <c r="AM46" s="91">
        <f>Economic!E132</f>
        <v>7284.9</v>
      </c>
      <c r="AN46" s="91">
        <f>Economic!F132</f>
        <v>9.4</v>
      </c>
      <c r="AO46" s="91">
        <f>Economic!G132</f>
        <v>8.6999999999999993</v>
      </c>
      <c r="AP46" s="91">
        <f>Economic!H132</f>
        <v>393.8</v>
      </c>
      <c r="AQ46" s="91">
        <f>Economic!I132</f>
        <v>397.2</v>
      </c>
      <c r="AR46" s="91">
        <f>Economic!J132</f>
        <v>8</v>
      </c>
      <c r="AS46" s="91">
        <f>Economic!K132</f>
        <v>7.6</v>
      </c>
      <c r="AT46" s="91">
        <f>Economic!L132</f>
        <v>195.7</v>
      </c>
      <c r="AU46" s="91">
        <f>Economic!M132</f>
        <v>197.8</v>
      </c>
      <c r="AV46" s="91">
        <f>Economic!N132</f>
        <v>7.2</v>
      </c>
      <c r="AW46" s="91">
        <f>Economic!O132</f>
        <v>6.7</v>
      </c>
      <c r="AX46" s="91">
        <f>Economic!P132</f>
        <v>0</v>
      </c>
      <c r="AY46" s="91">
        <f>Economic!Q132</f>
        <v>-3.3003871070730217E-2</v>
      </c>
      <c r="AZ46" s="91">
        <f>Economic!R132</f>
        <v>-3.2562648570404251E-2</v>
      </c>
      <c r="BA46" s="91">
        <f>Economic!S132</f>
        <v>-7.883040935672514E-2</v>
      </c>
      <c r="BB46" s="91">
        <f>Economic!T132</f>
        <v>-8.5424821551922658E-2</v>
      </c>
      <c r="BC46" s="91">
        <f>Economic!U132</f>
        <v>-4.4899951195705334E-2</v>
      </c>
      <c r="BD46" s="91">
        <f>Economic!V132</f>
        <v>-3.606237816764124E-2</v>
      </c>
      <c r="BE46" s="91">
        <f>Economic!W132</f>
        <v>0</v>
      </c>
      <c r="BF46" s="91">
        <f>Economic!X132</f>
        <v>-248.10000000000036</v>
      </c>
      <c r="BG46" s="91">
        <f>Economic!Y132</f>
        <v>-245.20000000000073</v>
      </c>
      <c r="BH46" s="91">
        <f>Economic!Z132</f>
        <v>-33.699999999999989</v>
      </c>
      <c r="BI46" s="91">
        <f>Economic!AA132</f>
        <v>-37.100000000000023</v>
      </c>
      <c r="BJ46" s="91">
        <f>Economic!AB132</f>
        <v>-9.2000000000000171</v>
      </c>
      <c r="BK46" s="91">
        <f>Economic!AC132</f>
        <v>-7.3999999999999773</v>
      </c>
      <c r="BL46" s="91">
        <f>Weather!C240</f>
        <v>7.7066666666666697</v>
      </c>
      <c r="BM46" s="91">
        <f>Weather!D240</f>
        <v>368.79999999999995</v>
      </c>
      <c r="BN46" s="91">
        <f>Weather!E240</f>
        <v>0</v>
      </c>
      <c r="BO46" s="91">
        <f>Weather!F240</f>
        <v>309.59999999999997</v>
      </c>
      <c r="BP46" s="91">
        <f>Weather!G240</f>
        <v>0.80000000000000071</v>
      </c>
      <c r="BQ46" s="91">
        <f>Weather!H240</f>
        <v>251.89999999999998</v>
      </c>
      <c r="BR46" s="91">
        <f>Weather!I240</f>
        <v>3.1000000000000014</v>
      </c>
      <c r="BS46" s="91">
        <f>Weather!J240</f>
        <v>202.39999999999995</v>
      </c>
      <c r="BT46" s="91">
        <f>Weather!K240</f>
        <v>13.600000000000001</v>
      </c>
      <c r="BU46" s="91">
        <f>Weather!L240</f>
        <v>157.19999999999996</v>
      </c>
      <c r="BV46" s="91">
        <f>Weather!M240</f>
        <v>28.400000000000002</v>
      </c>
      <c r="BW46" s="91">
        <f>Weather!N240</f>
        <v>114.20000000000002</v>
      </c>
      <c r="BX46" s="91">
        <f>Weather!O240</f>
        <v>45.400000000000006</v>
      </c>
    </row>
    <row r="47" spans="1:76" x14ac:dyDescent="0.2">
      <c r="A47" s="66">
        <v>44196</v>
      </c>
      <c r="B47" s="114">
        <f>YEAR(A47)</f>
        <v>2020</v>
      </c>
      <c r="C47" s="104">
        <v>22275090.071478143</v>
      </c>
      <c r="D47" s="104">
        <v>4690646.6356936488</v>
      </c>
      <c r="E47" s="171">
        <f ca="1">CDM!D142</f>
        <v>1049115.2733087833</v>
      </c>
      <c r="F47" s="94">
        <f ca="1">C47+E47-D47</f>
        <v>18633558.70909328</v>
      </c>
      <c r="G47" s="94">
        <f ca="1">VLOOKUP(B47,CDM!$A$3:$G$14,7,FALSE)</f>
        <v>1049115.2733087833</v>
      </c>
      <c r="H47" s="94">
        <f t="shared" ca="1" si="2"/>
        <v>18633558.70909328</v>
      </c>
      <c r="I47" s="90">
        <f>Weather!F241</f>
        <v>537.9</v>
      </c>
      <c r="J47" s="90">
        <f>Weather!G241</f>
        <v>0</v>
      </c>
      <c r="K47" s="108">
        <v>31</v>
      </c>
      <c r="L47" s="108">
        <f>Data!L121</f>
        <v>0</v>
      </c>
      <c r="M47" s="108">
        <f>Data!M121</f>
        <v>0</v>
      </c>
      <c r="N47" s="108">
        <f>Data!N121</f>
        <v>0</v>
      </c>
      <c r="O47" s="108">
        <f>Data!O121</f>
        <v>0</v>
      </c>
      <c r="P47" s="108">
        <f>Data!P121</f>
        <v>0</v>
      </c>
      <c r="Q47" s="108">
        <f>Data!Q121</f>
        <v>0</v>
      </c>
      <c r="R47" s="108">
        <f>Data!R121</f>
        <v>0</v>
      </c>
      <c r="S47" s="108">
        <f>Data!S121</f>
        <v>0</v>
      </c>
      <c r="T47" s="108">
        <f>Data!T121</f>
        <v>0</v>
      </c>
      <c r="U47" s="108">
        <f>Data!U121</f>
        <v>0</v>
      </c>
      <c r="V47" s="108">
        <f>Data!V121</f>
        <v>0</v>
      </c>
      <c r="W47" s="108">
        <f>Data!W121</f>
        <v>1</v>
      </c>
      <c r="X47" s="109">
        <v>0</v>
      </c>
      <c r="Y47" s="108">
        <f>Data!Y121</f>
        <v>0</v>
      </c>
      <c r="Z47" s="108">
        <f>Data!Z121</f>
        <v>0</v>
      </c>
      <c r="AA47" s="152">
        <v>1</v>
      </c>
      <c r="AB47" s="68">
        <v>1</v>
      </c>
      <c r="AC47" s="152">
        <f t="shared" si="6"/>
        <v>475.89999999999986</v>
      </c>
      <c r="AD47" s="152">
        <f t="shared" si="7"/>
        <v>0</v>
      </c>
      <c r="AE47" s="152">
        <v>1</v>
      </c>
      <c r="AF47" s="150">
        <f>'Customer Count'!I121</f>
        <v>14427</v>
      </c>
      <c r="AG47" s="150">
        <f>AF47-'Customer Count'!G121-'Customer Count'!F121</f>
        <v>11685</v>
      </c>
      <c r="AH47" s="109">
        <f t="shared" si="5"/>
        <v>46</v>
      </c>
      <c r="AI47" s="109">
        <v>336</v>
      </c>
      <c r="AJ47" s="91">
        <v>165.18636828106963</v>
      </c>
      <c r="AK47" s="91">
        <f>Economic!C133</f>
        <v>747589.4</v>
      </c>
      <c r="AL47" s="91">
        <f>Economic!D133</f>
        <v>7287.6</v>
      </c>
      <c r="AM47" s="91">
        <f>Economic!E133</f>
        <v>7299.1</v>
      </c>
      <c r="AN47" s="91">
        <f>Economic!F133</f>
        <v>9.4</v>
      </c>
      <c r="AO47" s="91">
        <f>Economic!G133</f>
        <v>8.5</v>
      </c>
      <c r="AP47" s="91">
        <f>Economic!H133</f>
        <v>402.5</v>
      </c>
      <c r="AQ47" s="91">
        <f>Economic!I133</f>
        <v>409</v>
      </c>
      <c r="AR47" s="91">
        <f>Economic!J133</f>
        <v>8.1</v>
      </c>
      <c r="AS47" s="91">
        <f>Economic!K133</f>
        <v>7.2</v>
      </c>
      <c r="AT47" s="91">
        <f>Economic!L133</f>
        <v>191.6</v>
      </c>
      <c r="AU47" s="91">
        <f>Economic!M133</f>
        <v>193.8</v>
      </c>
      <c r="AV47" s="91">
        <f>Economic!N133</f>
        <v>9.1</v>
      </c>
      <c r="AW47" s="91">
        <f>Economic!O133</f>
        <v>8.6999999999999993</v>
      </c>
      <c r="AX47" s="91">
        <f>Economic!P133</f>
        <v>0</v>
      </c>
      <c r="AY47" s="91">
        <f>Economic!Q133</f>
        <v>-3.1548172757475013E-2</v>
      </c>
      <c r="AZ47" s="91">
        <f>Economic!R133</f>
        <v>-3.1332944049262013E-2</v>
      </c>
      <c r="BA47" s="91">
        <f>Economic!S133</f>
        <v>-6.2863795110593701E-2</v>
      </c>
      <c r="BB47" s="91">
        <f>Economic!T133</f>
        <v>-6.5356489945155416E-2</v>
      </c>
      <c r="BC47" s="91">
        <f>Economic!U133</f>
        <v>-7.2154963680387429E-2</v>
      </c>
      <c r="BD47" s="91">
        <f>Economic!V133</f>
        <v>-6.2862669245647984E-2</v>
      </c>
      <c r="BE47" s="91">
        <f>Economic!W133</f>
        <v>0</v>
      </c>
      <c r="BF47" s="91">
        <f>Economic!X133</f>
        <v>-237.39999999999964</v>
      </c>
      <c r="BG47" s="91">
        <f>Economic!Y133</f>
        <v>-236.09999999999945</v>
      </c>
      <c r="BH47" s="91">
        <f>Economic!Z133</f>
        <v>-27</v>
      </c>
      <c r="BI47" s="91">
        <f>Economic!AA133</f>
        <v>-28.600000000000023</v>
      </c>
      <c r="BJ47" s="91">
        <f>Economic!AB133</f>
        <v>-14.900000000000006</v>
      </c>
      <c r="BK47" s="91">
        <f>Economic!AC133</f>
        <v>-13</v>
      </c>
      <c r="BL47" s="91">
        <f>Weather!C241</f>
        <v>0.64838709677419371</v>
      </c>
      <c r="BM47" s="91">
        <f>Weather!D241</f>
        <v>599.90000000000009</v>
      </c>
      <c r="BN47" s="91">
        <f>Weather!E241</f>
        <v>0</v>
      </c>
      <c r="BO47" s="91">
        <f>Weather!F241</f>
        <v>537.9</v>
      </c>
      <c r="BP47" s="91">
        <f>Weather!G241</f>
        <v>0</v>
      </c>
      <c r="BQ47" s="91">
        <f>Weather!H241</f>
        <v>475.89999999999986</v>
      </c>
      <c r="BR47" s="91">
        <f>Weather!I241</f>
        <v>0</v>
      </c>
      <c r="BS47" s="91">
        <f>Weather!J241</f>
        <v>413.89999999999992</v>
      </c>
      <c r="BT47" s="91">
        <f>Weather!K241</f>
        <v>0</v>
      </c>
      <c r="BU47" s="91">
        <f>Weather!L241</f>
        <v>351.89999999999992</v>
      </c>
      <c r="BV47" s="91">
        <f>Weather!M241</f>
        <v>0</v>
      </c>
      <c r="BW47" s="91">
        <f>Weather!N241</f>
        <v>289.89999999999992</v>
      </c>
      <c r="BX47" s="91">
        <f>Weather!O241</f>
        <v>0</v>
      </c>
    </row>
    <row r="48" spans="1:76" x14ac:dyDescent="0.2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 s="61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</row>
    <row r="49" spans="1:76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</row>
    <row r="50" spans="1:76" x14ac:dyDescent="0.2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</row>
    <row r="51" spans="1:76" x14ac:dyDescent="0.2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</row>
    <row r="52" spans="1:76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</row>
    <row r="53" spans="1:76" x14ac:dyDescent="0.2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</row>
    <row r="54" spans="1:76" x14ac:dyDescent="0.2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</row>
    <row r="55" spans="1:76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</row>
    <row r="56" spans="1:76" x14ac:dyDescent="0.2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</row>
    <row r="57" spans="1:76" x14ac:dyDescent="0.2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</row>
    <row r="58" spans="1:76" x14ac:dyDescent="0.2">
      <c r="A58"/>
      <c r="B58"/>
      <c r="AA58" s="245"/>
      <c r="AB58" s="245"/>
      <c r="AC58" s="245"/>
      <c r="AD58" s="245"/>
    </row>
    <row r="59" spans="1:76" x14ac:dyDescent="0.2">
      <c r="A59"/>
      <c r="B59"/>
      <c r="AA59" s="245"/>
      <c r="AB59" s="245"/>
      <c r="AC59" s="245"/>
      <c r="AD59" s="245"/>
    </row>
    <row r="60" spans="1:76" x14ac:dyDescent="0.2">
      <c r="A60"/>
      <c r="B60"/>
      <c r="AA60" s="245"/>
      <c r="AB60" s="245"/>
      <c r="AC60" s="245"/>
      <c r="AD60" s="245"/>
    </row>
    <row r="61" spans="1:76" x14ac:dyDescent="0.2">
      <c r="A61"/>
      <c r="B61"/>
      <c r="AA61" s="245"/>
      <c r="AB61" s="245"/>
      <c r="AC61" s="245"/>
      <c r="AD61" s="245"/>
    </row>
    <row r="62" spans="1:76" x14ac:dyDescent="0.2">
      <c r="A62"/>
      <c r="B62"/>
      <c r="AA62" s="245"/>
      <c r="AB62" s="245"/>
      <c r="AC62" s="245"/>
      <c r="AD62" s="245"/>
    </row>
    <row r="63" spans="1:76" x14ac:dyDescent="0.2">
      <c r="A63"/>
      <c r="B63"/>
      <c r="AA63" s="245"/>
      <c r="AB63" s="245"/>
      <c r="AC63" s="245"/>
      <c r="AD63" s="245"/>
    </row>
    <row r="64" spans="1:76" x14ac:dyDescent="0.2">
      <c r="A64"/>
      <c r="B64"/>
      <c r="AA64" s="245"/>
      <c r="AB64" s="245"/>
      <c r="AC64" s="245"/>
      <c r="AD64" s="245"/>
    </row>
    <row r="65" spans="1:76" x14ac:dyDescent="0.2">
      <c r="A65"/>
      <c r="B65"/>
      <c r="AA65" s="245"/>
      <c r="AB65" s="245"/>
      <c r="AC65" s="245"/>
      <c r="AD65" s="245"/>
    </row>
    <row r="66" spans="1:76" x14ac:dyDescent="0.2">
      <c r="A66"/>
      <c r="B66"/>
      <c r="AA66" s="245"/>
      <c r="AB66" s="245"/>
      <c r="AC66" s="245"/>
      <c r="AD66" s="245"/>
    </row>
    <row r="67" spans="1:76" x14ac:dyDescent="0.2">
      <c r="A67"/>
      <c r="B67"/>
      <c r="AA67" s="245"/>
      <c r="AB67" s="245"/>
      <c r="AC67" s="245"/>
      <c r="AD67" s="245"/>
    </row>
    <row r="68" spans="1:76" x14ac:dyDescent="0.2">
      <c r="A68"/>
      <c r="B68"/>
      <c r="AA68" s="245"/>
      <c r="AB68" s="245"/>
      <c r="AC68" s="245"/>
      <c r="AD68" s="245"/>
    </row>
    <row r="69" spans="1:76" x14ac:dyDescent="0.2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</row>
    <row r="70" spans="1:76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</row>
    <row r="71" spans="1:76" s="29" customFormat="1" x14ac:dyDescent="0.2">
      <c r="A71" s="32"/>
      <c r="B71" s="32"/>
      <c r="C71" s="6"/>
      <c r="D71" s="6"/>
      <c r="E71" s="6"/>
      <c r="F71" s="6"/>
      <c r="G71" s="6"/>
      <c r="H71" s="6"/>
      <c r="I71" s="245"/>
      <c r="J71" s="245"/>
      <c r="K71" s="245"/>
      <c r="L71" s="245"/>
      <c r="M71" s="245"/>
      <c r="N71" s="245"/>
      <c r="O71" s="245"/>
      <c r="P71" s="245"/>
      <c r="Q71" s="245"/>
      <c r="R71" s="245"/>
      <c r="S71" s="245"/>
      <c r="T71" s="245"/>
      <c r="U71" s="245"/>
      <c r="V71" s="245"/>
      <c r="W71" s="245"/>
      <c r="X71" s="245"/>
      <c r="Y71" s="245"/>
      <c r="Z71" s="245"/>
      <c r="AA71" s="245"/>
      <c r="AB71" s="245"/>
      <c r="AC71" s="245"/>
      <c r="AD71" s="245"/>
      <c r="AF71" s="19"/>
      <c r="AG71" s="19"/>
      <c r="AH71" s="19"/>
      <c r="AI71" s="19"/>
    </row>
    <row r="72" spans="1:76" s="29" customFormat="1" x14ac:dyDescent="0.2">
      <c r="A72" s="32"/>
      <c r="B72" s="32"/>
      <c r="C72" s="6"/>
      <c r="D72" s="6"/>
      <c r="E72" s="6"/>
      <c r="F72" s="6"/>
      <c r="G72" s="6"/>
      <c r="H72" s="6"/>
      <c r="I72" s="245"/>
      <c r="J72" s="245"/>
      <c r="K72" s="245"/>
      <c r="L72" s="245"/>
      <c r="M72" s="245"/>
      <c r="N72" s="245"/>
      <c r="O72" s="245"/>
      <c r="P72" s="245"/>
      <c r="Q72" s="245"/>
      <c r="R72" s="245"/>
      <c r="S72" s="245"/>
      <c r="T72" s="245"/>
      <c r="U72" s="245"/>
      <c r="V72" s="245"/>
      <c r="W72" s="245"/>
      <c r="X72" s="245"/>
      <c r="Y72" s="245"/>
      <c r="Z72" s="245"/>
      <c r="AA72" s="245"/>
      <c r="AB72" s="245"/>
      <c r="AC72" s="245"/>
      <c r="AD72" s="245"/>
      <c r="AF72" s="19"/>
      <c r="AG72" s="19"/>
      <c r="AH72" s="19"/>
      <c r="AI72" s="19"/>
    </row>
    <row r="73" spans="1:76" s="29" customFormat="1" x14ac:dyDescent="0.2">
      <c r="A73" s="32"/>
      <c r="B73" s="32"/>
      <c r="C73" s="6"/>
      <c r="D73" s="6"/>
      <c r="E73" s="6"/>
      <c r="F73" s="6"/>
      <c r="G73" s="6"/>
      <c r="H73" s="6"/>
      <c r="I73" s="245"/>
      <c r="J73" s="245"/>
      <c r="K73" s="245"/>
      <c r="L73" s="245"/>
      <c r="M73" s="245"/>
      <c r="N73" s="245"/>
      <c r="O73" s="245"/>
      <c r="P73" s="245"/>
      <c r="Q73" s="245"/>
      <c r="R73" s="245"/>
      <c r="S73" s="245"/>
      <c r="T73" s="245"/>
      <c r="U73" s="245"/>
      <c r="V73" s="245"/>
      <c r="W73" s="245"/>
      <c r="X73" s="245"/>
      <c r="Y73" s="245"/>
      <c r="Z73" s="245"/>
      <c r="AA73" s="245"/>
      <c r="AB73" s="245"/>
      <c r="AC73" s="245"/>
      <c r="AD73" s="245"/>
      <c r="AF73" s="19"/>
      <c r="AG73" s="19"/>
      <c r="AH73" s="19"/>
      <c r="AI73" s="19"/>
    </row>
    <row r="74" spans="1:76" s="29" customFormat="1" x14ac:dyDescent="0.2">
      <c r="A74" s="32"/>
      <c r="B74" s="32"/>
      <c r="C74" s="6"/>
      <c r="D74" s="6"/>
      <c r="E74" s="6"/>
      <c r="F74" s="6"/>
      <c r="G74" s="6"/>
      <c r="H74" s="6"/>
      <c r="I74" s="245"/>
      <c r="J74" s="245"/>
      <c r="K74" s="245"/>
      <c r="L74" s="245"/>
      <c r="M74" s="245"/>
      <c r="N74" s="245"/>
      <c r="O74" s="245"/>
      <c r="P74" s="245"/>
      <c r="Q74" s="245"/>
      <c r="R74" s="245"/>
      <c r="S74" s="245"/>
      <c r="T74" s="245"/>
      <c r="U74" s="245"/>
      <c r="V74" s="245"/>
      <c r="W74" s="245"/>
      <c r="X74" s="245"/>
      <c r="Y74" s="245"/>
      <c r="Z74" s="245"/>
      <c r="AA74" s="245"/>
      <c r="AB74" s="245"/>
      <c r="AC74" s="245"/>
      <c r="AD74" s="245"/>
      <c r="AF74" s="19"/>
      <c r="AG74" s="19"/>
      <c r="AH74" s="19"/>
      <c r="AI74" s="19"/>
    </row>
    <row r="75" spans="1:76" s="29" customFormat="1" x14ac:dyDescent="0.2">
      <c r="A75" s="32"/>
      <c r="B75" s="32"/>
      <c r="C75" s="6"/>
      <c r="D75" s="6"/>
      <c r="E75" s="6"/>
      <c r="F75" s="6"/>
      <c r="G75" s="6"/>
      <c r="H75" s="6"/>
      <c r="I75" s="245"/>
      <c r="J75" s="245"/>
      <c r="K75" s="245"/>
      <c r="L75" s="245"/>
      <c r="M75" s="245"/>
      <c r="N75" s="245"/>
      <c r="O75" s="245"/>
      <c r="P75" s="245"/>
      <c r="Q75" s="245"/>
      <c r="R75" s="245"/>
      <c r="S75" s="245"/>
      <c r="T75" s="245"/>
      <c r="U75" s="245"/>
      <c r="V75" s="245"/>
      <c r="W75" s="245"/>
      <c r="X75" s="245"/>
      <c r="Y75" s="245"/>
      <c r="Z75" s="245"/>
      <c r="AA75" s="245"/>
      <c r="AB75" s="245"/>
      <c r="AC75" s="245"/>
      <c r="AD75" s="245"/>
      <c r="AF75" s="19"/>
      <c r="AG75" s="19"/>
      <c r="AH75" s="19"/>
      <c r="AI75" s="19"/>
    </row>
    <row r="76" spans="1:76" s="29" customFormat="1" x14ac:dyDescent="0.2">
      <c r="A76" s="32"/>
      <c r="B76" s="32"/>
      <c r="C76" s="6"/>
      <c r="D76" s="6"/>
      <c r="E76" s="6"/>
      <c r="F76" s="6"/>
      <c r="G76" s="6"/>
      <c r="H76" s="6"/>
      <c r="I76" s="245"/>
      <c r="J76" s="245"/>
      <c r="K76" s="245"/>
      <c r="L76" s="245"/>
      <c r="M76" s="245"/>
      <c r="N76" s="245"/>
      <c r="O76" s="245"/>
      <c r="P76" s="245"/>
      <c r="Q76" s="245"/>
      <c r="R76" s="245"/>
      <c r="S76" s="245"/>
      <c r="T76" s="245"/>
      <c r="U76" s="245"/>
      <c r="V76" s="245"/>
      <c r="W76" s="245"/>
      <c r="X76" s="245"/>
      <c r="Y76" s="245"/>
      <c r="Z76" s="245"/>
      <c r="AA76" s="245"/>
      <c r="AB76" s="245"/>
      <c r="AC76" s="245"/>
      <c r="AD76" s="245"/>
      <c r="AF76" s="19"/>
      <c r="AG76" s="19"/>
      <c r="AH76" s="19"/>
      <c r="AI76" s="19"/>
    </row>
    <row r="77" spans="1:76" s="29" customFormat="1" x14ac:dyDescent="0.2">
      <c r="A77" s="32"/>
      <c r="B77" s="32"/>
      <c r="C77" s="6"/>
      <c r="D77" s="6"/>
      <c r="E77" s="6"/>
      <c r="F77" s="6"/>
      <c r="G77" s="6"/>
      <c r="H77" s="6"/>
      <c r="I77" s="245"/>
      <c r="J77" s="245"/>
      <c r="K77" s="245"/>
      <c r="L77" s="245"/>
      <c r="M77" s="245"/>
      <c r="N77" s="245"/>
      <c r="O77" s="245"/>
      <c r="P77" s="245"/>
      <c r="Q77" s="245"/>
      <c r="R77" s="245"/>
      <c r="S77" s="245"/>
      <c r="T77" s="245"/>
      <c r="U77" s="245"/>
      <c r="V77" s="245"/>
      <c r="W77" s="245"/>
      <c r="X77" s="245"/>
      <c r="Y77" s="245"/>
      <c r="Z77" s="245"/>
      <c r="AA77" s="245"/>
      <c r="AB77" s="245"/>
      <c r="AC77" s="245"/>
      <c r="AD77" s="245"/>
      <c r="AF77" s="19"/>
      <c r="AG77" s="19"/>
      <c r="AH77" s="19"/>
      <c r="AI77" s="19"/>
    </row>
    <row r="78" spans="1:76" s="29" customFormat="1" x14ac:dyDescent="0.2">
      <c r="A78" s="32"/>
      <c r="B78" s="32"/>
      <c r="C78" s="6"/>
      <c r="D78" s="6"/>
      <c r="E78" s="6"/>
      <c r="F78" s="6"/>
      <c r="G78" s="6"/>
      <c r="H78" s="6"/>
      <c r="I78" s="245"/>
      <c r="J78" s="245"/>
      <c r="K78" s="245"/>
      <c r="L78" s="245"/>
      <c r="M78" s="245"/>
      <c r="N78" s="245"/>
      <c r="O78" s="245"/>
      <c r="P78" s="245"/>
      <c r="Q78" s="245"/>
      <c r="R78" s="245"/>
      <c r="S78" s="245"/>
      <c r="T78" s="245"/>
      <c r="U78" s="245"/>
      <c r="V78" s="245"/>
      <c r="W78" s="245"/>
      <c r="X78" s="245"/>
      <c r="Y78" s="245"/>
      <c r="Z78" s="245"/>
      <c r="AA78" s="245"/>
      <c r="AB78" s="245"/>
      <c r="AC78" s="245"/>
      <c r="AD78" s="245"/>
      <c r="AF78" s="19"/>
      <c r="AG78" s="19"/>
      <c r="AH78" s="19"/>
      <c r="AI78" s="19"/>
    </row>
    <row r="79" spans="1:76" s="29" customFormat="1" x14ac:dyDescent="0.2">
      <c r="A79" s="32"/>
      <c r="B79" s="32"/>
      <c r="C79" s="6"/>
      <c r="D79" s="6"/>
      <c r="E79" s="6"/>
      <c r="F79" s="6"/>
      <c r="G79" s="6"/>
      <c r="H79" s="6"/>
      <c r="I79" s="245"/>
      <c r="J79" s="245"/>
      <c r="K79" s="245"/>
      <c r="L79" s="245"/>
      <c r="M79" s="245"/>
      <c r="N79" s="245"/>
      <c r="O79" s="245"/>
      <c r="P79" s="245"/>
      <c r="Q79" s="245"/>
      <c r="R79" s="245"/>
      <c r="S79" s="245"/>
      <c r="T79" s="245"/>
      <c r="U79" s="245"/>
      <c r="V79" s="245"/>
      <c r="W79" s="245"/>
      <c r="X79" s="245"/>
      <c r="Y79" s="245"/>
      <c r="Z79" s="245"/>
      <c r="AA79" s="245"/>
      <c r="AB79" s="245"/>
      <c r="AC79" s="245"/>
      <c r="AD79" s="245"/>
      <c r="AF79" s="19"/>
      <c r="AG79" s="19"/>
      <c r="AH79" s="19"/>
      <c r="AI79" s="19"/>
    </row>
    <row r="80" spans="1:76" s="29" customFormat="1" x14ac:dyDescent="0.2">
      <c r="A80" s="32"/>
      <c r="B80" s="32"/>
      <c r="C80" s="6"/>
      <c r="D80" s="6"/>
      <c r="E80" s="6"/>
      <c r="F80" s="6"/>
      <c r="G80" s="6"/>
      <c r="H80" s="6"/>
      <c r="I80" s="245"/>
      <c r="J80" s="245"/>
      <c r="K80" s="245"/>
      <c r="L80" s="245"/>
      <c r="M80" s="245"/>
      <c r="N80" s="245"/>
      <c r="O80" s="245"/>
      <c r="P80" s="245"/>
      <c r="Q80" s="245"/>
      <c r="R80" s="245"/>
      <c r="S80" s="245"/>
      <c r="T80" s="245"/>
      <c r="U80" s="245"/>
      <c r="V80" s="245"/>
      <c r="W80" s="245"/>
      <c r="X80" s="245"/>
      <c r="Y80" s="245"/>
      <c r="Z80" s="245"/>
      <c r="AA80" s="245"/>
      <c r="AB80" s="245"/>
      <c r="AC80" s="245"/>
      <c r="AD80" s="245"/>
      <c r="AF80" s="19"/>
      <c r="AG80" s="19"/>
      <c r="AH80" s="19"/>
      <c r="AI80" s="19"/>
    </row>
    <row r="81" spans="1:35" s="29" customFormat="1" x14ac:dyDescent="0.2">
      <c r="A81" s="32"/>
      <c r="B81" s="32"/>
      <c r="C81" s="6"/>
      <c r="D81" s="6"/>
      <c r="E81" s="6"/>
      <c r="F81" s="6"/>
      <c r="G81" s="6"/>
      <c r="H81" s="6"/>
      <c r="I81" s="245"/>
      <c r="J81" s="245"/>
      <c r="K81" s="245"/>
      <c r="L81" s="245"/>
      <c r="M81" s="245"/>
      <c r="N81" s="245"/>
      <c r="O81" s="245"/>
      <c r="P81" s="245"/>
      <c r="Q81" s="245"/>
      <c r="R81" s="245"/>
      <c r="S81" s="245"/>
      <c r="T81" s="245"/>
      <c r="U81" s="245"/>
      <c r="V81" s="245"/>
      <c r="W81" s="245"/>
      <c r="X81" s="245"/>
      <c r="Y81" s="245"/>
      <c r="Z81" s="245"/>
      <c r="AA81" s="245"/>
      <c r="AB81" s="245"/>
      <c r="AC81" s="245"/>
      <c r="AD81" s="245"/>
      <c r="AF81" s="19"/>
      <c r="AG81" s="19"/>
      <c r="AH81" s="19"/>
      <c r="AI81" s="19"/>
    </row>
    <row r="82" spans="1:35" s="29" customFormat="1" x14ac:dyDescent="0.2">
      <c r="A82" s="32"/>
      <c r="B82" s="32"/>
      <c r="C82" s="6"/>
      <c r="D82" s="6"/>
      <c r="E82" s="6"/>
      <c r="F82" s="6"/>
      <c r="G82" s="6"/>
      <c r="H82" s="6"/>
      <c r="I82" s="245"/>
      <c r="J82" s="245"/>
      <c r="K82" s="245"/>
      <c r="L82" s="245"/>
      <c r="M82" s="245"/>
      <c r="N82" s="245"/>
      <c r="O82" s="245"/>
      <c r="P82" s="245"/>
      <c r="Q82" s="245"/>
      <c r="R82" s="245"/>
      <c r="S82" s="245"/>
      <c r="T82" s="245"/>
      <c r="U82" s="245"/>
      <c r="V82" s="245"/>
      <c r="W82" s="245"/>
      <c r="X82" s="245"/>
      <c r="Y82" s="245"/>
      <c r="Z82" s="245"/>
      <c r="AA82" s="245"/>
      <c r="AB82" s="245"/>
      <c r="AC82" s="245"/>
      <c r="AD82" s="245"/>
      <c r="AF82" s="19"/>
      <c r="AG82" s="19"/>
      <c r="AH82" s="19"/>
      <c r="AI82" s="19"/>
    </row>
    <row r="83" spans="1:35" s="29" customFormat="1" x14ac:dyDescent="0.2">
      <c r="A83" s="32"/>
      <c r="B83" s="32"/>
      <c r="C83" s="6"/>
      <c r="D83" s="6"/>
      <c r="E83" s="6"/>
      <c r="F83" s="6"/>
      <c r="G83" s="6"/>
      <c r="H83" s="6"/>
      <c r="I83" s="245"/>
      <c r="J83" s="245"/>
      <c r="K83" s="245"/>
      <c r="L83" s="245"/>
      <c r="M83" s="245"/>
      <c r="N83" s="245"/>
      <c r="O83" s="245"/>
      <c r="P83" s="245"/>
      <c r="Q83" s="245"/>
      <c r="R83" s="245"/>
      <c r="S83" s="245"/>
      <c r="T83" s="245"/>
      <c r="U83" s="245"/>
      <c r="V83" s="245"/>
      <c r="W83" s="245"/>
      <c r="X83" s="245"/>
      <c r="Y83" s="245"/>
      <c r="Z83" s="245"/>
      <c r="AA83" s="245"/>
      <c r="AB83" s="245"/>
      <c r="AC83" s="245"/>
      <c r="AD83" s="245"/>
      <c r="AF83" s="19"/>
      <c r="AG83" s="19"/>
      <c r="AH83" s="19"/>
      <c r="AI83" s="19"/>
    </row>
  </sheetData>
  <printOptions gridLines="1"/>
  <pageMargins left="0.38" right="0.75" top="0.73" bottom="0.74" header="0.5" footer="0.5"/>
  <pageSetup scale="15" orientation="landscape" r:id="rId1"/>
  <headerFooter alignWithMargins="0">
    <oddFooter>&amp;L&amp;Z&amp;F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  <pageSetUpPr fitToPage="1"/>
  </sheetPr>
  <dimension ref="A2:W66"/>
  <sheetViews>
    <sheetView workbookViewId="0">
      <pane xSplit="2" ySplit="2" topLeftCell="C34" activePane="bottomRight" state="frozen"/>
      <selection activeCell="H15" sqref="H15"/>
      <selection pane="topRight" activeCell="H15" sqref="H15"/>
      <selection pane="bottomLeft" activeCell="H15" sqref="H15"/>
      <selection pane="bottomRight" activeCell="H63" sqref="H63"/>
    </sheetView>
  </sheetViews>
  <sheetFormatPr defaultRowHeight="12.75" x14ac:dyDescent="0.2"/>
  <cols>
    <col min="1" max="1" width="21.5703125" style="259" customWidth="1"/>
    <col min="2" max="2" width="18" style="260" customWidth="1"/>
    <col min="3" max="3" width="16.42578125" style="260" customWidth="1"/>
    <col min="4" max="7" width="18" style="260" customWidth="1"/>
    <col min="8" max="8" width="15.5703125" style="260" customWidth="1"/>
    <col min="9" max="9" width="15.5703125" style="276" customWidth="1"/>
    <col min="10" max="10" width="15" style="276" customWidth="1"/>
    <col min="11" max="12" width="14.140625" style="276" bestFit="1" customWidth="1"/>
    <col min="13" max="13" width="9.140625" style="276" bestFit="1" customWidth="1"/>
    <col min="14" max="14" width="15.7109375" style="276" bestFit="1" customWidth="1"/>
    <col min="15" max="15" width="16.85546875" style="276" customWidth="1"/>
    <col min="16" max="17" width="16.85546875" style="259" customWidth="1"/>
    <col min="18" max="18" width="14.42578125" style="259" customWidth="1"/>
    <col min="19" max="19" width="12.5703125" style="259" bestFit="1" customWidth="1"/>
    <col min="20" max="20" width="14.85546875" style="259" customWidth="1"/>
    <col min="21" max="21" width="14" style="259" customWidth="1"/>
    <col min="22" max="22" width="10.140625" style="259" bestFit="1" customWidth="1"/>
    <col min="23" max="23" width="12.5703125" style="276" bestFit="1" customWidth="1"/>
    <col min="24" max="16384" width="9.140625" style="259"/>
  </cols>
  <sheetData>
    <row r="2" spans="1:20" ht="38.25" x14ac:dyDescent="0.2">
      <c r="B2" s="268" t="s">
        <v>9</v>
      </c>
      <c r="C2" s="269" t="s">
        <v>228</v>
      </c>
      <c r="D2" s="269" t="s">
        <v>227</v>
      </c>
      <c r="E2" s="268" t="s">
        <v>10</v>
      </c>
      <c r="F2" s="268" t="s">
        <v>20</v>
      </c>
      <c r="G2" s="268" t="s">
        <v>11</v>
      </c>
      <c r="H2" s="268" t="s">
        <v>0</v>
      </c>
      <c r="I2" s="270" t="s">
        <v>3</v>
      </c>
      <c r="J2" s="271" t="s">
        <v>1</v>
      </c>
      <c r="K2" s="272" t="s">
        <v>193</v>
      </c>
      <c r="L2" s="272" t="s">
        <v>194</v>
      </c>
      <c r="M2" s="273" t="s">
        <v>37</v>
      </c>
      <c r="N2" s="273" t="s">
        <v>2</v>
      </c>
      <c r="O2" s="274" t="s">
        <v>58</v>
      </c>
      <c r="Q2" s="272" t="s">
        <v>35</v>
      </c>
      <c r="R2" s="272" t="s">
        <v>80</v>
      </c>
    </row>
    <row r="3" spans="1:20" x14ac:dyDescent="0.2">
      <c r="A3" s="275">
        <f>'Rate Class Energy Model'!A3</f>
        <v>2011</v>
      </c>
      <c r="B3" s="276">
        <f>'Purchased Power Model'!D165</f>
        <v>190473063.91087499</v>
      </c>
      <c r="C3" s="277">
        <f>B3-O3</f>
        <v>190473063.91087499</v>
      </c>
      <c r="D3" s="276">
        <f ca="1">'Purchased Power Model (NoCoV)'!Q165</f>
        <v>189573048.32409984</v>
      </c>
      <c r="E3" s="276">
        <f ca="1">'Purchased Power Model (NoCoV)'!S165</f>
        <v>189573048.32409984</v>
      </c>
      <c r="F3" s="278">
        <f ca="1">E3-B3</f>
        <v>-900015.58677515388</v>
      </c>
      <c r="G3" s="279">
        <f ca="1">F3/B3</f>
        <v>-4.7251593915467426E-3</v>
      </c>
      <c r="H3" s="280">
        <f t="shared" ref="H3:H11" si="0">1 +(B3-I3)/I3</f>
        <v>1.050645256032714</v>
      </c>
      <c r="I3" s="276">
        <f t="shared" ref="I3:I10" si="1">SUM(J3:O3)</f>
        <v>181291509.02000001</v>
      </c>
      <c r="J3" s="281">
        <v>92485342</v>
      </c>
      <c r="K3" s="281">
        <f>Q3+'GS Reclassification Adjustment'!C3</f>
        <v>20506443.905541796</v>
      </c>
      <c r="L3" s="281">
        <f>R3-'GS Reclassification Adjustment'!C3</f>
        <v>66328083.0944582</v>
      </c>
      <c r="M3" s="281">
        <v>1585167</v>
      </c>
      <c r="N3" s="281">
        <v>386473.02</v>
      </c>
      <c r="O3" s="274"/>
      <c r="Q3" s="185">
        <v>17886498</v>
      </c>
      <c r="R3" s="185">
        <v>68948029</v>
      </c>
      <c r="T3" s="261"/>
    </row>
    <row r="4" spans="1:20" x14ac:dyDescent="0.2">
      <c r="A4" s="275">
        <f>'Rate Class Energy Model'!A4</f>
        <v>2012</v>
      </c>
      <c r="B4" s="276">
        <f>'Purchased Power Model'!D166</f>
        <v>191452810.61006799</v>
      </c>
      <c r="C4" s="277">
        <f t="shared" ref="C4:C12" si="2">B4-O4</f>
        <v>191452810.61006799</v>
      </c>
      <c r="D4" s="276">
        <f ca="1">'Purchased Power Model (NoCoV)'!Q166</f>
        <v>190452671.9543089</v>
      </c>
      <c r="E4" s="276">
        <f ca="1">'Purchased Power Model (NoCoV)'!S166</f>
        <v>190452671.9543089</v>
      </c>
      <c r="F4" s="278">
        <f t="shared" ref="F4:F11" ca="1" si="3">E4-B4</f>
        <v>-1000138.6557590961</v>
      </c>
      <c r="G4" s="279">
        <f t="shared" ref="G4:G11" ca="1" si="4">F4/B4</f>
        <v>-5.2239434488955032E-3</v>
      </c>
      <c r="H4" s="280">
        <f t="shared" si="0"/>
        <v>1.0222823034749724</v>
      </c>
      <c r="I4" s="276">
        <f t="shared" si="1"/>
        <v>187279785.59276229</v>
      </c>
      <c r="J4" s="281">
        <v>93908435.719999999</v>
      </c>
      <c r="K4" s="281">
        <f>Q4+'GS Reclassification Adjustment'!C4</f>
        <v>20377519.439667486</v>
      </c>
      <c r="L4" s="281">
        <f>R4-'GS Reclassification Adjustment'!C4</f>
        <v>71032469.94309482</v>
      </c>
      <c r="M4" s="281">
        <v>1581518.6</v>
      </c>
      <c r="N4" s="281">
        <v>379841.89</v>
      </c>
      <c r="O4" s="281"/>
      <c r="Q4" s="185">
        <v>17958297.190000001</v>
      </c>
      <c r="R4" s="185">
        <v>73451692.1927623</v>
      </c>
      <c r="T4" s="261"/>
    </row>
    <row r="5" spans="1:20" x14ac:dyDescent="0.2">
      <c r="A5" s="275">
        <f>'Rate Class Energy Model'!A5</f>
        <v>2013</v>
      </c>
      <c r="B5" s="276">
        <f>'Purchased Power Model'!D167</f>
        <v>189981587.17494002</v>
      </c>
      <c r="C5" s="277">
        <f t="shared" si="2"/>
        <v>189981587.17494002</v>
      </c>
      <c r="D5" s="276">
        <f ca="1">'Purchased Power Model (NoCoV)'!Q167</f>
        <v>187761472.07805985</v>
      </c>
      <c r="E5" s="276">
        <f ca="1">'Purchased Power Model (NoCoV)'!S167</f>
        <v>187761472.07805985</v>
      </c>
      <c r="F5" s="278">
        <f t="shared" ca="1" si="3"/>
        <v>-2220115.0968801677</v>
      </c>
      <c r="G5" s="279">
        <f t="shared" ca="1" si="4"/>
        <v>-1.1685948780056394E-2</v>
      </c>
      <c r="H5" s="280">
        <f t="shared" si="0"/>
        <v>1.0173178425522735</v>
      </c>
      <c r="I5" s="276">
        <f t="shared" si="1"/>
        <v>186747522.97503135</v>
      </c>
      <c r="J5" s="281">
        <v>92183859.780000001</v>
      </c>
      <c r="K5" s="281">
        <f>Q5+'GS Reclassification Adjustment'!C5</f>
        <v>20813335.531687248</v>
      </c>
      <c r="L5" s="281">
        <f>R5-'GS Reclassification Adjustment'!C5</f>
        <v>71846141.103344098</v>
      </c>
      <c r="M5" s="281">
        <v>1528363</v>
      </c>
      <c r="N5" s="281">
        <v>375823.56</v>
      </c>
      <c r="O5" s="281"/>
      <c r="Q5" s="185">
        <v>18436579.289999999</v>
      </c>
      <c r="R5" s="185">
        <v>74222897.345031351</v>
      </c>
      <c r="T5" s="261"/>
    </row>
    <row r="6" spans="1:20" x14ac:dyDescent="0.2">
      <c r="A6" s="275">
        <f>'Rate Class Energy Model'!A6</f>
        <v>2014</v>
      </c>
      <c r="B6" s="276">
        <f>'Purchased Power Model'!D168</f>
        <v>188316012.84</v>
      </c>
      <c r="C6" s="277">
        <f t="shared" si="2"/>
        <v>188316012.84</v>
      </c>
      <c r="D6" s="276">
        <f ca="1">'Purchased Power Model (NoCoV)'!Q168</f>
        <v>189347255.20894709</v>
      </c>
      <c r="E6" s="276">
        <f ca="1">'Purchased Power Model (NoCoV)'!S168</f>
        <v>189347255.20894709</v>
      </c>
      <c r="F6" s="278">
        <f t="shared" ca="1" si="3"/>
        <v>1031242.3689470887</v>
      </c>
      <c r="G6" s="279">
        <f t="shared" ca="1" si="4"/>
        <v>5.4761268221161256E-3</v>
      </c>
      <c r="H6" s="280">
        <f t="shared" si="0"/>
        <v>1.0242880665361258</v>
      </c>
      <c r="I6" s="276">
        <f t="shared" si="1"/>
        <v>183850636.35158369</v>
      </c>
      <c r="J6" s="281">
        <v>91571085.549999997</v>
      </c>
      <c r="K6" s="281">
        <f>Q6+'GS Reclassification Adjustment'!C6</f>
        <v>20916651.983346008</v>
      </c>
      <c r="L6" s="281">
        <f>R6-'GS Reclassification Adjustment'!C6</f>
        <v>69773371.558237672</v>
      </c>
      <c r="M6" s="281">
        <v>1218696.8</v>
      </c>
      <c r="N6" s="281">
        <v>370830.46</v>
      </c>
      <c r="O6" s="281"/>
      <c r="Q6" s="185">
        <v>18767140.449999999</v>
      </c>
      <c r="R6" s="185">
        <v>71922883.091583684</v>
      </c>
      <c r="T6" s="261"/>
    </row>
    <row r="7" spans="1:20" x14ac:dyDescent="0.2">
      <c r="A7" s="275">
        <f>'Rate Class Energy Model'!A7</f>
        <v>2015</v>
      </c>
      <c r="B7" s="276">
        <f>'Purchased Power Model'!D169</f>
        <v>188795455.39999998</v>
      </c>
      <c r="C7" s="277">
        <f t="shared" si="2"/>
        <v>188795455.39999998</v>
      </c>
      <c r="D7" s="276">
        <f ca="1">'Purchased Power Model (NoCoV)'!Q169</f>
        <v>190813629.33185539</v>
      </c>
      <c r="E7" s="276">
        <f ca="1">'Purchased Power Model (NoCoV)'!S169</f>
        <v>190813629.33185539</v>
      </c>
      <c r="F7" s="278">
        <f t="shared" ca="1" si="3"/>
        <v>2018173.9318554103</v>
      </c>
      <c r="G7" s="279">
        <f t="shared" ca="1" si="4"/>
        <v>1.068973788367689E-2</v>
      </c>
      <c r="H7" s="280">
        <f t="shared" si="0"/>
        <v>1.0248726627643543</v>
      </c>
      <c r="I7" s="276">
        <f t="shared" si="1"/>
        <v>184213573.31433585</v>
      </c>
      <c r="J7" s="281">
        <v>93262508.710000008</v>
      </c>
      <c r="K7" s="281">
        <f>Q7+'GS Reclassification Adjustment'!C7</f>
        <v>21318065.919019569</v>
      </c>
      <c r="L7" s="281">
        <f>R7-'GS Reclassification Adjustment'!C7</f>
        <v>68549561.93531628</v>
      </c>
      <c r="M7" s="281">
        <v>718341.4</v>
      </c>
      <c r="N7" s="281">
        <v>365095.35</v>
      </c>
      <c r="O7" s="281"/>
      <c r="Q7" s="185">
        <v>19253148.599999998</v>
      </c>
      <c r="R7" s="185">
        <v>70614479.25433585</v>
      </c>
      <c r="T7" s="261"/>
    </row>
    <row r="8" spans="1:20" x14ac:dyDescent="0.2">
      <c r="A8" s="275">
        <f>'Rate Class Energy Model'!A8</f>
        <v>2016</v>
      </c>
      <c r="B8" s="276">
        <f>'Purchased Power Model'!D170</f>
        <v>189916009.50999996</v>
      </c>
      <c r="C8" s="277">
        <f t="shared" si="2"/>
        <v>189916009.50999996</v>
      </c>
      <c r="D8" s="276">
        <f ca="1">'Purchased Power Model (NoCoV)'!Q170</f>
        <v>193439984.62953711</v>
      </c>
      <c r="E8" s="276">
        <f ca="1">'Purchased Power Model (NoCoV)'!S170</f>
        <v>193439984.62953711</v>
      </c>
      <c r="F8" s="278">
        <f t="shared" ca="1" si="3"/>
        <v>3523975.1195371449</v>
      </c>
      <c r="G8" s="279">
        <f t="shared" ca="1" si="4"/>
        <v>1.8555440000183825E-2</v>
      </c>
      <c r="H8" s="280">
        <f t="shared" si="0"/>
        <v>1.0483896400715833</v>
      </c>
      <c r="I8" s="276">
        <f t="shared" si="1"/>
        <v>181150215.77000001</v>
      </c>
      <c r="J8" s="281">
        <v>95863365.789999992</v>
      </c>
      <c r="K8" s="281">
        <f>Q8+'GS Reclassification Adjustment'!C8</f>
        <v>21016725.873090759</v>
      </c>
      <c r="L8" s="281">
        <f>R8-'GS Reclassification Adjustment'!C8</f>
        <v>63205796.946909249</v>
      </c>
      <c r="M8" s="281">
        <v>719486.7</v>
      </c>
      <c r="N8" s="281">
        <v>344840.46</v>
      </c>
      <c r="O8" s="281"/>
      <c r="Q8" s="185">
        <v>18967931.630000003</v>
      </c>
      <c r="R8" s="185">
        <v>65254591.190000005</v>
      </c>
      <c r="T8" s="261"/>
    </row>
    <row r="9" spans="1:20" x14ac:dyDescent="0.2">
      <c r="A9" s="275">
        <f>'Rate Class Energy Model'!A9</f>
        <v>2017</v>
      </c>
      <c r="B9" s="276">
        <f>'Purchased Power Model'!D171</f>
        <v>211070217.70538622</v>
      </c>
      <c r="C9" s="277">
        <f t="shared" si="2"/>
        <v>181086826.573576</v>
      </c>
      <c r="D9" s="276">
        <f ca="1">'Purchased Power Model (NoCoV)'!Q171</f>
        <v>184880387.41768745</v>
      </c>
      <c r="E9" s="276">
        <f ca="1">'Purchased Power Model (NoCoV)'!S171</f>
        <v>214863778.54949766</v>
      </c>
      <c r="F9" s="278">
        <f t="shared" ca="1" si="3"/>
        <v>3793560.8441114426</v>
      </c>
      <c r="G9" s="279">
        <f t="shared" ca="1" si="4"/>
        <v>1.797298020228761E-2</v>
      </c>
      <c r="H9" s="280">
        <f>1 +(B9-I9)/I9</f>
        <v>1.040336488088105</v>
      </c>
      <c r="I9" s="276">
        <f t="shared" si="1"/>
        <v>202886489.24857369</v>
      </c>
      <c r="J9" s="281">
        <v>89264141.450000003</v>
      </c>
      <c r="K9" s="281">
        <f>Q9+'GS Reclassification Adjustment'!C9</f>
        <v>20643958.824984223</v>
      </c>
      <c r="L9" s="281">
        <f>R9-'GS Reclassification Adjustment'!C9</f>
        <v>61933325.571779281</v>
      </c>
      <c r="M9" s="281">
        <v>722926.2</v>
      </c>
      <c r="N9" s="281">
        <v>338746.07000000007</v>
      </c>
      <c r="O9" s="281">
        <v>29983391.131810207</v>
      </c>
      <c r="Q9" s="185">
        <v>18815505.98</v>
      </c>
      <c r="R9" s="185">
        <v>63761778.416763499</v>
      </c>
      <c r="T9" s="261"/>
    </row>
    <row r="10" spans="1:20" x14ac:dyDescent="0.2">
      <c r="A10" s="275">
        <f>'Rate Class Energy Model'!A10</f>
        <v>2018</v>
      </c>
      <c r="B10" s="276">
        <f>'Purchased Power Model'!D172</f>
        <v>237650537.15783811</v>
      </c>
      <c r="C10" s="277">
        <f t="shared" si="2"/>
        <v>194269903.58371869</v>
      </c>
      <c r="D10" s="276">
        <f ca="1">'Purchased Power Model (NoCoV)'!Q172</f>
        <v>192270679.47886389</v>
      </c>
      <c r="E10" s="276">
        <f ca="1">'Purchased Power Model (NoCoV)'!S172</f>
        <v>235651313.05298331</v>
      </c>
      <c r="F10" s="278">
        <f t="shared" ca="1" si="3"/>
        <v>-1999224.1048547924</v>
      </c>
      <c r="G10" s="279">
        <f t="shared" ca="1" si="4"/>
        <v>-8.4124535495031794E-3</v>
      </c>
      <c r="H10" s="280">
        <f t="shared" si="0"/>
        <v>1.0454166930759821</v>
      </c>
      <c r="I10" s="276">
        <f t="shared" si="1"/>
        <v>227326135.81918898</v>
      </c>
      <c r="J10" s="281">
        <v>96930170.469999969</v>
      </c>
      <c r="K10" s="281">
        <f>Q10+'GS Reclassification Adjustment'!C10</f>
        <v>21056361.495594338</v>
      </c>
      <c r="L10" s="281">
        <f>R10-'GS Reclassification Adjustment'!C10</f>
        <v>64879431.619475223</v>
      </c>
      <c r="M10" s="281">
        <v>741474.8</v>
      </c>
      <c r="N10" s="281">
        <v>338063.86</v>
      </c>
      <c r="O10" s="281">
        <v>43380633.574119426</v>
      </c>
      <c r="Q10" s="282">
        <v>19250751.989999998</v>
      </c>
      <c r="R10" s="282">
        <v>66685041.125069566</v>
      </c>
      <c r="T10" s="261"/>
    </row>
    <row r="11" spans="1:20" x14ac:dyDescent="0.2">
      <c r="A11" s="275">
        <f>'Rate Class Energy Model'!A11</f>
        <v>2019</v>
      </c>
      <c r="B11" s="276">
        <f>'Purchased Power Model'!D173</f>
        <v>239547871.85641468</v>
      </c>
      <c r="C11" s="277">
        <f t="shared" si="2"/>
        <v>190479226.55503541</v>
      </c>
      <c r="D11" s="276">
        <f ca="1">'Purchased Power Model (NoCoV)'!Q173</f>
        <v>186344358.49967629</v>
      </c>
      <c r="E11" s="276">
        <f ca="1">'Purchased Power Model (NoCoV)'!S173</f>
        <v>235413003.80105555</v>
      </c>
      <c r="F11" s="278">
        <f t="shared" ca="1" si="3"/>
        <v>-4134868.0553591251</v>
      </c>
      <c r="G11" s="279">
        <f t="shared" ca="1" si="4"/>
        <v>-1.7261134583727678E-2</v>
      </c>
      <c r="H11" s="280">
        <f t="shared" si="0"/>
        <v>1.0440187139615562</v>
      </c>
      <c r="I11" s="276">
        <f>SUM(J11:O11)</f>
        <v>229447871.62621254</v>
      </c>
      <c r="J11" s="281">
        <v>94075700.679999962</v>
      </c>
      <c r="K11" s="281">
        <f>Q11+'GS Reclassification Adjustment'!C11</f>
        <v>21682845.634852249</v>
      </c>
      <c r="L11" s="281">
        <f>R11-'GS Reclassification Adjustment'!C11</f>
        <v>63541604.039981067</v>
      </c>
      <c r="M11" s="281">
        <v>742609.6</v>
      </c>
      <c r="N11" s="281">
        <v>336466.37000000005</v>
      </c>
      <c r="O11" s="281">
        <v>49068645.301379278</v>
      </c>
      <c r="Q11" s="282">
        <v>19815114.449999999</v>
      </c>
      <c r="R11" s="282">
        <v>65409335.224833317</v>
      </c>
      <c r="T11" s="261"/>
    </row>
    <row r="12" spans="1:20" ht="13.5" thickBot="1" x14ac:dyDescent="0.25">
      <c r="A12" s="275">
        <f>'Rate Class Energy Model'!A12</f>
        <v>2020</v>
      </c>
      <c r="B12" s="276">
        <f>'Purchased Power Model'!D174</f>
        <v>257550552.01565266</v>
      </c>
      <c r="C12" s="277">
        <f t="shared" si="2"/>
        <v>198368432.03149033</v>
      </c>
      <c r="D12" s="276">
        <f ca="1">'Purchased Power Model (NoCoV)'!Q174</f>
        <v>190635701.72509766</v>
      </c>
      <c r="E12" s="276">
        <f ca="1">'Purchased Power Model (NoCoV)'!S174</f>
        <v>249817821.70925999</v>
      </c>
      <c r="F12" s="278">
        <f ca="1">E12-B12</f>
        <v>-7732730.3063926697</v>
      </c>
      <c r="G12" s="279">
        <f ca="1">F12/B12</f>
        <v>-3.0024126315686222E-2</v>
      </c>
      <c r="H12" s="280">
        <f>1 +(B12-I12)/I12</f>
        <v>1.0435847645310101</v>
      </c>
      <c r="I12" s="276">
        <f>SUM(J12:O12)</f>
        <v>246794089.72724569</v>
      </c>
      <c r="J12" s="281">
        <v>102206305.12000003</v>
      </c>
      <c r="K12" s="281">
        <f>Q12+'GS Reclassification Adjustment'!C12</f>
        <v>20675583.910361484</v>
      </c>
      <c r="L12" s="281">
        <f>R12-'GS Reclassification Adjustment'!C12</f>
        <v>63661777.71272184</v>
      </c>
      <c r="M12" s="281">
        <v>739992.7</v>
      </c>
      <c r="N12" s="281">
        <v>328310.30000000005</v>
      </c>
      <c r="O12" s="281">
        <v>59182119.984162331</v>
      </c>
      <c r="Q12" s="283">
        <v>19109685.450000007</v>
      </c>
      <c r="R12" s="283">
        <v>65227676.17308332</v>
      </c>
      <c r="T12" s="261"/>
    </row>
    <row r="13" spans="1:20" x14ac:dyDescent="0.2">
      <c r="A13" s="275">
        <f>'Rate Class Energy Model'!A13</f>
        <v>2021</v>
      </c>
      <c r="B13" s="276"/>
      <c r="C13" s="276"/>
      <c r="D13" s="276">
        <f ca="1">'Purchased Power Model (NoCoV)'!Q175</f>
        <v>190510238.51153532</v>
      </c>
      <c r="E13" s="276">
        <f ca="1">'Purchased Power Model (NoCoV)'!S175</f>
        <v>248878740.39450073</v>
      </c>
      <c r="I13" s="284">
        <f ca="1">E13/$H$16</f>
        <v>238309873.85144845</v>
      </c>
      <c r="J13" s="259"/>
      <c r="K13" s="259"/>
      <c r="L13" s="259"/>
      <c r="M13" s="259"/>
      <c r="N13" s="259"/>
      <c r="O13" s="259"/>
    </row>
    <row r="14" spans="1:20" x14ac:dyDescent="0.2">
      <c r="A14" s="275">
        <f>'Rate Class Energy Model'!A14</f>
        <v>2022</v>
      </c>
      <c r="B14" s="276"/>
      <c r="C14" s="276"/>
      <c r="D14" s="276">
        <f ca="1">'Purchased Power Model (NoCoV)'!Q176</f>
        <v>193099263.0934523</v>
      </c>
      <c r="E14" s="276">
        <f ca="1">'Purchased Power Model (NoCoV)'!S176</f>
        <v>251759607.48583254</v>
      </c>
      <c r="I14" s="284">
        <f ca="1">E14/$H$16</f>
        <v>241068402.24977541</v>
      </c>
      <c r="J14" s="259"/>
      <c r="K14" s="259"/>
      <c r="L14" s="259"/>
      <c r="M14" s="259"/>
      <c r="N14" s="259"/>
      <c r="O14" s="259"/>
    </row>
    <row r="15" spans="1:20" x14ac:dyDescent="0.2">
      <c r="J15" s="43"/>
      <c r="K15" s="43"/>
      <c r="L15" s="43"/>
      <c r="M15" s="43"/>
      <c r="N15" s="43"/>
      <c r="O15" s="43"/>
    </row>
    <row r="16" spans="1:20" x14ac:dyDescent="0.2">
      <c r="A16" s="285" t="s">
        <v>16</v>
      </c>
      <c r="E16" s="44"/>
      <c r="F16" s="267"/>
      <c r="H16" s="280">
        <f>AVERAGE(H8:H12)</f>
        <v>1.0443492599456472</v>
      </c>
    </row>
    <row r="17" spans="1:15" x14ac:dyDescent="0.2">
      <c r="E17" s="44"/>
      <c r="F17" s="267"/>
    </row>
    <row r="18" spans="1:15" x14ac:dyDescent="0.2">
      <c r="E18" s="44"/>
      <c r="F18" s="267"/>
    </row>
    <row r="19" spans="1:15" x14ac:dyDescent="0.2">
      <c r="A19" s="286" t="s">
        <v>17</v>
      </c>
      <c r="B19" s="11"/>
      <c r="C19" s="11"/>
      <c r="D19" s="11"/>
    </row>
    <row r="21" spans="1:15" x14ac:dyDescent="0.2">
      <c r="A21" s="259">
        <f>A11</f>
        <v>2019</v>
      </c>
      <c r="J21" s="287">
        <f>J11/'Rate Class Customer Model'!B11</f>
        <v>8814.638704478728</v>
      </c>
      <c r="K21" s="287">
        <f>K11/'Rate Class Customer Model'!C11</f>
        <v>26960.330288905501</v>
      </c>
      <c r="L21" s="287">
        <f>L11/'Rate Class Customer Model'!D11</f>
        <v>653384.10323887982</v>
      </c>
      <c r="M21" s="276">
        <f>M11/'Rate Class Customer Model'!E11</f>
        <v>277.43820672478205</v>
      </c>
      <c r="N21" s="276">
        <f>N11/'Rate Class Customer Model'!F11</f>
        <v>5114.1183533882204</v>
      </c>
      <c r="O21" s="276">
        <f>O11/'Rate Class Customer Model'!G11</f>
        <v>49068645.301379278</v>
      </c>
    </row>
    <row r="22" spans="1:15" x14ac:dyDescent="0.2">
      <c r="A22" s="259">
        <v>2020</v>
      </c>
      <c r="J22" s="276">
        <f>J12/'Rate Class Customer Model'!B12</f>
        <v>9493.8376799433408</v>
      </c>
      <c r="K22" s="276">
        <f>K12/'Rate Class Customer Model'!C12</f>
        <v>25457.316532355613</v>
      </c>
      <c r="L22" s="276">
        <f>L12/'Rate Class Customer Model'!D12</f>
        <v>677553.28829504398</v>
      </c>
      <c r="M22" s="276">
        <f>M12/'Rate Class Customer Model'!E12</f>
        <v>275.3674672455229</v>
      </c>
      <c r="N22" s="276">
        <f>N12/'Rate Class Customer Model'!F12</f>
        <v>5221.6349900596433</v>
      </c>
      <c r="O22" s="276">
        <f>O12/'Rate Class Customer Model'!G12</f>
        <v>59182119.984162331</v>
      </c>
    </row>
    <row r="23" spans="1:15" x14ac:dyDescent="0.2">
      <c r="A23" s="259">
        <f>A13</f>
        <v>2021</v>
      </c>
      <c r="J23" s="284">
        <f>J21</f>
        <v>8814.638704478728</v>
      </c>
      <c r="K23" s="284">
        <f>K21</f>
        <v>26960.330288905501</v>
      </c>
      <c r="L23" s="284">
        <f>L21</f>
        <v>653384.10323887982</v>
      </c>
      <c r="M23" s="284">
        <f>M22</f>
        <v>275.3674672455229</v>
      </c>
      <c r="N23" s="284">
        <f>N22</f>
        <v>5221.6349900596433</v>
      </c>
      <c r="O23" s="284">
        <f t="shared" ref="K23:O24" si="5">O22</f>
        <v>59182119.984162331</v>
      </c>
    </row>
    <row r="24" spans="1:15" x14ac:dyDescent="0.2">
      <c r="A24" s="259">
        <v>2020</v>
      </c>
      <c r="J24" s="284">
        <f>J23</f>
        <v>8814.638704478728</v>
      </c>
      <c r="K24" s="284">
        <f t="shared" si="5"/>
        <v>26960.330288905501</v>
      </c>
      <c r="L24" s="284">
        <f t="shared" si="5"/>
        <v>653384.10323887982</v>
      </c>
      <c r="M24" s="284">
        <f t="shared" si="5"/>
        <v>275.3674672455229</v>
      </c>
      <c r="N24" s="284">
        <f t="shared" si="5"/>
        <v>5221.6349900596433</v>
      </c>
      <c r="O24" s="284">
        <f t="shared" si="5"/>
        <v>59182119.984162331</v>
      </c>
    </row>
    <row r="25" spans="1:15" x14ac:dyDescent="0.2">
      <c r="J25" s="259"/>
      <c r="K25" s="259"/>
      <c r="L25" s="259"/>
      <c r="M25" s="259"/>
      <c r="N25" s="259"/>
      <c r="O25" s="259"/>
    </row>
    <row r="26" spans="1:15" x14ac:dyDescent="0.2">
      <c r="F26" s="276"/>
      <c r="J26" s="288"/>
      <c r="K26" s="288"/>
      <c r="L26" s="288"/>
      <c r="M26" s="288"/>
      <c r="N26" s="288"/>
      <c r="O26" s="288"/>
    </row>
    <row r="27" spans="1:15" x14ac:dyDescent="0.2">
      <c r="A27" s="285" t="s">
        <v>22</v>
      </c>
    </row>
    <row r="28" spans="1:15" x14ac:dyDescent="0.2">
      <c r="A28" s="259">
        <v>2019</v>
      </c>
      <c r="H28" s="276"/>
      <c r="I28" s="276">
        <f>SUM(J28:O28)</f>
        <v>229447871.62621254</v>
      </c>
      <c r="J28" s="276">
        <f>J11</f>
        <v>94075700.679999962</v>
      </c>
      <c r="K28" s="276">
        <f t="shared" ref="K28:N29" si="6">K11</f>
        <v>21682845.634852249</v>
      </c>
      <c r="L28" s="276">
        <f t="shared" si="6"/>
        <v>63541604.039981067</v>
      </c>
      <c r="M28" s="276">
        <f t="shared" si="6"/>
        <v>742609.6</v>
      </c>
      <c r="N28" s="276">
        <f t="shared" si="6"/>
        <v>336466.37000000005</v>
      </c>
      <c r="O28" s="276">
        <f t="shared" ref="O28" si="7">O11</f>
        <v>49068645.301379278</v>
      </c>
    </row>
    <row r="29" spans="1:15" x14ac:dyDescent="0.2">
      <c r="A29" s="259">
        <v>2020</v>
      </c>
      <c r="H29" s="276"/>
      <c r="I29" s="276">
        <f>SUM(J29:O29)</f>
        <v>246794089.72724569</v>
      </c>
      <c r="J29" s="276">
        <f>J12</f>
        <v>102206305.12000003</v>
      </c>
      <c r="K29" s="276">
        <f>K12</f>
        <v>20675583.910361484</v>
      </c>
      <c r="L29" s="276">
        <f t="shared" si="6"/>
        <v>63661777.71272184</v>
      </c>
      <c r="M29" s="276">
        <f t="shared" si="6"/>
        <v>739992.7</v>
      </c>
      <c r="N29" s="276">
        <f t="shared" si="6"/>
        <v>328310.30000000005</v>
      </c>
      <c r="O29" s="276">
        <f>O12</f>
        <v>59182119.984162331</v>
      </c>
    </row>
    <row r="30" spans="1:15" x14ac:dyDescent="0.2">
      <c r="A30" s="259">
        <v>2021</v>
      </c>
      <c r="H30" s="276"/>
      <c r="I30" s="276">
        <f ca="1">SUM(J30:O30)</f>
        <v>253262811.85426387</v>
      </c>
      <c r="J30" s="276">
        <f ca="1">'Rate Class Energy Model'!J42</f>
        <v>97422911.697065085</v>
      </c>
      <c r="K30" s="276">
        <f ca="1">'Rate Class Energy Model'!K42</f>
        <v>22637791.967165269</v>
      </c>
      <c r="L30" s="276">
        <f ca="1">'Rate Class Energy Model'!L42</f>
        <v>73768098.251562878</v>
      </c>
      <c r="M30" s="276">
        <f ca="1">'Rate Class Energy Model'!M42</f>
        <v>745868.17941827257</v>
      </c>
      <c r="N30" s="276">
        <f ca="1">'Rate Class Energy Model'!N42</f>
        <v>319639.87608696189</v>
      </c>
      <c r="O30" s="276">
        <f ca="1">'Rate Class Energy Model'!O42</f>
        <v>58368501.882965423</v>
      </c>
    </row>
    <row r="31" spans="1:15" x14ac:dyDescent="0.2">
      <c r="A31" s="259">
        <v>2022</v>
      </c>
      <c r="H31" s="276"/>
      <c r="I31" s="276">
        <f ca="1">SUM(J31:O31)</f>
        <v>258637066.93144637</v>
      </c>
      <c r="J31" s="276">
        <f ca="1">'Rate Class Energy Model'!J43</f>
        <v>97410985.19667697</v>
      </c>
      <c r="K31" s="276">
        <f ca="1">'Rate Class Energy Model'!K43</f>
        <v>22576980.50420215</v>
      </c>
      <c r="L31" s="276">
        <f ca="1">'Rate Class Energy Model'!L43</f>
        <v>78925768.097103238</v>
      </c>
      <c r="M31" s="276">
        <f ca="1">'Rate Class Energy Model'!M43</f>
        <v>751790.30964593077</v>
      </c>
      <c r="N31" s="276">
        <f ca="1">'Rate Class Energy Model'!N43</f>
        <v>311198.43143784488</v>
      </c>
      <c r="O31" s="276">
        <f ca="1">'Rate Class Energy Model'!O43</f>
        <v>58660344.392380245</v>
      </c>
    </row>
    <row r="32" spans="1:15" x14ac:dyDescent="0.2">
      <c r="H32" s="276"/>
    </row>
    <row r="33" spans="1:18" x14ac:dyDescent="0.2">
      <c r="A33" s="285" t="s">
        <v>21</v>
      </c>
      <c r="H33" s="276"/>
      <c r="Q33" s="276"/>
    </row>
    <row r="34" spans="1:18" x14ac:dyDescent="0.2">
      <c r="A34" s="259">
        <v>2019</v>
      </c>
      <c r="H34" s="276"/>
      <c r="I34" s="284">
        <f ca="1">E11/$H$11</f>
        <v>225487341.03412262</v>
      </c>
      <c r="J34" s="276">
        <f>J28+J46</f>
        <v>94075700.679999962</v>
      </c>
      <c r="K34" s="276">
        <f t="shared" ref="K34:N35" si="8">K28+K46</f>
        <v>21682845.634852249</v>
      </c>
      <c r="L34" s="276">
        <f t="shared" si="8"/>
        <v>63541604.039981067</v>
      </c>
      <c r="M34" s="276">
        <f t="shared" si="8"/>
        <v>742609.6</v>
      </c>
      <c r="N34" s="276">
        <f t="shared" si="8"/>
        <v>336466.37000000005</v>
      </c>
      <c r="O34" s="276">
        <f t="shared" ref="O34" si="9">O28+O46</f>
        <v>49068645.301379278</v>
      </c>
      <c r="P34" s="276">
        <f>SUM(J34:O34)</f>
        <v>229447871.62621254</v>
      </c>
      <c r="Q34" s="276"/>
    </row>
    <row r="35" spans="1:18" x14ac:dyDescent="0.2">
      <c r="A35" s="259">
        <v>2020</v>
      </c>
      <c r="H35" s="276"/>
      <c r="I35" s="284">
        <f ca="1">E12/$H$12</f>
        <v>239384312.80331004</v>
      </c>
      <c r="J35" s="276">
        <f>J29+J47</f>
        <v>93351839.963655218</v>
      </c>
      <c r="K35" s="276">
        <f t="shared" si="8"/>
        <v>21421914.404626802</v>
      </c>
      <c r="L35" s="276">
        <f t="shared" si="8"/>
        <v>64121379.978197239</v>
      </c>
      <c r="M35" s="276">
        <f t="shared" si="8"/>
        <v>739992.7</v>
      </c>
      <c r="N35" s="276">
        <f>N29+N47</f>
        <v>328310.30000000005</v>
      </c>
      <c r="O35" s="276">
        <f>O29+O47</f>
        <v>59182119.984162331</v>
      </c>
      <c r="P35" s="276">
        <f>SUM(J35:O35)</f>
        <v>239145557.3306416</v>
      </c>
      <c r="Q35" s="276">
        <f ca="1">P35-I35</f>
        <v>-238755.47266843915</v>
      </c>
      <c r="R35" s="276"/>
    </row>
    <row r="36" spans="1:18" x14ac:dyDescent="0.2">
      <c r="A36" s="259">
        <v>2021</v>
      </c>
      <c r="H36" s="276"/>
      <c r="I36" s="284">
        <f ca="1">E13/$H$16</f>
        <v>238309873.85144845</v>
      </c>
      <c r="J36" s="276">
        <f ca="1">J30+J48+J65</f>
        <v>93233280.076910734</v>
      </c>
      <c r="K36" s="276">
        <f t="shared" ref="K36:O36" ca="1" si="10">K30+K48+K65</f>
        <v>23043428.961687271</v>
      </c>
      <c r="L36" s="276">
        <f ca="1">L30+L48+L65</f>
        <v>74032462.10568583</v>
      </c>
      <c r="M36" s="276">
        <f t="shared" ca="1" si="10"/>
        <v>745868.17941827257</v>
      </c>
      <c r="N36" s="276">
        <f t="shared" ca="1" si="10"/>
        <v>319639.87608696189</v>
      </c>
      <c r="O36" s="276">
        <f t="shared" ca="1" si="10"/>
        <v>58368501.882965423</v>
      </c>
      <c r="P36" s="276">
        <f ca="1">SUM(J36:O36)</f>
        <v>249743181.08275446</v>
      </c>
      <c r="Q36" s="276">
        <f ca="1">P36-I36</f>
        <v>11433307.231306016</v>
      </c>
      <c r="R36" s="276"/>
    </row>
    <row r="37" spans="1:18" x14ac:dyDescent="0.2">
      <c r="A37" s="259">
        <v>2022</v>
      </c>
      <c r="H37" s="276"/>
      <c r="I37" s="284">
        <f ca="1">E14/$H$16</f>
        <v>241068402.24977541</v>
      </c>
      <c r="J37" s="276">
        <f ca="1">J31+J49+J66</f>
        <v>97410985.19667697</v>
      </c>
      <c r="K37" s="276">
        <f t="shared" ref="K37:O37" ca="1" si="11">K31+K49+K66</f>
        <v>22576980.50420215</v>
      </c>
      <c r="L37" s="276">
        <f t="shared" ca="1" si="11"/>
        <v>78925768.097103238</v>
      </c>
      <c r="M37" s="276">
        <f t="shared" ca="1" si="11"/>
        <v>751790.30964593077</v>
      </c>
      <c r="N37" s="276">
        <f t="shared" ca="1" si="11"/>
        <v>311198.43143784488</v>
      </c>
      <c r="O37" s="276">
        <f t="shared" ca="1" si="11"/>
        <v>58660344.392380245</v>
      </c>
      <c r="P37" s="276">
        <f ca="1">SUM(J37:O37)</f>
        <v>258637066.93144637</v>
      </c>
      <c r="Q37" s="276">
        <f ca="1">P37-I37</f>
        <v>17568664.681670964</v>
      </c>
      <c r="R37" s="276"/>
    </row>
    <row r="38" spans="1:18" x14ac:dyDescent="0.2">
      <c r="H38" s="276"/>
      <c r="Q38" s="276"/>
    </row>
    <row r="39" spans="1:18" x14ac:dyDescent="0.2">
      <c r="A39" s="259" t="s">
        <v>260</v>
      </c>
      <c r="H39" s="276"/>
      <c r="J39" s="289">
        <v>0.6</v>
      </c>
      <c r="K39" s="289">
        <v>-0.25</v>
      </c>
      <c r="L39" s="290">
        <v>-0.05</v>
      </c>
      <c r="M39" s="289">
        <v>0</v>
      </c>
      <c r="N39" s="289">
        <v>0</v>
      </c>
      <c r="O39" s="289">
        <v>0</v>
      </c>
    </row>
    <row r="40" spans="1:18" x14ac:dyDescent="0.2">
      <c r="A40" s="259">
        <v>2019</v>
      </c>
      <c r="H40" s="276"/>
      <c r="J40" s="276">
        <f>J28*J$39</f>
        <v>56445420.407999977</v>
      </c>
      <c r="K40" s="276">
        <f t="shared" ref="K40:O43" si="12">K28*K$39</f>
        <v>-5420711.4087130623</v>
      </c>
      <c r="L40" s="276">
        <f t="shared" si="12"/>
        <v>-3177080.2019990534</v>
      </c>
      <c r="M40" s="276">
        <f t="shared" si="12"/>
        <v>0</v>
      </c>
      <c r="N40" s="276">
        <f t="shared" si="12"/>
        <v>0</v>
      </c>
      <c r="O40" s="276">
        <f t="shared" si="12"/>
        <v>0</v>
      </c>
      <c r="P40" s="276">
        <f>SUM(J40:O40)</f>
        <v>47847628.797287859</v>
      </c>
    </row>
    <row r="41" spans="1:18" x14ac:dyDescent="0.2">
      <c r="A41" s="259">
        <v>2020</v>
      </c>
      <c r="H41" s="276"/>
      <c r="I41" s="276">
        <f>-'Purchased Power Model'!V134/H16</f>
        <v>-7648532.3966041012</v>
      </c>
      <c r="J41" s="276">
        <f>J29*J$39</f>
        <v>61323783.072000019</v>
      </c>
      <c r="K41" s="276">
        <f t="shared" si="12"/>
        <v>-5168895.9775903709</v>
      </c>
      <c r="L41" s="276">
        <f t="shared" si="12"/>
        <v>-3183088.8856360922</v>
      </c>
      <c r="M41" s="276">
        <f t="shared" si="12"/>
        <v>0</v>
      </c>
      <c r="N41" s="276">
        <f t="shared" si="12"/>
        <v>0</v>
      </c>
      <c r="O41" s="276">
        <f t="shared" si="12"/>
        <v>0</v>
      </c>
      <c r="P41" s="276">
        <f>SUM(J41:O41)</f>
        <v>52971798.208773553</v>
      </c>
    </row>
    <row r="42" spans="1:18" x14ac:dyDescent="0.2">
      <c r="A42" s="259">
        <v>2021</v>
      </c>
      <c r="H42" s="276"/>
      <c r="I42" s="276">
        <f ca="1">-'Purchased Power Model'!V138/H16</f>
        <v>-3519630.7715093959</v>
      </c>
      <c r="J42" s="276">
        <f ca="1">J30*J$39</f>
        <v>58453747.018239051</v>
      </c>
      <c r="K42" s="276">
        <f t="shared" ca="1" si="12"/>
        <v>-5659447.9917913172</v>
      </c>
      <c r="L42" s="276">
        <f t="shared" ca="1" si="12"/>
        <v>-3688404.9125781441</v>
      </c>
      <c r="M42" s="276">
        <f t="shared" ca="1" si="12"/>
        <v>0</v>
      </c>
      <c r="N42" s="276">
        <f t="shared" ca="1" si="12"/>
        <v>0</v>
      </c>
      <c r="O42" s="276">
        <f t="shared" ca="1" si="12"/>
        <v>0</v>
      </c>
      <c r="P42" s="276">
        <f ca="1">SUM(J42:O42)</f>
        <v>49105894.113869593</v>
      </c>
    </row>
    <row r="43" spans="1:18" x14ac:dyDescent="0.2">
      <c r="A43" s="259">
        <v>2022</v>
      </c>
      <c r="H43" s="276"/>
      <c r="J43" s="276">
        <f ca="1">J31*J$39</f>
        <v>58446591.118006177</v>
      </c>
      <c r="K43" s="276">
        <f t="shared" ca="1" si="12"/>
        <v>-5644245.1260505375</v>
      </c>
      <c r="L43" s="276">
        <f t="shared" ca="1" si="12"/>
        <v>-3946288.4048551619</v>
      </c>
      <c r="M43" s="276">
        <f t="shared" ca="1" si="12"/>
        <v>0</v>
      </c>
      <c r="N43" s="276">
        <f t="shared" ca="1" si="12"/>
        <v>0</v>
      </c>
      <c r="O43" s="276">
        <f t="shared" ca="1" si="12"/>
        <v>0</v>
      </c>
      <c r="P43" s="276">
        <f ca="1">SUM(J43:O43)</f>
        <v>48856057.587100476</v>
      </c>
    </row>
    <row r="44" spans="1:18" ht="12" customHeight="1" x14ac:dyDescent="0.2">
      <c r="H44" s="276"/>
    </row>
    <row r="45" spans="1:18" x14ac:dyDescent="0.2">
      <c r="A45" s="259" t="s">
        <v>266</v>
      </c>
      <c r="H45" s="276"/>
    </row>
    <row r="46" spans="1:18" x14ac:dyDescent="0.2">
      <c r="A46" s="259">
        <v>2019</v>
      </c>
      <c r="H46" s="276"/>
      <c r="I46" s="276">
        <f>SUM(J46:O46)</f>
        <v>0</v>
      </c>
      <c r="J46" s="276">
        <f>J40/$P$40*$I$40</f>
        <v>0</v>
      </c>
      <c r="K46" s="276">
        <f t="shared" ref="K46:O46" si="13">K40/$P$40*$I$40</f>
        <v>0</v>
      </c>
      <c r="L46" s="276">
        <f t="shared" si="13"/>
        <v>0</v>
      </c>
      <c r="M46" s="276">
        <f t="shared" si="13"/>
        <v>0</v>
      </c>
      <c r="N46" s="276">
        <f t="shared" si="13"/>
        <v>0</v>
      </c>
      <c r="O46" s="276">
        <f t="shared" si="13"/>
        <v>0</v>
      </c>
    </row>
    <row r="47" spans="1:18" x14ac:dyDescent="0.2">
      <c r="A47" s="259">
        <v>2020</v>
      </c>
      <c r="H47" s="276"/>
      <c r="I47" s="276">
        <f>SUM(J47:O47)</f>
        <v>-7648532.3966041012</v>
      </c>
      <c r="J47" s="276">
        <f>J41/$P$41*$I$41</f>
        <v>-8854465.156344818</v>
      </c>
      <c r="K47" s="276">
        <f>K41/$P$41*$I$41</f>
        <v>746330.49426531652</v>
      </c>
      <c r="L47" s="276">
        <f>L41/$P$41*$I$41</f>
        <v>459602.26547540072</v>
      </c>
      <c r="M47" s="276">
        <f t="shared" ref="M47:O47" si="14">M41/$P$41*$I$41</f>
        <v>0</v>
      </c>
      <c r="N47" s="276">
        <f t="shared" si="14"/>
        <v>0</v>
      </c>
      <c r="O47" s="276">
        <f t="shared" si="14"/>
        <v>0</v>
      </c>
    </row>
    <row r="48" spans="1:18" x14ac:dyDescent="0.2">
      <c r="A48" s="259">
        <v>2021</v>
      </c>
      <c r="H48" s="276"/>
      <c r="I48" s="276">
        <f ca="1">SUM(J48:O48)</f>
        <v>-3519630.7715093959</v>
      </c>
      <c r="J48" s="276">
        <f ca="1">J42/$P$42*$I$42</f>
        <v>-4189631.620154357</v>
      </c>
      <c r="K48" s="276">
        <f ca="1">K42/$P$42*$I$42</f>
        <v>405636.99452200293</v>
      </c>
      <c r="L48" s="276">
        <f ca="1">L42/$P$42*$I$42</f>
        <v>264363.85412295832</v>
      </c>
      <c r="M48" s="276">
        <f t="shared" ref="M48:O48" ca="1" si="15">M42/$P$42*$I$42</f>
        <v>0</v>
      </c>
      <c r="N48" s="276">
        <f t="shared" ca="1" si="15"/>
        <v>0</v>
      </c>
      <c r="O48" s="276">
        <f t="shared" ca="1" si="15"/>
        <v>0</v>
      </c>
    </row>
    <row r="49" spans="1:18" x14ac:dyDescent="0.2">
      <c r="A49" s="259">
        <v>2022</v>
      </c>
      <c r="G49" s="267"/>
      <c r="H49" s="276"/>
      <c r="I49" s="276">
        <f ca="1">SUM(J49:O49)</f>
        <v>0</v>
      </c>
      <c r="J49" s="276">
        <f ca="1">J43/$P$43*$I$43</f>
        <v>0</v>
      </c>
      <c r="K49" s="276">
        <f t="shared" ref="K49:O49" ca="1" si="16">K43/$P$43*$I$43</f>
        <v>0</v>
      </c>
      <c r="L49" s="276">
        <f t="shared" ca="1" si="16"/>
        <v>0</v>
      </c>
      <c r="M49" s="276">
        <f t="shared" ca="1" si="16"/>
        <v>0</v>
      </c>
      <c r="N49" s="276">
        <f t="shared" ca="1" si="16"/>
        <v>0</v>
      </c>
      <c r="O49" s="276">
        <f t="shared" ca="1" si="16"/>
        <v>0</v>
      </c>
    </row>
    <row r="50" spans="1:18" x14ac:dyDescent="0.2">
      <c r="H50" s="276"/>
      <c r="I50" s="291"/>
    </row>
    <row r="51" spans="1:18" x14ac:dyDescent="0.2">
      <c r="A51" s="259" t="s">
        <v>267</v>
      </c>
      <c r="H51" s="276"/>
      <c r="J51" s="289">
        <v>0.5</v>
      </c>
      <c r="K51" s="289">
        <f>K39</f>
        <v>-0.25</v>
      </c>
      <c r="L51" s="290">
        <f>L39</f>
        <v>-0.05</v>
      </c>
      <c r="M51" s="289">
        <v>0</v>
      </c>
      <c r="N51" s="289">
        <v>0</v>
      </c>
      <c r="O51" s="289">
        <v>0</v>
      </c>
    </row>
    <row r="52" spans="1:18" x14ac:dyDescent="0.2">
      <c r="A52" s="259">
        <v>2019</v>
      </c>
      <c r="H52" s="276"/>
      <c r="J52" s="276">
        <f>J28*J$51</f>
        <v>47037850.339999981</v>
      </c>
      <c r="K52" s="276">
        <f>K28*K$51</f>
        <v>-5420711.4087130623</v>
      </c>
      <c r="L52" s="276">
        <f>L28*L$51</f>
        <v>-3177080.2019990534</v>
      </c>
      <c r="M52" s="276">
        <f t="shared" ref="M52:O52" si="17">M28*M$39</f>
        <v>0</v>
      </c>
      <c r="N52" s="276">
        <f t="shared" si="17"/>
        <v>0</v>
      </c>
      <c r="O52" s="276">
        <f t="shared" si="17"/>
        <v>0</v>
      </c>
      <c r="P52" s="276">
        <f>SUM(J52:O52)</f>
        <v>38440058.729287863</v>
      </c>
    </row>
    <row r="53" spans="1:18" x14ac:dyDescent="0.2">
      <c r="A53" s="259">
        <v>2020</v>
      </c>
      <c r="H53" s="276"/>
      <c r="I53" s="276">
        <f ca="1">-'Purchased Power Model'!V210/H16</f>
        <v>-7337531.7134617753</v>
      </c>
      <c r="J53" s="276">
        <f>J29*J$51</f>
        <v>51103152.560000017</v>
      </c>
      <c r="K53" s="276">
        <f t="shared" ref="K53:L53" si="18">K29*K$51</f>
        <v>-5168895.9775903709</v>
      </c>
      <c r="L53" s="276">
        <f t="shared" si="18"/>
        <v>-3183088.8856360922</v>
      </c>
      <c r="M53" s="276">
        <f t="shared" ref="M53:O53" si="19">M29*M$39</f>
        <v>0</v>
      </c>
      <c r="N53" s="276">
        <f t="shared" si="19"/>
        <v>0</v>
      </c>
      <c r="O53" s="276">
        <f t="shared" si="19"/>
        <v>0</v>
      </c>
      <c r="P53" s="276">
        <f>SUM(J53:O53)</f>
        <v>42751167.696773559</v>
      </c>
    </row>
    <row r="54" spans="1:18" x14ac:dyDescent="0.2">
      <c r="A54" s="259">
        <v>2021</v>
      </c>
      <c r="H54" s="276"/>
      <c r="I54" s="276">
        <f ca="1">-'Purchased Power Model'!V138/H16</f>
        <v>-3519630.7715093959</v>
      </c>
      <c r="J54" s="276">
        <f ca="1">J30*J$51</f>
        <v>48711455.848532543</v>
      </c>
      <c r="K54" s="276">
        <f t="shared" ref="K54:L54" ca="1" si="20">K30*K$51</f>
        <v>-5659447.9917913172</v>
      </c>
      <c r="L54" s="276">
        <f t="shared" ca="1" si="20"/>
        <v>-3688404.9125781441</v>
      </c>
      <c r="M54" s="276">
        <f t="shared" ref="M54:O54" ca="1" si="21">M30*M$39</f>
        <v>0</v>
      </c>
      <c r="N54" s="276">
        <f t="shared" ca="1" si="21"/>
        <v>0</v>
      </c>
      <c r="O54" s="276">
        <f t="shared" ca="1" si="21"/>
        <v>0</v>
      </c>
      <c r="P54" s="276">
        <f ca="1">SUM(J54:O54)</f>
        <v>39363602.944163084</v>
      </c>
    </row>
    <row r="55" spans="1:18" x14ac:dyDescent="0.2">
      <c r="A55" s="259">
        <v>2022</v>
      </c>
      <c r="H55" s="276"/>
      <c r="I55" s="276">
        <v>0</v>
      </c>
      <c r="J55" s="276">
        <f ca="1">J31*J$49</f>
        <v>0</v>
      </c>
      <c r="K55" s="276">
        <f t="shared" ref="K55:L55" ca="1" si="22">K31*K$49</f>
        <v>0</v>
      </c>
      <c r="L55" s="276">
        <f t="shared" ca="1" si="22"/>
        <v>0</v>
      </c>
      <c r="M55" s="276">
        <f t="shared" ref="M55:O55" ca="1" si="23">M31*M$39</f>
        <v>0</v>
      </c>
      <c r="N55" s="276">
        <f t="shared" ca="1" si="23"/>
        <v>0</v>
      </c>
      <c r="O55" s="276">
        <f t="shared" ca="1" si="23"/>
        <v>0</v>
      </c>
      <c r="P55" s="276">
        <f ca="1">SUM(J55:O55)</f>
        <v>0</v>
      </c>
    </row>
    <row r="56" spans="1:18" x14ac:dyDescent="0.2">
      <c r="H56" s="276"/>
    </row>
    <row r="57" spans="1:18" x14ac:dyDescent="0.2">
      <c r="A57" s="259" t="s">
        <v>268</v>
      </c>
      <c r="H57" s="276"/>
    </row>
    <row r="58" spans="1:18" x14ac:dyDescent="0.2">
      <c r="A58" s="259">
        <v>2019</v>
      </c>
      <c r="H58" s="276"/>
      <c r="I58" s="276">
        <f>SUM(J58:O58)</f>
        <v>0</v>
      </c>
      <c r="J58" s="276">
        <f>J52/$P$52*$I$52</f>
        <v>0</v>
      </c>
      <c r="K58" s="276">
        <f t="shared" ref="K58:O58" si="24">K52/$P$52*$I$52</f>
        <v>0</v>
      </c>
      <c r="L58" s="276">
        <f t="shared" si="24"/>
        <v>0</v>
      </c>
      <c r="M58" s="276">
        <f t="shared" si="24"/>
        <v>0</v>
      </c>
      <c r="N58" s="276">
        <f t="shared" si="24"/>
        <v>0</v>
      </c>
      <c r="O58" s="276">
        <f t="shared" si="24"/>
        <v>0</v>
      </c>
      <c r="Q58" s="276"/>
    </row>
    <row r="59" spans="1:18" x14ac:dyDescent="0.2">
      <c r="A59" s="259">
        <v>2020</v>
      </c>
      <c r="H59" s="276"/>
      <c r="I59" s="276">
        <f ca="1">SUM(J59:O59)</f>
        <v>-7337531.7134617735</v>
      </c>
      <c r="J59" s="276">
        <f ca="1">J53/$P$53*$I$53</f>
        <v>-8771011.9458368514</v>
      </c>
      <c r="K59" s="276">
        <f ca="1">K53/$P$53*$I$53</f>
        <v>887155.60772897222</v>
      </c>
      <c r="L59" s="276">
        <f t="shared" ref="L59:O59" ca="1" si="25">L53/$P$53*$I$53</f>
        <v>546324.62464610557</v>
      </c>
      <c r="M59" s="276">
        <f t="shared" ca="1" si="25"/>
        <v>0</v>
      </c>
      <c r="N59" s="276">
        <f t="shared" ca="1" si="25"/>
        <v>0</v>
      </c>
      <c r="O59" s="276">
        <f t="shared" ca="1" si="25"/>
        <v>0</v>
      </c>
      <c r="P59" s="276"/>
      <c r="Q59" s="276"/>
    </row>
    <row r="60" spans="1:18" x14ac:dyDescent="0.2">
      <c r="A60" s="259">
        <v>2021</v>
      </c>
      <c r="H60" s="276"/>
      <c r="I60" s="276">
        <f t="shared" ref="I60:I61" ca="1" si="26">SUM(J60:O60)</f>
        <v>-3519630.7715093959</v>
      </c>
      <c r="J60" s="276">
        <f ca="1">J54/$P$54*$I$54</f>
        <v>-4355453.416515545</v>
      </c>
      <c r="K60" s="276">
        <f t="shared" ref="K60:O60" ca="1" si="27">K54/$P$54*$I$54</f>
        <v>506030.08393111103</v>
      </c>
      <c r="L60" s="276">
        <f t="shared" ca="1" si="27"/>
        <v>329792.56107503822</v>
      </c>
      <c r="M60" s="276">
        <f t="shared" ca="1" si="27"/>
        <v>0</v>
      </c>
      <c r="N60" s="276">
        <f t="shared" ca="1" si="27"/>
        <v>0</v>
      </c>
      <c r="O60" s="276">
        <f t="shared" ca="1" si="27"/>
        <v>0</v>
      </c>
      <c r="P60" s="276"/>
      <c r="Q60" s="276"/>
      <c r="R60" s="276"/>
    </row>
    <row r="61" spans="1:18" x14ac:dyDescent="0.2">
      <c r="A61" s="259">
        <v>2022</v>
      </c>
      <c r="G61" s="267"/>
      <c r="H61" s="276"/>
      <c r="I61" s="276" t="e">
        <f t="shared" ca="1" si="26"/>
        <v>#DIV/0!</v>
      </c>
      <c r="J61" s="276" t="e">
        <f ca="1">J55/$P$55*$I$55</f>
        <v>#DIV/0!</v>
      </c>
      <c r="K61" s="276" t="e">
        <f t="shared" ref="K61:O61" ca="1" si="28">K55/$P$55*$I$55</f>
        <v>#DIV/0!</v>
      </c>
      <c r="L61" s="276" t="e">
        <f t="shared" ca="1" si="28"/>
        <v>#DIV/0!</v>
      </c>
      <c r="M61" s="276" t="e">
        <f t="shared" ca="1" si="28"/>
        <v>#DIV/0!</v>
      </c>
      <c r="N61" s="276" t="e">
        <f t="shared" ca="1" si="28"/>
        <v>#DIV/0!</v>
      </c>
      <c r="O61" s="276" t="e">
        <f t="shared" ca="1" si="28"/>
        <v>#DIV/0!</v>
      </c>
      <c r="P61" s="276"/>
      <c r="Q61" s="276"/>
      <c r="R61" s="276"/>
    </row>
    <row r="62" spans="1:18" x14ac:dyDescent="0.2">
      <c r="B62" s="259"/>
      <c r="C62" s="259"/>
      <c r="D62" s="259"/>
      <c r="E62" s="259"/>
      <c r="F62" s="259"/>
      <c r="G62" s="259"/>
      <c r="H62" s="259"/>
      <c r="P62" s="276"/>
      <c r="Q62" s="276"/>
      <c r="R62" s="276"/>
    </row>
    <row r="64" spans="1:18" x14ac:dyDescent="0.2">
      <c r="A64" s="55"/>
      <c r="B64" s="266"/>
      <c r="C64" s="266"/>
      <c r="D64" s="266"/>
      <c r="E64" s="266"/>
      <c r="F64" s="266"/>
      <c r="G64" s="266"/>
      <c r="H64" s="266"/>
      <c r="I64" s="6"/>
      <c r="J64" s="6"/>
      <c r="K64" s="6"/>
      <c r="L64" s="6"/>
      <c r="M64" s="6"/>
      <c r="N64" s="6"/>
      <c r="O64" s="6"/>
      <c r="P64"/>
    </row>
    <row r="65" spans="1:16" x14ac:dyDescent="0.2">
      <c r="A65" s="55"/>
      <c r="B65" s="266"/>
      <c r="C65" s="266"/>
      <c r="D65" s="266"/>
      <c r="E65" s="266"/>
      <c r="F65" s="266"/>
      <c r="G65" s="266"/>
      <c r="H65" s="266"/>
      <c r="I65" s="6"/>
      <c r="J65" s="6"/>
      <c r="K65" s="6"/>
      <c r="L65" s="6"/>
      <c r="M65" s="6"/>
      <c r="N65" s="6"/>
      <c r="O65" s="6"/>
      <c r="P65" s="6"/>
    </row>
    <row r="66" spans="1:16" x14ac:dyDescent="0.2">
      <c r="A66" s="55"/>
      <c r="B66" s="266"/>
      <c r="C66" s="266"/>
      <c r="D66" s="266"/>
      <c r="E66" s="266"/>
      <c r="F66" s="266"/>
      <c r="G66" s="266"/>
      <c r="H66" s="266"/>
      <c r="I66" s="6"/>
      <c r="J66" s="6"/>
      <c r="K66" s="6"/>
      <c r="L66" s="6"/>
      <c r="M66" s="6"/>
      <c r="N66" s="6"/>
      <c r="O66" s="6"/>
      <c r="P66" s="6"/>
    </row>
  </sheetData>
  <pageMargins left="0.38" right="0.75" top="0.73" bottom="0.74" header="0.5" footer="0.5"/>
  <pageSetup scale="62" orientation="landscape" r:id="rId1"/>
  <headerFooter alignWithMargins="0">
    <oddFooter>&amp;L&amp;Z&amp;F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  <pageSetUpPr fitToPage="1"/>
  </sheetPr>
  <dimension ref="A2:AB213"/>
  <sheetViews>
    <sheetView workbookViewId="0">
      <pane ySplit="2" topLeftCell="A159" activePane="bottomLeft" state="frozen"/>
      <selection activeCell="H15" sqref="H15"/>
      <selection pane="bottomLeft" activeCell="V179" sqref="V179"/>
    </sheetView>
  </sheetViews>
  <sheetFormatPr defaultRowHeight="12.75" x14ac:dyDescent="0.2"/>
  <cols>
    <col min="1" max="2" width="11.85546875" style="32" customWidth="1"/>
    <col min="3" max="3" width="6.140625" style="32" bestFit="1" customWidth="1"/>
    <col min="4" max="7" width="16.85546875" style="6" customWidth="1"/>
    <col min="8" max="8" width="11.5703125" style="257" customWidth="1"/>
    <col min="9" max="9" width="13.42578125" style="257" customWidth="1"/>
    <col min="10" max="10" width="10.140625" style="257" customWidth="1"/>
    <col min="11" max="11" width="12.42578125" style="257" customWidth="1"/>
    <col min="12" max="13" width="12.140625" style="29" customWidth="1"/>
    <col min="14" max="14" width="13" style="19" customWidth="1"/>
    <col min="15" max="15" width="19.140625" style="257" bestFit="1" customWidth="1"/>
    <col min="16" max="16" width="16" style="257" customWidth="1"/>
    <col min="17" max="17" width="17.28515625" style="257" customWidth="1"/>
    <col min="18" max="18" width="12.85546875" style="257" customWidth="1"/>
    <col min="19" max="19" width="16.140625" style="257" customWidth="1"/>
    <col min="20" max="20" width="25.85546875" bestFit="1" customWidth="1"/>
    <col min="21" max="21" width="15" bestFit="1" customWidth="1"/>
    <col min="22" max="22" width="24.140625" bestFit="1" customWidth="1"/>
    <col min="23" max="23" width="22.5703125" bestFit="1" customWidth="1"/>
    <col min="24" max="24" width="26.42578125" bestFit="1" customWidth="1"/>
    <col min="25" max="25" width="23.28515625" bestFit="1" customWidth="1"/>
    <col min="26" max="26" width="14.5703125" bestFit="1" customWidth="1"/>
    <col min="27" max="27" width="14.7109375" bestFit="1" customWidth="1"/>
    <col min="28" max="28" width="40.7109375" bestFit="1" customWidth="1"/>
    <col min="29" max="29" width="42.85546875" bestFit="1" customWidth="1"/>
  </cols>
  <sheetData>
    <row r="2" spans="1:28" s="28" customFormat="1" ht="76.5" x14ac:dyDescent="0.2">
      <c r="A2" s="131" t="s">
        <v>129</v>
      </c>
      <c r="B2" s="131" t="s">
        <v>84</v>
      </c>
      <c r="C2" s="131" t="s">
        <v>43</v>
      </c>
      <c r="D2" s="80" t="s">
        <v>71</v>
      </c>
      <c r="E2" s="80" t="s">
        <v>144</v>
      </c>
      <c r="F2" s="80" t="s">
        <v>147</v>
      </c>
      <c r="G2" s="80" t="s">
        <v>145</v>
      </c>
      <c r="H2" s="81" t="s">
        <v>4</v>
      </c>
      <c r="I2" s="81" t="s">
        <v>5</v>
      </c>
      <c r="J2" s="81" t="s">
        <v>6</v>
      </c>
      <c r="K2" s="81" t="s">
        <v>185</v>
      </c>
      <c r="L2" s="82" t="s">
        <v>209</v>
      </c>
      <c r="M2" s="82" t="str">
        <f>Data!AD1</f>
        <v>COVID CDD</v>
      </c>
      <c r="N2" s="81" t="s">
        <v>41</v>
      </c>
      <c r="O2" s="81" t="s">
        <v>13</v>
      </c>
      <c r="P2" s="83" t="s">
        <v>14</v>
      </c>
      <c r="Q2" s="81" t="s">
        <v>15</v>
      </c>
      <c r="R2" s="81" t="s">
        <v>42</v>
      </c>
      <c r="T2" s="46"/>
      <c r="U2" s="46"/>
      <c r="V2" s="46"/>
      <c r="W2" s="46"/>
      <c r="X2" s="46"/>
      <c r="Y2" s="46"/>
      <c r="Z2" s="46"/>
      <c r="AA2" s="46"/>
      <c r="AB2" s="46"/>
    </row>
    <row r="3" spans="1:28" ht="15" x14ac:dyDescent="0.25">
      <c r="A3" s="66">
        <v>40209</v>
      </c>
      <c r="B3" s="114">
        <f>YEAR(A3)</f>
        <v>2010</v>
      </c>
      <c r="C3" s="114">
        <f>MONTH(A3)</f>
        <v>1</v>
      </c>
      <c r="D3" s="107">
        <f>Purchases!C3</f>
        <v>16710571.449999999</v>
      </c>
      <c r="E3" s="94"/>
      <c r="F3" s="171"/>
      <c r="G3" s="94">
        <f>D3+F3-E3</f>
        <v>16710571.449999999</v>
      </c>
      <c r="H3" s="90">
        <f>'Purchased Power Model (WN)'!H3</f>
        <v>627.19999999999993</v>
      </c>
      <c r="I3" s="90">
        <f>'Purchased Power Model (WN)'!I3</f>
        <v>0</v>
      </c>
      <c r="J3" s="108">
        <v>31</v>
      </c>
      <c r="K3" s="108">
        <v>0</v>
      </c>
      <c r="L3" s="152">
        <v>0</v>
      </c>
      <c r="M3" s="152">
        <v>0</v>
      </c>
      <c r="N3" s="149">
        <v>12341</v>
      </c>
      <c r="O3" s="67">
        <f t="shared" ref="O3:O66" si="0">$U$10+H3*$U$11+I3*$U$12+J3*$U$13+K3*$U$14+L3*$U$15+M3*$U$16+N3*$U$17</f>
        <v>16656024.675353844</v>
      </c>
      <c r="P3" s="40">
        <f t="shared" ref="P3:P66" si="1">O3-G3</f>
        <v>-54546.774646155536</v>
      </c>
      <c r="Q3" s="53">
        <f t="shared" ref="Q3:Q66" si="2">P3/G3</f>
        <v>-3.2642076190731069E-3</v>
      </c>
      <c r="R3" s="12">
        <f t="shared" ref="R3:R66" si="3">ABS(Q3)</f>
        <v>3.2642076190731069E-3</v>
      </c>
      <c r="S3" s="12"/>
      <c r="T3" s="46"/>
      <c r="U3" s="46"/>
      <c r="V3" s="46"/>
      <c r="W3" s="46"/>
      <c r="X3" s="46"/>
      <c r="Y3" s="46"/>
      <c r="Z3" s="46"/>
      <c r="AA3" s="46"/>
      <c r="AB3" s="46"/>
    </row>
    <row r="4" spans="1:28" ht="15" x14ac:dyDescent="0.25">
      <c r="A4" s="66">
        <v>40237</v>
      </c>
      <c r="B4" s="114">
        <f t="shared" ref="B4:B67" si="4">YEAR(A4)</f>
        <v>2010</v>
      </c>
      <c r="C4" s="114">
        <f t="shared" ref="C4:C67" si="5">MONTH(A4)</f>
        <v>2</v>
      </c>
      <c r="D4" s="107">
        <f>Purchases!C4</f>
        <v>14688782.35</v>
      </c>
      <c r="E4" s="94"/>
      <c r="F4" s="171"/>
      <c r="G4" s="94">
        <f t="shared" ref="G4:G67" si="6">D4+F4-E4</f>
        <v>14688782.35</v>
      </c>
      <c r="H4" s="90">
        <f>'Purchased Power Model (WN)'!H4</f>
        <v>521.79999999999995</v>
      </c>
      <c r="I4" s="90">
        <f>'Purchased Power Model (WN)'!I4</f>
        <v>0</v>
      </c>
      <c r="J4" s="108">
        <v>28</v>
      </c>
      <c r="K4" s="108">
        <v>0</v>
      </c>
      <c r="L4" s="152">
        <f>Data!AC3</f>
        <v>0</v>
      </c>
      <c r="M4" s="152">
        <f>Data!AD3</f>
        <v>0</v>
      </c>
      <c r="N4" s="149">
        <v>12365.727272727272</v>
      </c>
      <c r="O4" s="67">
        <f t="shared" si="0"/>
        <v>14530508.597728003</v>
      </c>
      <c r="P4" s="40">
        <f t="shared" si="1"/>
        <v>-158273.75227199681</v>
      </c>
      <c r="Q4" s="53">
        <f t="shared" si="2"/>
        <v>-1.0775144494669214E-2</v>
      </c>
      <c r="R4" s="12">
        <f t="shared" si="3"/>
        <v>1.0775144494669214E-2</v>
      </c>
      <c r="S4" s="153"/>
      <c r="T4" s="220"/>
      <c r="U4" s="220"/>
      <c r="V4" s="46"/>
      <c r="W4" s="46"/>
      <c r="X4" s="46"/>
      <c r="Y4" s="46"/>
      <c r="Z4" s="46"/>
      <c r="AA4" s="46"/>
      <c r="AB4" s="46"/>
    </row>
    <row r="5" spans="1:28" ht="15" x14ac:dyDescent="0.25">
      <c r="A5" s="66">
        <v>40268</v>
      </c>
      <c r="B5" s="114">
        <f t="shared" si="4"/>
        <v>2010</v>
      </c>
      <c r="C5" s="114">
        <f t="shared" si="5"/>
        <v>3</v>
      </c>
      <c r="D5" s="107">
        <f>Purchases!C5</f>
        <v>14685368.52</v>
      </c>
      <c r="E5" s="94"/>
      <c r="F5" s="171"/>
      <c r="G5" s="94">
        <f t="shared" si="6"/>
        <v>14685368.52</v>
      </c>
      <c r="H5" s="90">
        <f>'Purchased Power Model (WN)'!H5</f>
        <v>360.7</v>
      </c>
      <c r="I5" s="90">
        <f>'Purchased Power Model (WN)'!I5</f>
        <v>0</v>
      </c>
      <c r="J5" s="108">
        <v>31</v>
      </c>
      <c r="K5" s="108">
        <v>1</v>
      </c>
      <c r="L5" s="152">
        <f>Data!AC4</f>
        <v>0</v>
      </c>
      <c r="M5" s="152">
        <f>Data!AD4</f>
        <v>0</v>
      </c>
      <c r="N5" s="149">
        <v>12391.454545454544</v>
      </c>
      <c r="O5" s="67">
        <f t="shared" si="0"/>
        <v>14357458.145808883</v>
      </c>
      <c r="P5" s="40">
        <f t="shared" si="1"/>
        <v>-327910.37419111654</v>
      </c>
      <c r="Q5" s="53">
        <f t="shared" si="2"/>
        <v>-2.2329053148685746E-2</v>
      </c>
      <c r="R5" s="12">
        <f t="shared" si="3"/>
        <v>2.2329053148685746E-2</v>
      </c>
      <c r="S5" s="153"/>
      <c r="T5" s="46" t="s">
        <v>179</v>
      </c>
      <c r="U5" s="46"/>
      <c r="V5" s="46"/>
      <c r="W5" s="46"/>
      <c r="X5" s="46"/>
      <c r="Y5" s="46"/>
      <c r="Z5" s="46"/>
      <c r="AA5" s="46"/>
      <c r="AB5" s="46"/>
    </row>
    <row r="6" spans="1:28" ht="15" x14ac:dyDescent="0.25">
      <c r="A6" s="66">
        <v>40298</v>
      </c>
      <c r="B6" s="114">
        <f t="shared" si="4"/>
        <v>2010</v>
      </c>
      <c r="C6" s="114">
        <f t="shared" si="5"/>
        <v>4</v>
      </c>
      <c r="D6" s="107">
        <f>Purchases!C6</f>
        <v>13053838.199999999</v>
      </c>
      <c r="E6" s="94"/>
      <c r="F6" s="171"/>
      <c r="G6" s="94">
        <f t="shared" si="6"/>
        <v>13053838.199999999</v>
      </c>
      <c r="H6" s="90">
        <f>'Purchased Power Model (WN)'!H6</f>
        <v>159.69999999999999</v>
      </c>
      <c r="I6" s="90">
        <f>'Purchased Power Model (WN)'!I6</f>
        <v>6.6000000000000014</v>
      </c>
      <c r="J6" s="108">
        <v>30</v>
      </c>
      <c r="K6" s="108">
        <v>1</v>
      </c>
      <c r="L6" s="152">
        <f>Data!AC5</f>
        <v>0</v>
      </c>
      <c r="M6" s="152">
        <f>Data!AD5</f>
        <v>0</v>
      </c>
      <c r="N6" s="149">
        <v>12417.181818181816</v>
      </c>
      <c r="O6" s="67">
        <f t="shared" si="0"/>
        <v>12828465.061594803</v>
      </c>
      <c r="P6" s="40">
        <f t="shared" si="1"/>
        <v>-225373.13840519637</v>
      </c>
      <c r="Q6" s="53">
        <f t="shared" si="2"/>
        <v>-1.7264894428153429E-2</v>
      </c>
      <c r="R6" s="12">
        <f t="shared" si="3"/>
        <v>1.7264894428153429E-2</v>
      </c>
      <c r="S6" s="153"/>
      <c r="T6" s="46" t="s">
        <v>156</v>
      </c>
      <c r="U6" s="46"/>
      <c r="V6" s="46"/>
      <c r="W6" s="46"/>
      <c r="X6" s="46"/>
      <c r="Y6" s="46"/>
      <c r="Z6" s="46"/>
      <c r="AA6" s="46"/>
      <c r="AB6" s="46"/>
    </row>
    <row r="7" spans="1:28" ht="15" x14ac:dyDescent="0.25">
      <c r="A7" s="66">
        <v>40329</v>
      </c>
      <c r="B7" s="114">
        <f t="shared" si="4"/>
        <v>2010</v>
      </c>
      <c r="C7" s="114">
        <f t="shared" si="5"/>
        <v>5</v>
      </c>
      <c r="D7" s="107">
        <f>Purchases!C7</f>
        <v>14445330.75</v>
      </c>
      <c r="E7" s="94"/>
      <c r="F7" s="171"/>
      <c r="G7" s="94">
        <f t="shared" si="6"/>
        <v>14445330.75</v>
      </c>
      <c r="H7" s="90">
        <f>'Purchased Power Model (WN)'!H7</f>
        <v>78.5</v>
      </c>
      <c r="I7" s="90">
        <f>'Purchased Power Model (WN)'!I7</f>
        <v>69.400000000000006</v>
      </c>
      <c r="J7" s="108">
        <v>31</v>
      </c>
      <c r="K7" s="108">
        <v>1</v>
      </c>
      <c r="L7" s="152">
        <f>Data!AC6</f>
        <v>0</v>
      </c>
      <c r="M7" s="152">
        <f>Data!AD6</f>
        <v>0</v>
      </c>
      <c r="N7" s="149">
        <v>12443.909090909088</v>
      </c>
      <c r="O7" s="67">
        <f t="shared" si="0"/>
        <v>14697634.418084536</v>
      </c>
      <c r="P7" s="40">
        <f t="shared" si="1"/>
        <v>252303.66808453575</v>
      </c>
      <c r="Q7" s="53">
        <f t="shared" si="2"/>
        <v>1.746610530773314E-2</v>
      </c>
      <c r="R7" s="12">
        <f t="shared" si="3"/>
        <v>1.746610530773314E-2</v>
      </c>
      <c r="S7" s="153"/>
      <c r="T7" s="46" t="s">
        <v>230</v>
      </c>
      <c r="U7" s="46"/>
      <c r="V7" s="46"/>
      <c r="W7" s="46"/>
      <c r="X7" s="46"/>
      <c r="Y7" s="46"/>
      <c r="Z7" s="46"/>
      <c r="AA7" s="46"/>
      <c r="AB7" s="46"/>
    </row>
    <row r="8" spans="1:28" ht="15" x14ac:dyDescent="0.25">
      <c r="A8" s="66">
        <v>40359</v>
      </c>
      <c r="B8" s="114">
        <f t="shared" si="4"/>
        <v>2010</v>
      </c>
      <c r="C8" s="114">
        <f t="shared" si="5"/>
        <v>6</v>
      </c>
      <c r="D8" s="107">
        <f>Purchases!C8</f>
        <v>16128916.77</v>
      </c>
      <c r="E8" s="94"/>
      <c r="F8" s="171"/>
      <c r="G8" s="94">
        <f t="shared" si="6"/>
        <v>16128916.77</v>
      </c>
      <c r="H8" s="90">
        <f>'Purchased Power Model (WN)'!H8</f>
        <v>5.6999999999999993</v>
      </c>
      <c r="I8" s="90">
        <f>'Purchased Power Model (WN)'!I8</f>
        <v>122.50000000000003</v>
      </c>
      <c r="J8" s="108">
        <v>30</v>
      </c>
      <c r="K8" s="108">
        <v>0</v>
      </c>
      <c r="L8" s="152">
        <f>Data!AC7</f>
        <v>0</v>
      </c>
      <c r="M8" s="152">
        <f>Data!AD7</f>
        <v>0</v>
      </c>
      <c r="N8" s="149">
        <v>12470.63636363636</v>
      </c>
      <c r="O8" s="67">
        <f t="shared" si="0"/>
        <v>16019645.004395939</v>
      </c>
      <c r="P8" s="40">
        <f t="shared" si="1"/>
        <v>-109271.76560406014</v>
      </c>
      <c r="Q8" s="53">
        <f t="shared" si="2"/>
        <v>-6.7748979774827217E-3</v>
      </c>
      <c r="R8" s="12">
        <f t="shared" si="3"/>
        <v>6.7748979774827217E-3</v>
      </c>
      <c r="S8" s="153"/>
      <c r="T8" s="46"/>
      <c r="U8" s="46"/>
      <c r="V8" s="46"/>
      <c r="W8" s="46"/>
      <c r="X8" s="46"/>
      <c r="Y8" s="46"/>
      <c r="Z8" s="46"/>
      <c r="AA8" s="46"/>
      <c r="AB8" s="46"/>
    </row>
    <row r="9" spans="1:28" ht="15" x14ac:dyDescent="0.25">
      <c r="A9" s="66">
        <v>40390</v>
      </c>
      <c r="B9" s="114">
        <f t="shared" si="4"/>
        <v>2010</v>
      </c>
      <c r="C9" s="114">
        <f t="shared" si="5"/>
        <v>7</v>
      </c>
      <c r="D9" s="107">
        <f>Purchases!C9</f>
        <v>19784906.43</v>
      </c>
      <c r="E9" s="94"/>
      <c r="F9" s="171"/>
      <c r="G9" s="94">
        <f t="shared" si="6"/>
        <v>19784906.43</v>
      </c>
      <c r="H9" s="90">
        <f>'Purchased Power Model (WN)'!H9</f>
        <v>0</v>
      </c>
      <c r="I9" s="90">
        <f>'Purchased Power Model (WN)'!I9</f>
        <v>234.69999999999996</v>
      </c>
      <c r="J9" s="108">
        <v>31</v>
      </c>
      <c r="K9" s="108">
        <v>0</v>
      </c>
      <c r="L9" s="152">
        <f>Data!AC8</f>
        <v>0</v>
      </c>
      <c r="M9" s="152">
        <f>Data!AD8</f>
        <v>0</v>
      </c>
      <c r="N9" s="149">
        <v>12498.363636363632</v>
      </c>
      <c r="O9" s="67">
        <f t="shared" si="0"/>
        <v>19819144.408589613</v>
      </c>
      <c r="P9" s="40">
        <f t="shared" si="1"/>
        <v>34237.978589612991</v>
      </c>
      <c r="Q9" s="53">
        <f t="shared" si="2"/>
        <v>1.7305100082605238E-3</v>
      </c>
      <c r="R9" s="12">
        <f t="shared" si="3"/>
        <v>1.7305100082605238E-3</v>
      </c>
      <c r="S9" s="153"/>
      <c r="T9" s="46"/>
      <c r="U9" s="46" t="s">
        <v>157</v>
      </c>
      <c r="V9" s="46" t="s">
        <v>158</v>
      </c>
      <c r="W9" s="46" t="s">
        <v>159</v>
      </c>
      <c r="X9" s="46" t="s">
        <v>160</v>
      </c>
      <c r="Y9" s="46"/>
      <c r="Z9" s="46"/>
      <c r="AA9" s="46"/>
      <c r="AB9" s="46"/>
    </row>
    <row r="10" spans="1:28" ht="15" x14ac:dyDescent="0.25">
      <c r="A10" s="66">
        <v>40421</v>
      </c>
      <c r="B10" s="114">
        <f t="shared" si="4"/>
        <v>2010</v>
      </c>
      <c r="C10" s="114">
        <f t="shared" si="5"/>
        <v>8</v>
      </c>
      <c r="D10" s="107">
        <f>Purchases!C10</f>
        <v>19044589.699999999</v>
      </c>
      <c r="E10" s="94"/>
      <c r="F10" s="171"/>
      <c r="G10" s="94">
        <f t="shared" si="6"/>
        <v>19044589.699999999</v>
      </c>
      <c r="H10" s="90">
        <f>'Purchased Power Model (WN)'!H10</f>
        <v>0</v>
      </c>
      <c r="I10" s="90">
        <f>'Purchased Power Model (WN)'!I10</f>
        <v>206.29999999999998</v>
      </c>
      <c r="J10" s="108">
        <v>31</v>
      </c>
      <c r="K10" s="108">
        <v>0</v>
      </c>
      <c r="L10" s="152">
        <f>Data!AC9</f>
        <v>0</v>
      </c>
      <c r="M10" s="152">
        <f>Data!AD9</f>
        <v>0</v>
      </c>
      <c r="N10" s="149">
        <v>12525.090909090904</v>
      </c>
      <c r="O10" s="67">
        <f t="shared" si="0"/>
        <v>18995088.987641245</v>
      </c>
      <c r="P10" s="40">
        <f t="shared" si="1"/>
        <v>-49500.712358754128</v>
      </c>
      <c r="Q10" s="53">
        <f t="shared" si="2"/>
        <v>-2.5992007776756742E-3</v>
      </c>
      <c r="R10" s="12">
        <f t="shared" si="3"/>
        <v>2.5992007776756742E-3</v>
      </c>
      <c r="S10" s="153"/>
      <c r="T10" s="46" t="s">
        <v>161</v>
      </c>
      <c r="U10" s="222">
        <v>-10293084.456462801</v>
      </c>
      <c r="V10" s="223">
        <v>1740474.2667543499</v>
      </c>
      <c r="W10" s="224">
        <v>-5.9139538303300601</v>
      </c>
      <c r="X10" s="46">
        <v>3.6919002081187898E-8</v>
      </c>
      <c r="Y10" s="46"/>
      <c r="Z10" s="46"/>
      <c r="AA10" s="46"/>
      <c r="AB10" s="46"/>
    </row>
    <row r="11" spans="1:28" ht="15" x14ac:dyDescent="0.25">
      <c r="A11" s="66">
        <v>40451</v>
      </c>
      <c r="B11" s="114">
        <f t="shared" si="4"/>
        <v>2010</v>
      </c>
      <c r="C11" s="114">
        <f t="shared" si="5"/>
        <v>9</v>
      </c>
      <c r="D11" s="107">
        <f>Purchases!C11</f>
        <v>14895979.83</v>
      </c>
      <c r="E11" s="94"/>
      <c r="F11" s="171"/>
      <c r="G11" s="94">
        <f t="shared" si="6"/>
        <v>14895979.83</v>
      </c>
      <c r="H11" s="90">
        <f>'Purchased Power Model (WN)'!H11</f>
        <v>26.9</v>
      </c>
      <c r="I11" s="90">
        <f>'Purchased Power Model (WN)'!I11</f>
        <v>57.600000000000023</v>
      </c>
      <c r="J11" s="108">
        <v>30</v>
      </c>
      <c r="K11" s="108">
        <v>0</v>
      </c>
      <c r="L11" s="152">
        <f>Data!AC10</f>
        <v>0</v>
      </c>
      <c r="M11" s="152">
        <f>Data!AD10</f>
        <v>0</v>
      </c>
      <c r="N11" s="149">
        <v>12552.818181818177</v>
      </c>
      <c r="O11" s="67">
        <f t="shared" si="0"/>
        <v>14280880.391968071</v>
      </c>
      <c r="P11" s="40">
        <f t="shared" si="1"/>
        <v>-615099.43803192861</v>
      </c>
      <c r="Q11" s="53">
        <f t="shared" si="2"/>
        <v>-4.129298274109764E-2</v>
      </c>
      <c r="R11" s="12">
        <f t="shared" si="3"/>
        <v>4.129298274109764E-2</v>
      </c>
      <c r="S11" s="153"/>
      <c r="T11" s="46" t="s">
        <v>95</v>
      </c>
      <c r="U11" s="222">
        <v>6190.2198434209304</v>
      </c>
      <c r="V11" s="223">
        <v>234.902556683352</v>
      </c>
      <c r="W11" s="224">
        <v>26.352288075626699</v>
      </c>
      <c r="X11" s="46">
        <v>7.8758720636963802E-50</v>
      </c>
      <c r="Y11" s="46"/>
      <c r="Z11" s="46"/>
      <c r="AA11" s="46"/>
      <c r="AB11" s="46"/>
    </row>
    <row r="12" spans="1:28" ht="15" x14ac:dyDescent="0.25">
      <c r="A12" s="66">
        <v>40482</v>
      </c>
      <c r="B12" s="114">
        <f t="shared" si="4"/>
        <v>2010</v>
      </c>
      <c r="C12" s="114">
        <f t="shared" si="5"/>
        <v>10</v>
      </c>
      <c r="D12" s="107">
        <f>Purchases!C12</f>
        <v>13951924.74</v>
      </c>
      <c r="E12" s="94"/>
      <c r="F12" s="171"/>
      <c r="G12" s="94">
        <f t="shared" si="6"/>
        <v>13951924.74</v>
      </c>
      <c r="H12" s="90">
        <f>'Purchased Power Model (WN)'!H12</f>
        <v>158.19999999999999</v>
      </c>
      <c r="I12" s="90">
        <f>'Purchased Power Model (WN)'!I12</f>
        <v>2.5</v>
      </c>
      <c r="J12" s="108">
        <v>31</v>
      </c>
      <c r="K12" s="108">
        <v>0</v>
      </c>
      <c r="L12" s="152">
        <f>Data!AC11</f>
        <v>0</v>
      </c>
      <c r="M12" s="152">
        <f>Data!AD11</f>
        <v>0</v>
      </c>
      <c r="N12" s="149">
        <v>12579.545454545449</v>
      </c>
      <c r="O12" s="67">
        <f t="shared" si="0"/>
        <v>13975379.280366989</v>
      </c>
      <c r="P12" s="40">
        <f t="shared" si="1"/>
        <v>23454.540366988629</v>
      </c>
      <c r="Q12" s="53">
        <f t="shared" si="2"/>
        <v>1.6810971105473888E-3</v>
      </c>
      <c r="R12" s="12">
        <f t="shared" si="3"/>
        <v>1.6810971105473888E-3</v>
      </c>
      <c r="S12" s="153"/>
      <c r="T12" s="46" t="s">
        <v>96</v>
      </c>
      <c r="U12" s="222">
        <v>29602.138972160799</v>
      </c>
      <c r="V12" s="223">
        <v>704.34015768746599</v>
      </c>
      <c r="W12" s="224">
        <v>42.028185741038001</v>
      </c>
      <c r="X12" s="46">
        <v>2.0604219681234701E-70</v>
      </c>
      <c r="Y12" s="221"/>
      <c r="Z12" s="46"/>
      <c r="AA12" s="46"/>
      <c r="AB12" s="46"/>
    </row>
    <row r="13" spans="1:28" ht="15" x14ac:dyDescent="0.25">
      <c r="A13" s="66">
        <v>40512</v>
      </c>
      <c r="B13" s="114">
        <f t="shared" si="4"/>
        <v>2010</v>
      </c>
      <c r="C13" s="114">
        <f t="shared" si="5"/>
        <v>11</v>
      </c>
      <c r="D13" s="107">
        <f>Purchases!C13</f>
        <v>14495200.18</v>
      </c>
      <c r="E13" s="94"/>
      <c r="F13" s="171"/>
      <c r="G13" s="94">
        <f t="shared" si="6"/>
        <v>14495200.18</v>
      </c>
      <c r="H13" s="90">
        <f>'Purchased Power Model (WN)'!H13</f>
        <v>332.40000000000003</v>
      </c>
      <c r="I13" s="90">
        <f>'Purchased Power Model (WN)'!I13</f>
        <v>0</v>
      </c>
      <c r="J13" s="108">
        <v>30</v>
      </c>
      <c r="K13" s="108">
        <v>0</v>
      </c>
      <c r="L13" s="152">
        <f>Data!AC12</f>
        <v>0</v>
      </c>
      <c r="M13" s="152">
        <f>Data!AD12</f>
        <v>0</v>
      </c>
      <c r="N13" s="149">
        <v>12605.272727272721</v>
      </c>
      <c r="O13" s="67">
        <f t="shared" si="0"/>
        <v>14499577.216757782</v>
      </c>
      <c r="P13" s="40">
        <f t="shared" si="1"/>
        <v>4377.0367577821016</v>
      </c>
      <c r="Q13" s="53">
        <f t="shared" si="2"/>
        <v>3.0196456091868211E-4</v>
      </c>
      <c r="R13" s="12">
        <f t="shared" si="3"/>
        <v>3.0196456091868211E-4</v>
      </c>
      <c r="S13" s="153"/>
      <c r="T13" s="46" t="s">
        <v>183</v>
      </c>
      <c r="U13" s="222">
        <v>496155.55446281098</v>
      </c>
      <c r="V13" s="223">
        <v>35453.5926910911</v>
      </c>
      <c r="W13" s="224">
        <v>13.9945070951155</v>
      </c>
      <c r="X13" s="46">
        <v>2.4095327756740699E-26</v>
      </c>
      <c r="Y13" s="30"/>
      <c r="Z13" s="46"/>
      <c r="AA13" s="46"/>
      <c r="AB13" s="46"/>
    </row>
    <row r="14" spans="1:28" ht="15" x14ac:dyDescent="0.25">
      <c r="A14" s="66">
        <v>40543</v>
      </c>
      <c r="B14" s="114">
        <f t="shared" si="4"/>
        <v>2010</v>
      </c>
      <c r="C14" s="114">
        <f t="shared" si="5"/>
        <v>12</v>
      </c>
      <c r="D14" s="107">
        <f>Purchases!C14</f>
        <v>17057264.129999999</v>
      </c>
      <c r="E14" s="94"/>
      <c r="F14" s="171"/>
      <c r="G14" s="94">
        <f t="shared" si="6"/>
        <v>17057264.129999999</v>
      </c>
      <c r="H14" s="90">
        <f>'Purchased Power Model (WN)'!H14</f>
        <v>595</v>
      </c>
      <c r="I14" s="90">
        <f>'Purchased Power Model (WN)'!I14</f>
        <v>0</v>
      </c>
      <c r="J14" s="108">
        <v>31</v>
      </c>
      <c r="K14" s="108">
        <v>0</v>
      </c>
      <c r="L14" s="152">
        <f>Data!AC13</f>
        <v>0</v>
      </c>
      <c r="M14" s="152">
        <f>Data!AD13</f>
        <v>0</v>
      </c>
      <c r="N14" s="149">
        <v>12665</v>
      </c>
      <c r="O14" s="67">
        <f t="shared" si="0"/>
        <v>16658481.709894352</v>
      </c>
      <c r="P14" s="40">
        <f t="shared" si="1"/>
        <v>-398782.4201056473</v>
      </c>
      <c r="Q14" s="53">
        <f t="shared" si="2"/>
        <v>-2.3379037638531736E-2</v>
      </c>
      <c r="R14" s="12">
        <f t="shared" si="3"/>
        <v>2.3379037638531736E-2</v>
      </c>
      <c r="S14" s="153"/>
      <c r="T14" s="46" t="s">
        <v>187</v>
      </c>
      <c r="U14" s="222">
        <v>-680295.24009251897</v>
      </c>
      <c r="V14" s="223">
        <v>96372.943417671806</v>
      </c>
      <c r="W14" s="224">
        <v>-7.0589858104071803</v>
      </c>
      <c r="X14" s="46">
        <v>1.48927771438693E-10</v>
      </c>
      <c r="Y14" s="30"/>
      <c r="Z14" s="46"/>
      <c r="AA14" s="46"/>
      <c r="AB14" s="46"/>
    </row>
    <row r="15" spans="1:28" ht="15" x14ac:dyDescent="0.25">
      <c r="A15" s="66">
        <v>40574</v>
      </c>
      <c r="B15" s="114">
        <f t="shared" si="4"/>
        <v>2011</v>
      </c>
      <c r="C15" s="114">
        <f t="shared" si="5"/>
        <v>1</v>
      </c>
      <c r="D15" s="107">
        <f>Purchases!C15</f>
        <v>16972495.279649999</v>
      </c>
      <c r="E15" s="94"/>
      <c r="F15" s="171">
        <f ca="1">CDM!D23</f>
        <v>6677.2348839500955</v>
      </c>
      <c r="G15" s="94">
        <f t="shared" ca="1" si="6"/>
        <v>16979172.514533948</v>
      </c>
      <c r="H15" s="90">
        <f>Weather!H122</f>
        <v>681</v>
      </c>
      <c r="I15" s="90">
        <f>Weather!I122</f>
        <v>0</v>
      </c>
      <c r="J15" s="108">
        <v>31</v>
      </c>
      <c r="K15" s="108">
        <f>K3</f>
        <v>0</v>
      </c>
      <c r="L15" s="152">
        <f>Data!AC2</f>
        <v>0</v>
      </c>
      <c r="M15" s="152">
        <f>Data!AD2</f>
        <v>0</v>
      </c>
      <c r="N15" s="150">
        <f>'Customer Count'!I2</f>
        <v>12677.666666666668</v>
      </c>
      <c r="O15" s="67">
        <f t="shared" si="0"/>
        <v>17198729.217573564</v>
      </c>
      <c r="P15" s="40">
        <f t="shared" ca="1" si="1"/>
        <v>219556.70303961635</v>
      </c>
      <c r="Q15" s="53">
        <f t="shared" ca="1" si="2"/>
        <v>1.2930942473885503E-2</v>
      </c>
      <c r="R15" s="12">
        <f t="shared" ca="1" si="3"/>
        <v>1.2930942473885503E-2</v>
      </c>
      <c r="S15" s="153"/>
      <c r="T15" s="46" t="s">
        <v>210</v>
      </c>
      <c r="U15" s="222">
        <v>1959.4251617028499</v>
      </c>
      <c r="V15" s="223">
        <v>578.65483318029305</v>
      </c>
      <c r="W15" s="224">
        <v>3.3861726358247699</v>
      </c>
      <c r="X15" s="46">
        <v>9.7828598742790199E-4</v>
      </c>
      <c r="Y15" s="30"/>
      <c r="Z15" s="46"/>
      <c r="AA15" s="46"/>
      <c r="AB15" s="46"/>
    </row>
    <row r="16" spans="1:28" ht="15" x14ac:dyDescent="0.25">
      <c r="A16" s="66">
        <v>40602</v>
      </c>
      <c r="B16" s="114">
        <f t="shared" si="4"/>
        <v>2011</v>
      </c>
      <c r="C16" s="114">
        <f t="shared" si="5"/>
        <v>2</v>
      </c>
      <c r="D16" s="107">
        <f>Purchases!C16</f>
        <v>15034235.442599999</v>
      </c>
      <c r="E16" s="94"/>
      <c r="F16" s="171">
        <f ca="1">CDM!D24</f>
        <v>13354.469767900191</v>
      </c>
      <c r="G16" s="94">
        <f t="shared" ca="1" si="6"/>
        <v>15047589.912367899</v>
      </c>
      <c r="H16" s="90">
        <f>Weather!H123</f>
        <v>554.70000000000005</v>
      </c>
      <c r="I16" s="90">
        <f>Weather!I123</f>
        <v>0</v>
      </c>
      <c r="J16" s="108">
        <v>29</v>
      </c>
      <c r="K16" s="108">
        <f t="shared" ref="K16:K79" si="7">K4</f>
        <v>0</v>
      </c>
      <c r="L16" s="152">
        <f>Data!AC3</f>
        <v>0</v>
      </c>
      <c r="M16" s="152">
        <f>Data!AD3</f>
        <v>0</v>
      </c>
      <c r="N16" s="150">
        <f>'Customer Count'!I3</f>
        <v>12690.333333333334</v>
      </c>
      <c r="O16" s="67">
        <f t="shared" si="0"/>
        <v>15432481.943568887</v>
      </c>
      <c r="P16" s="40">
        <f t="shared" ca="1" si="1"/>
        <v>384892.03120098822</v>
      </c>
      <c r="Q16" s="53">
        <f t="shared" ca="1" si="2"/>
        <v>2.557831742109334E-2</v>
      </c>
      <c r="R16" s="12">
        <f t="shared" ca="1" si="3"/>
        <v>2.557831742109334E-2</v>
      </c>
      <c r="S16" s="153"/>
      <c r="T16" s="46" t="s">
        <v>207</v>
      </c>
      <c r="U16" s="222">
        <v>6052.0850073640904</v>
      </c>
      <c r="V16" s="223">
        <v>1328.12661070064</v>
      </c>
      <c r="W16" s="224">
        <v>4.55685847915613</v>
      </c>
      <c r="X16" s="46">
        <v>1.3310497593018701E-5</v>
      </c>
      <c r="Y16" s="46"/>
      <c r="Z16" s="46"/>
      <c r="AA16" s="46"/>
      <c r="AB16" s="46"/>
    </row>
    <row r="17" spans="1:28" ht="15" x14ac:dyDescent="0.25">
      <c r="A17" s="66">
        <v>40633</v>
      </c>
      <c r="B17" s="114">
        <f t="shared" si="4"/>
        <v>2011</v>
      </c>
      <c r="C17" s="114">
        <f t="shared" si="5"/>
        <v>3</v>
      </c>
      <c r="D17" s="107">
        <f>Purchases!C17</f>
        <v>15600132.157400001</v>
      </c>
      <c r="E17" s="94"/>
      <c r="F17" s="171">
        <f ca="1">CDM!D25</f>
        <v>20031.704651850287</v>
      </c>
      <c r="G17" s="94">
        <f t="shared" ca="1" si="6"/>
        <v>15620163.862051852</v>
      </c>
      <c r="H17" s="90">
        <f>Weather!H124</f>
        <v>486.60000000000014</v>
      </c>
      <c r="I17" s="90">
        <f>Weather!I124</f>
        <v>0</v>
      </c>
      <c r="J17" s="108">
        <v>31</v>
      </c>
      <c r="K17" s="108">
        <f t="shared" si="7"/>
        <v>1</v>
      </c>
      <c r="L17" s="152">
        <f>Data!AC4</f>
        <v>0</v>
      </c>
      <c r="M17" s="152">
        <f>Data!AD4</f>
        <v>0</v>
      </c>
      <c r="N17" s="150">
        <f>'Customer Count'!I4</f>
        <v>12722.000000000002</v>
      </c>
      <c r="O17" s="67">
        <f t="shared" si="0"/>
        <v>15342665.343927551</v>
      </c>
      <c r="P17" s="40">
        <f t="shared" ca="1" si="1"/>
        <v>-277498.51812430099</v>
      </c>
      <c r="Q17" s="53">
        <f t="shared" ca="1" si="2"/>
        <v>-1.7765403780331982E-2</v>
      </c>
      <c r="R17" s="12">
        <f t="shared" ca="1" si="3"/>
        <v>1.7765403780331982E-2</v>
      </c>
      <c r="S17" s="153"/>
      <c r="T17" s="46" t="s">
        <v>184</v>
      </c>
      <c r="U17" s="222">
        <v>622.78430092179701</v>
      </c>
      <c r="V17" s="223">
        <v>101.026861243298</v>
      </c>
      <c r="W17" s="224">
        <v>6.1645417194737497</v>
      </c>
      <c r="X17" s="46">
        <v>1.14488113438308E-8</v>
      </c>
      <c r="Y17" s="221"/>
      <c r="Z17" s="221"/>
      <c r="AA17" s="221"/>
      <c r="AB17" s="221"/>
    </row>
    <row r="18" spans="1:28" ht="15" x14ac:dyDescent="0.25">
      <c r="A18" s="66">
        <v>40663</v>
      </c>
      <c r="B18" s="114">
        <f t="shared" si="4"/>
        <v>2011</v>
      </c>
      <c r="C18" s="114">
        <f t="shared" si="5"/>
        <v>4</v>
      </c>
      <c r="D18" s="107">
        <f>Purchases!C18</f>
        <v>13905160.764599999</v>
      </c>
      <c r="E18" s="94"/>
      <c r="F18" s="171">
        <f ca="1">CDM!D26</f>
        <v>26708.939535800382</v>
      </c>
      <c r="G18" s="94">
        <f t="shared" ca="1" si="6"/>
        <v>13931869.7041358</v>
      </c>
      <c r="H18" s="90">
        <f>Weather!H125</f>
        <v>274.59999999999997</v>
      </c>
      <c r="I18" s="90">
        <f>Weather!I125</f>
        <v>0</v>
      </c>
      <c r="J18" s="108">
        <v>30</v>
      </c>
      <c r="K18" s="108">
        <f t="shared" si="7"/>
        <v>1</v>
      </c>
      <c r="L18" s="152">
        <f>Data!AC5</f>
        <v>0</v>
      </c>
      <c r="M18" s="152">
        <f>Data!AD5</f>
        <v>0</v>
      </c>
      <c r="N18" s="150">
        <f>'Customer Count'!I5</f>
        <v>12644.66666666667</v>
      </c>
      <c r="O18" s="67">
        <f t="shared" si="0"/>
        <v>13486021.196721548</v>
      </c>
      <c r="P18" s="40">
        <f t="shared" ca="1" si="1"/>
        <v>-445848.50741425157</v>
      </c>
      <c r="Q18" s="53">
        <f t="shared" ca="1" si="2"/>
        <v>-3.2002058365640434E-2</v>
      </c>
      <c r="R18" s="12">
        <f t="shared" ca="1" si="3"/>
        <v>3.2002058365640434E-2</v>
      </c>
      <c r="S18" s="153"/>
      <c r="T18" s="46"/>
      <c r="U18" s="46"/>
      <c r="V18" s="46"/>
      <c r="W18" s="46"/>
      <c r="X18" s="46"/>
      <c r="Y18" s="170"/>
      <c r="Z18" s="170"/>
      <c r="AA18" s="170"/>
      <c r="AB18" s="170"/>
    </row>
    <row r="19" spans="1:28" ht="15" x14ac:dyDescent="0.25">
      <c r="A19" s="66">
        <v>40694</v>
      </c>
      <c r="B19" s="114">
        <f t="shared" si="4"/>
        <v>2011</v>
      </c>
      <c r="C19" s="114">
        <f t="shared" si="5"/>
        <v>5</v>
      </c>
      <c r="D19" s="107">
        <f>Purchases!C19</f>
        <v>13964088.668949999</v>
      </c>
      <c r="E19" s="94"/>
      <c r="F19" s="171">
        <f ca="1">CDM!D27</f>
        <v>33386.174419750474</v>
      </c>
      <c r="G19" s="94">
        <f t="shared" ca="1" si="6"/>
        <v>13997474.84336975</v>
      </c>
      <c r="H19" s="90">
        <f>Weather!H126</f>
        <v>113.3</v>
      </c>
      <c r="I19" s="90">
        <f>Weather!I126</f>
        <v>28.099999999999998</v>
      </c>
      <c r="J19" s="108">
        <v>31</v>
      </c>
      <c r="K19" s="108">
        <f t="shared" si="7"/>
        <v>1</v>
      </c>
      <c r="L19" s="152">
        <f>Data!AC6</f>
        <v>0</v>
      </c>
      <c r="M19" s="152">
        <f>Data!AD6</f>
        <v>0</v>
      </c>
      <c r="N19" s="150">
        <f>'Customer Count'!I6</f>
        <v>12657.333333333336</v>
      </c>
      <c r="O19" s="67">
        <f t="shared" si="0"/>
        <v>13823402.996703289</v>
      </c>
      <c r="P19" s="40">
        <f t="shared" ca="1" si="1"/>
        <v>-174071.84666646086</v>
      </c>
      <c r="Q19" s="53">
        <f t="shared" ca="1" si="2"/>
        <v>-1.2435946384209027E-2</v>
      </c>
      <c r="R19" s="12">
        <f t="shared" ca="1" si="3"/>
        <v>1.2435946384209027E-2</v>
      </c>
      <c r="S19" s="153"/>
      <c r="T19" s="46" t="s">
        <v>172</v>
      </c>
      <c r="U19" s="46"/>
      <c r="V19" s="46"/>
      <c r="W19" s="46"/>
      <c r="X19" s="46"/>
      <c r="Y19" s="170"/>
      <c r="Z19" s="170"/>
      <c r="AA19" s="170"/>
      <c r="AB19" s="170"/>
    </row>
    <row r="20" spans="1:28" ht="15" x14ac:dyDescent="0.25">
      <c r="A20" s="66">
        <v>40724</v>
      </c>
      <c r="B20" s="114">
        <f t="shared" si="4"/>
        <v>2011</v>
      </c>
      <c r="C20" s="114">
        <f t="shared" si="5"/>
        <v>6</v>
      </c>
      <c r="D20" s="107">
        <f>Purchases!C20</f>
        <v>15635949.933149999</v>
      </c>
      <c r="E20" s="94"/>
      <c r="F20" s="171">
        <f ca="1">CDM!D28</f>
        <v>40063.409303700573</v>
      </c>
      <c r="G20" s="94">
        <f t="shared" ca="1" si="6"/>
        <v>15676013.3424537</v>
      </c>
      <c r="H20" s="90">
        <f>Weather!H127</f>
        <v>1.0999999999999996</v>
      </c>
      <c r="I20" s="90">
        <f>Weather!I127</f>
        <v>113.39999999999999</v>
      </c>
      <c r="J20" s="108">
        <v>30</v>
      </c>
      <c r="K20" s="108">
        <f t="shared" si="7"/>
        <v>0</v>
      </c>
      <c r="L20" s="152">
        <f>Data!AC7</f>
        <v>0</v>
      </c>
      <c r="M20" s="152">
        <f>Data!AD7</f>
        <v>0</v>
      </c>
      <c r="N20" s="150">
        <f>'Customer Count'!I7</f>
        <v>12670.000000000004</v>
      </c>
      <c r="O20" s="67">
        <f t="shared" si="0"/>
        <v>15845951.071371496</v>
      </c>
      <c r="P20" s="40">
        <f t="shared" ca="1" si="1"/>
        <v>169937.72891779616</v>
      </c>
      <c r="Q20" s="53">
        <f t="shared" ca="1" si="2"/>
        <v>1.0840621604829313E-2</v>
      </c>
      <c r="R20" s="12">
        <f t="shared" ca="1" si="3"/>
        <v>1.0840621604829313E-2</v>
      </c>
      <c r="S20" s="153"/>
      <c r="T20" s="46" t="s">
        <v>162</v>
      </c>
      <c r="U20" s="46">
        <v>16448790.194414699</v>
      </c>
      <c r="V20" s="46" t="s">
        <v>163</v>
      </c>
      <c r="W20" s="46">
        <v>1987580.78477811</v>
      </c>
      <c r="X20" s="46"/>
      <c r="Y20" s="170"/>
      <c r="Z20" s="170"/>
      <c r="AA20" s="170"/>
      <c r="AB20" s="170"/>
    </row>
    <row r="21" spans="1:28" ht="15" x14ac:dyDescent="0.25">
      <c r="A21" s="66">
        <v>40755</v>
      </c>
      <c r="B21" s="114">
        <f t="shared" si="4"/>
        <v>2011</v>
      </c>
      <c r="C21" s="114">
        <f t="shared" si="5"/>
        <v>7</v>
      </c>
      <c r="D21" s="107">
        <f>Purchases!C21</f>
        <v>20776403.369124997</v>
      </c>
      <c r="E21" s="94"/>
      <c r="F21" s="171">
        <f ca="1">CDM!D29</f>
        <v>46740.644187650672</v>
      </c>
      <c r="G21" s="94">
        <f ca="1">D21+F21-E21</f>
        <v>20823144.013312649</v>
      </c>
      <c r="H21" s="90">
        <f>Weather!H128</f>
        <v>0</v>
      </c>
      <c r="I21" s="90">
        <f>Weather!I128</f>
        <v>271.2</v>
      </c>
      <c r="J21" s="108">
        <v>31</v>
      </c>
      <c r="K21" s="108">
        <f t="shared" si="7"/>
        <v>0</v>
      </c>
      <c r="L21" s="152">
        <f>Data!AC8</f>
        <v>0</v>
      </c>
      <c r="M21" s="152">
        <f>Data!AD8</f>
        <v>0</v>
      </c>
      <c r="N21" s="150">
        <f>'Customer Count'!I8</f>
        <v>12681.666666666672</v>
      </c>
      <c r="O21" s="67">
        <f t="shared" si="0"/>
        <v>21013780.730657607</v>
      </c>
      <c r="P21" s="40">
        <f t="shared" ca="1" si="1"/>
        <v>190636.71734495834</v>
      </c>
      <c r="Q21" s="53">
        <f t="shared" ca="1" si="2"/>
        <v>9.1550400469343398E-3</v>
      </c>
      <c r="R21" s="12">
        <f t="shared" ca="1" si="3"/>
        <v>9.1550400469343398E-3</v>
      </c>
      <c r="S21" s="153"/>
      <c r="T21" s="46" t="s">
        <v>164</v>
      </c>
      <c r="U21" s="46">
        <v>11393606620334</v>
      </c>
      <c r="V21" s="46" t="s">
        <v>165</v>
      </c>
      <c r="W21" s="46">
        <v>318949.26013191597</v>
      </c>
      <c r="X21" s="46"/>
      <c r="Y21" s="170"/>
      <c r="Z21" s="170"/>
      <c r="AA21" s="170"/>
      <c r="AB21" s="170"/>
    </row>
    <row r="22" spans="1:28" ht="15" x14ac:dyDescent="0.25">
      <c r="A22" s="66">
        <v>40786</v>
      </c>
      <c r="B22" s="114">
        <f t="shared" si="4"/>
        <v>2011</v>
      </c>
      <c r="C22" s="114">
        <f t="shared" si="5"/>
        <v>8</v>
      </c>
      <c r="D22" s="107">
        <f>Purchases!C22</f>
        <v>18292832.774299998</v>
      </c>
      <c r="E22" s="94"/>
      <c r="F22" s="171">
        <f ca="1">CDM!D30</f>
        <v>53417.879071600764</v>
      </c>
      <c r="G22" s="94">
        <f t="shared" ca="1" si="6"/>
        <v>18346250.653371599</v>
      </c>
      <c r="H22" s="90">
        <f>Weather!H129</f>
        <v>0</v>
      </c>
      <c r="I22" s="90">
        <f>Weather!I129</f>
        <v>188.29999999999995</v>
      </c>
      <c r="J22" s="108">
        <v>31</v>
      </c>
      <c r="K22" s="108">
        <f t="shared" si="7"/>
        <v>0</v>
      </c>
      <c r="L22" s="152">
        <f>Data!AC9</f>
        <v>0</v>
      </c>
      <c r="M22" s="152">
        <f>Data!AD9</f>
        <v>0</v>
      </c>
      <c r="N22" s="150">
        <f>'Customer Count'!I9</f>
        <v>12694.333333333338</v>
      </c>
      <c r="O22" s="67">
        <f t="shared" si="0"/>
        <v>18567652.011010483</v>
      </c>
      <c r="P22" s="40">
        <f t="shared" ca="1" si="1"/>
        <v>221401.35763888434</v>
      </c>
      <c r="Q22" s="53">
        <f t="shared" ca="1" si="2"/>
        <v>1.2067934850666401E-2</v>
      </c>
      <c r="R22" s="12">
        <f t="shared" ca="1" si="3"/>
        <v>1.2067934850666401E-2</v>
      </c>
      <c r="S22" s="153"/>
      <c r="T22" s="46" t="s">
        <v>166</v>
      </c>
      <c r="U22" s="46">
        <v>0.97580372324049502</v>
      </c>
      <c r="V22" s="46" t="s">
        <v>167</v>
      </c>
      <c r="W22" s="46">
        <v>0.97429145594302602</v>
      </c>
      <c r="X22" s="46"/>
      <c r="Y22" s="170"/>
      <c r="Z22" s="170"/>
      <c r="AA22" s="170"/>
      <c r="AB22" s="170"/>
    </row>
    <row r="23" spans="1:28" ht="15" x14ac:dyDescent="0.25">
      <c r="A23" s="66">
        <v>40816</v>
      </c>
      <c r="B23" s="114">
        <f t="shared" si="4"/>
        <v>2011</v>
      </c>
      <c r="C23" s="114">
        <f t="shared" si="5"/>
        <v>9</v>
      </c>
      <c r="D23" s="107">
        <f>Purchases!C23</f>
        <v>15179291.59935</v>
      </c>
      <c r="E23" s="94"/>
      <c r="F23" s="171">
        <f ca="1">CDM!D31</f>
        <v>60095.113955550856</v>
      </c>
      <c r="G23" s="94">
        <f t="shared" ca="1" si="6"/>
        <v>15239386.713305552</v>
      </c>
      <c r="H23" s="90">
        <f>Weather!H130</f>
        <v>17.399999999999999</v>
      </c>
      <c r="I23" s="90">
        <f>Weather!I130</f>
        <v>81</v>
      </c>
      <c r="J23" s="108">
        <v>30</v>
      </c>
      <c r="K23" s="108">
        <f t="shared" si="7"/>
        <v>0</v>
      </c>
      <c r="L23" s="152">
        <f>Data!AC10</f>
        <v>0</v>
      </c>
      <c r="M23" s="152">
        <f>Data!AD10</f>
        <v>0</v>
      </c>
      <c r="N23" s="150">
        <f>'Customer Count'!I10</f>
        <v>12798.000000000005</v>
      </c>
      <c r="O23" s="67">
        <f t="shared" si="0"/>
        <v>15067458.74263924</v>
      </c>
      <c r="P23" s="40">
        <f t="shared" ca="1" si="1"/>
        <v>-171927.97066631168</v>
      </c>
      <c r="Q23" s="53">
        <f t="shared" ca="1" si="2"/>
        <v>-1.1281816906463885E-2</v>
      </c>
      <c r="R23" s="12">
        <f t="shared" ca="1" si="3"/>
        <v>1.1281816906463885E-2</v>
      </c>
      <c r="S23" s="153"/>
      <c r="T23" s="46" t="s">
        <v>208</v>
      </c>
      <c r="U23" s="46">
        <v>531.04880225381305</v>
      </c>
      <c r="V23" s="46" t="s">
        <v>169</v>
      </c>
      <c r="W23" s="225">
        <v>8.9502762252436994E-83</v>
      </c>
      <c r="X23" s="46"/>
      <c r="Y23" s="170"/>
      <c r="Z23" s="170"/>
      <c r="AA23" s="170"/>
      <c r="AB23" s="170"/>
    </row>
    <row r="24" spans="1:28" ht="15" x14ac:dyDescent="0.25">
      <c r="A24" s="66">
        <v>40847</v>
      </c>
      <c r="B24" s="114">
        <f t="shared" si="4"/>
        <v>2011</v>
      </c>
      <c r="C24" s="114">
        <f t="shared" si="5"/>
        <v>10</v>
      </c>
      <c r="D24" s="107">
        <f>Purchases!C24</f>
        <v>14464910.0175</v>
      </c>
      <c r="E24" s="94"/>
      <c r="F24" s="171">
        <f ca="1">CDM!D32</f>
        <v>66772.348839500948</v>
      </c>
      <c r="G24" s="94">
        <f t="shared" ca="1" si="6"/>
        <v>14531682.366339501</v>
      </c>
      <c r="H24" s="90">
        <f>Weather!H131</f>
        <v>154.9</v>
      </c>
      <c r="I24" s="90">
        <f>Weather!I131</f>
        <v>12.099999999999998</v>
      </c>
      <c r="J24" s="108">
        <v>31</v>
      </c>
      <c r="K24" s="108">
        <f t="shared" si="7"/>
        <v>0</v>
      </c>
      <c r="L24" s="152">
        <f>Data!AC11</f>
        <v>0</v>
      </c>
      <c r="M24" s="152">
        <f>Data!AD11</f>
        <v>0</v>
      </c>
      <c r="N24" s="150">
        <f>'Customer Count'!I11</f>
        <v>12810.666666666673</v>
      </c>
      <c r="O24" s="67">
        <f t="shared" si="0"/>
        <v>14383070.751535561</v>
      </c>
      <c r="P24" s="40">
        <f t="shared" ca="1" si="1"/>
        <v>-148611.61480394006</v>
      </c>
      <c r="Q24" s="53">
        <f t="shared" ca="1" si="2"/>
        <v>-1.0226731568822131E-2</v>
      </c>
      <c r="R24" s="12">
        <f t="shared" ca="1" si="3"/>
        <v>1.0226731568822131E-2</v>
      </c>
      <c r="S24" s="153"/>
      <c r="T24" s="46" t="s">
        <v>170</v>
      </c>
      <c r="U24" s="46">
        <v>-6.3768686316603901E-2</v>
      </c>
      <c r="V24" s="46" t="s">
        <v>171</v>
      </c>
      <c r="W24" s="46">
        <v>2.0999069287493501</v>
      </c>
      <c r="X24" s="46"/>
      <c r="Y24" s="170"/>
      <c r="Z24" s="170"/>
      <c r="AA24" s="170"/>
      <c r="AB24" s="170"/>
    </row>
    <row r="25" spans="1:28" ht="15" x14ac:dyDescent="0.25">
      <c r="A25" s="66">
        <v>40877</v>
      </c>
      <c r="B25" s="114">
        <f t="shared" si="4"/>
        <v>2011</v>
      </c>
      <c r="C25" s="114">
        <f t="shared" si="5"/>
        <v>11</v>
      </c>
      <c r="D25" s="107">
        <f>Purchases!C25</f>
        <v>14415495.62755</v>
      </c>
      <c r="E25" s="94"/>
      <c r="F25" s="171">
        <f ca="1">CDM!D33</f>
        <v>73449.583723451055</v>
      </c>
      <c r="G25" s="94">
        <f t="shared" ca="1" si="6"/>
        <v>14488945.211273452</v>
      </c>
      <c r="H25" s="90">
        <f>Weather!H132</f>
        <v>246.60000000000005</v>
      </c>
      <c r="I25" s="90">
        <f>Weather!I132</f>
        <v>0</v>
      </c>
      <c r="J25" s="108">
        <v>30</v>
      </c>
      <c r="K25" s="108">
        <f t="shared" si="7"/>
        <v>0</v>
      </c>
      <c r="L25" s="152">
        <f>Data!AC12</f>
        <v>0</v>
      </c>
      <c r="M25" s="152">
        <f>Data!AD12</f>
        <v>0</v>
      </c>
      <c r="N25" s="150">
        <f>'Customer Count'!I12</f>
        <v>12823.333333333339</v>
      </c>
      <c r="O25" s="67">
        <f t="shared" si="0"/>
        <v>14104261.076296311</v>
      </c>
      <c r="P25" s="40">
        <f t="shared" ca="1" si="1"/>
        <v>-384684.1349771414</v>
      </c>
      <c r="Q25" s="53">
        <f t="shared" ca="1" si="2"/>
        <v>-2.6550182181504088E-2</v>
      </c>
      <c r="R25" s="12">
        <f t="shared" ca="1" si="3"/>
        <v>2.6550182181504088E-2</v>
      </c>
      <c r="S25" s="153"/>
      <c r="T25" s="30"/>
      <c r="U25" s="92"/>
      <c r="V25" s="226"/>
      <c r="W25" s="226"/>
      <c r="X25" s="226"/>
      <c r="Y25" s="170"/>
      <c r="Z25" s="170"/>
      <c r="AA25" s="170"/>
      <c r="AB25" s="170"/>
    </row>
    <row r="26" spans="1:28" ht="15" x14ac:dyDescent="0.25">
      <c r="A26" s="66">
        <v>40908</v>
      </c>
      <c r="B26" s="114">
        <f t="shared" si="4"/>
        <v>2011</v>
      </c>
      <c r="C26" s="114">
        <f t="shared" si="5"/>
        <v>12</v>
      </c>
      <c r="D26" s="107">
        <f>Purchases!C26</f>
        <v>16232068.276699999</v>
      </c>
      <c r="E26" s="94"/>
      <c r="F26" s="171">
        <f ca="1">CDM!D34</f>
        <v>80126.818607401146</v>
      </c>
      <c r="G26" s="94">
        <f t="shared" ca="1" si="6"/>
        <v>16312195.0953074</v>
      </c>
      <c r="H26" s="90">
        <f>Weather!H133</f>
        <v>443.7000000000001</v>
      </c>
      <c r="I26" s="90">
        <f>Weather!I133</f>
        <v>0</v>
      </c>
      <c r="J26" s="108">
        <v>31</v>
      </c>
      <c r="K26" s="108">
        <f t="shared" si="7"/>
        <v>0</v>
      </c>
      <c r="L26" s="152">
        <f>Data!AC13</f>
        <v>0</v>
      </c>
      <c r="M26" s="152">
        <f>Data!AD13</f>
        <v>0</v>
      </c>
      <c r="N26" s="150">
        <f>'Customer Count'!I13</f>
        <v>12836</v>
      </c>
      <c r="O26" s="67">
        <f t="shared" si="0"/>
        <v>15828397.563042395</v>
      </c>
      <c r="P26" s="40">
        <f t="shared" ca="1" si="1"/>
        <v>-483797.53226500563</v>
      </c>
      <c r="Q26" s="53">
        <f t="shared" ca="1" si="2"/>
        <v>-2.9658640632871155E-2</v>
      </c>
      <c r="R26" s="12">
        <f t="shared" ca="1" si="3"/>
        <v>2.9658640632871155E-2</v>
      </c>
      <c r="S26" s="153"/>
      <c r="Y26" s="170"/>
      <c r="Z26" s="170"/>
      <c r="AA26" s="170"/>
      <c r="AB26" s="170"/>
    </row>
    <row r="27" spans="1:28" ht="15" x14ac:dyDescent="0.25">
      <c r="A27" s="66">
        <v>40939</v>
      </c>
      <c r="B27" s="114">
        <f t="shared" si="4"/>
        <v>2012</v>
      </c>
      <c r="C27" s="114">
        <f t="shared" si="5"/>
        <v>1</v>
      </c>
      <c r="D27" s="107">
        <f>Purchases!C27</f>
        <v>16429520.481299998</v>
      </c>
      <c r="E27" s="94"/>
      <c r="F27" s="171">
        <f ca="1">CDM!D35</f>
        <v>92021.125628099777</v>
      </c>
      <c r="G27" s="94">
        <f t="shared" ca="1" si="6"/>
        <v>16521541.606928099</v>
      </c>
      <c r="H27" s="90">
        <f>Weather!H134</f>
        <v>520.59999999999991</v>
      </c>
      <c r="I27" s="90">
        <f>Weather!I134</f>
        <v>0</v>
      </c>
      <c r="J27" s="108">
        <v>31</v>
      </c>
      <c r="K27" s="108">
        <f t="shared" si="7"/>
        <v>0</v>
      </c>
      <c r="L27" s="152">
        <f>Data!AC14</f>
        <v>0</v>
      </c>
      <c r="M27" s="152">
        <f>Data!AD14</f>
        <v>0</v>
      </c>
      <c r="N27" s="150">
        <f>'Customer Count'!I14</f>
        <v>12982</v>
      </c>
      <c r="O27" s="67">
        <f t="shared" si="0"/>
        <v>16395351.976936044</v>
      </c>
      <c r="P27" s="40">
        <f t="shared" ca="1" si="1"/>
        <v>-126189.62999205478</v>
      </c>
      <c r="Q27" s="53">
        <f t="shared" ca="1" si="2"/>
        <v>-7.6378847079947281E-3</v>
      </c>
      <c r="R27" s="12">
        <f t="shared" ca="1" si="3"/>
        <v>7.6378847079947281E-3</v>
      </c>
      <c r="S27" s="153"/>
      <c r="Y27" s="46"/>
      <c r="Z27" s="46"/>
      <c r="AA27" s="46"/>
      <c r="AB27" s="46"/>
    </row>
    <row r="28" spans="1:28" ht="15" x14ac:dyDescent="0.25">
      <c r="A28" s="66">
        <v>40968</v>
      </c>
      <c r="B28" s="114">
        <f t="shared" si="4"/>
        <v>2012</v>
      </c>
      <c r="C28" s="114">
        <f t="shared" si="5"/>
        <v>2</v>
      </c>
      <c r="D28" s="107">
        <f>Purchases!C28</f>
        <v>14922709.590399999</v>
      </c>
      <c r="E28" s="94"/>
      <c r="F28" s="171">
        <f ca="1">CDM!D36</f>
        <v>98513.110264848307</v>
      </c>
      <c r="G28" s="94">
        <f t="shared" ca="1" si="6"/>
        <v>15021222.700664848</v>
      </c>
      <c r="H28" s="90">
        <f>Weather!H135</f>
        <v>452.90000000000003</v>
      </c>
      <c r="I28" s="90">
        <f>Weather!I135</f>
        <v>0</v>
      </c>
      <c r="J28" s="108">
        <v>29</v>
      </c>
      <c r="K28" s="108">
        <f t="shared" si="7"/>
        <v>0</v>
      </c>
      <c r="L28" s="152">
        <f>Data!AC15</f>
        <v>0</v>
      </c>
      <c r="M28" s="152">
        <f>Data!AD15</f>
        <v>0</v>
      </c>
      <c r="N28" s="150">
        <f>'Customer Count'!I15</f>
        <v>12998</v>
      </c>
      <c r="O28" s="67">
        <f t="shared" si="0"/>
        <v>14993927.533425575</v>
      </c>
      <c r="P28" s="40">
        <f t="shared" ca="1" si="1"/>
        <v>-27295.167239272967</v>
      </c>
      <c r="Q28" s="53">
        <f t="shared" ca="1" si="2"/>
        <v>-1.8171068882471776E-3</v>
      </c>
      <c r="R28" s="12">
        <f t="shared" ca="1" si="3"/>
        <v>1.8171068882471776E-3</v>
      </c>
      <c r="S28" s="153"/>
      <c r="Y28" s="46"/>
      <c r="Z28" s="46"/>
      <c r="AA28" s="46"/>
      <c r="AB28" s="46"/>
    </row>
    <row r="29" spans="1:28" ht="15" x14ac:dyDescent="0.25">
      <c r="A29" s="66">
        <v>40999</v>
      </c>
      <c r="B29" s="114">
        <f t="shared" si="4"/>
        <v>2012</v>
      </c>
      <c r="C29" s="114">
        <f t="shared" si="5"/>
        <v>3</v>
      </c>
      <c r="D29" s="107">
        <f>Purchases!C29</f>
        <v>14512774.780449999</v>
      </c>
      <c r="E29" s="94"/>
      <c r="F29" s="171">
        <f ca="1">CDM!D37</f>
        <v>105005.09490159682</v>
      </c>
      <c r="G29" s="94">
        <f t="shared" ca="1" si="6"/>
        <v>14617779.875351597</v>
      </c>
      <c r="H29" s="90">
        <f>Weather!H136</f>
        <v>281.8</v>
      </c>
      <c r="I29" s="90">
        <f>Weather!I136</f>
        <v>2.6000000000000014</v>
      </c>
      <c r="J29" s="108">
        <v>31</v>
      </c>
      <c r="K29" s="108">
        <f t="shared" si="7"/>
        <v>1</v>
      </c>
      <c r="L29" s="152">
        <f>Data!AC16</f>
        <v>0</v>
      </c>
      <c r="M29" s="152">
        <f>Data!AD16</f>
        <v>0</v>
      </c>
      <c r="N29" s="150">
        <f>'Customer Count'!I16</f>
        <v>13022</v>
      </c>
      <c r="O29" s="67">
        <f t="shared" si="0"/>
        <v>14338709.171599098</v>
      </c>
      <c r="P29" s="40">
        <f t="shared" ca="1" si="1"/>
        <v>-279070.70375249907</v>
      </c>
      <c r="Q29" s="53">
        <f t="shared" ca="1" si="2"/>
        <v>-1.9091182527865687E-2</v>
      </c>
      <c r="R29" s="12">
        <f t="shared" ca="1" si="3"/>
        <v>1.9091182527865687E-2</v>
      </c>
      <c r="S29" s="153"/>
      <c r="Y29" s="46"/>
      <c r="Z29" s="46"/>
      <c r="AA29" s="46"/>
      <c r="AB29" s="46"/>
    </row>
    <row r="30" spans="1:28" ht="15" x14ac:dyDescent="0.25">
      <c r="A30" s="66">
        <v>41029</v>
      </c>
      <c r="B30" s="114">
        <f t="shared" si="4"/>
        <v>2012</v>
      </c>
      <c r="C30" s="114">
        <f t="shared" si="5"/>
        <v>4</v>
      </c>
      <c r="D30" s="107">
        <f>Purchases!C30</f>
        <v>13420400.940308001</v>
      </c>
      <c r="E30" s="94"/>
      <c r="F30" s="171">
        <f ca="1">CDM!D38</f>
        <v>111497.07953834535</v>
      </c>
      <c r="G30" s="94">
        <f t="shared" ca="1" si="6"/>
        <v>13531898.019846346</v>
      </c>
      <c r="H30" s="90">
        <f>Weather!H137</f>
        <v>246.89999999999992</v>
      </c>
      <c r="I30" s="90">
        <f>Weather!I137</f>
        <v>6.1000000000000014</v>
      </c>
      <c r="J30" s="108">
        <v>30</v>
      </c>
      <c r="K30" s="108">
        <f t="shared" si="7"/>
        <v>1</v>
      </c>
      <c r="L30" s="152">
        <f>Data!AC17</f>
        <v>0</v>
      </c>
      <c r="M30" s="152">
        <f>Data!AD17</f>
        <v>0</v>
      </c>
      <c r="N30" s="150">
        <f>'Customer Count'!I17</f>
        <v>13035</v>
      </c>
      <c r="O30" s="67">
        <f t="shared" si="0"/>
        <v>13738218.626915442</v>
      </c>
      <c r="P30" s="40">
        <f t="shared" ca="1" si="1"/>
        <v>206320.6070690956</v>
      </c>
      <c r="Q30" s="53">
        <f t="shared" ca="1" si="2"/>
        <v>1.524698211341075E-2</v>
      </c>
      <c r="R30" s="12">
        <f t="shared" ca="1" si="3"/>
        <v>1.524698211341075E-2</v>
      </c>
      <c r="S30" s="153"/>
      <c r="Y30" s="46"/>
      <c r="Z30" s="46"/>
      <c r="AA30" s="46"/>
      <c r="AB30" s="46"/>
    </row>
    <row r="31" spans="1:28" ht="15" x14ac:dyDescent="0.25">
      <c r="A31" s="66">
        <v>41060</v>
      </c>
      <c r="B31" s="114">
        <f t="shared" si="4"/>
        <v>2012</v>
      </c>
      <c r="C31" s="114">
        <f t="shared" si="5"/>
        <v>5</v>
      </c>
      <c r="D31" s="107">
        <f>Purchases!C31</f>
        <v>14603680.867724</v>
      </c>
      <c r="E31" s="94"/>
      <c r="F31" s="171">
        <f ca="1">CDM!D39</f>
        <v>117989.06417509388</v>
      </c>
      <c r="G31" s="94">
        <f t="shared" ca="1" si="6"/>
        <v>14721669.931899093</v>
      </c>
      <c r="H31" s="90">
        <f>Weather!H138</f>
        <v>45</v>
      </c>
      <c r="I31" s="90">
        <f>Weather!I138</f>
        <v>66.000000000000028</v>
      </c>
      <c r="J31" s="108">
        <v>31</v>
      </c>
      <c r="K31" s="108">
        <f t="shared" si="7"/>
        <v>1</v>
      </c>
      <c r="L31" s="152">
        <f>Data!AC18</f>
        <v>0</v>
      </c>
      <c r="M31" s="152">
        <f>Data!AD18</f>
        <v>0</v>
      </c>
      <c r="N31" s="150">
        <f>'Customer Count'!I18</f>
        <v>13047</v>
      </c>
      <c r="O31" s="67">
        <f t="shared" si="0"/>
        <v>14765210.331035063</v>
      </c>
      <c r="P31" s="40">
        <f t="shared" ca="1" si="1"/>
        <v>43540.399135969579</v>
      </c>
      <c r="Q31" s="53">
        <f t="shared" ca="1" si="2"/>
        <v>2.9575720239200386E-3</v>
      </c>
      <c r="R31" s="12">
        <f t="shared" ca="1" si="3"/>
        <v>2.9575720239200386E-3</v>
      </c>
      <c r="S31" s="153"/>
      <c r="Y31" s="46"/>
      <c r="Z31" s="46"/>
      <c r="AA31" s="46"/>
      <c r="AB31" s="46"/>
    </row>
    <row r="32" spans="1:28" ht="15" x14ac:dyDescent="0.25">
      <c r="A32" s="66">
        <v>41090</v>
      </c>
      <c r="B32" s="114">
        <f t="shared" si="4"/>
        <v>2012</v>
      </c>
      <c r="C32" s="114">
        <f t="shared" si="5"/>
        <v>6</v>
      </c>
      <c r="D32" s="107">
        <f>Purchases!C32</f>
        <v>17157940.412751999</v>
      </c>
      <c r="E32" s="94"/>
      <c r="F32" s="171">
        <f ca="1">CDM!D40</f>
        <v>124481.0488118424</v>
      </c>
      <c r="G32" s="94">
        <f t="shared" ca="1" si="6"/>
        <v>17282421.461563841</v>
      </c>
      <c r="H32" s="90">
        <f>Weather!H139</f>
        <v>6.6999999999999993</v>
      </c>
      <c r="I32" s="90">
        <f>Weather!I139</f>
        <v>158</v>
      </c>
      <c r="J32" s="108">
        <v>30</v>
      </c>
      <c r="K32" s="108">
        <f t="shared" si="7"/>
        <v>0</v>
      </c>
      <c r="L32" s="152">
        <f>Data!AC19</f>
        <v>0</v>
      </c>
      <c r="M32" s="152">
        <f>Data!AD19</f>
        <v>0</v>
      </c>
      <c r="N32" s="150">
        <f>'Customer Count'!I19</f>
        <v>13055</v>
      </c>
      <c r="O32" s="67">
        <f t="shared" si="0"/>
        <v>17440643.656507917</v>
      </c>
      <c r="P32" s="40">
        <f t="shared" ca="1" si="1"/>
        <v>158222.19494407624</v>
      </c>
      <c r="Q32" s="53">
        <f t="shared" ca="1" si="2"/>
        <v>9.1550941108549458E-3</v>
      </c>
      <c r="R32" s="12">
        <f t="shared" ca="1" si="3"/>
        <v>9.1550941108549458E-3</v>
      </c>
      <c r="S32" s="153"/>
      <c r="Y32" s="46"/>
      <c r="Z32" s="46"/>
      <c r="AA32" s="46"/>
      <c r="AB32" s="46"/>
    </row>
    <row r="33" spans="1:28" ht="15" x14ac:dyDescent="0.25">
      <c r="A33" s="66">
        <v>41121</v>
      </c>
      <c r="B33" s="114">
        <f t="shared" si="4"/>
        <v>2012</v>
      </c>
      <c r="C33" s="114">
        <f t="shared" si="5"/>
        <v>7</v>
      </c>
      <c r="D33" s="107">
        <f>Purchases!C33</f>
        <v>20944843.982699998</v>
      </c>
      <c r="E33" s="94"/>
      <c r="F33" s="171">
        <f ca="1">CDM!D41</f>
        <v>130973.03344859093</v>
      </c>
      <c r="G33" s="94">
        <f t="shared" ca="1" si="6"/>
        <v>21075817.01614859</v>
      </c>
      <c r="H33" s="90">
        <f>Weather!H140</f>
        <v>0</v>
      </c>
      <c r="I33" s="90">
        <f>Weather!I140</f>
        <v>267.10000000000008</v>
      </c>
      <c r="J33" s="108">
        <v>31</v>
      </c>
      <c r="K33" s="108">
        <f t="shared" si="7"/>
        <v>0</v>
      </c>
      <c r="L33" s="152">
        <f>Data!AC20</f>
        <v>0</v>
      </c>
      <c r="M33" s="152">
        <f>Data!AD20</f>
        <v>0</v>
      </c>
      <c r="N33" s="150">
        <f>'Customer Count'!I20</f>
        <v>13068</v>
      </c>
      <c r="O33" s="67">
        <f t="shared" si="0"/>
        <v>21133014.295794535</v>
      </c>
      <c r="P33" s="40">
        <f t="shared" ca="1" si="1"/>
        <v>57197.279645945877</v>
      </c>
      <c r="Q33" s="53">
        <f t="shared" ca="1" si="2"/>
        <v>2.7138819625412629E-3</v>
      </c>
      <c r="R33" s="12">
        <f t="shared" ca="1" si="3"/>
        <v>2.7138819625412629E-3</v>
      </c>
      <c r="S33" s="153"/>
      <c r="Y33" s="226"/>
      <c r="Z33" s="226"/>
      <c r="AA33" s="226"/>
      <c r="AB33" s="46"/>
    </row>
    <row r="34" spans="1:28" ht="15" x14ac:dyDescent="0.25">
      <c r="A34" s="66">
        <v>41152</v>
      </c>
      <c r="B34" s="114">
        <f t="shared" si="4"/>
        <v>2012</v>
      </c>
      <c r="C34" s="114">
        <f t="shared" si="5"/>
        <v>8</v>
      </c>
      <c r="D34" s="107">
        <f>Purchases!C34</f>
        <v>18739592.12965</v>
      </c>
      <c r="E34" s="94"/>
      <c r="F34" s="171">
        <f ca="1">CDM!D42</f>
        <v>137465.01808533946</v>
      </c>
      <c r="G34" s="94">
        <f t="shared" ca="1" si="6"/>
        <v>18877057.147735339</v>
      </c>
      <c r="H34" s="90">
        <f>Weather!H141</f>
        <v>0</v>
      </c>
      <c r="I34" s="90">
        <f>Weather!I141</f>
        <v>193.7</v>
      </c>
      <c r="J34" s="108">
        <v>31</v>
      </c>
      <c r="K34" s="108">
        <f t="shared" si="7"/>
        <v>0</v>
      </c>
      <c r="L34" s="152">
        <f>Data!AC21</f>
        <v>0</v>
      </c>
      <c r="M34" s="152">
        <f>Data!AD21</f>
        <v>0</v>
      </c>
      <c r="N34" s="150">
        <f>'Customer Count'!I21</f>
        <v>13087</v>
      </c>
      <c r="O34" s="67">
        <f t="shared" si="0"/>
        <v>18972050.196955442</v>
      </c>
      <c r="P34" s="40">
        <f t="shared" ca="1" si="1"/>
        <v>94993.04922010377</v>
      </c>
      <c r="Q34" s="53">
        <f t="shared" ca="1" si="2"/>
        <v>5.0321958807811309E-3</v>
      </c>
      <c r="R34" s="12">
        <f t="shared" ca="1" si="3"/>
        <v>5.0321958807811309E-3</v>
      </c>
      <c r="S34" s="153"/>
      <c r="T34" s="30"/>
      <c r="U34" s="92"/>
      <c r="V34" s="226"/>
      <c r="W34" s="226"/>
      <c r="X34" s="226"/>
      <c r="Y34" s="226"/>
      <c r="Z34" s="226"/>
      <c r="AA34" s="226"/>
      <c r="AB34" s="46"/>
    </row>
    <row r="35" spans="1:28" ht="15" x14ac:dyDescent="0.25">
      <c r="A35" s="66">
        <v>41182</v>
      </c>
      <c r="B35" s="114">
        <f t="shared" si="4"/>
        <v>2012</v>
      </c>
      <c r="C35" s="114">
        <f t="shared" si="5"/>
        <v>9</v>
      </c>
      <c r="D35" s="107">
        <f>Purchases!C35</f>
        <v>15430254.123528</v>
      </c>
      <c r="E35" s="94"/>
      <c r="F35" s="171">
        <f ca="1">CDM!D43</f>
        <v>143957.00272208799</v>
      </c>
      <c r="G35" s="94">
        <f t="shared" ca="1" si="6"/>
        <v>15574211.126250088</v>
      </c>
      <c r="H35" s="90">
        <f>Weather!H142</f>
        <v>29.5</v>
      </c>
      <c r="I35" s="90">
        <f>Weather!I142</f>
        <v>65.899999999999977</v>
      </c>
      <c r="J35" s="108">
        <v>30</v>
      </c>
      <c r="K35" s="108">
        <f t="shared" si="7"/>
        <v>0</v>
      </c>
      <c r="L35" s="152">
        <f>Data!AC22</f>
        <v>0</v>
      </c>
      <c r="M35" s="152">
        <f>Data!AD22</f>
        <v>0</v>
      </c>
      <c r="N35" s="150">
        <f>'Customer Count'!I22</f>
        <v>13106</v>
      </c>
      <c r="O35" s="67">
        <f t="shared" si="0"/>
        <v>14887185.668948915</v>
      </c>
      <c r="P35" s="40">
        <f t="shared" ca="1" si="1"/>
        <v>-687025.45730117336</v>
      </c>
      <c r="Q35" s="53">
        <f t="shared" ca="1" si="2"/>
        <v>-4.4113018099722734E-2</v>
      </c>
      <c r="R35" s="12">
        <f t="shared" ca="1" si="3"/>
        <v>4.4113018099722734E-2</v>
      </c>
      <c r="S35" s="153"/>
      <c r="T35" s="30"/>
      <c r="U35" s="92"/>
      <c r="V35" s="226"/>
      <c r="W35" s="226"/>
      <c r="X35" s="226"/>
      <c r="Y35" s="226"/>
      <c r="Z35" s="226"/>
      <c r="AA35" s="226"/>
      <c r="AB35" s="46"/>
    </row>
    <row r="36" spans="1:28" ht="15" x14ac:dyDescent="0.25">
      <c r="A36" s="66">
        <v>41213</v>
      </c>
      <c r="B36" s="114">
        <f t="shared" si="4"/>
        <v>2012</v>
      </c>
      <c r="C36" s="114">
        <f t="shared" si="5"/>
        <v>10</v>
      </c>
      <c r="D36" s="107">
        <f>Purchases!C36</f>
        <v>14418668.859476</v>
      </c>
      <c r="E36" s="94"/>
      <c r="F36" s="171">
        <f ca="1">CDM!D44</f>
        <v>150448.98735883652</v>
      </c>
      <c r="G36" s="94">
        <f t="shared" ca="1" si="6"/>
        <v>14569117.846834837</v>
      </c>
      <c r="H36" s="90">
        <f>Weather!H143</f>
        <v>163.89999999999995</v>
      </c>
      <c r="I36" s="90">
        <f>Weather!I143</f>
        <v>6.3000000000000007</v>
      </c>
      <c r="J36" s="108">
        <v>31</v>
      </c>
      <c r="K36" s="108">
        <f t="shared" si="7"/>
        <v>0</v>
      </c>
      <c r="L36" s="152">
        <f>Data!AC23</f>
        <v>0</v>
      </c>
      <c r="M36" s="152">
        <f>Data!AD23</f>
        <v>0</v>
      </c>
      <c r="N36" s="150">
        <f>'Customer Count'!I23</f>
        <v>13102</v>
      </c>
      <c r="O36" s="67">
        <f t="shared" si="0"/>
        <v>14448528.150423028</v>
      </c>
      <c r="P36" s="40">
        <f t="shared" ca="1" si="1"/>
        <v>-120589.69641180895</v>
      </c>
      <c r="Q36" s="53">
        <f t="shared" ca="1" si="2"/>
        <v>-8.2770760508335955E-3</v>
      </c>
      <c r="R36" s="12">
        <f t="shared" ca="1" si="3"/>
        <v>8.2770760508335955E-3</v>
      </c>
      <c r="S36" s="153"/>
      <c r="T36" s="30"/>
      <c r="U36" s="92"/>
      <c r="V36" s="226"/>
      <c r="W36" s="226"/>
      <c r="X36" s="226"/>
      <c r="Y36" s="226"/>
      <c r="Z36" s="226"/>
      <c r="AA36" s="226"/>
      <c r="AB36" s="46"/>
    </row>
    <row r="37" spans="1:28" ht="15" x14ac:dyDescent="0.25">
      <c r="A37" s="66">
        <v>41243</v>
      </c>
      <c r="B37" s="114">
        <f t="shared" si="4"/>
        <v>2012</v>
      </c>
      <c r="C37" s="114">
        <f t="shared" si="5"/>
        <v>11</v>
      </c>
      <c r="D37" s="107">
        <f>Purchases!C37</f>
        <v>14689598.23167</v>
      </c>
      <c r="E37" s="94"/>
      <c r="F37" s="171">
        <f ca="1">CDM!D45</f>
        <v>156940.97199558502</v>
      </c>
      <c r="G37" s="94">
        <f t="shared" ca="1" si="6"/>
        <v>14846539.203665584</v>
      </c>
      <c r="H37" s="90">
        <f>Weather!H144</f>
        <v>349.40000000000003</v>
      </c>
      <c r="I37" s="90">
        <f>Weather!I144</f>
        <v>0</v>
      </c>
      <c r="J37" s="108">
        <v>30</v>
      </c>
      <c r="K37" s="108">
        <f t="shared" si="7"/>
        <v>0</v>
      </c>
      <c r="L37" s="152">
        <f>Data!AC24</f>
        <v>0</v>
      </c>
      <c r="M37" s="152">
        <f>Data!AD24</f>
        <v>0</v>
      </c>
      <c r="N37" s="150">
        <f>'Customer Count'!I24</f>
        <v>13102</v>
      </c>
      <c r="O37" s="67">
        <f t="shared" si="0"/>
        <v>14914164.901390187</v>
      </c>
      <c r="P37" s="40">
        <f t="shared" ca="1" si="1"/>
        <v>67625.697724603117</v>
      </c>
      <c r="Q37" s="53">
        <f t="shared" ca="1" si="2"/>
        <v>4.5549805780936781E-3</v>
      </c>
      <c r="R37" s="12">
        <f t="shared" ca="1" si="3"/>
        <v>4.5549805780936781E-3</v>
      </c>
      <c r="S37" s="153"/>
      <c r="T37" s="30"/>
      <c r="U37" s="92"/>
      <c r="V37" s="226"/>
      <c r="W37" s="226"/>
      <c r="X37" s="226"/>
      <c r="Y37" s="226"/>
      <c r="Z37" s="226"/>
      <c r="AA37" s="226"/>
      <c r="AB37" s="46"/>
    </row>
    <row r="38" spans="1:28" ht="15" x14ac:dyDescent="0.25">
      <c r="A38" s="66">
        <v>41274</v>
      </c>
      <c r="B38" s="114">
        <f t="shared" si="4"/>
        <v>2012</v>
      </c>
      <c r="C38" s="114">
        <f t="shared" si="5"/>
        <v>12</v>
      </c>
      <c r="D38" s="107">
        <f>Purchases!C38</f>
        <v>16182826.210109999</v>
      </c>
      <c r="E38" s="94"/>
      <c r="F38" s="171">
        <f ca="1">CDM!D46</f>
        <v>163432.95663233357</v>
      </c>
      <c r="G38" s="94">
        <f t="shared" ca="1" si="6"/>
        <v>16346259.166742332</v>
      </c>
      <c r="H38" s="90">
        <f>Weather!H145</f>
        <v>431.60000000000008</v>
      </c>
      <c r="I38" s="90">
        <f>Weather!I145</f>
        <v>0</v>
      </c>
      <c r="J38" s="108">
        <v>31</v>
      </c>
      <c r="K38" s="108">
        <f t="shared" si="7"/>
        <v>0</v>
      </c>
      <c r="L38" s="152">
        <f>Data!AC25</f>
        <v>0</v>
      </c>
      <c r="M38" s="152">
        <f>Data!AD25</f>
        <v>0</v>
      </c>
      <c r="N38" s="150">
        <f>'Customer Count'!I25</f>
        <v>13165</v>
      </c>
      <c r="O38" s="67">
        <f t="shared" si="0"/>
        <v>15958391.937940272</v>
      </c>
      <c r="P38" s="40">
        <f t="shared" ca="1" si="1"/>
        <v>-387867.22880206071</v>
      </c>
      <c r="Q38" s="53">
        <f t="shared" ca="1" si="2"/>
        <v>-2.3728195230821075E-2</v>
      </c>
      <c r="R38" s="12">
        <f t="shared" ca="1" si="3"/>
        <v>2.3728195230821075E-2</v>
      </c>
      <c r="S38" s="153"/>
      <c r="T38" s="46"/>
      <c r="U38" s="226"/>
      <c r="V38" s="226"/>
      <c r="W38" s="226"/>
      <c r="X38" s="226"/>
      <c r="Y38" s="226"/>
      <c r="Z38" s="226"/>
      <c r="AA38" s="226"/>
      <c r="AB38" s="46"/>
    </row>
    <row r="39" spans="1:28" ht="15" x14ac:dyDescent="0.25">
      <c r="A39" s="66">
        <v>41305</v>
      </c>
      <c r="B39" s="114">
        <f t="shared" si="4"/>
        <v>2013</v>
      </c>
      <c r="C39" s="114">
        <f t="shared" si="5"/>
        <v>1</v>
      </c>
      <c r="D39" s="107">
        <f>Purchases!C39</f>
        <v>16622084.10345</v>
      </c>
      <c r="E39" s="94"/>
      <c r="F39" s="171">
        <f ca="1">CDM!D47</f>
        <v>177234.05246947324</v>
      </c>
      <c r="G39" s="94">
        <f t="shared" ca="1" si="6"/>
        <v>16799318.155919474</v>
      </c>
      <c r="H39" s="90">
        <f>Weather!H146</f>
        <v>550.29999999999995</v>
      </c>
      <c r="I39" s="90">
        <f>Weather!I146</f>
        <v>0</v>
      </c>
      <c r="J39" s="108">
        <v>31</v>
      </c>
      <c r="K39" s="108">
        <f t="shared" si="7"/>
        <v>0</v>
      </c>
      <c r="L39" s="152">
        <f>Data!AC26</f>
        <v>0</v>
      </c>
      <c r="M39" s="152">
        <f>Data!AD26</f>
        <v>0</v>
      </c>
      <c r="N39" s="150">
        <f>'Customer Count'!I26</f>
        <v>13168</v>
      </c>
      <c r="O39" s="67">
        <f t="shared" si="0"/>
        <v>16695039.386257101</v>
      </c>
      <c r="P39" s="40">
        <f t="shared" ca="1" si="1"/>
        <v>-104278.76966237277</v>
      </c>
      <c r="Q39" s="53">
        <f t="shared" ca="1" si="2"/>
        <v>-6.2073215528469939E-3</v>
      </c>
      <c r="R39" s="12">
        <f t="shared" ca="1" si="3"/>
        <v>6.2073215528469939E-3</v>
      </c>
      <c r="S39" s="153"/>
      <c r="T39" s="46"/>
      <c r="U39" s="226"/>
      <c r="V39" s="226"/>
      <c r="W39" s="226"/>
      <c r="X39" s="226"/>
      <c r="Y39" s="226"/>
      <c r="Z39" s="226"/>
      <c r="AA39" s="226"/>
      <c r="AB39" s="46"/>
    </row>
    <row r="40" spans="1:28" ht="15" x14ac:dyDescent="0.25">
      <c r="A40" s="66">
        <v>41333</v>
      </c>
      <c r="B40" s="114">
        <f t="shared" si="4"/>
        <v>2013</v>
      </c>
      <c r="C40" s="114">
        <f t="shared" si="5"/>
        <v>2</v>
      </c>
      <c r="D40" s="107">
        <f>Purchases!C40</f>
        <v>15003411.894210001</v>
      </c>
      <c r="E40" s="94"/>
      <c r="F40" s="171">
        <f ca="1">CDM!D48</f>
        <v>185248.02758653107</v>
      </c>
      <c r="G40" s="94">
        <f t="shared" ca="1" si="6"/>
        <v>15188659.921796532</v>
      </c>
      <c r="H40" s="90">
        <f>Weather!H147</f>
        <v>534.5</v>
      </c>
      <c r="I40" s="90">
        <f>Weather!I147</f>
        <v>0</v>
      </c>
      <c r="J40" s="108">
        <v>28</v>
      </c>
      <c r="K40" s="108">
        <f t="shared" si="7"/>
        <v>0</v>
      </c>
      <c r="L40" s="152">
        <f>Data!AC27</f>
        <v>0</v>
      </c>
      <c r="M40" s="152">
        <f>Data!AD27</f>
        <v>0</v>
      </c>
      <c r="N40" s="150">
        <f>'Customer Count'!I27</f>
        <v>13175.5</v>
      </c>
      <c r="O40" s="67">
        <f t="shared" si="0"/>
        <v>15113438.131599531</v>
      </c>
      <c r="P40" s="40">
        <f t="shared" ca="1" si="1"/>
        <v>-75221.79019700177</v>
      </c>
      <c r="Q40" s="53">
        <f t="shared" ca="1" si="2"/>
        <v>-4.9524968354222295E-3</v>
      </c>
      <c r="R40" s="12">
        <f t="shared" ca="1" si="3"/>
        <v>4.9524968354222295E-3</v>
      </c>
      <c r="S40" s="153"/>
      <c r="T40" s="221"/>
      <c r="U40" s="227"/>
      <c r="V40" s="227"/>
      <c r="W40" s="227"/>
      <c r="X40" s="227"/>
      <c r="Y40" s="227"/>
      <c r="Z40" s="226"/>
      <c r="AA40" s="226"/>
      <c r="AB40" s="46"/>
    </row>
    <row r="41" spans="1:28" ht="15" x14ac:dyDescent="0.25">
      <c r="A41" s="66">
        <v>41364</v>
      </c>
      <c r="B41" s="114">
        <f t="shared" si="4"/>
        <v>2013</v>
      </c>
      <c r="C41" s="114">
        <f t="shared" si="5"/>
        <v>3</v>
      </c>
      <c r="D41" s="107">
        <f>Purchases!C41</f>
        <v>15405740.23608</v>
      </c>
      <c r="E41" s="94"/>
      <c r="F41" s="171">
        <f ca="1">CDM!D49</f>
        <v>193262.00270358886</v>
      </c>
      <c r="G41" s="94">
        <f t="shared" ca="1" si="6"/>
        <v>15599002.238783589</v>
      </c>
      <c r="H41" s="90">
        <f>Weather!H148</f>
        <v>463.2000000000001</v>
      </c>
      <c r="I41" s="90">
        <f>Weather!I148</f>
        <v>0</v>
      </c>
      <c r="J41" s="108">
        <v>31</v>
      </c>
      <c r="K41" s="108">
        <f t="shared" si="7"/>
        <v>1</v>
      </c>
      <c r="L41" s="152">
        <f>Data!AC28</f>
        <v>0</v>
      </c>
      <c r="M41" s="152">
        <f>Data!AD28</f>
        <v>0</v>
      </c>
      <c r="N41" s="150">
        <f>'Customer Count'!I28</f>
        <v>13181.5</v>
      </c>
      <c r="O41" s="67">
        <f t="shared" si="0"/>
        <v>15483983.585865065</v>
      </c>
      <c r="P41" s="40">
        <f t="shared" ca="1" si="1"/>
        <v>-115018.65291852318</v>
      </c>
      <c r="Q41" s="53">
        <f t="shared" ca="1" si="2"/>
        <v>-7.3734621713531043E-3</v>
      </c>
      <c r="R41" s="12">
        <f t="shared" ca="1" si="3"/>
        <v>7.3734621713531043E-3</v>
      </c>
      <c r="S41" s="153"/>
      <c r="T41" s="30"/>
      <c r="U41" s="92"/>
      <c r="V41" s="92"/>
      <c r="W41" s="92"/>
      <c r="X41" s="92"/>
      <c r="Y41" s="92"/>
      <c r="Z41" s="226"/>
      <c r="AA41" s="226"/>
      <c r="AB41" s="46"/>
    </row>
    <row r="42" spans="1:28" ht="15" x14ac:dyDescent="0.25">
      <c r="A42" s="66">
        <v>41394</v>
      </c>
      <c r="B42" s="114">
        <f t="shared" si="4"/>
        <v>2013</v>
      </c>
      <c r="C42" s="114">
        <f t="shared" si="5"/>
        <v>4</v>
      </c>
      <c r="D42" s="107">
        <f>Purchases!C42</f>
        <v>13953064.21022</v>
      </c>
      <c r="E42" s="94"/>
      <c r="F42" s="171">
        <f ca="1">CDM!D50</f>
        <v>201275.97782064669</v>
      </c>
      <c r="G42" s="94">
        <f t="shared" ca="1" si="6"/>
        <v>14154340.188040646</v>
      </c>
      <c r="H42" s="90">
        <f>Weather!H149</f>
        <v>280</v>
      </c>
      <c r="I42" s="90">
        <f>Weather!I149</f>
        <v>0</v>
      </c>
      <c r="J42" s="108">
        <v>30</v>
      </c>
      <c r="K42" s="108">
        <f t="shared" si="7"/>
        <v>1</v>
      </c>
      <c r="L42" s="152">
        <f>Data!AC29</f>
        <v>0</v>
      </c>
      <c r="M42" s="152">
        <f>Data!AD29</f>
        <v>0</v>
      </c>
      <c r="N42" s="150">
        <f>'Customer Count'!I29</f>
        <v>13183.5</v>
      </c>
      <c r="O42" s="67">
        <f t="shared" si="0"/>
        <v>13855025.324689381</v>
      </c>
      <c r="P42" s="40">
        <f t="shared" ca="1" si="1"/>
        <v>-299314.86335126497</v>
      </c>
      <c r="Q42" s="53">
        <f t="shared" ca="1" si="2"/>
        <v>-2.1146507670075892E-2</v>
      </c>
      <c r="R42" s="12">
        <f t="shared" ca="1" si="3"/>
        <v>2.1146507670075892E-2</v>
      </c>
      <c r="S42" s="153"/>
      <c r="T42" s="30"/>
      <c r="U42" s="92"/>
      <c r="V42" s="92"/>
      <c r="W42" s="92"/>
      <c r="X42" s="92"/>
      <c r="Y42" s="92"/>
      <c r="Z42" s="226"/>
      <c r="AA42" s="226"/>
      <c r="AB42" s="46"/>
    </row>
    <row r="43" spans="1:28" ht="15" x14ac:dyDescent="0.25">
      <c r="A43" s="66">
        <v>41425</v>
      </c>
      <c r="B43" s="114">
        <f t="shared" si="4"/>
        <v>2013</v>
      </c>
      <c r="C43" s="114">
        <f t="shared" si="5"/>
        <v>5</v>
      </c>
      <c r="D43" s="107">
        <f>Purchases!C43</f>
        <v>14135961.105699999</v>
      </c>
      <c r="E43" s="94"/>
      <c r="F43" s="171">
        <f ca="1">CDM!D51</f>
        <v>209289.95293770451</v>
      </c>
      <c r="G43" s="94">
        <f t="shared" ca="1" si="6"/>
        <v>14345251.058637705</v>
      </c>
      <c r="H43" s="90">
        <f>Weather!H150</f>
        <v>72.2</v>
      </c>
      <c r="I43" s="90">
        <f>Weather!I150</f>
        <v>45</v>
      </c>
      <c r="J43" s="108">
        <v>31</v>
      </c>
      <c r="K43" s="108">
        <f t="shared" si="7"/>
        <v>1</v>
      </c>
      <c r="L43" s="152">
        <f>Data!AC30</f>
        <v>0</v>
      </c>
      <c r="M43" s="152">
        <f>Data!AD30</f>
        <v>0</v>
      </c>
      <c r="N43" s="150">
        <f>'Customer Count'!I30</f>
        <v>13186.5</v>
      </c>
      <c r="O43" s="67">
        <f t="shared" si="0"/>
        <v>14398817.802339325</v>
      </c>
      <c r="P43" s="40">
        <f t="shared" ca="1" si="1"/>
        <v>53566.743701620027</v>
      </c>
      <c r="Q43" s="53">
        <f t="shared" ca="1" si="2"/>
        <v>3.7341098794758205E-3</v>
      </c>
      <c r="R43" s="12">
        <f t="shared" ca="1" si="3"/>
        <v>3.7341098794758205E-3</v>
      </c>
      <c r="S43" s="153"/>
      <c r="T43" s="30"/>
      <c r="U43" s="92"/>
      <c r="V43" s="92"/>
      <c r="W43" s="92"/>
      <c r="X43" s="92"/>
      <c r="Y43" s="92"/>
      <c r="Z43" s="226"/>
      <c r="AA43" s="226"/>
      <c r="AB43" s="46"/>
    </row>
    <row r="44" spans="1:28" ht="15" x14ac:dyDescent="0.25">
      <c r="A44" s="66">
        <v>41455</v>
      </c>
      <c r="B44" s="114">
        <f t="shared" si="4"/>
        <v>2013</v>
      </c>
      <c r="C44" s="114">
        <f t="shared" si="5"/>
        <v>6</v>
      </c>
      <c r="D44" s="107">
        <f>Purchases!C44</f>
        <v>15880216.29284</v>
      </c>
      <c r="E44" s="94"/>
      <c r="F44" s="171">
        <f ca="1">CDM!D52</f>
        <v>217303.92805476233</v>
      </c>
      <c r="G44" s="94">
        <f t="shared" ca="1" si="6"/>
        <v>16097520.220894763</v>
      </c>
      <c r="H44" s="90">
        <f>Weather!H151</f>
        <v>15.099999999999998</v>
      </c>
      <c r="I44" s="90">
        <f>Weather!I151</f>
        <v>109.1</v>
      </c>
      <c r="J44" s="108">
        <v>30</v>
      </c>
      <c r="K44" s="108">
        <f t="shared" si="7"/>
        <v>0</v>
      </c>
      <c r="L44" s="152">
        <f>Data!AC31</f>
        <v>0</v>
      </c>
      <c r="M44" s="152">
        <f>Data!AD31</f>
        <v>0</v>
      </c>
      <c r="N44" s="150">
        <f>'Customer Count'!I31</f>
        <v>13193</v>
      </c>
      <c r="O44" s="67">
        <f t="shared" si="0"/>
        <v>16131041.140981195</v>
      </c>
      <c r="P44" s="40">
        <f t="shared" ca="1" si="1"/>
        <v>33520.920086432248</v>
      </c>
      <c r="Q44" s="53">
        <f t="shared" ca="1" si="2"/>
        <v>2.0823654591793409E-3</v>
      </c>
      <c r="R44" s="12">
        <f t="shared" ca="1" si="3"/>
        <v>2.0823654591793409E-3</v>
      </c>
      <c r="S44" s="153"/>
      <c r="T44" s="46"/>
      <c r="U44" s="226"/>
      <c r="V44" s="226"/>
      <c r="W44" s="226"/>
      <c r="X44" s="226"/>
      <c r="Y44" s="226"/>
      <c r="Z44" s="226"/>
      <c r="AA44" s="226"/>
      <c r="AB44" s="46"/>
    </row>
    <row r="45" spans="1:28" ht="15" x14ac:dyDescent="0.25">
      <c r="A45" s="66">
        <v>41486</v>
      </c>
      <c r="B45" s="114">
        <f t="shared" si="4"/>
        <v>2013</v>
      </c>
      <c r="C45" s="114">
        <f t="shared" si="5"/>
        <v>7</v>
      </c>
      <c r="D45" s="107">
        <f>Purchases!C45</f>
        <v>19373764.10244</v>
      </c>
      <c r="E45" s="94"/>
      <c r="F45" s="171">
        <f ca="1">CDM!D53</f>
        <v>225317.90317182016</v>
      </c>
      <c r="G45" s="94">
        <f t="shared" ca="1" si="6"/>
        <v>19599082.005611818</v>
      </c>
      <c r="H45" s="90">
        <f>Weather!H152</f>
        <v>0</v>
      </c>
      <c r="I45" s="90">
        <f>Weather!I152</f>
        <v>202.99999999999994</v>
      </c>
      <c r="J45" s="108">
        <v>31</v>
      </c>
      <c r="K45" s="108">
        <f t="shared" si="7"/>
        <v>0</v>
      </c>
      <c r="L45" s="152">
        <f>Data!AC32</f>
        <v>0</v>
      </c>
      <c r="M45" s="152">
        <f>Data!AD32</f>
        <v>0</v>
      </c>
      <c r="N45" s="150">
        <f>'Customer Count'!I32</f>
        <v>13197</v>
      </c>
      <c r="O45" s="67">
        <f t="shared" si="0"/>
        <v>19315856.362497933</v>
      </c>
      <c r="P45" s="40">
        <f t="shared" ca="1" si="1"/>
        <v>-283225.64311388507</v>
      </c>
      <c r="Q45" s="53">
        <f t="shared" ca="1" si="2"/>
        <v>-1.4450964745838039E-2</v>
      </c>
      <c r="R45" s="12">
        <f t="shared" ca="1" si="3"/>
        <v>1.4450964745838039E-2</v>
      </c>
      <c r="S45" s="153"/>
      <c r="T45" s="221"/>
      <c r="U45" s="227"/>
      <c r="V45" s="227"/>
      <c r="W45" s="227"/>
      <c r="X45" s="227"/>
      <c r="Y45" s="227"/>
      <c r="Z45" s="227"/>
      <c r="AA45" s="227"/>
      <c r="AB45" s="221"/>
    </row>
    <row r="46" spans="1:28" ht="15" x14ac:dyDescent="0.25">
      <c r="A46" s="66">
        <v>41517</v>
      </c>
      <c r="B46" s="114">
        <f t="shared" si="4"/>
        <v>2013</v>
      </c>
      <c r="C46" s="114">
        <f t="shared" si="5"/>
        <v>8</v>
      </c>
      <c r="D46" s="107">
        <f>Purchases!C46</f>
        <v>17518528.28576</v>
      </c>
      <c r="E46" s="94"/>
      <c r="F46" s="171">
        <f ca="1">CDM!D54</f>
        <v>233331.87828887795</v>
      </c>
      <c r="G46" s="94">
        <f t="shared" ca="1" si="6"/>
        <v>17751860.164048877</v>
      </c>
      <c r="H46" s="90">
        <f>Weather!H153</f>
        <v>0</v>
      </c>
      <c r="I46" s="90">
        <f>Weather!I153</f>
        <v>154.30000000000004</v>
      </c>
      <c r="J46" s="108">
        <v>31</v>
      </c>
      <c r="K46" s="108">
        <f t="shared" si="7"/>
        <v>0</v>
      </c>
      <c r="L46" s="152">
        <f>Data!AC33</f>
        <v>0</v>
      </c>
      <c r="M46" s="152">
        <f>Data!AD33</f>
        <v>0</v>
      </c>
      <c r="N46" s="150">
        <f>'Customer Count'!I33</f>
        <v>13195.5</v>
      </c>
      <c r="O46" s="67">
        <f t="shared" si="0"/>
        <v>17873298.018102325</v>
      </c>
      <c r="P46" s="40">
        <f t="shared" ca="1" si="1"/>
        <v>121437.85405344889</v>
      </c>
      <c r="Q46" s="53">
        <f t="shared" ca="1" si="2"/>
        <v>6.8408523349786868E-3</v>
      </c>
      <c r="R46" s="12">
        <f t="shared" ca="1" si="3"/>
        <v>6.8408523349786868E-3</v>
      </c>
      <c r="S46" s="153"/>
      <c r="T46" s="30"/>
      <c r="U46" s="92"/>
      <c r="V46" s="92"/>
      <c r="W46" s="92"/>
      <c r="X46" s="92"/>
      <c r="Y46" s="92"/>
      <c r="Z46" s="92"/>
      <c r="AA46" s="92"/>
      <c r="AB46" s="30"/>
    </row>
    <row r="47" spans="1:28" ht="15" x14ac:dyDescent="0.25">
      <c r="A47" s="66">
        <v>41547</v>
      </c>
      <c r="B47" s="114">
        <f t="shared" si="4"/>
        <v>2013</v>
      </c>
      <c r="C47" s="114">
        <f t="shared" si="5"/>
        <v>9</v>
      </c>
      <c r="D47" s="107">
        <f>Purchases!C47</f>
        <v>15118315.780299999</v>
      </c>
      <c r="E47" s="94"/>
      <c r="F47" s="171">
        <f ca="1">CDM!D55</f>
        <v>241345.85340593578</v>
      </c>
      <c r="G47" s="94">
        <f t="shared" ca="1" si="6"/>
        <v>15359661.633705935</v>
      </c>
      <c r="H47" s="90">
        <f>Weather!H154</f>
        <v>40.6</v>
      </c>
      <c r="I47" s="90">
        <f>Weather!I154</f>
        <v>60.800000000000011</v>
      </c>
      <c r="J47" s="108">
        <v>30</v>
      </c>
      <c r="K47" s="108">
        <f t="shared" si="7"/>
        <v>0</v>
      </c>
      <c r="L47" s="152">
        <f>Data!AC34</f>
        <v>0</v>
      </c>
      <c r="M47" s="152">
        <f>Data!AD34</f>
        <v>0</v>
      </c>
      <c r="N47" s="150">
        <f>'Customer Count'!I34</f>
        <v>13199</v>
      </c>
      <c r="O47" s="67">
        <f t="shared" si="0"/>
        <v>14862845.140438594</v>
      </c>
      <c r="P47" s="40">
        <f t="shared" ca="1" si="1"/>
        <v>-496816.49326734059</v>
      </c>
      <c r="Q47" s="53">
        <f t="shared" ca="1" si="2"/>
        <v>-3.2345536322043976E-2</v>
      </c>
      <c r="R47" s="12">
        <f t="shared" ca="1" si="3"/>
        <v>3.2345536322043976E-2</v>
      </c>
      <c r="S47" s="153"/>
      <c r="T47" s="30"/>
      <c r="U47" s="92"/>
      <c r="V47" s="92"/>
      <c r="W47" s="92"/>
      <c r="X47" s="92"/>
      <c r="Y47" s="92"/>
      <c r="Z47" s="92"/>
      <c r="AA47" s="92"/>
      <c r="AB47" s="30"/>
    </row>
    <row r="48" spans="1:28" ht="15" x14ac:dyDescent="0.25">
      <c r="A48" s="66">
        <v>41578</v>
      </c>
      <c r="B48" s="114">
        <f t="shared" si="4"/>
        <v>2013</v>
      </c>
      <c r="C48" s="114">
        <f t="shared" si="5"/>
        <v>10</v>
      </c>
      <c r="D48" s="107">
        <f>Purchases!C48</f>
        <v>14697969.943470001</v>
      </c>
      <c r="E48" s="94"/>
      <c r="F48" s="171">
        <f ca="1">CDM!D56</f>
        <v>249359.8285229936</v>
      </c>
      <c r="G48" s="94">
        <f t="shared" ca="1" si="6"/>
        <v>14947329.771992994</v>
      </c>
      <c r="H48" s="90">
        <f>Weather!H155</f>
        <v>139.4</v>
      </c>
      <c r="I48" s="90">
        <f>Weather!I155</f>
        <v>12.399999999999999</v>
      </c>
      <c r="J48" s="108">
        <v>31</v>
      </c>
      <c r="K48" s="108">
        <f t="shared" si="7"/>
        <v>0</v>
      </c>
      <c r="L48" s="152">
        <f>Data!AC35</f>
        <v>0</v>
      </c>
      <c r="M48" s="152">
        <f>Data!AD35</f>
        <v>0</v>
      </c>
      <c r="N48" s="150">
        <f>'Customer Count'!I35</f>
        <v>13209.5</v>
      </c>
      <c r="O48" s="67">
        <f t="shared" si="0"/>
        <v>14544390.124338489</v>
      </c>
      <c r="P48" s="40">
        <f t="shared" ca="1" si="1"/>
        <v>-402939.64765450545</v>
      </c>
      <c r="Q48" s="53">
        <f t="shared" ca="1" si="2"/>
        <v>-2.6957299651573799E-2</v>
      </c>
      <c r="R48" s="12">
        <f t="shared" ca="1" si="3"/>
        <v>2.6957299651573799E-2</v>
      </c>
      <c r="S48" s="153"/>
      <c r="T48" s="30"/>
      <c r="U48" s="92"/>
      <c r="V48" s="92"/>
      <c r="W48" s="92"/>
      <c r="X48" s="92"/>
      <c r="Y48" s="92"/>
      <c r="Z48" s="92"/>
      <c r="AA48" s="92"/>
      <c r="AB48" s="30"/>
    </row>
    <row r="49" spans="1:28" ht="15" x14ac:dyDescent="0.25">
      <c r="A49" s="66">
        <v>41608</v>
      </c>
      <c r="B49" s="114">
        <f t="shared" si="4"/>
        <v>2013</v>
      </c>
      <c r="C49" s="114">
        <f t="shared" si="5"/>
        <v>11</v>
      </c>
      <c r="D49" s="107">
        <f>Purchases!C49</f>
        <v>15084391.12145</v>
      </c>
      <c r="E49" s="94"/>
      <c r="F49" s="171">
        <f ca="1">CDM!D57</f>
        <v>257373.8036400514</v>
      </c>
      <c r="G49" s="94">
        <f t="shared" ca="1" si="6"/>
        <v>15341764.92509005</v>
      </c>
      <c r="H49" s="90">
        <f>Weather!H156</f>
        <v>382.2</v>
      </c>
      <c r="I49" s="90">
        <f>Weather!I156</f>
        <v>0</v>
      </c>
      <c r="J49" s="108">
        <v>30</v>
      </c>
      <c r="K49" s="108">
        <f t="shared" si="7"/>
        <v>0</v>
      </c>
      <c r="L49" s="152">
        <f>Data!AC36</f>
        <v>0</v>
      </c>
      <c r="M49" s="152">
        <f>Data!AD36</f>
        <v>0</v>
      </c>
      <c r="N49" s="150">
        <f>'Customer Count'!I36</f>
        <v>13240.5</v>
      </c>
      <c r="O49" s="67">
        <f t="shared" si="0"/>
        <v>15203459.73793206</v>
      </c>
      <c r="P49" s="40">
        <f t="shared" ca="1" si="1"/>
        <v>-138305.18715799041</v>
      </c>
      <c r="Q49" s="53">
        <f t="shared" ca="1" si="2"/>
        <v>-9.0149463137585272E-3</v>
      </c>
      <c r="R49" s="12">
        <f t="shared" ca="1" si="3"/>
        <v>9.0149463137585272E-3</v>
      </c>
      <c r="S49" s="153"/>
      <c r="T49" s="30"/>
      <c r="U49" s="92"/>
      <c r="V49" s="92"/>
      <c r="W49" s="92"/>
      <c r="X49" s="92"/>
      <c r="Y49" s="92"/>
      <c r="Z49" s="92"/>
      <c r="AA49" s="92"/>
      <c r="AB49" s="30"/>
    </row>
    <row r="50" spans="1:28" ht="15" x14ac:dyDescent="0.25">
      <c r="A50" s="66">
        <v>41639</v>
      </c>
      <c r="B50" s="114">
        <f t="shared" si="4"/>
        <v>2013</v>
      </c>
      <c r="C50" s="114">
        <f t="shared" si="5"/>
        <v>12</v>
      </c>
      <c r="D50" s="107">
        <f>Purchases!C50</f>
        <v>17188140.099020001</v>
      </c>
      <c r="E50" s="94"/>
      <c r="F50" s="171">
        <f ca="1">CDM!D58</f>
        <v>265387.77875710925</v>
      </c>
      <c r="G50" s="94">
        <f t="shared" ca="1" si="6"/>
        <v>17453527.877777111</v>
      </c>
      <c r="H50" s="90">
        <f>Weather!H157</f>
        <v>577.70000000000016</v>
      </c>
      <c r="I50" s="90">
        <f>Weather!I157</f>
        <v>0</v>
      </c>
      <c r="J50" s="108">
        <v>31</v>
      </c>
      <c r="K50" s="108">
        <f t="shared" si="7"/>
        <v>0</v>
      </c>
      <c r="L50" s="152">
        <f>Data!AC37</f>
        <v>0</v>
      </c>
      <c r="M50" s="152">
        <f>Data!AD37</f>
        <v>0</v>
      </c>
      <c r="N50" s="150">
        <f>'Customer Count'!I37</f>
        <v>13289</v>
      </c>
      <c r="O50" s="67">
        <f t="shared" si="0"/>
        <v>16940008.310378373</v>
      </c>
      <c r="P50" s="40">
        <f t="shared" ca="1" si="1"/>
        <v>-513519.56739873812</v>
      </c>
      <c r="Q50" s="53">
        <f t="shared" ca="1" si="2"/>
        <v>-2.9422107151906081E-2</v>
      </c>
      <c r="R50" s="12">
        <f t="shared" ca="1" si="3"/>
        <v>2.9422107151906081E-2</v>
      </c>
      <c r="S50" s="153"/>
      <c r="T50" s="30"/>
      <c r="U50" s="92"/>
      <c r="V50" s="92"/>
      <c r="W50" s="92"/>
      <c r="X50" s="92"/>
      <c r="Y50" s="92"/>
      <c r="Z50" s="92"/>
      <c r="AA50" s="92"/>
      <c r="AB50" s="30"/>
    </row>
    <row r="51" spans="1:28" ht="15" x14ac:dyDescent="0.25">
      <c r="A51" s="66">
        <v>41670</v>
      </c>
      <c r="B51" s="114">
        <f t="shared" si="4"/>
        <v>2014</v>
      </c>
      <c r="C51" s="114">
        <f t="shared" si="5"/>
        <v>1</v>
      </c>
      <c r="D51" s="107">
        <f>Purchases!C51</f>
        <v>17832921.899999999</v>
      </c>
      <c r="E51" s="94"/>
      <c r="F51" s="171">
        <f ca="1">CDM!D59</f>
        <v>277670.04482652136</v>
      </c>
      <c r="G51" s="94">
        <f t="shared" ca="1" si="6"/>
        <v>18110591.944826521</v>
      </c>
      <c r="H51" s="90">
        <f>Weather!H158</f>
        <v>717.50000000000023</v>
      </c>
      <c r="I51" s="90">
        <f>Weather!I158</f>
        <v>0</v>
      </c>
      <c r="J51" s="108">
        <v>31</v>
      </c>
      <c r="K51" s="108">
        <f t="shared" si="7"/>
        <v>0</v>
      </c>
      <c r="L51" s="152">
        <f>Data!AC38</f>
        <v>0</v>
      </c>
      <c r="M51" s="152">
        <f>Data!AD38</f>
        <v>0</v>
      </c>
      <c r="N51" s="150">
        <f>'Customer Count'!I38</f>
        <v>13317</v>
      </c>
      <c r="O51" s="67">
        <f t="shared" si="0"/>
        <v>17822839.004914433</v>
      </c>
      <c r="P51" s="40">
        <f t="shared" ca="1" si="1"/>
        <v>-287752.93991208822</v>
      </c>
      <c r="Q51" s="53">
        <f t="shared" ca="1" si="2"/>
        <v>-1.5888654594434049E-2</v>
      </c>
      <c r="R51" s="12">
        <f t="shared" ca="1" si="3"/>
        <v>1.5888654594434049E-2</v>
      </c>
      <c r="S51" s="153"/>
      <c r="T51" s="30"/>
      <c r="U51" s="92"/>
      <c r="V51" s="92"/>
      <c r="W51" s="92"/>
      <c r="X51" s="92"/>
      <c r="Y51" s="92"/>
      <c r="Z51" s="92"/>
      <c r="AA51" s="92"/>
      <c r="AB51" s="30"/>
    </row>
    <row r="52" spans="1:28" ht="15" x14ac:dyDescent="0.25">
      <c r="A52" s="66">
        <v>41698</v>
      </c>
      <c r="B52" s="114">
        <f t="shared" si="4"/>
        <v>2014</v>
      </c>
      <c r="C52" s="114">
        <f t="shared" si="5"/>
        <v>2</v>
      </c>
      <c r="D52" s="107">
        <f>Purchases!C52</f>
        <v>15630733.610000001</v>
      </c>
      <c r="E52" s="94"/>
      <c r="F52" s="171">
        <f ca="1">CDM!D60</f>
        <v>284225.7636239141</v>
      </c>
      <c r="G52" s="94">
        <f t="shared" ca="1" si="6"/>
        <v>15914959.373623915</v>
      </c>
      <c r="H52" s="90">
        <f>Weather!H159</f>
        <v>627.09999999999991</v>
      </c>
      <c r="I52" s="90">
        <f>Weather!I159</f>
        <v>0</v>
      </c>
      <c r="J52" s="108">
        <v>29</v>
      </c>
      <c r="K52" s="108">
        <f t="shared" si="7"/>
        <v>0</v>
      </c>
      <c r="L52" s="152">
        <f>Data!AC39</f>
        <v>0</v>
      </c>
      <c r="M52" s="152">
        <f>Data!AD39</f>
        <v>0</v>
      </c>
      <c r="N52" s="150">
        <f>'Customer Count'!I39</f>
        <v>13348</v>
      </c>
      <c r="O52" s="67">
        <f t="shared" si="0"/>
        <v>16290238.335472129</v>
      </c>
      <c r="P52" s="40">
        <f t="shared" ca="1" si="1"/>
        <v>375278.96184821427</v>
      </c>
      <c r="Q52" s="53">
        <f t="shared" ca="1" si="2"/>
        <v>2.3580265147906652E-2</v>
      </c>
      <c r="R52" s="12">
        <f t="shared" ca="1" si="3"/>
        <v>2.3580265147906652E-2</v>
      </c>
      <c r="S52" s="153"/>
      <c r="T52" s="30"/>
      <c r="U52" s="92"/>
      <c r="V52" s="92"/>
      <c r="W52" s="92"/>
      <c r="X52" s="92"/>
      <c r="Y52" s="92"/>
      <c r="Z52" s="92"/>
      <c r="AA52" s="92"/>
      <c r="AB52" s="30"/>
    </row>
    <row r="53" spans="1:28" ht="15" x14ac:dyDescent="0.25">
      <c r="A53" s="66">
        <v>41729</v>
      </c>
      <c r="B53" s="114">
        <f t="shared" si="4"/>
        <v>2014</v>
      </c>
      <c r="C53" s="114">
        <f t="shared" si="5"/>
        <v>3</v>
      </c>
      <c r="D53" s="107">
        <f>Purchases!C53</f>
        <v>16233179.18</v>
      </c>
      <c r="E53" s="94"/>
      <c r="F53" s="171">
        <f ca="1">CDM!D61</f>
        <v>290781.48242130684</v>
      </c>
      <c r="G53" s="94">
        <f t="shared" ca="1" si="6"/>
        <v>16523960.662421307</v>
      </c>
      <c r="H53" s="90">
        <f>Weather!H160</f>
        <v>585.9</v>
      </c>
      <c r="I53" s="90">
        <f>Weather!I160</f>
        <v>0</v>
      </c>
      <c r="J53" s="108">
        <v>31</v>
      </c>
      <c r="K53" s="108">
        <f t="shared" si="7"/>
        <v>1</v>
      </c>
      <c r="L53" s="152">
        <f>Data!AC40</f>
        <v>0</v>
      </c>
      <c r="M53" s="152">
        <f>Data!AD40</f>
        <v>0</v>
      </c>
      <c r="N53" s="150">
        <f>'Customer Count'!I40</f>
        <v>13384.5</v>
      </c>
      <c r="O53" s="67">
        <f t="shared" si="0"/>
        <v>16369948.773739938</v>
      </c>
      <c r="P53" s="40">
        <f t="shared" ca="1" si="1"/>
        <v>-154011.8886813689</v>
      </c>
      <c r="Q53" s="53">
        <f t="shared" ca="1" si="2"/>
        <v>-9.3205189619957052E-3</v>
      </c>
      <c r="R53" s="12">
        <f t="shared" ca="1" si="3"/>
        <v>9.3205189619957052E-3</v>
      </c>
      <c r="S53" s="153"/>
      <c r="T53" s="30"/>
      <c r="U53" s="92"/>
      <c r="V53" s="92"/>
      <c r="W53" s="92"/>
      <c r="X53" s="92"/>
      <c r="Y53" s="92"/>
      <c r="Z53" s="92"/>
      <c r="AA53" s="92"/>
      <c r="AB53" s="30"/>
    </row>
    <row r="54" spans="1:28" ht="15" x14ac:dyDescent="0.25">
      <c r="A54" s="66">
        <v>41759</v>
      </c>
      <c r="B54" s="114">
        <f t="shared" si="4"/>
        <v>2014</v>
      </c>
      <c r="C54" s="114">
        <f t="shared" si="5"/>
        <v>4</v>
      </c>
      <c r="D54" s="107">
        <f>Purchases!C54</f>
        <v>13779375.02</v>
      </c>
      <c r="E54" s="94"/>
      <c r="F54" s="171">
        <f ca="1">CDM!D62</f>
        <v>297337.20121869957</v>
      </c>
      <c r="G54" s="94">
        <f t="shared" ca="1" si="6"/>
        <v>14076712.2212187</v>
      </c>
      <c r="H54" s="90">
        <f>Weather!H161</f>
        <v>272.09999999999991</v>
      </c>
      <c r="I54" s="90">
        <f>Weather!I161</f>
        <v>0.39999999999999858</v>
      </c>
      <c r="J54" s="108">
        <v>30</v>
      </c>
      <c r="K54" s="108">
        <f t="shared" si="7"/>
        <v>1</v>
      </c>
      <c r="L54" s="152">
        <f>Data!AC41</f>
        <v>0</v>
      </c>
      <c r="M54" s="152">
        <f>Data!AD41</f>
        <v>0</v>
      </c>
      <c r="N54" s="150">
        <f>'Customer Count'!I41</f>
        <v>13413</v>
      </c>
      <c r="O54" s="67">
        <f t="shared" si="0"/>
        <v>13960892.440576773</v>
      </c>
      <c r="P54" s="40">
        <f t="shared" ca="1" si="1"/>
        <v>-115819.78064192645</v>
      </c>
      <c r="Q54" s="53">
        <f t="shared" ca="1" si="2"/>
        <v>-8.2277579325195083E-3</v>
      </c>
      <c r="R54" s="12">
        <f t="shared" ca="1" si="3"/>
        <v>8.2277579325195083E-3</v>
      </c>
      <c r="S54" s="153"/>
      <c r="T54" s="30"/>
      <c r="U54" s="92"/>
      <c r="V54" s="92"/>
      <c r="W54" s="92"/>
      <c r="X54" s="92"/>
      <c r="Y54" s="92"/>
      <c r="Z54" s="92"/>
      <c r="AA54" s="92"/>
      <c r="AB54" s="30"/>
    </row>
    <row r="55" spans="1:28" ht="15" x14ac:dyDescent="0.25">
      <c r="A55" s="66">
        <v>41790</v>
      </c>
      <c r="B55" s="114">
        <f t="shared" si="4"/>
        <v>2014</v>
      </c>
      <c r="C55" s="114">
        <f t="shared" si="5"/>
        <v>5</v>
      </c>
      <c r="D55" s="107">
        <f>Purchases!C55</f>
        <v>13816260.479999999</v>
      </c>
      <c r="E55" s="94"/>
      <c r="F55" s="171">
        <f ca="1">CDM!D63</f>
        <v>303892.92001609231</v>
      </c>
      <c r="G55" s="94">
        <f t="shared" ca="1" si="6"/>
        <v>14120153.400016092</v>
      </c>
      <c r="H55" s="90">
        <f>Weather!H162</f>
        <v>80.000000000000014</v>
      </c>
      <c r="I55" s="90">
        <f>Weather!I162</f>
        <v>24.299999999999997</v>
      </c>
      <c r="J55" s="108">
        <v>31</v>
      </c>
      <c r="K55" s="108">
        <f t="shared" si="7"/>
        <v>1</v>
      </c>
      <c r="L55" s="152">
        <f>Data!AC42</f>
        <v>0</v>
      </c>
      <c r="M55" s="152">
        <f>Data!AD42</f>
        <v>0</v>
      </c>
      <c r="N55" s="150">
        <f>'Customer Count'!I42</f>
        <v>13446</v>
      </c>
      <c r="O55" s="67">
        <f t="shared" si="0"/>
        <v>13995949.766483484</v>
      </c>
      <c r="P55" s="40">
        <f t="shared" ca="1" si="1"/>
        <v>-124203.63353260793</v>
      </c>
      <c r="Q55" s="53">
        <f t="shared" ca="1" si="2"/>
        <v>-8.7961957645917906E-3</v>
      </c>
      <c r="R55" s="12">
        <f t="shared" ca="1" si="3"/>
        <v>8.7961957645917906E-3</v>
      </c>
      <c r="S55" s="153"/>
      <c r="T55" s="30"/>
      <c r="U55" s="92"/>
      <c r="V55" s="92"/>
      <c r="W55" s="92"/>
      <c r="X55" s="92"/>
      <c r="Y55" s="92"/>
      <c r="Z55" s="92"/>
      <c r="AA55" s="92"/>
      <c r="AB55" s="30"/>
    </row>
    <row r="56" spans="1:28" ht="15" x14ac:dyDescent="0.25">
      <c r="A56" s="66">
        <v>41820</v>
      </c>
      <c r="B56" s="114">
        <f t="shared" si="4"/>
        <v>2014</v>
      </c>
      <c r="C56" s="114">
        <f t="shared" si="5"/>
        <v>6</v>
      </c>
      <c r="D56" s="107">
        <f>Purchases!C56</f>
        <v>15763795.030000001</v>
      </c>
      <c r="E56" s="94"/>
      <c r="F56" s="171">
        <f ca="1">CDM!D64</f>
        <v>310448.63881348504</v>
      </c>
      <c r="G56" s="94">
        <f t="shared" ca="1" si="6"/>
        <v>16074243.668813486</v>
      </c>
      <c r="H56" s="90">
        <f>Weather!H163</f>
        <v>2.4999999999999982</v>
      </c>
      <c r="I56" s="90">
        <f>Weather!I163</f>
        <v>121.8</v>
      </c>
      <c r="J56" s="108">
        <v>30</v>
      </c>
      <c r="K56" s="108">
        <f t="shared" si="7"/>
        <v>0</v>
      </c>
      <c r="L56" s="152">
        <f>Data!AC43</f>
        <v>0</v>
      </c>
      <c r="M56" s="152">
        <f>Data!AD43</f>
        <v>0</v>
      </c>
      <c r="N56" s="150">
        <f>'Customer Count'!I43</f>
        <v>13471.5</v>
      </c>
      <c r="O56" s="67">
        <f t="shared" si="0"/>
        <v>16602436.963707255</v>
      </c>
      <c r="P56" s="40">
        <f t="shared" ca="1" si="1"/>
        <v>528193.29489376955</v>
      </c>
      <c r="Q56" s="53">
        <f t="shared" ca="1" si="2"/>
        <v>3.285960482971563E-2</v>
      </c>
      <c r="R56" s="12">
        <f t="shared" ca="1" si="3"/>
        <v>3.285960482971563E-2</v>
      </c>
      <c r="S56" s="153"/>
      <c r="T56" s="46"/>
      <c r="U56" s="46"/>
      <c r="V56" s="46"/>
      <c r="W56" s="46"/>
      <c r="X56" s="46"/>
      <c r="Y56" s="46"/>
      <c r="Z56" s="46"/>
      <c r="AA56" s="46"/>
      <c r="AB56" s="46"/>
    </row>
    <row r="57" spans="1:28" ht="15" x14ac:dyDescent="0.25">
      <c r="A57" s="66">
        <v>41851</v>
      </c>
      <c r="B57" s="114">
        <f t="shared" si="4"/>
        <v>2014</v>
      </c>
      <c r="C57" s="114">
        <f t="shared" si="5"/>
        <v>7</v>
      </c>
      <c r="D57" s="107">
        <f>Purchases!C57</f>
        <v>17256405.399999999</v>
      </c>
      <c r="E57" s="94"/>
      <c r="F57" s="171">
        <f ca="1">CDM!D65</f>
        <v>317004.35761087778</v>
      </c>
      <c r="G57" s="94">
        <f t="shared" ca="1" si="6"/>
        <v>17573409.757610876</v>
      </c>
      <c r="H57" s="90">
        <f>Weather!H164</f>
        <v>0</v>
      </c>
      <c r="I57" s="90">
        <f>Weather!I164</f>
        <v>149.90000000000003</v>
      </c>
      <c r="J57" s="108">
        <v>31</v>
      </c>
      <c r="K57" s="108">
        <f t="shared" si="7"/>
        <v>0</v>
      </c>
      <c r="L57" s="152">
        <f>Data!AC44</f>
        <v>0</v>
      </c>
      <c r="M57" s="152">
        <f>Data!AD44</f>
        <v>0</v>
      </c>
      <c r="N57" s="150">
        <f>'Customer Count'!I44</f>
        <v>13503</v>
      </c>
      <c r="O57" s="67">
        <f t="shared" si="0"/>
        <v>17934554.779158268</v>
      </c>
      <c r="P57" s="40">
        <f t="shared" ca="1" si="1"/>
        <v>361145.02154739201</v>
      </c>
      <c r="Q57" s="53">
        <f t="shared" ca="1" si="2"/>
        <v>2.0550651611078694E-2</v>
      </c>
      <c r="R57" s="12">
        <f t="shared" ca="1" si="3"/>
        <v>2.0550651611078694E-2</v>
      </c>
      <c r="S57" s="153"/>
      <c r="T57" s="46"/>
      <c r="U57" s="46"/>
      <c r="V57" s="46"/>
      <c r="W57" s="46"/>
      <c r="X57" s="46"/>
      <c r="Y57" s="46"/>
      <c r="Z57" s="46"/>
      <c r="AA57" s="46"/>
      <c r="AB57" s="46"/>
    </row>
    <row r="58" spans="1:28" ht="15" x14ac:dyDescent="0.25">
      <c r="A58" s="66">
        <v>41882</v>
      </c>
      <c r="B58" s="114">
        <f t="shared" si="4"/>
        <v>2014</v>
      </c>
      <c r="C58" s="114">
        <f t="shared" si="5"/>
        <v>8</v>
      </c>
      <c r="D58" s="107">
        <f>Purchases!C58</f>
        <v>17022827.640000001</v>
      </c>
      <c r="E58" s="94"/>
      <c r="F58" s="171">
        <f ca="1">CDM!D66</f>
        <v>323560.07640827051</v>
      </c>
      <c r="G58" s="94">
        <f t="shared" ca="1" si="6"/>
        <v>17346387.716408271</v>
      </c>
      <c r="H58" s="90">
        <f>Weather!H165</f>
        <v>9.9999999999999645E-2</v>
      </c>
      <c r="I58" s="90">
        <f>Weather!I165</f>
        <v>146.79999999999998</v>
      </c>
      <c r="J58" s="108">
        <v>31</v>
      </c>
      <c r="K58" s="108">
        <f t="shared" si="7"/>
        <v>0</v>
      </c>
      <c r="L58" s="152">
        <f>Data!AC45</f>
        <v>0</v>
      </c>
      <c r="M58" s="152">
        <f>Data!AD45</f>
        <v>0</v>
      </c>
      <c r="N58" s="150">
        <f>'Customer Count'!I45</f>
        <v>13541.5</v>
      </c>
      <c r="O58" s="67">
        <f t="shared" si="0"/>
        <v>17867384.365914401</v>
      </c>
      <c r="P58" s="40">
        <f t="shared" ca="1" si="1"/>
        <v>520996.64950612932</v>
      </c>
      <c r="Q58" s="53">
        <f t="shared" ca="1" si="2"/>
        <v>3.0034878617022316E-2</v>
      </c>
      <c r="R58" s="12">
        <f t="shared" ca="1" si="3"/>
        <v>3.0034878617022316E-2</v>
      </c>
      <c r="S58" s="153"/>
      <c r="T58" s="228"/>
      <c r="U58" s="46"/>
      <c r="V58" s="46"/>
      <c r="W58" s="46"/>
      <c r="X58" s="46"/>
      <c r="Y58" s="46"/>
      <c r="Z58" s="46"/>
      <c r="AA58" s="46"/>
      <c r="AB58" s="46"/>
    </row>
    <row r="59" spans="1:28" ht="15" x14ac:dyDescent="0.25">
      <c r="A59" s="66">
        <v>41912</v>
      </c>
      <c r="B59" s="114">
        <f t="shared" si="4"/>
        <v>2014</v>
      </c>
      <c r="C59" s="114">
        <f t="shared" si="5"/>
        <v>9</v>
      </c>
      <c r="D59" s="107">
        <f>Purchases!C59</f>
        <v>15128454.74</v>
      </c>
      <c r="E59" s="94"/>
      <c r="F59" s="171">
        <f ca="1">CDM!D67</f>
        <v>330115.79520566325</v>
      </c>
      <c r="G59" s="94">
        <f t="shared" ca="1" si="6"/>
        <v>15458570.535205664</v>
      </c>
      <c r="H59" s="90">
        <f>Weather!H166</f>
        <v>28.4</v>
      </c>
      <c r="I59" s="90">
        <f>Weather!I166</f>
        <v>71.299999999999983</v>
      </c>
      <c r="J59" s="108">
        <v>30</v>
      </c>
      <c r="K59" s="108">
        <f t="shared" si="7"/>
        <v>0</v>
      </c>
      <c r="L59" s="152">
        <f>Data!AC46</f>
        <v>0</v>
      </c>
      <c r="M59" s="152">
        <f>Data!AD46</f>
        <v>0</v>
      </c>
      <c r="N59" s="150">
        <f>'Customer Count'!I46</f>
        <v>13605.5</v>
      </c>
      <c r="O59" s="67">
        <f t="shared" si="0"/>
        <v>15351308.735881258</v>
      </c>
      <c r="P59" s="40">
        <f t="shared" ca="1" si="1"/>
        <v>-107261.79932440631</v>
      </c>
      <c r="Q59" s="53">
        <f t="shared" ca="1" si="2"/>
        <v>-6.9386622184843096E-3</v>
      </c>
      <c r="R59" s="12">
        <f t="shared" ca="1" si="3"/>
        <v>6.9386622184843096E-3</v>
      </c>
      <c r="S59" s="153"/>
      <c r="T59" s="46"/>
      <c r="U59" s="46"/>
      <c r="V59" s="46"/>
      <c r="W59" s="46"/>
      <c r="X59" s="46"/>
      <c r="Y59" s="46"/>
      <c r="Z59" s="46"/>
      <c r="AA59" s="46"/>
      <c r="AB59" s="46"/>
    </row>
    <row r="60" spans="1:28" ht="15" x14ac:dyDescent="0.25">
      <c r="A60" s="66">
        <v>41943</v>
      </c>
      <c r="B60" s="114">
        <f t="shared" si="4"/>
        <v>2014</v>
      </c>
      <c r="C60" s="114">
        <f t="shared" si="5"/>
        <v>10</v>
      </c>
      <c r="D60" s="107">
        <f>Purchases!C60</f>
        <v>14319576.609999999</v>
      </c>
      <c r="E60" s="94"/>
      <c r="F60" s="171">
        <f ca="1">CDM!D68</f>
        <v>336671.51400305599</v>
      </c>
      <c r="G60" s="94">
        <f t="shared" ca="1" si="6"/>
        <v>14656248.124003055</v>
      </c>
      <c r="H60" s="90">
        <f>Weather!H167</f>
        <v>142.9</v>
      </c>
      <c r="I60" s="90">
        <f>Weather!I167</f>
        <v>10.400000000000002</v>
      </c>
      <c r="J60" s="108">
        <v>31</v>
      </c>
      <c r="K60" s="108">
        <f t="shared" si="7"/>
        <v>0</v>
      </c>
      <c r="L60" s="152">
        <f>Data!AC47</f>
        <v>0</v>
      </c>
      <c r="M60" s="152">
        <f>Data!AD47</f>
        <v>0</v>
      </c>
      <c r="N60" s="150">
        <f>'Customer Count'!I47</f>
        <v>13677.5</v>
      </c>
      <c r="O60" s="67">
        <f t="shared" si="0"/>
        <v>14798314.668677542</v>
      </c>
      <c r="P60" s="40">
        <f t="shared" ca="1" si="1"/>
        <v>142066.54467448778</v>
      </c>
      <c r="Q60" s="53">
        <f t="shared" ca="1" si="2"/>
        <v>9.6932409626594943E-3</v>
      </c>
      <c r="R60" s="12">
        <f t="shared" ca="1" si="3"/>
        <v>9.6932409626594943E-3</v>
      </c>
      <c r="S60" s="153"/>
      <c r="T60" s="220"/>
      <c r="U60" s="220"/>
      <c r="V60" s="46"/>
      <c r="W60" s="46"/>
      <c r="X60" s="46"/>
      <c r="Y60" s="46"/>
      <c r="Z60" s="46"/>
      <c r="AA60" s="46"/>
      <c r="AB60" s="46"/>
    </row>
    <row r="61" spans="1:28" ht="15" x14ac:dyDescent="0.25">
      <c r="A61" s="66">
        <v>41973</v>
      </c>
      <c r="B61" s="114">
        <f t="shared" si="4"/>
        <v>2014</v>
      </c>
      <c r="C61" s="114">
        <f t="shared" si="5"/>
        <v>11</v>
      </c>
      <c r="D61" s="107">
        <f>Purchases!C61</f>
        <v>15066567.450000001</v>
      </c>
      <c r="E61" s="94"/>
      <c r="F61" s="171">
        <f ca="1">CDM!D69</f>
        <v>343227.23280044872</v>
      </c>
      <c r="G61" s="94">
        <f t="shared" ca="1" si="6"/>
        <v>15409794.682800449</v>
      </c>
      <c r="H61" s="90">
        <f>Weather!H168</f>
        <v>391.89999999999992</v>
      </c>
      <c r="I61" s="90">
        <f>Weather!I168</f>
        <v>0</v>
      </c>
      <c r="J61" s="108">
        <v>30</v>
      </c>
      <c r="K61" s="108">
        <f t="shared" si="7"/>
        <v>0</v>
      </c>
      <c r="L61" s="152">
        <f>Data!AC48</f>
        <v>0</v>
      </c>
      <c r="M61" s="152">
        <f>Data!AD48</f>
        <v>0</v>
      </c>
      <c r="N61" s="150">
        <f>'Customer Count'!I48</f>
        <v>13706.5</v>
      </c>
      <c r="O61" s="67">
        <f t="shared" si="0"/>
        <v>15553722.354642803</v>
      </c>
      <c r="P61" s="40">
        <f t="shared" ca="1" si="1"/>
        <v>143927.67184235342</v>
      </c>
      <c r="Q61" s="53">
        <f t="shared" ca="1" si="2"/>
        <v>9.340012297697738E-3</v>
      </c>
      <c r="R61" s="12">
        <f t="shared" ca="1" si="3"/>
        <v>9.340012297697738E-3</v>
      </c>
      <c r="S61" s="153"/>
      <c r="T61" s="30"/>
      <c r="U61" s="92"/>
      <c r="V61" s="226"/>
      <c r="W61" s="226"/>
      <c r="X61" s="226"/>
      <c r="Y61" s="226"/>
      <c r="Z61" s="226"/>
      <c r="AA61" s="226"/>
      <c r="AB61" s="226"/>
    </row>
    <row r="62" spans="1:28" ht="15" x14ac:dyDescent="0.25">
      <c r="A62" s="66">
        <v>42004</v>
      </c>
      <c r="B62" s="114">
        <f t="shared" si="4"/>
        <v>2014</v>
      </c>
      <c r="C62" s="114">
        <f t="shared" si="5"/>
        <v>12</v>
      </c>
      <c r="D62" s="107">
        <f>Purchases!C62</f>
        <v>16465915.779999999</v>
      </c>
      <c r="E62" s="94"/>
      <c r="F62" s="171">
        <f ca="1">CDM!D70</f>
        <v>349782.95159784146</v>
      </c>
      <c r="G62" s="94">
        <f t="shared" ca="1" si="6"/>
        <v>16815698.731597841</v>
      </c>
      <c r="H62" s="90">
        <f>Weather!H169</f>
        <v>472.4</v>
      </c>
      <c r="I62" s="90">
        <f>Weather!I169</f>
        <v>0</v>
      </c>
      <c r="J62" s="108">
        <v>31</v>
      </c>
      <c r="K62" s="108">
        <f t="shared" si="7"/>
        <v>0</v>
      </c>
      <c r="L62" s="152">
        <f>Data!AC49</f>
        <v>0</v>
      </c>
      <c r="M62" s="152">
        <f>Data!AD49</f>
        <v>0</v>
      </c>
      <c r="N62" s="150">
        <f>'Customer Count'!I49</f>
        <v>13732.5</v>
      </c>
      <c r="O62" s="67">
        <f t="shared" si="0"/>
        <v>16564382.998324964</v>
      </c>
      <c r="P62" s="40">
        <f t="shared" ca="1" si="1"/>
        <v>-251315.73327287659</v>
      </c>
      <c r="Q62" s="53">
        <f t="shared" ca="1" si="2"/>
        <v>-1.4945304223406265E-2</v>
      </c>
      <c r="R62" s="12">
        <f t="shared" ca="1" si="3"/>
        <v>1.4945304223406265E-2</v>
      </c>
      <c r="S62" s="153"/>
      <c r="T62" s="30"/>
      <c r="U62" s="92"/>
      <c r="V62" s="226"/>
      <c r="W62" s="226"/>
      <c r="X62" s="226"/>
      <c r="Y62" s="226"/>
      <c r="Z62" s="226"/>
      <c r="AA62" s="226"/>
      <c r="AB62" s="226"/>
    </row>
    <row r="63" spans="1:28" ht="15" x14ac:dyDescent="0.25">
      <c r="A63" s="66">
        <v>42035</v>
      </c>
      <c r="B63" s="114">
        <f t="shared" si="4"/>
        <v>2015</v>
      </c>
      <c r="C63" s="114">
        <f t="shared" si="5"/>
        <v>1</v>
      </c>
      <c r="D63" s="107">
        <f>Purchases!C63</f>
        <v>17410556.84</v>
      </c>
      <c r="E63" s="94"/>
      <c r="F63" s="171">
        <f ca="1">CDM!D71</f>
        <v>365944.52587267006</v>
      </c>
      <c r="G63" s="94">
        <f t="shared" ca="1" si="6"/>
        <v>17776501.36587267</v>
      </c>
      <c r="H63" s="90">
        <f>Weather!H170</f>
        <v>696.89999999999986</v>
      </c>
      <c r="I63" s="90">
        <f>Weather!I170</f>
        <v>0</v>
      </c>
      <c r="J63" s="108">
        <v>31</v>
      </c>
      <c r="K63" s="108">
        <f t="shared" si="7"/>
        <v>0</v>
      </c>
      <c r="L63" s="152">
        <f>Data!AC50</f>
        <v>0</v>
      </c>
      <c r="M63" s="152">
        <f>Data!AD50</f>
        <v>0</v>
      </c>
      <c r="N63" s="150">
        <f>'Customer Count'!I50</f>
        <v>13760.5</v>
      </c>
      <c r="O63" s="67">
        <f t="shared" si="0"/>
        <v>17971525.313598774</v>
      </c>
      <c r="P63" s="40">
        <f t="shared" ca="1" si="1"/>
        <v>195023.94772610441</v>
      </c>
      <c r="Q63" s="53">
        <f t="shared" ca="1" si="2"/>
        <v>1.0970884749037931E-2</v>
      </c>
      <c r="R63" s="12">
        <f t="shared" ca="1" si="3"/>
        <v>1.0970884749037931E-2</v>
      </c>
      <c r="S63" s="153"/>
      <c r="T63" s="30"/>
      <c r="U63" s="92"/>
      <c r="V63" s="226"/>
      <c r="W63" s="226"/>
      <c r="X63" s="226"/>
      <c r="Y63" s="226"/>
      <c r="Z63" s="226"/>
      <c r="AA63" s="226"/>
      <c r="AB63" s="226"/>
    </row>
    <row r="64" spans="1:28" ht="15" x14ac:dyDescent="0.25">
      <c r="A64" s="66">
        <v>42063</v>
      </c>
      <c r="B64" s="114">
        <f t="shared" si="4"/>
        <v>2015</v>
      </c>
      <c r="C64" s="114">
        <f t="shared" si="5"/>
        <v>2</v>
      </c>
      <c r="D64" s="107">
        <f>Purchases!C64</f>
        <v>16200376.42</v>
      </c>
      <c r="E64" s="94"/>
      <c r="F64" s="171">
        <f ca="1">CDM!D72</f>
        <v>386261.67330856749</v>
      </c>
      <c r="G64" s="94">
        <f ca="1">D64+F64-E64</f>
        <v>16586638.093308568</v>
      </c>
      <c r="H64" s="90">
        <f>Weather!H171</f>
        <v>758.99999999999989</v>
      </c>
      <c r="I64" s="90">
        <f>Weather!I171</f>
        <v>0</v>
      </c>
      <c r="J64" s="108">
        <v>28</v>
      </c>
      <c r="K64" s="108">
        <f t="shared" si="7"/>
        <v>0</v>
      </c>
      <c r="L64" s="152">
        <f>Data!AC51</f>
        <v>0</v>
      </c>
      <c r="M64" s="152">
        <f>Data!AD51</f>
        <v>0</v>
      </c>
      <c r="N64" s="150">
        <f>'Customer Count'!I51</f>
        <v>13767.5</v>
      </c>
      <c r="O64" s="67">
        <f t="shared" si="0"/>
        <v>16871830.792593233</v>
      </c>
      <c r="P64" s="40">
        <f t="shared" ca="1" si="1"/>
        <v>285192.69928466529</v>
      </c>
      <c r="Q64" s="53">
        <f t="shared" ca="1" si="2"/>
        <v>1.7194123226196067E-2</v>
      </c>
      <c r="R64" s="12">
        <f t="shared" ca="1" si="3"/>
        <v>1.7194123226196067E-2</v>
      </c>
      <c r="S64" s="153"/>
      <c r="T64" s="30"/>
      <c r="U64" s="92"/>
      <c r="V64" s="226"/>
      <c r="W64" s="226"/>
      <c r="X64" s="226"/>
      <c r="Y64" s="226"/>
      <c r="Z64" s="226"/>
      <c r="AA64" s="226"/>
      <c r="AB64" s="226"/>
    </row>
    <row r="65" spans="1:28" ht="15" x14ac:dyDescent="0.25">
      <c r="A65" s="66">
        <v>42094</v>
      </c>
      <c r="B65" s="114">
        <f t="shared" si="4"/>
        <v>2015</v>
      </c>
      <c r="C65" s="114">
        <f t="shared" si="5"/>
        <v>3</v>
      </c>
      <c r="D65" s="107">
        <f>Purchases!C65</f>
        <v>15791088.430000002</v>
      </c>
      <c r="E65" s="94"/>
      <c r="F65" s="171">
        <f ca="1">CDM!D73</f>
        <v>406578.82074446493</v>
      </c>
      <c r="G65" s="94">
        <f t="shared" ca="1" si="6"/>
        <v>16197667.250744466</v>
      </c>
      <c r="H65" s="90">
        <f>Weather!H172</f>
        <v>519.4</v>
      </c>
      <c r="I65" s="90">
        <f>Weather!I172</f>
        <v>0</v>
      </c>
      <c r="J65" s="108">
        <v>31</v>
      </c>
      <c r="K65" s="108">
        <f t="shared" si="7"/>
        <v>1</v>
      </c>
      <c r="L65" s="152">
        <f>Data!AC52</f>
        <v>0</v>
      </c>
      <c r="M65" s="152">
        <f>Data!AD52</f>
        <v>0</v>
      </c>
      <c r="N65" s="150">
        <f>'Customer Count'!I52</f>
        <v>13776</v>
      </c>
      <c r="O65" s="67">
        <f t="shared" si="0"/>
        <v>16202119.207963329</v>
      </c>
      <c r="P65" s="40">
        <f t="shared" ca="1" si="1"/>
        <v>4451.95721886307</v>
      </c>
      <c r="Q65" s="53">
        <f t="shared" ca="1" si="2"/>
        <v>2.7485175179521311E-4</v>
      </c>
      <c r="R65" s="12">
        <f t="shared" ca="1" si="3"/>
        <v>2.7485175179521311E-4</v>
      </c>
      <c r="S65" s="153"/>
      <c r="T65" s="30"/>
      <c r="U65" s="92"/>
      <c r="V65" s="226"/>
      <c r="W65" s="226"/>
      <c r="X65" s="226"/>
      <c r="Y65" s="226"/>
      <c r="Z65" s="226"/>
      <c r="AA65" s="226"/>
      <c r="AB65" s="226"/>
    </row>
    <row r="66" spans="1:28" ht="15" x14ac:dyDescent="0.25">
      <c r="A66" s="66">
        <v>42124</v>
      </c>
      <c r="B66" s="114">
        <f t="shared" si="4"/>
        <v>2015</v>
      </c>
      <c r="C66" s="114">
        <f t="shared" si="5"/>
        <v>4</v>
      </c>
      <c r="D66" s="107">
        <f>Purchases!C66</f>
        <v>13751123.979999999</v>
      </c>
      <c r="E66" s="94"/>
      <c r="F66" s="171">
        <f ca="1">CDM!D74</f>
        <v>426895.96818036237</v>
      </c>
      <c r="G66" s="94">
        <f t="shared" ca="1" si="6"/>
        <v>14178019.948180361</v>
      </c>
      <c r="H66" s="90">
        <f>Weather!H173</f>
        <v>240.10000000000002</v>
      </c>
      <c r="I66" s="90">
        <f>Weather!I173</f>
        <v>0.30000000000000071</v>
      </c>
      <c r="J66" s="108">
        <v>30</v>
      </c>
      <c r="K66" s="108">
        <f t="shared" si="7"/>
        <v>1</v>
      </c>
      <c r="L66" s="152">
        <f>Data!AC53</f>
        <v>0</v>
      </c>
      <c r="M66" s="152">
        <f>Data!AD53</f>
        <v>0</v>
      </c>
      <c r="N66" s="150">
        <f>'Customer Count'!I53</f>
        <v>13787.5</v>
      </c>
      <c r="O66" s="67">
        <f t="shared" si="0"/>
        <v>13993077.9123853</v>
      </c>
      <c r="P66" s="40">
        <f t="shared" ca="1" si="1"/>
        <v>-184942.03579506092</v>
      </c>
      <c r="Q66" s="53">
        <f t="shared" ca="1" si="2"/>
        <v>-1.3044278148218912E-2</v>
      </c>
      <c r="R66" s="12">
        <f t="shared" ca="1" si="3"/>
        <v>1.3044278148218912E-2</v>
      </c>
      <c r="S66" s="153"/>
      <c r="T66" s="46"/>
      <c r="U66" s="226"/>
      <c r="V66" s="226"/>
      <c r="W66" s="226"/>
      <c r="X66" s="226"/>
      <c r="Y66" s="226"/>
      <c r="Z66" s="226"/>
      <c r="AA66" s="226"/>
      <c r="AB66" s="226"/>
    </row>
    <row r="67" spans="1:28" ht="15" x14ac:dyDescent="0.25">
      <c r="A67" s="66">
        <v>42155</v>
      </c>
      <c r="B67" s="114">
        <f t="shared" si="4"/>
        <v>2015</v>
      </c>
      <c r="C67" s="114">
        <f t="shared" si="5"/>
        <v>5</v>
      </c>
      <c r="D67" s="107">
        <f>Purchases!C67</f>
        <v>14187561.25</v>
      </c>
      <c r="E67" s="94"/>
      <c r="F67" s="171">
        <f ca="1">CDM!D75</f>
        <v>447213.11561625981</v>
      </c>
      <c r="G67" s="94">
        <f t="shared" ca="1" si="6"/>
        <v>14634774.36561626</v>
      </c>
      <c r="H67" s="90">
        <f>Weather!H174</f>
        <v>54.4</v>
      </c>
      <c r="I67" s="90">
        <f>Weather!I174</f>
        <v>72</v>
      </c>
      <c r="J67" s="108">
        <v>31</v>
      </c>
      <c r="K67" s="108">
        <f t="shared" si="7"/>
        <v>1</v>
      </c>
      <c r="L67" s="152">
        <f>Data!AC54</f>
        <v>0</v>
      </c>
      <c r="M67" s="152">
        <f>Data!AD54</f>
        <v>0</v>
      </c>
      <c r="N67" s="150">
        <f>'Customer Count'!I54</f>
        <v>13792.5</v>
      </c>
      <c r="O67" s="67">
        <f t="shared" ref="O67:O130" si="8">$U$10+H67*$U$11+I67*$U$12+J67*$U$13+K67*$U$14+L67*$U$15+M67*$U$16+N67*$U$17</f>
        <v>15465296.92773338</v>
      </c>
      <c r="P67" s="40">
        <f t="shared" ref="P67:P130" ca="1" si="9">O67-G67</f>
        <v>830522.56211712025</v>
      </c>
      <c r="Q67" s="53">
        <f t="shared" ref="Q67:Q130" ca="1" si="10">P67/G67</f>
        <v>5.6749939655263523E-2</v>
      </c>
      <c r="R67" s="12">
        <f t="shared" ref="R67:R121" ca="1" si="11">ABS(Q67)</f>
        <v>5.6749939655263523E-2</v>
      </c>
      <c r="S67" s="153"/>
      <c r="T67" s="46"/>
      <c r="U67" s="226"/>
      <c r="V67" s="226"/>
      <c r="W67" s="226"/>
      <c r="X67" s="226"/>
      <c r="Y67" s="226"/>
      <c r="Z67" s="226"/>
      <c r="AA67" s="226"/>
      <c r="AB67" s="226"/>
    </row>
    <row r="68" spans="1:28" ht="15" x14ac:dyDescent="0.25">
      <c r="A68" s="66">
        <v>42185</v>
      </c>
      <c r="B68" s="114">
        <f t="shared" ref="B68:B131" si="12">YEAR(A68)</f>
        <v>2015</v>
      </c>
      <c r="C68" s="114">
        <f t="shared" ref="C68:C131" si="13">MONTH(A68)</f>
        <v>6</v>
      </c>
      <c r="D68" s="107">
        <f>Purchases!C68</f>
        <v>14895713.270000001</v>
      </c>
      <c r="E68" s="94"/>
      <c r="F68" s="171">
        <f ca="1">CDM!D76</f>
        <v>467530.26305215724</v>
      </c>
      <c r="G68" s="94">
        <f t="shared" ref="G68:G131" ca="1" si="14">D68+F68-E68</f>
        <v>15363243.533052159</v>
      </c>
      <c r="H68" s="90">
        <f>Weather!H175</f>
        <v>21.500000000000004</v>
      </c>
      <c r="I68" s="90">
        <f>Weather!I175</f>
        <v>80.000000000000014</v>
      </c>
      <c r="J68" s="108">
        <v>30</v>
      </c>
      <c r="K68" s="108">
        <f t="shared" si="7"/>
        <v>0</v>
      </c>
      <c r="L68" s="152">
        <f>Data!AC55</f>
        <v>0</v>
      </c>
      <c r="M68" s="152">
        <f>Data!AD55</f>
        <v>0</v>
      </c>
      <c r="N68" s="150">
        <f>'Customer Count'!I55</f>
        <v>13793.5</v>
      </c>
      <c r="O68" s="67">
        <f t="shared" si="8"/>
        <v>15683218.27659275</v>
      </c>
      <c r="P68" s="40">
        <f t="shared" ca="1" si="9"/>
        <v>319974.74354059063</v>
      </c>
      <c r="Q68" s="53">
        <f t="shared" ca="1" si="10"/>
        <v>2.0827290985279488E-2</v>
      </c>
      <c r="R68" s="12">
        <f t="shared" ca="1" si="11"/>
        <v>2.0827290985279488E-2</v>
      </c>
      <c r="S68" s="153"/>
      <c r="T68" s="221"/>
      <c r="U68" s="227"/>
      <c r="V68" s="227"/>
      <c r="W68" s="227"/>
      <c r="X68" s="227"/>
      <c r="Y68" s="227"/>
      <c r="Z68" s="226"/>
      <c r="AA68" s="226"/>
      <c r="AB68" s="226"/>
    </row>
    <row r="69" spans="1:28" ht="15" x14ac:dyDescent="0.25">
      <c r="A69" s="66">
        <v>42216</v>
      </c>
      <c r="B69" s="114">
        <f t="shared" si="12"/>
        <v>2015</v>
      </c>
      <c r="C69" s="114">
        <f t="shared" si="13"/>
        <v>7</v>
      </c>
      <c r="D69" s="107">
        <f>Purchases!C69</f>
        <v>18727962.900000002</v>
      </c>
      <c r="E69" s="94"/>
      <c r="F69" s="171">
        <f ca="1">CDM!D77</f>
        <v>487847.41048805468</v>
      </c>
      <c r="G69" s="94">
        <f t="shared" ca="1" si="14"/>
        <v>19215810.310488056</v>
      </c>
      <c r="H69" s="90">
        <f>Weather!H176</f>
        <v>0</v>
      </c>
      <c r="I69" s="90">
        <f>Weather!I176</f>
        <v>187.49999999999997</v>
      </c>
      <c r="J69" s="108">
        <v>31</v>
      </c>
      <c r="K69" s="108">
        <f t="shared" si="7"/>
        <v>0</v>
      </c>
      <c r="L69" s="152">
        <f>Data!AC56</f>
        <v>0</v>
      </c>
      <c r="M69" s="152">
        <f>Data!AD56</f>
        <v>0</v>
      </c>
      <c r="N69" s="150">
        <f>'Customer Count'!I56</f>
        <v>13794.5</v>
      </c>
      <c r="O69" s="67">
        <f t="shared" si="8"/>
        <v>19229136.828230217</v>
      </c>
      <c r="P69" s="40">
        <f t="shared" ca="1" si="9"/>
        <v>13326.517742160708</v>
      </c>
      <c r="Q69" s="53">
        <f t="shared" ca="1" si="10"/>
        <v>6.9351838547693451E-4</v>
      </c>
      <c r="R69" s="12">
        <f t="shared" ca="1" si="11"/>
        <v>6.9351838547693451E-4</v>
      </c>
      <c r="S69" s="153"/>
      <c r="T69" s="30"/>
      <c r="U69" s="92"/>
      <c r="V69" s="92"/>
      <c r="W69" s="92"/>
      <c r="X69" s="92"/>
      <c r="Y69" s="92"/>
      <c r="Z69" s="226"/>
      <c r="AA69" s="226"/>
      <c r="AB69" s="226"/>
    </row>
    <row r="70" spans="1:28" ht="15" x14ac:dyDescent="0.25">
      <c r="A70" s="66">
        <v>42247</v>
      </c>
      <c r="B70" s="114">
        <f t="shared" si="12"/>
        <v>2015</v>
      </c>
      <c r="C70" s="114">
        <f t="shared" si="13"/>
        <v>8</v>
      </c>
      <c r="D70" s="107">
        <f>Purchases!C70</f>
        <v>17447202.449999999</v>
      </c>
      <c r="E70" s="94"/>
      <c r="F70" s="171">
        <f ca="1">CDM!D78</f>
        <v>508164.55792395212</v>
      </c>
      <c r="G70" s="94">
        <f t="shared" ca="1" si="14"/>
        <v>17955367.007923953</v>
      </c>
      <c r="H70" s="90">
        <f>Weather!H177</f>
        <v>0</v>
      </c>
      <c r="I70" s="90">
        <f>Weather!I177</f>
        <v>161.79999999999998</v>
      </c>
      <c r="J70" s="108">
        <v>31</v>
      </c>
      <c r="K70" s="108">
        <f t="shared" si="7"/>
        <v>0</v>
      </c>
      <c r="L70" s="152">
        <f>Data!AC57</f>
        <v>0</v>
      </c>
      <c r="M70" s="152">
        <f>Data!AD57</f>
        <v>0</v>
      </c>
      <c r="N70" s="150">
        <f>'Customer Count'!I57</f>
        <v>13800.5</v>
      </c>
      <c r="O70" s="67">
        <f t="shared" si="8"/>
        <v>18472098.562451214</v>
      </c>
      <c r="P70" s="40">
        <f t="shared" ca="1" si="9"/>
        <v>516731.55452726036</v>
      </c>
      <c r="Q70" s="53">
        <f t="shared" ca="1" si="10"/>
        <v>2.8778668478300639E-2</v>
      </c>
      <c r="R70" s="12">
        <f t="shared" ca="1" si="11"/>
        <v>2.8778668478300639E-2</v>
      </c>
      <c r="S70" s="153"/>
      <c r="T70" s="30"/>
      <c r="U70" s="92"/>
      <c r="V70" s="92"/>
      <c r="W70" s="92"/>
      <c r="X70" s="92"/>
      <c r="Y70" s="92"/>
      <c r="Z70" s="226"/>
      <c r="AA70" s="226"/>
      <c r="AB70" s="226"/>
    </row>
    <row r="71" spans="1:28" ht="15" x14ac:dyDescent="0.25">
      <c r="A71" s="66">
        <v>42277</v>
      </c>
      <c r="B71" s="114">
        <f t="shared" si="12"/>
        <v>2015</v>
      </c>
      <c r="C71" s="114">
        <f t="shared" si="13"/>
        <v>9</v>
      </c>
      <c r="D71" s="107">
        <f>Purchases!C71</f>
        <v>16730321.560000001</v>
      </c>
      <c r="E71" s="94"/>
      <c r="F71" s="171">
        <f ca="1">CDM!D79</f>
        <v>528481.70535984961</v>
      </c>
      <c r="G71" s="94">
        <f t="shared" ca="1" si="14"/>
        <v>17258803.265359849</v>
      </c>
      <c r="H71" s="90">
        <f>Weather!H178</f>
        <v>7.5000000000000018</v>
      </c>
      <c r="I71" s="90">
        <f>Weather!I178</f>
        <v>136.80000000000004</v>
      </c>
      <c r="J71" s="108">
        <v>30</v>
      </c>
      <c r="K71" s="108">
        <f t="shared" si="7"/>
        <v>0</v>
      </c>
      <c r="L71" s="152">
        <f>Data!AC58</f>
        <v>0</v>
      </c>
      <c r="M71" s="152">
        <f>Data!AD58</f>
        <v>0</v>
      </c>
      <c r="N71" s="150">
        <f>'Customer Count'!I58</f>
        <v>13815.5</v>
      </c>
      <c r="O71" s="67">
        <f t="shared" si="8"/>
        <v>17291657.947023869</v>
      </c>
      <c r="P71" s="40">
        <f t="shared" ca="1" si="9"/>
        <v>32854.681664019823</v>
      </c>
      <c r="Q71" s="53">
        <f t="shared" ca="1" si="10"/>
        <v>1.9036477303129393E-3</v>
      </c>
      <c r="R71" s="12">
        <f t="shared" ca="1" si="11"/>
        <v>1.9036477303129393E-3</v>
      </c>
      <c r="S71" s="153"/>
      <c r="T71" s="30"/>
      <c r="U71" s="92"/>
      <c r="V71" s="92"/>
      <c r="W71" s="92"/>
      <c r="X71" s="92"/>
      <c r="Y71" s="92"/>
      <c r="Z71" s="226"/>
      <c r="AA71" s="226"/>
      <c r="AB71" s="226"/>
    </row>
    <row r="72" spans="1:28" ht="15" x14ac:dyDescent="0.25">
      <c r="A72" s="66">
        <v>42308</v>
      </c>
      <c r="B72" s="114">
        <f t="shared" si="12"/>
        <v>2015</v>
      </c>
      <c r="C72" s="114">
        <f t="shared" si="13"/>
        <v>10</v>
      </c>
      <c r="D72" s="107">
        <f>Purchases!C72</f>
        <v>14060097.34</v>
      </c>
      <c r="E72" s="94"/>
      <c r="F72" s="171">
        <f ca="1">CDM!D80</f>
        <v>548798.85279574699</v>
      </c>
      <c r="G72" s="94">
        <f t="shared" ca="1" si="14"/>
        <v>14608896.192795746</v>
      </c>
      <c r="H72" s="90">
        <f>Weather!H179</f>
        <v>149.19999999999999</v>
      </c>
      <c r="I72" s="90">
        <f>Weather!I179</f>
        <v>4.6999999999999957</v>
      </c>
      <c r="J72" s="108">
        <v>31</v>
      </c>
      <c r="K72" s="108">
        <f t="shared" si="7"/>
        <v>0</v>
      </c>
      <c r="L72" s="152">
        <f>Data!AC59</f>
        <v>0</v>
      </c>
      <c r="M72" s="152">
        <f>Data!AD59</f>
        <v>0</v>
      </c>
      <c r="N72" s="150">
        <f>'Customer Count'!I59</f>
        <v>13826.5</v>
      </c>
      <c r="O72" s="67">
        <f t="shared" si="8"/>
        <v>14761375.722387124</v>
      </c>
      <c r="P72" s="40">
        <f t="shared" ca="1" si="9"/>
        <v>152479.52959137782</v>
      </c>
      <c r="Q72" s="53">
        <f t="shared" ca="1" si="10"/>
        <v>1.0437443567199268E-2</v>
      </c>
      <c r="R72" s="12">
        <f t="shared" ca="1" si="11"/>
        <v>1.0437443567199268E-2</v>
      </c>
      <c r="S72" s="153"/>
      <c r="T72" s="46"/>
      <c r="U72" s="226"/>
      <c r="V72" s="226"/>
      <c r="W72" s="226"/>
      <c r="X72" s="226"/>
      <c r="Y72" s="226"/>
      <c r="Z72" s="226"/>
      <c r="AA72" s="226"/>
      <c r="AB72" s="226"/>
    </row>
    <row r="73" spans="1:28" ht="15" x14ac:dyDescent="0.25">
      <c r="A73" s="66">
        <v>42338</v>
      </c>
      <c r="B73" s="114">
        <f t="shared" si="12"/>
        <v>2015</v>
      </c>
      <c r="C73" s="114">
        <f t="shared" si="13"/>
        <v>11</v>
      </c>
      <c r="D73" s="107">
        <f>Purchases!C73</f>
        <v>14124167.139999999</v>
      </c>
      <c r="E73" s="94"/>
      <c r="F73" s="171">
        <f ca="1">CDM!D81</f>
        <v>569116.00023164437</v>
      </c>
      <c r="G73" s="94">
        <f t="shared" ca="1" si="14"/>
        <v>14693283.140231643</v>
      </c>
      <c r="H73" s="90">
        <f>Weather!H180</f>
        <v>246.00000000000006</v>
      </c>
      <c r="I73" s="90">
        <f>Weather!I180</f>
        <v>2.3000000000000007</v>
      </c>
      <c r="J73" s="108">
        <v>30</v>
      </c>
      <c r="K73" s="108">
        <f t="shared" si="7"/>
        <v>0</v>
      </c>
      <c r="L73" s="152">
        <f>Data!AC60</f>
        <v>0</v>
      </c>
      <c r="M73" s="152">
        <f>Data!AD60</f>
        <v>0</v>
      </c>
      <c r="N73" s="150">
        <f>'Customer Count'!I60</f>
        <v>13834.5</v>
      </c>
      <c r="O73" s="67">
        <f t="shared" si="8"/>
        <v>14798370.589641649</v>
      </c>
      <c r="P73" s="40">
        <f t="shared" ca="1" si="9"/>
        <v>105087.4494100064</v>
      </c>
      <c r="Q73" s="53">
        <f t="shared" ca="1" si="10"/>
        <v>7.1520740740554246E-3</v>
      </c>
      <c r="R73" s="12">
        <f t="shared" ca="1" si="11"/>
        <v>7.1520740740554246E-3</v>
      </c>
      <c r="S73" s="153"/>
      <c r="T73" s="221"/>
      <c r="U73" s="227"/>
      <c r="V73" s="227"/>
      <c r="W73" s="227"/>
      <c r="X73" s="227"/>
      <c r="Y73" s="227"/>
      <c r="Z73" s="227"/>
      <c r="AA73" s="227"/>
      <c r="AB73" s="227"/>
    </row>
    <row r="74" spans="1:28" ht="15" x14ac:dyDescent="0.25">
      <c r="A74" s="66">
        <v>42369</v>
      </c>
      <c r="B74" s="114">
        <f t="shared" si="12"/>
        <v>2015</v>
      </c>
      <c r="C74" s="114">
        <f t="shared" si="13"/>
        <v>12</v>
      </c>
      <c r="D74" s="107">
        <f>Purchases!C74</f>
        <v>15469283.82</v>
      </c>
      <c r="E74" s="94"/>
      <c r="F74" s="171">
        <f ca="1">CDM!D82</f>
        <v>589433.14766754187</v>
      </c>
      <c r="G74" s="94">
        <f t="shared" ca="1" si="14"/>
        <v>16058716.967667542</v>
      </c>
      <c r="H74" s="90">
        <f>Weather!H181</f>
        <v>338.79999999999995</v>
      </c>
      <c r="I74" s="90">
        <f>Weather!I181</f>
        <v>0</v>
      </c>
      <c r="J74" s="108">
        <v>31</v>
      </c>
      <c r="K74" s="108">
        <f t="shared" si="7"/>
        <v>0</v>
      </c>
      <c r="L74" s="152">
        <f>Data!AC61</f>
        <v>0</v>
      </c>
      <c r="M74" s="152">
        <f>Data!AD61</f>
        <v>0</v>
      </c>
      <c r="N74" s="150">
        <f>'Customer Count'!I61</f>
        <v>13843</v>
      </c>
      <c r="O74" s="67">
        <f t="shared" si="8"/>
        <v>15806187.292495787</v>
      </c>
      <c r="P74" s="40">
        <f t="shared" ca="1" si="9"/>
        <v>-252529.67517175525</v>
      </c>
      <c r="Q74" s="53">
        <f t="shared" ca="1" si="10"/>
        <v>-1.5725395477122858E-2</v>
      </c>
      <c r="R74" s="12">
        <f t="shared" ca="1" si="11"/>
        <v>1.5725395477122858E-2</v>
      </c>
      <c r="S74" s="153"/>
      <c r="T74" s="30"/>
      <c r="U74" s="92"/>
      <c r="V74" s="92"/>
      <c r="W74" s="92"/>
      <c r="X74" s="92"/>
      <c r="Y74" s="92"/>
      <c r="Z74" s="92"/>
      <c r="AA74" s="92"/>
      <c r="AB74" s="92"/>
    </row>
    <row r="75" spans="1:28" ht="15" x14ac:dyDescent="0.25">
      <c r="A75" s="66">
        <v>42400</v>
      </c>
      <c r="B75" s="114">
        <f t="shared" si="12"/>
        <v>2016</v>
      </c>
      <c r="C75" s="114">
        <f t="shared" si="13"/>
        <v>1</v>
      </c>
      <c r="D75" s="107">
        <f>Purchases!C75</f>
        <v>16335083.52</v>
      </c>
      <c r="E75" s="104"/>
      <c r="F75" s="171">
        <f ca="1">CDM!D83</f>
        <v>604292.67941233143</v>
      </c>
      <c r="G75" s="94">
        <f t="shared" ca="1" si="14"/>
        <v>16939376.199412331</v>
      </c>
      <c r="H75" s="90">
        <f>Weather!H182</f>
        <v>575.59999999999991</v>
      </c>
      <c r="I75" s="90">
        <f>Weather!I182</f>
        <v>0</v>
      </c>
      <c r="J75" s="108">
        <v>31</v>
      </c>
      <c r="K75" s="108">
        <f t="shared" si="7"/>
        <v>0</v>
      </c>
      <c r="L75" s="152">
        <f>Data!AC62</f>
        <v>0</v>
      </c>
      <c r="M75" s="152">
        <f>Data!AD62</f>
        <v>0</v>
      </c>
      <c r="N75" s="150">
        <f>'Customer Count'!I62</f>
        <v>13847</v>
      </c>
      <c r="O75" s="67">
        <f t="shared" si="8"/>
        <v>17274522.488621552</v>
      </c>
      <c r="P75" s="40">
        <f t="shared" ca="1" si="9"/>
        <v>335146.28920922056</v>
      </c>
      <c r="Q75" s="53">
        <f t="shared" ca="1" si="10"/>
        <v>1.978504316002189E-2</v>
      </c>
      <c r="R75" s="12">
        <f t="shared" ca="1" si="11"/>
        <v>1.978504316002189E-2</v>
      </c>
      <c r="S75" s="153"/>
      <c r="T75" s="30"/>
      <c r="U75" s="92"/>
      <c r="V75" s="92"/>
      <c r="W75" s="92"/>
      <c r="X75" s="92"/>
      <c r="Y75" s="92"/>
      <c r="Z75" s="92"/>
      <c r="AA75" s="92"/>
      <c r="AB75" s="92"/>
    </row>
    <row r="76" spans="1:28" ht="15" x14ac:dyDescent="0.25">
      <c r="A76" s="66">
        <v>42429</v>
      </c>
      <c r="B76" s="114">
        <f t="shared" si="12"/>
        <v>2016</v>
      </c>
      <c r="C76" s="114">
        <f t="shared" si="13"/>
        <v>2</v>
      </c>
      <c r="D76" s="107">
        <f>Purchases!C76</f>
        <v>14794270.139999997</v>
      </c>
      <c r="E76" s="104"/>
      <c r="F76" s="171">
        <f ca="1">CDM!D84</f>
        <v>622147.63454053656</v>
      </c>
      <c r="G76" s="94">
        <f t="shared" ca="1" si="14"/>
        <v>15416417.774540534</v>
      </c>
      <c r="H76" s="90">
        <f>Weather!H183</f>
        <v>492.59999999999997</v>
      </c>
      <c r="I76" s="90">
        <f>Weather!I183</f>
        <v>0</v>
      </c>
      <c r="J76" s="108">
        <v>29</v>
      </c>
      <c r="K76" s="108">
        <f t="shared" si="7"/>
        <v>0</v>
      </c>
      <c r="L76" s="152">
        <f>Data!AC63</f>
        <v>0</v>
      </c>
      <c r="M76" s="152">
        <f>Data!AD63</f>
        <v>0</v>
      </c>
      <c r="N76" s="150">
        <f>'Customer Count'!I63</f>
        <v>13849.5</v>
      </c>
      <c r="O76" s="67">
        <f t="shared" si="8"/>
        <v>15769980.093444295</v>
      </c>
      <c r="P76" s="40">
        <f t="shared" ca="1" si="9"/>
        <v>353562.31890376098</v>
      </c>
      <c r="Q76" s="53">
        <f t="shared" ca="1" si="10"/>
        <v>2.2934142293915515E-2</v>
      </c>
      <c r="R76" s="12">
        <f t="shared" ca="1" si="11"/>
        <v>2.2934142293915515E-2</v>
      </c>
      <c r="S76" s="153"/>
      <c r="T76" s="30"/>
      <c r="U76" s="92"/>
      <c r="V76" s="92"/>
      <c r="W76" s="92"/>
      <c r="X76" s="92"/>
      <c r="Y76" s="92"/>
      <c r="Z76" s="92"/>
      <c r="AA76" s="92"/>
      <c r="AB76" s="92"/>
    </row>
    <row r="77" spans="1:28" ht="15" x14ac:dyDescent="0.25">
      <c r="A77" s="66">
        <v>42460</v>
      </c>
      <c r="B77" s="114">
        <f t="shared" si="12"/>
        <v>2016</v>
      </c>
      <c r="C77" s="114">
        <f t="shared" si="13"/>
        <v>3</v>
      </c>
      <c r="D77" s="107">
        <f>Purchases!C77</f>
        <v>14632046.780000001</v>
      </c>
      <c r="E77" s="104"/>
      <c r="F77" s="171">
        <f ca="1">CDM!D85</f>
        <v>640002.58966874168</v>
      </c>
      <c r="G77" s="94">
        <f t="shared" ca="1" si="14"/>
        <v>15272049.369668743</v>
      </c>
      <c r="H77" s="90">
        <f>Weather!H184</f>
        <v>371.59999999999991</v>
      </c>
      <c r="I77" s="90">
        <f>Weather!I184</f>
        <v>0</v>
      </c>
      <c r="J77" s="108">
        <v>31</v>
      </c>
      <c r="K77" s="108">
        <f t="shared" si="7"/>
        <v>1</v>
      </c>
      <c r="L77" s="152">
        <f>Data!AC64</f>
        <v>0</v>
      </c>
      <c r="M77" s="152">
        <f>Data!AD64</f>
        <v>0</v>
      </c>
      <c r="N77" s="150">
        <f>'Customer Count'!I64</f>
        <v>13853.5</v>
      </c>
      <c r="O77" s="67">
        <f t="shared" si="8"/>
        <v>15335470.498427153</v>
      </c>
      <c r="P77" s="40">
        <f t="shared" ca="1" si="9"/>
        <v>63421.128758409992</v>
      </c>
      <c r="Q77" s="53">
        <f t="shared" ca="1" si="10"/>
        <v>4.152758233244608E-3</v>
      </c>
      <c r="R77" s="12">
        <f t="shared" ca="1" si="11"/>
        <v>4.152758233244608E-3</v>
      </c>
      <c r="S77" s="153"/>
      <c r="T77" s="30"/>
      <c r="U77" s="92"/>
      <c r="V77" s="92"/>
      <c r="W77" s="92"/>
      <c r="X77" s="92"/>
      <c r="Y77" s="92"/>
      <c r="Z77" s="92"/>
      <c r="AA77" s="92"/>
      <c r="AB77" s="92"/>
    </row>
    <row r="78" spans="1:28" ht="15" x14ac:dyDescent="0.25">
      <c r="A78" s="66">
        <v>42490</v>
      </c>
      <c r="B78" s="114">
        <f t="shared" si="12"/>
        <v>2016</v>
      </c>
      <c r="C78" s="114">
        <f t="shared" si="13"/>
        <v>4</v>
      </c>
      <c r="D78" s="107">
        <f>Purchases!C78</f>
        <v>13549514.359999999</v>
      </c>
      <c r="E78" s="104"/>
      <c r="F78" s="171">
        <f ca="1">CDM!D86</f>
        <v>657857.54479694681</v>
      </c>
      <c r="G78" s="94">
        <f t="shared" ca="1" si="14"/>
        <v>14207371.904796947</v>
      </c>
      <c r="H78" s="90">
        <f>Weather!H185</f>
        <v>318.49999999999989</v>
      </c>
      <c r="I78" s="90">
        <f>Weather!I185</f>
        <v>0.5</v>
      </c>
      <c r="J78" s="108">
        <v>30</v>
      </c>
      <c r="K78" s="108">
        <f t="shared" si="7"/>
        <v>1</v>
      </c>
      <c r="L78" s="152">
        <f>Data!AC65</f>
        <v>0</v>
      </c>
      <c r="M78" s="152">
        <f>Data!AD65</f>
        <v>0</v>
      </c>
      <c r="N78" s="150">
        <f>'Customer Count'!I65</f>
        <v>13855.5</v>
      </c>
      <c r="O78" s="67">
        <f t="shared" si="8"/>
        <v>14526660.908366615</v>
      </c>
      <c r="P78" s="40">
        <f t="shared" ca="1" si="9"/>
        <v>319289.00356966816</v>
      </c>
      <c r="Q78" s="53">
        <f t="shared" ca="1" si="10"/>
        <v>2.2473474032298973E-2</v>
      </c>
      <c r="R78" s="12">
        <f t="shared" ca="1" si="11"/>
        <v>2.2473474032298973E-2</v>
      </c>
      <c r="S78" s="153"/>
      <c r="T78" s="30"/>
      <c r="U78" s="92"/>
      <c r="V78" s="92"/>
      <c r="W78" s="92"/>
      <c r="X78" s="92"/>
      <c r="Y78" s="92"/>
      <c r="Z78" s="92"/>
      <c r="AA78" s="92"/>
      <c r="AB78" s="92"/>
    </row>
    <row r="79" spans="1:28" ht="15" x14ac:dyDescent="0.25">
      <c r="A79" s="66">
        <v>42521</v>
      </c>
      <c r="B79" s="114">
        <f t="shared" si="12"/>
        <v>2016</v>
      </c>
      <c r="C79" s="114">
        <f t="shared" si="13"/>
        <v>5</v>
      </c>
      <c r="D79" s="107">
        <f>Purchases!C79</f>
        <v>14337851.494000001</v>
      </c>
      <c r="E79" s="104"/>
      <c r="F79" s="171">
        <f ca="1">CDM!D87</f>
        <v>675712.49992515193</v>
      </c>
      <c r="G79" s="94">
        <f t="shared" ca="1" si="14"/>
        <v>15013563.993925152</v>
      </c>
      <c r="H79" s="90">
        <f>Weather!H186</f>
        <v>96.200000000000017</v>
      </c>
      <c r="I79" s="90">
        <f>Weather!I186</f>
        <v>69.399999999999991</v>
      </c>
      <c r="J79" s="108">
        <v>31</v>
      </c>
      <c r="K79" s="108">
        <f t="shared" si="7"/>
        <v>1</v>
      </c>
      <c r="L79" s="152">
        <f>Data!AC66</f>
        <v>0</v>
      </c>
      <c r="M79" s="152">
        <f>Data!AD66</f>
        <v>0</v>
      </c>
      <c r="N79" s="150">
        <f>'Customer Count'!I66</f>
        <v>13857</v>
      </c>
      <c r="O79" s="67">
        <f t="shared" si="8"/>
        <v>15687252.143270213</v>
      </c>
      <c r="P79" s="40">
        <f t="shared" ca="1" si="9"/>
        <v>673688.14934506081</v>
      </c>
      <c r="Q79" s="53">
        <f t="shared" ca="1" si="10"/>
        <v>4.4871967083741818E-2</v>
      </c>
      <c r="R79" s="12">
        <f t="shared" ca="1" si="11"/>
        <v>4.4871967083741818E-2</v>
      </c>
      <c r="S79" s="153"/>
      <c r="T79" s="30"/>
      <c r="U79" s="92"/>
      <c r="V79" s="92"/>
      <c r="W79" s="92"/>
      <c r="X79" s="92"/>
      <c r="Y79" s="92"/>
      <c r="Z79" s="92"/>
      <c r="AA79" s="92"/>
      <c r="AB79" s="92"/>
    </row>
    <row r="80" spans="1:28" ht="15" x14ac:dyDescent="0.25">
      <c r="A80" s="66">
        <v>42551</v>
      </c>
      <c r="B80" s="114">
        <f t="shared" si="12"/>
        <v>2016</v>
      </c>
      <c r="C80" s="114">
        <f t="shared" si="13"/>
        <v>6</v>
      </c>
      <c r="D80" s="107">
        <f>Purchases!C80</f>
        <v>16249758.006000003</v>
      </c>
      <c r="E80" s="104"/>
      <c r="F80" s="171">
        <f ca="1">CDM!D88</f>
        <v>693567.45505335706</v>
      </c>
      <c r="G80" s="94">
        <f t="shared" ca="1" si="14"/>
        <v>16943325.46105336</v>
      </c>
      <c r="H80" s="90">
        <f>Weather!H187</f>
        <v>6.8999999999999986</v>
      </c>
      <c r="I80" s="90">
        <f>Weather!I187</f>
        <v>125.59999999999998</v>
      </c>
      <c r="J80" s="108">
        <v>30</v>
      </c>
      <c r="K80" s="108">
        <f t="shared" ref="K80:K143" si="15">K68</f>
        <v>0</v>
      </c>
      <c r="L80" s="152">
        <f>Data!AC67</f>
        <v>0</v>
      </c>
      <c r="M80" s="152">
        <f>Data!AD67</f>
        <v>0</v>
      </c>
      <c r="N80" s="150">
        <f>'Customer Count'!I67</f>
        <v>13858</v>
      </c>
      <c r="O80" s="67">
        <f t="shared" si="8"/>
        <v>16982868.191418793</v>
      </c>
      <c r="P80" s="40">
        <f t="shared" ca="1" si="9"/>
        <v>39542.730365432799</v>
      </c>
      <c r="Q80" s="53">
        <f t="shared" ca="1" si="10"/>
        <v>2.3338234549249129E-3</v>
      </c>
      <c r="R80" s="12">
        <f t="shared" ca="1" si="11"/>
        <v>2.3338234549249129E-3</v>
      </c>
      <c r="S80" s="153"/>
      <c r="T80" s="46"/>
      <c r="U80" s="46"/>
      <c r="V80" s="46"/>
      <c r="W80" s="46"/>
      <c r="X80" s="46"/>
      <c r="Y80" s="46"/>
      <c r="Z80" s="46"/>
      <c r="AA80" s="46"/>
      <c r="AB80" s="46"/>
    </row>
    <row r="81" spans="1:28" ht="15" x14ac:dyDescent="0.25">
      <c r="A81" s="66">
        <v>42582</v>
      </c>
      <c r="B81" s="114">
        <f t="shared" si="12"/>
        <v>2016</v>
      </c>
      <c r="C81" s="114">
        <f t="shared" si="13"/>
        <v>7</v>
      </c>
      <c r="D81" s="107">
        <f>Purchases!C81</f>
        <v>19768835.849999994</v>
      </c>
      <c r="E81" s="104"/>
      <c r="F81" s="171">
        <f ca="1">CDM!D89</f>
        <v>711422.41018156218</v>
      </c>
      <c r="G81" s="94">
        <f t="shared" ca="1" si="14"/>
        <v>20480258.260181557</v>
      </c>
      <c r="H81" s="90">
        <f>Weather!H188</f>
        <v>0</v>
      </c>
      <c r="I81" s="90">
        <f>Weather!I188</f>
        <v>243.00000000000006</v>
      </c>
      <c r="J81" s="108">
        <v>31</v>
      </c>
      <c r="K81" s="108">
        <f t="shared" si="15"/>
        <v>0</v>
      </c>
      <c r="L81" s="152">
        <f>Data!AC68</f>
        <v>0</v>
      </c>
      <c r="M81" s="152">
        <f>Data!AD68</f>
        <v>0</v>
      </c>
      <c r="N81" s="150">
        <f>'Customer Count'!I68</f>
        <v>13857</v>
      </c>
      <c r="O81" s="67">
        <f t="shared" si="8"/>
        <v>20910979.559992753</v>
      </c>
      <c r="P81" s="40">
        <f t="shared" ca="1" si="9"/>
        <v>430721.29981119558</v>
      </c>
      <c r="Q81" s="53">
        <f t="shared" ca="1" si="10"/>
        <v>2.1031048258244828E-2</v>
      </c>
      <c r="R81" s="12">
        <f t="shared" ca="1" si="11"/>
        <v>2.1031048258244828E-2</v>
      </c>
      <c r="S81" s="153"/>
      <c r="T81" s="46"/>
      <c r="U81" s="46"/>
      <c r="V81" s="46"/>
      <c r="W81" s="46"/>
      <c r="X81" s="46"/>
      <c r="Y81" s="46"/>
      <c r="Z81" s="46"/>
      <c r="AA81" s="46"/>
      <c r="AB81" s="46"/>
    </row>
    <row r="82" spans="1:28" ht="15" x14ac:dyDescent="0.25">
      <c r="A82" s="66">
        <v>42613</v>
      </c>
      <c r="B82" s="114">
        <f t="shared" si="12"/>
        <v>2016</v>
      </c>
      <c r="C82" s="114">
        <f t="shared" si="13"/>
        <v>8</v>
      </c>
      <c r="D82" s="107">
        <f>Purchases!C82</f>
        <v>20746903.439999998</v>
      </c>
      <c r="E82" s="104"/>
      <c r="F82" s="171">
        <f ca="1">CDM!D90</f>
        <v>729277.36530976731</v>
      </c>
      <c r="G82" s="94">
        <f t="shared" ca="1" si="14"/>
        <v>21476180.805309765</v>
      </c>
      <c r="H82" s="90">
        <f>Weather!H189</f>
        <v>0</v>
      </c>
      <c r="I82" s="90">
        <f>Weather!I189</f>
        <v>260.80000000000007</v>
      </c>
      <c r="J82" s="108">
        <v>31</v>
      </c>
      <c r="K82" s="108">
        <f t="shared" si="15"/>
        <v>0</v>
      </c>
      <c r="L82" s="152">
        <f>Data!AC69</f>
        <v>0</v>
      </c>
      <c r="M82" s="152">
        <f>Data!AD69</f>
        <v>0</v>
      </c>
      <c r="N82" s="150">
        <f>'Customer Count'!I69</f>
        <v>13858.5</v>
      </c>
      <c r="O82" s="67">
        <f t="shared" si="8"/>
        <v>21438831.8101486</v>
      </c>
      <c r="P82" s="40">
        <f t="shared" ca="1" si="9"/>
        <v>-37348.995161164552</v>
      </c>
      <c r="Q82" s="53">
        <f t="shared" ca="1" si="10"/>
        <v>-1.7390892496085895E-3</v>
      </c>
      <c r="R82" s="12">
        <f t="shared" ca="1" si="11"/>
        <v>1.7390892496085895E-3</v>
      </c>
      <c r="S82" s="153"/>
      <c r="T82" s="46"/>
      <c r="U82" s="46"/>
      <c r="V82" s="46"/>
      <c r="W82" s="46"/>
      <c r="X82" s="46"/>
      <c r="Y82" s="46"/>
      <c r="Z82" s="46"/>
      <c r="AA82" s="46"/>
      <c r="AB82" s="46"/>
    </row>
    <row r="83" spans="1:28" ht="15" x14ac:dyDescent="0.25">
      <c r="A83" s="66">
        <v>42643</v>
      </c>
      <c r="B83" s="114">
        <f t="shared" si="12"/>
        <v>2016</v>
      </c>
      <c r="C83" s="114">
        <f t="shared" si="13"/>
        <v>9</v>
      </c>
      <c r="D83" s="107">
        <f>Purchases!C83</f>
        <v>16199694.169999998</v>
      </c>
      <c r="E83" s="104"/>
      <c r="F83" s="171">
        <f ca="1">CDM!D91</f>
        <v>747132.32043797243</v>
      </c>
      <c r="G83" s="94">
        <f t="shared" ca="1" si="14"/>
        <v>16946826.49043797</v>
      </c>
      <c r="H83" s="90">
        <f>Weather!H190</f>
        <v>7.5999999999999979</v>
      </c>
      <c r="I83" s="90">
        <f>Weather!I190</f>
        <v>118.89999999999998</v>
      </c>
      <c r="J83" s="108">
        <v>30</v>
      </c>
      <c r="K83" s="108">
        <f t="shared" si="15"/>
        <v>0</v>
      </c>
      <c r="L83" s="152">
        <f>Data!AC70</f>
        <v>0</v>
      </c>
      <c r="M83" s="152">
        <f>Data!AD70</f>
        <v>0</v>
      </c>
      <c r="N83" s="150">
        <f>'Customer Count'!I70</f>
        <v>13861.5</v>
      </c>
      <c r="O83" s="67">
        <f t="shared" si="8"/>
        <v>16791046.759248935</v>
      </c>
      <c r="P83" s="40">
        <f t="shared" ca="1" si="9"/>
        <v>-155779.73118903488</v>
      </c>
      <c r="Q83" s="53">
        <f t="shared" ca="1" si="10"/>
        <v>-9.1922656597051722E-3</v>
      </c>
      <c r="R83" s="12">
        <f t="shared" ca="1" si="11"/>
        <v>9.1922656597051722E-3</v>
      </c>
      <c r="S83" s="153"/>
      <c r="T83" s="46"/>
      <c r="U83" s="46"/>
      <c r="V83" s="46"/>
      <c r="W83" s="46"/>
      <c r="X83" s="46"/>
      <c r="Y83" s="46"/>
      <c r="Z83" s="46"/>
      <c r="AA83" s="46"/>
      <c r="AB83" s="46"/>
    </row>
    <row r="84" spans="1:28" ht="15" x14ac:dyDescent="0.25">
      <c r="A84" s="66">
        <v>42674</v>
      </c>
      <c r="B84" s="114">
        <f t="shared" si="12"/>
        <v>2016</v>
      </c>
      <c r="C84" s="114">
        <f t="shared" si="13"/>
        <v>10</v>
      </c>
      <c r="D84" s="107">
        <f>Purchases!C84</f>
        <v>13767515.480000002</v>
      </c>
      <c r="E84" s="104"/>
      <c r="F84" s="171">
        <f ca="1">CDM!D92</f>
        <v>764987.27556617756</v>
      </c>
      <c r="G84" s="94">
        <f t="shared" ca="1" si="14"/>
        <v>14532502.75556618</v>
      </c>
      <c r="H84" s="90">
        <f>Weather!H191</f>
        <v>124.30000000000001</v>
      </c>
      <c r="I84" s="90">
        <f>Weather!I191</f>
        <v>29.6</v>
      </c>
      <c r="J84" s="108">
        <v>31</v>
      </c>
      <c r="K84" s="108">
        <f t="shared" si="15"/>
        <v>0</v>
      </c>
      <c r="L84" s="152">
        <f>Data!AC71</f>
        <v>0</v>
      </c>
      <c r="M84" s="152">
        <f>Data!AD71</f>
        <v>0</v>
      </c>
      <c r="N84" s="150">
        <f>'Customer Count'!I71</f>
        <v>13863.5</v>
      </c>
      <c r="O84" s="67">
        <f t="shared" si="8"/>
        <v>15367375.527826853</v>
      </c>
      <c r="P84" s="40">
        <f t="shared" ca="1" si="9"/>
        <v>834872.77226067334</v>
      </c>
      <c r="Q84" s="53">
        <f t="shared" ca="1" si="10"/>
        <v>5.7448657420065087E-2</v>
      </c>
      <c r="R84" s="12">
        <f t="shared" ca="1" si="11"/>
        <v>5.7448657420065087E-2</v>
      </c>
      <c r="S84" s="153"/>
      <c r="T84" s="46"/>
      <c r="U84" s="46"/>
      <c r="V84" s="46"/>
      <c r="W84" s="46"/>
      <c r="X84" s="46"/>
      <c r="Y84" s="46"/>
      <c r="Z84" s="46"/>
      <c r="AA84" s="46"/>
      <c r="AB84" s="46"/>
    </row>
    <row r="85" spans="1:28" ht="15" x14ac:dyDescent="0.25">
      <c r="A85" s="66">
        <v>42704</v>
      </c>
      <c r="B85" s="114">
        <f t="shared" si="12"/>
        <v>2016</v>
      </c>
      <c r="C85" s="114">
        <f t="shared" si="13"/>
        <v>11</v>
      </c>
      <c r="D85" s="107">
        <f>Purchases!C85</f>
        <v>13671662.76</v>
      </c>
      <c r="E85" s="104"/>
      <c r="F85" s="171">
        <f ca="1">CDM!D93</f>
        <v>782842.23069438268</v>
      </c>
      <c r="G85" s="94">
        <f t="shared" ca="1" si="14"/>
        <v>14454504.990694383</v>
      </c>
      <c r="H85" s="90">
        <f>Weather!H192</f>
        <v>251.99999999999994</v>
      </c>
      <c r="I85" s="90">
        <f>Weather!I192</f>
        <v>0</v>
      </c>
      <c r="J85" s="108">
        <v>30</v>
      </c>
      <c r="K85" s="108">
        <f t="shared" si="15"/>
        <v>0</v>
      </c>
      <c r="L85" s="152">
        <f>Data!AC72</f>
        <v>0</v>
      </c>
      <c r="M85" s="152">
        <f>Data!AD72</f>
        <v>0</v>
      </c>
      <c r="N85" s="150">
        <f>'Customer Count'!I72</f>
        <v>13865</v>
      </c>
      <c r="O85" s="67">
        <f t="shared" si="8"/>
        <v>14786421.91024432</v>
      </c>
      <c r="P85" s="40">
        <f t="shared" ca="1" si="9"/>
        <v>331916.91954993643</v>
      </c>
      <c r="Q85" s="53">
        <f t="shared" ca="1" si="10"/>
        <v>2.2962870036962187E-2</v>
      </c>
      <c r="R85" s="12">
        <f t="shared" ca="1" si="11"/>
        <v>2.2962870036962187E-2</v>
      </c>
      <c r="S85" s="153"/>
      <c r="T85" s="46"/>
      <c r="U85" s="46"/>
      <c r="V85" s="46"/>
      <c r="W85" s="46"/>
      <c r="X85" s="46"/>
      <c r="Y85" s="46"/>
      <c r="Z85" s="46"/>
      <c r="AA85" s="46"/>
      <c r="AB85" s="46"/>
    </row>
    <row r="86" spans="1:28" ht="15" x14ac:dyDescent="0.25">
      <c r="A86" s="66">
        <v>42735</v>
      </c>
      <c r="B86" s="114">
        <f t="shared" si="12"/>
        <v>2016</v>
      </c>
      <c r="C86" s="114">
        <f t="shared" si="13"/>
        <v>12</v>
      </c>
      <c r="D86" s="107">
        <f>Purchases!C86</f>
        <v>15862873.509999998</v>
      </c>
      <c r="E86" s="104"/>
      <c r="F86" s="171">
        <f ca="1">CDM!D94</f>
        <v>800697.18582258793</v>
      </c>
      <c r="G86" s="94">
        <f t="shared" ca="1" si="14"/>
        <v>16663570.695822585</v>
      </c>
      <c r="H86" s="90">
        <f>Weather!H193</f>
        <v>529</v>
      </c>
      <c r="I86" s="90">
        <f>Weather!I193</f>
        <v>0</v>
      </c>
      <c r="J86" s="108">
        <v>31</v>
      </c>
      <c r="K86" s="108">
        <f t="shared" si="15"/>
        <v>0</v>
      </c>
      <c r="L86" s="152">
        <f>Data!AC73</f>
        <v>0</v>
      </c>
      <c r="M86" s="152">
        <f>Data!AD73</f>
        <v>0</v>
      </c>
      <c r="N86" s="150">
        <f>'Customer Count'!I73</f>
        <v>13867</v>
      </c>
      <c r="O86" s="67">
        <f t="shared" si="8"/>
        <v>16998513.929936573</v>
      </c>
      <c r="P86" s="40">
        <f t="shared" ca="1" si="9"/>
        <v>334943.23411398754</v>
      </c>
      <c r="Q86" s="53">
        <f t="shared" ca="1" si="10"/>
        <v>2.0100327848577793E-2</v>
      </c>
      <c r="R86" s="12">
        <f t="shared" ca="1" si="11"/>
        <v>2.0100327848577793E-2</v>
      </c>
      <c r="S86" s="153"/>
      <c r="T86" s="46"/>
      <c r="U86" s="46"/>
      <c r="V86" s="46"/>
      <c r="W86" s="46"/>
      <c r="X86" s="46"/>
      <c r="Y86" s="46"/>
      <c r="Z86" s="46"/>
      <c r="AA86" s="46"/>
      <c r="AB86" s="46"/>
    </row>
    <row r="87" spans="1:28" ht="15" x14ac:dyDescent="0.25">
      <c r="A87" s="66">
        <v>42766</v>
      </c>
      <c r="B87" s="114">
        <f t="shared" si="12"/>
        <v>2017</v>
      </c>
      <c r="C87" s="114">
        <f t="shared" si="13"/>
        <v>1</v>
      </c>
      <c r="D87" s="107">
        <f>Purchases!C87</f>
        <v>15654286.4</v>
      </c>
      <c r="E87" s="104"/>
      <c r="F87" s="171">
        <f ca="1">CDM!D95</f>
        <v>806836.31240434735</v>
      </c>
      <c r="G87" s="94">
        <f t="shared" ca="1" si="14"/>
        <v>16461122.712404348</v>
      </c>
      <c r="H87" s="90">
        <f>Weather!H194</f>
        <v>524.09999999999991</v>
      </c>
      <c r="I87" s="90">
        <f>Weather!I194</f>
        <v>0</v>
      </c>
      <c r="J87" s="108">
        <v>31</v>
      </c>
      <c r="K87" s="108">
        <f t="shared" si="15"/>
        <v>0</v>
      </c>
      <c r="L87" s="152">
        <f>Data!AC74</f>
        <v>0</v>
      </c>
      <c r="M87" s="152">
        <f>Data!AD74</f>
        <v>0</v>
      </c>
      <c r="N87" s="150">
        <f>'Customer Count'!I74</f>
        <v>13870</v>
      </c>
      <c r="O87" s="67">
        <f t="shared" si="8"/>
        <v>16970050.205606572</v>
      </c>
      <c r="P87" s="40">
        <f t="shared" ca="1" si="9"/>
        <v>508927.49320222437</v>
      </c>
      <c r="Q87" s="53">
        <f t="shared" ca="1" si="10"/>
        <v>3.0916936960728683E-2</v>
      </c>
      <c r="R87" s="12">
        <f t="shared" ca="1" si="11"/>
        <v>3.0916936960728683E-2</v>
      </c>
      <c r="S87" s="153"/>
      <c r="T87" s="46"/>
      <c r="U87" s="46"/>
      <c r="V87" s="46"/>
      <c r="W87" s="46"/>
      <c r="X87" s="46"/>
      <c r="Y87" s="46"/>
      <c r="Z87" s="46"/>
      <c r="AA87" s="46"/>
      <c r="AB87" s="46"/>
    </row>
    <row r="88" spans="1:28" ht="15" x14ac:dyDescent="0.25">
      <c r="A88" s="66">
        <v>42794</v>
      </c>
      <c r="B88" s="114">
        <f t="shared" si="12"/>
        <v>2017</v>
      </c>
      <c r="C88" s="114">
        <f t="shared" si="13"/>
        <v>2</v>
      </c>
      <c r="D88" s="107">
        <f>Purchases!C88</f>
        <v>13535413.060000001</v>
      </c>
      <c r="E88" s="104"/>
      <c r="F88" s="171">
        <f ca="1">CDM!D96</f>
        <v>823436.89356324368</v>
      </c>
      <c r="G88" s="94">
        <f t="shared" ca="1" si="14"/>
        <v>14358849.953563245</v>
      </c>
      <c r="H88" s="90">
        <f>Weather!H195</f>
        <v>415.3</v>
      </c>
      <c r="I88" s="90">
        <f>Weather!I195</f>
        <v>0</v>
      </c>
      <c r="J88" s="108">
        <v>28</v>
      </c>
      <c r="K88" s="108">
        <f t="shared" si="15"/>
        <v>0</v>
      </c>
      <c r="L88" s="152">
        <f>Data!AC75</f>
        <v>0</v>
      </c>
      <c r="M88" s="152">
        <f>Data!AD75</f>
        <v>0</v>
      </c>
      <c r="N88" s="150">
        <f>'Customer Count'!I75</f>
        <v>13875.5</v>
      </c>
      <c r="O88" s="67">
        <f t="shared" si="8"/>
        <v>14811512.936909012</v>
      </c>
      <c r="P88" s="40">
        <f t="shared" ca="1" si="9"/>
        <v>452662.98334576748</v>
      </c>
      <c r="Q88" s="53">
        <f t="shared" ca="1" si="10"/>
        <v>3.1525016614122089E-2</v>
      </c>
      <c r="R88" s="12">
        <f t="shared" ca="1" si="11"/>
        <v>3.1525016614122089E-2</v>
      </c>
      <c r="S88" s="153"/>
      <c r="T88" s="46"/>
      <c r="U88" s="46"/>
      <c r="V88" s="46"/>
      <c r="W88" s="46"/>
      <c r="X88" s="46"/>
      <c r="Y88" s="46"/>
      <c r="Z88" s="46"/>
      <c r="AA88" s="46"/>
      <c r="AB88" s="46"/>
    </row>
    <row r="89" spans="1:28" x14ac:dyDescent="0.2">
      <c r="A89" s="66">
        <v>42825</v>
      </c>
      <c r="B89" s="114">
        <f t="shared" si="12"/>
        <v>2017</v>
      </c>
      <c r="C89" s="114">
        <f t="shared" si="13"/>
        <v>3</v>
      </c>
      <c r="D89" s="104">
        <f>Purchases!C89</f>
        <v>17164609.959131006</v>
      </c>
      <c r="E89" s="104">
        <v>2413945.7550129993</v>
      </c>
      <c r="F89" s="171">
        <f ca="1">CDM!D97</f>
        <v>840037.47472214</v>
      </c>
      <c r="G89" s="94">
        <f t="shared" ca="1" si="14"/>
        <v>15590701.678840145</v>
      </c>
      <c r="H89" s="90">
        <f>Weather!H196</f>
        <v>478.59999999999997</v>
      </c>
      <c r="I89" s="90">
        <f>Weather!I196</f>
        <v>0</v>
      </c>
      <c r="J89" s="108">
        <v>31</v>
      </c>
      <c r="K89" s="108">
        <f t="shared" si="15"/>
        <v>1</v>
      </c>
      <c r="L89" s="152">
        <f>Data!AC76</f>
        <v>0</v>
      </c>
      <c r="M89" s="152">
        <f>Data!AD76</f>
        <v>0</v>
      </c>
      <c r="N89" s="150">
        <f>'Customer Count'!I76</f>
        <v>13897</v>
      </c>
      <c r="O89" s="67">
        <f t="shared" si="8"/>
        <v>16024915.13876329</v>
      </c>
      <c r="P89" s="40">
        <f t="shared" ca="1" si="9"/>
        <v>434213.45992314443</v>
      </c>
      <c r="Q89" s="53">
        <f t="shared" ca="1" si="10"/>
        <v>2.7850796511132224E-2</v>
      </c>
      <c r="R89" s="12">
        <f t="shared" ca="1" si="11"/>
        <v>2.7850796511132224E-2</v>
      </c>
      <c r="S89" s="153"/>
      <c r="T89" s="46"/>
      <c r="U89" s="46"/>
      <c r="V89" s="46"/>
      <c r="W89" s="46"/>
      <c r="X89" s="46"/>
      <c r="Y89" s="46"/>
      <c r="Z89" s="46"/>
      <c r="AA89" s="46"/>
      <c r="AB89" s="46"/>
    </row>
    <row r="90" spans="1:28" x14ac:dyDescent="0.2">
      <c r="A90" s="66">
        <v>42855</v>
      </c>
      <c r="B90" s="114">
        <f t="shared" si="12"/>
        <v>2017</v>
      </c>
      <c r="C90" s="114">
        <f t="shared" si="13"/>
        <v>4</v>
      </c>
      <c r="D90" s="104">
        <f>Purchases!C90</f>
        <v>15201392.558417326</v>
      </c>
      <c r="E90" s="104">
        <v>2181294.6017022091</v>
      </c>
      <c r="F90" s="171">
        <f ca="1">CDM!D98</f>
        <v>856638.05588103621</v>
      </c>
      <c r="G90" s="94">
        <f t="shared" ca="1" si="14"/>
        <v>13876736.012596153</v>
      </c>
      <c r="H90" s="90">
        <f>Weather!H197</f>
        <v>201.29999999999995</v>
      </c>
      <c r="I90" s="90">
        <f>Weather!I197</f>
        <v>5.3000000000000007</v>
      </c>
      <c r="J90" s="108">
        <v>30</v>
      </c>
      <c r="K90" s="108">
        <f t="shared" si="15"/>
        <v>1</v>
      </c>
      <c r="L90" s="152">
        <f>Data!AC77</f>
        <v>0</v>
      </c>
      <c r="M90" s="152">
        <f>Data!AD77</f>
        <v>0</v>
      </c>
      <c r="N90" s="150">
        <f>'Customer Count'!I77</f>
        <v>13921</v>
      </c>
      <c r="O90" s="67">
        <f t="shared" si="8"/>
        <v>13984049.781494431</v>
      </c>
      <c r="P90" s="40">
        <f t="shared" ca="1" si="9"/>
        <v>107313.76889827847</v>
      </c>
      <c r="Q90" s="53">
        <f t="shared" ca="1" si="10"/>
        <v>7.7333581038702415E-3</v>
      </c>
      <c r="R90" s="12">
        <f t="shared" ca="1" si="11"/>
        <v>7.7333581038702415E-3</v>
      </c>
      <c r="S90" s="153"/>
      <c r="T90" s="46"/>
      <c r="U90" s="46"/>
      <c r="V90" s="46"/>
      <c r="W90" s="46"/>
      <c r="X90" s="46"/>
      <c r="Y90" s="46"/>
      <c r="Z90" s="46"/>
      <c r="AA90" s="46"/>
      <c r="AB90" s="46"/>
    </row>
    <row r="91" spans="1:28" x14ac:dyDescent="0.2">
      <c r="A91" s="66">
        <v>42886</v>
      </c>
      <c r="B91" s="114">
        <f t="shared" si="12"/>
        <v>2017</v>
      </c>
      <c r="C91" s="114">
        <f t="shared" si="13"/>
        <v>5</v>
      </c>
      <c r="D91" s="104">
        <f>Purchases!C91</f>
        <v>16229118.897553997</v>
      </c>
      <c r="E91" s="104">
        <v>2595303.9357047086</v>
      </c>
      <c r="F91" s="171">
        <f ca="1">CDM!D99</f>
        <v>873238.63703993242</v>
      </c>
      <c r="G91" s="94">
        <f t="shared" ca="1" si="14"/>
        <v>14507053.598889221</v>
      </c>
      <c r="H91" s="90">
        <f>Weather!H198</f>
        <v>124.90000000000002</v>
      </c>
      <c r="I91" s="90">
        <f>Weather!I198</f>
        <v>24.000000000000004</v>
      </c>
      <c r="J91" s="108">
        <v>31</v>
      </c>
      <c r="K91" s="108">
        <f t="shared" si="15"/>
        <v>1</v>
      </c>
      <c r="L91" s="152">
        <f>Data!AC78</f>
        <v>0</v>
      </c>
      <c r="M91" s="152">
        <f>Data!AD78</f>
        <v>0</v>
      </c>
      <c r="N91" s="150">
        <f>'Customer Count'!I78</f>
        <v>13937.5</v>
      </c>
      <c r="O91" s="67">
        <f t="shared" si="8"/>
        <v>14571108.479664501</v>
      </c>
      <c r="P91" s="40">
        <f t="shared" ca="1" si="9"/>
        <v>64054.880775280297</v>
      </c>
      <c r="Q91" s="53">
        <f t="shared" ca="1" si="10"/>
        <v>4.4154300760414142E-3</v>
      </c>
      <c r="R91" s="12">
        <f t="shared" ca="1" si="11"/>
        <v>4.4154300760414142E-3</v>
      </c>
      <c r="S91" s="153"/>
      <c r="T91" s="46"/>
      <c r="U91" s="46"/>
      <c r="V91" s="46"/>
      <c r="W91" s="46"/>
      <c r="X91" s="46"/>
      <c r="Y91" s="46"/>
      <c r="Z91" s="46"/>
      <c r="AA91" s="46"/>
      <c r="AB91" s="46"/>
    </row>
    <row r="92" spans="1:28" x14ac:dyDescent="0.2">
      <c r="A92" s="66">
        <v>42916</v>
      </c>
      <c r="B92" s="114">
        <f t="shared" si="12"/>
        <v>2017</v>
      </c>
      <c r="C92" s="114">
        <f t="shared" si="13"/>
        <v>6</v>
      </c>
      <c r="D92" s="104">
        <f>Purchases!C92</f>
        <v>18871717.803001981</v>
      </c>
      <c r="E92" s="104">
        <v>3158025.9024923728</v>
      </c>
      <c r="F92" s="171">
        <f ca="1">CDM!D100</f>
        <v>889839.21819882875</v>
      </c>
      <c r="G92" s="94">
        <f t="shared" ca="1" si="14"/>
        <v>16603531.118708437</v>
      </c>
      <c r="H92" s="90">
        <f>Weather!H199</f>
        <v>5.5999999999999979</v>
      </c>
      <c r="I92" s="90">
        <f>Weather!I199</f>
        <v>118.79999999999998</v>
      </c>
      <c r="J92" s="108">
        <v>30</v>
      </c>
      <c r="K92" s="108">
        <f t="shared" si="15"/>
        <v>0</v>
      </c>
      <c r="L92" s="152">
        <f>Data!AC79</f>
        <v>0</v>
      </c>
      <c r="M92" s="152">
        <f>Data!AD79</f>
        <v>0</v>
      </c>
      <c r="N92" s="150">
        <f>'Customer Count'!I79</f>
        <v>13950.5</v>
      </c>
      <c r="O92" s="67">
        <f t="shared" si="8"/>
        <v>16831133.908446919</v>
      </c>
      <c r="P92" s="40">
        <f t="shared" ca="1" si="9"/>
        <v>227602.78973848186</v>
      </c>
      <c r="Q92" s="53">
        <f t="shared" ca="1" si="10"/>
        <v>1.3708095471452143E-2</v>
      </c>
      <c r="R92" s="12">
        <f t="shared" ca="1" si="11"/>
        <v>1.3708095471452143E-2</v>
      </c>
      <c r="S92" s="153"/>
      <c r="T92" s="46"/>
      <c r="U92" s="46"/>
      <c r="V92" s="46"/>
      <c r="W92" s="46"/>
      <c r="X92" s="46"/>
      <c r="Y92" s="46"/>
      <c r="Z92" s="46"/>
      <c r="AA92" s="46"/>
      <c r="AB92" s="46"/>
    </row>
    <row r="93" spans="1:28" x14ac:dyDescent="0.2">
      <c r="A93" s="66">
        <v>42947</v>
      </c>
      <c r="B93" s="114">
        <f t="shared" si="12"/>
        <v>2017</v>
      </c>
      <c r="C93" s="114">
        <f t="shared" si="13"/>
        <v>7</v>
      </c>
      <c r="D93" s="104">
        <f>Purchases!C93</f>
        <v>22363391.152751956</v>
      </c>
      <c r="E93" s="104">
        <v>4500801.1910749236</v>
      </c>
      <c r="F93" s="171">
        <f ca="1">CDM!D101</f>
        <v>906439.79935772507</v>
      </c>
      <c r="G93" s="94">
        <f t="shared" ca="1" si="14"/>
        <v>18769029.761034757</v>
      </c>
      <c r="H93" s="90">
        <f>Weather!H200</f>
        <v>0</v>
      </c>
      <c r="I93" s="90">
        <f>Weather!I200</f>
        <v>182.00000000000006</v>
      </c>
      <c r="J93" s="108">
        <v>31</v>
      </c>
      <c r="K93" s="108">
        <f t="shared" si="15"/>
        <v>0</v>
      </c>
      <c r="L93" s="152">
        <f>Data!AC80</f>
        <v>0</v>
      </c>
      <c r="M93" s="152">
        <f>Data!AD80</f>
        <v>0</v>
      </c>
      <c r="N93" s="150">
        <f>'Customer Count'!I80</f>
        <v>13960.5</v>
      </c>
      <c r="O93" s="67">
        <f t="shared" si="8"/>
        <v>19169707.257836357</v>
      </c>
      <c r="P93" s="40">
        <f t="shared" ca="1" si="9"/>
        <v>400677.49680159986</v>
      </c>
      <c r="Q93" s="53">
        <f t="shared" ca="1" si="10"/>
        <v>2.1347800174168943E-2</v>
      </c>
      <c r="R93" s="12">
        <f t="shared" ca="1" si="11"/>
        <v>2.1347800174168943E-2</v>
      </c>
      <c r="S93" s="153"/>
      <c r="T93" s="46"/>
      <c r="U93" s="46"/>
      <c r="V93" s="46"/>
      <c r="W93" s="46"/>
      <c r="X93" s="46"/>
      <c r="Y93" s="46"/>
      <c r="Z93" s="46"/>
      <c r="AA93" s="46"/>
      <c r="AB93" s="46"/>
    </row>
    <row r="94" spans="1:28" ht="15" x14ac:dyDescent="0.25">
      <c r="A94" s="66">
        <v>42978</v>
      </c>
      <c r="B94" s="114">
        <f t="shared" si="12"/>
        <v>2017</v>
      </c>
      <c r="C94" s="114">
        <f t="shared" si="13"/>
        <v>8</v>
      </c>
      <c r="D94" s="107">
        <f>Purchases!C94</f>
        <v>21211440.486327328</v>
      </c>
      <c r="E94" s="104">
        <v>4110221.2645936697</v>
      </c>
      <c r="F94" s="171">
        <f ca="1">CDM!D102</f>
        <v>923040.38051662128</v>
      </c>
      <c r="G94" s="94">
        <f t="shared" ca="1" si="14"/>
        <v>18024259.602250282</v>
      </c>
      <c r="H94" s="90">
        <f>Weather!H201</f>
        <v>0</v>
      </c>
      <c r="I94" s="90">
        <f>Weather!I201</f>
        <v>149.30000000000007</v>
      </c>
      <c r="J94" s="108">
        <v>31</v>
      </c>
      <c r="K94" s="108">
        <f t="shared" si="15"/>
        <v>0</v>
      </c>
      <c r="L94" s="152">
        <f>Data!AC81</f>
        <v>0</v>
      </c>
      <c r="M94" s="152">
        <f>Data!AD81</f>
        <v>0</v>
      </c>
      <c r="N94" s="150">
        <f>'Customer Count'!I81</f>
        <v>13971</v>
      </c>
      <c r="O94" s="67">
        <f t="shared" si="8"/>
        <v>18208256.548606373</v>
      </c>
      <c r="P94" s="40">
        <f t="shared" ca="1" si="9"/>
        <v>183996.94635609165</v>
      </c>
      <c r="Q94" s="53">
        <f t="shared" ca="1" si="10"/>
        <v>1.0208294288721857E-2</v>
      </c>
      <c r="R94" s="12">
        <f t="shared" ca="1" si="11"/>
        <v>1.0208294288721857E-2</v>
      </c>
      <c r="S94" s="153"/>
      <c r="T94" s="46"/>
      <c r="U94" s="46"/>
      <c r="V94" s="46"/>
      <c r="W94" s="46"/>
      <c r="X94" s="46"/>
      <c r="Y94" s="46"/>
      <c r="Z94" s="46"/>
      <c r="AA94" s="46"/>
      <c r="AB94" s="46"/>
    </row>
    <row r="95" spans="1:28" ht="15" x14ac:dyDescent="0.25">
      <c r="A95" s="66">
        <v>43008</v>
      </c>
      <c r="B95" s="114">
        <f t="shared" si="12"/>
        <v>2017</v>
      </c>
      <c r="C95" s="114">
        <f t="shared" si="13"/>
        <v>9</v>
      </c>
      <c r="D95" s="107">
        <f>Purchases!C95</f>
        <v>19533578.176179972</v>
      </c>
      <c r="E95" s="104">
        <v>4259176.9817509372</v>
      </c>
      <c r="F95" s="171">
        <f ca="1">CDM!D103</f>
        <v>939640.96167551749</v>
      </c>
      <c r="G95" s="94">
        <f t="shared" ca="1" si="14"/>
        <v>16214042.156104552</v>
      </c>
      <c r="H95" s="90">
        <f>Weather!H202</f>
        <v>18.399999999999995</v>
      </c>
      <c r="I95" s="90">
        <f>Weather!I202</f>
        <v>100.2</v>
      </c>
      <c r="J95" s="108">
        <v>30</v>
      </c>
      <c r="K95" s="108">
        <f t="shared" si="15"/>
        <v>0</v>
      </c>
      <c r="L95" s="152">
        <f>Data!AC82</f>
        <v>0</v>
      </c>
      <c r="M95" s="152">
        <f>Data!AD82</f>
        <v>0</v>
      </c>
      <c r="N95" s="150">
        <f>'Customer Count'!I82</f>
        <v>13977.5</v>
      </c>
      <c r="O95" s="67">
        <f t="shared" si="8"/>
        <v>16376584.113685403</v>
      </c>
      <c r="P95" s="40">
        <f t="shared" ca="1" si="9"/>
        <v>162541.95758085139</v>
      </c>
      <c r="Q95" s="53">
        <f t="shared" ca="1" si="10"/>
        <v>1.0024764708019135E-2</v>
      </c>
      <c r="R95" s="12">
        <f t="shared" ca="1" si="11"/>
        <v>1.0024764708019135E-2</v>
      </c>
      <c r="S95" s="153"/>
      <c r="T95" s="46"/>
      <c r="U95" s="46"/>
      <c r="V95" s="46"/>
      <c r="W95" s="46"/>
      <c r="X95" s="46"/>
      <c r="Y95" s="46"/>
      <c r="Z95" s="46"/>
      <c r="AA95" s="46"/>
      <c r="AB95" s="46"/>
    </row>
    <row r="96" spans="1:28" ht="15" x14ac:dyDescent="0.25">
      <c r="A96" s="66">
        <v>43039</v>
      </c>
      <c r="B96" s="114">
        <f t="shared" si="12"/>
        <v>2017</v>
      </c>
      <c r="C96" s="114">
        <f t="shared" si="13"/>
        <v>10</v>
      </c>
      <c r="D96" s="107">
        <f>Purchases!C96</f>
        <v>15916473.155721987</v>
      </c>
      <c r="E96" s="104">
        <v>2009640.1544891417</v>
      </c>
      <c r="F96" s="171">
        <f ca="1">CDM!D104</f>
        <v>956241.54283441382</v>
      </c>
      <c r="G96" s="94">
        <f t="shared" ca="1" si="14"/>
        <v>14863074.54406726</v>
      </c>
      <c r="H96" s="90">
        <f>Weather!H203</f>
        <v>90.100000000000009</v>
      </c>
      <c r="I96" s="90">
        <f>Weather!I203</f>
        <v>40.600000000000009</v>
      </c>
      <c r="J96" s="108">
        <v>31</v>
      </c>
      <c r="K96" s="108">
        <f t="shared" si="15"/>
        <v>0</v>
      </c>
      <c r="L96" s="152">
        <f>Data!AC83</f>
        <v>0</v>
      </c>
      <c r="M96" s="152">
        <f>Data!AD83</f>
        <v>0</v>
      </c>
      <c r="N96" s="150">
        <f>'Customer Count'!I83</f>
        <v>13996</v>
      </c>
      <c r="O96" s="67">
        <f t="shared" si="8"/>
        <v>15563812.457747765</v>
      </c>
      <c r="P96" s="40">
        <f t="shared" ca="1" si="9"/>
        <v>700737.91368050501</v>
      </c>
      <c r="Q96" s="53">
        <f t="shared" ca="1" si="10"/>
        <v>4.7146228837304148E-2</v>
      </c>
      <c r="R96" s="12">
        <f t="shared" ca="1" si="11"/>
        <v>4.7146228837304148E-2</v>
      </c>
      <c r="S96" s="153"/>
      <c r="T96" s="46"/>
      <c r="U96" s="46"/>
      <c r="V96" s="46"/>
      <c r="W96" s="46"/>
      <c r="X96" s="46"/>
      <c r="Y96" s="46"/>
      <c r="Z96" s="46"/>
      <c r="AA96" s="46"/>
      <c r="AB96" s="46"/>
    </row>
    <row r="97" spans="1:19" ht="15" x14ac:dyDescent="0.25">
      <c r="A97" s="66">
        <v>43069</v>
      </c>
      <c r="B97" s="114">
        <f t="shared" si="12"/>
        <v>2017</v>
      </c>
      <c r="C97" s="114">
        <f t="shared" si="13"/>
        <v>11</v>
      </c>
      <c r="D97" s="107">
        <f>Purchases!C97</f>
        <v>16479806.154822662</v>
      </c>
      <c r="E97" s="104">
        <v>2222237.4702646215</v>
      </c>
      <c r="F97" s="171">
        <f ca="1">CDM!D105</f>
        <v>972842.12399331015</v>
      </c>
      <c r="G97" s="94">
        <f t="shared" ca="1" si="14"/>
        <v>15230410.808551352</v>
      </c>
      <c r="H97" s="90">
        <f>Weather!H204</f>
        <v>350.69999999999993</v>
      </c>
      <c r="I97" s="90">
        <f>Weather!I204</f>
        <v>0</v>
      </c>
      <c r="J97" s="108">
        <v>30</v>
      </c>
      <c r="K97" s="108">
        <f t="shared" si="15"/>
        <v>0</v>
      </c>
      <c r="L97" s="152">
        <f>Data!AC84</f>
        <v>0</v>
      </c>
      <c r="M97" s="152">
        <f>Data!AD84</f>
        <v>0</v>
      </c>
      <c r="N97" s="150">
        <f>'Customer Count'!I84</f>
        <v>14031.5</v>
      </c>
      <c r="O97" s="67">
        <f t="shared" si="8"/>
        <v>15501090.194893442</v>
      </c>
      <c r="P97" s="40">
        <f t="shared" ca="1" si="9"/>
        <v>270679.38634208962</v>
      </c>
      <c r="Q97" s="53">
        <f t="shared" ca="1" si="10"/>
        <v>1.777229713266253E-2</v>
      </c>
      <c r="R97" s="12">
        <f t="shared" ca="1" si="11"/>
        <v>1.777229713266253E-2</v>
      </c>
      <c r="S97" s="153"/>
    </row>
    <row r="98" spans="1:19" ht="15" x14ac:dyDescent="0.25">
      <c r="A98" s="66">
        <v>43100</v>
      </c>
      <c r="B98" s="114">
        <f t="shared" si="12"/>
        <v>2017</v>
      </c>
      <c r="C98" s="114">
        <f t="shared" si="13"/>
        <v>12</v>
      </c>
      <c r="D98" s="107">
        <f>Purchases!C98</f>
        <v>18908989.901477978</v>
      </c>
      <c r="E98" s="104">
        <v>2532743.8747246251</v>
      </c>
      <c r="F98" s="171">
        <f ca="1">CDM!D106</f>
        <v>989442.70515220636</v>
      </c>
      <c r="G98" s="94">
        <f t="shared" ca="1" si="14"/>
        <v>17365688.731905557</v>
      </c>
      <c r="H98" s="90">
        <f>Weather!H205</f>
        <v>613.29999999999995</v>
      </c>
      <c r="I98" s="90">
        <f>Weather!I205</f>
        <v>0</v>
      </c>
      <c r="J98" s="108">
        <v>31</v>
      </c>
      <c r="K98" s="108">
        <f t="shared" si="15"/>
        <v>0</v>
      </c>
      <c r="L98" s="152">
        <f>Data!AC85</f>
        <v>0</v>
      </c>
      <c r="M98" s="152">
        <f>Data!AD85</f>
        <v>0</v>
      </c>
      <c r="N98" s="150">
        <f>'Customer Count'!I85</f>
        <v>14068.5</v>
      </c>
      <c r="O98" s="67">
        <f t="shared" si="8"/>
        <v>17645840.499372698</v>
      </c>
      <c r="P98" s="40">
        <f t="shared" ca="1" si="9"/>
        <v>280151.76746714115</v>
      </c>
      <c r="Q98" s="53">
        <f t="shared" ca="1" si="10"/>
        <v>1.613248813750906E-2</v>
      </c>
      <c r="R98" s="12">
        <f t="shared" ca="1" si="11"/>
        <v>1.613248813750906E-2</v>
      </c>
      <c r="S98" s="153"/>
    </row>
    <row r="99" spans="1:19" ht="15" x14ac:dyDescent="0.25">
      <c r="A99" s="66">
        <v>43131</v>
      </c>
      <c r="B99" s="114">
        <f t="shared" si="12"/>
        <v>2018</v>
      </c>
      <c r="C99" s="114">
        <f t="shared" si="13"/>
        <v>1</v>
      </c>
      <c r="D99" s="107">
        <f>Purchases!C99</f>
        <v>18920116.782666825</v>
      </c>
      <c r="E99" s="104">
        <v>1852730.1844645019</v>
      </c>
      <c r="F99" s="171">
        <f ca="1">CDM!D107</f>
        <v>970970.20593671221</v>
      </c>
      <c r="G99" s="94">
        <f t="shared" ca="1" si="14"/>
        <v>18038356.804139033</v>
      </c>
      <c r="H99" s="90">
        <f>Weather!H206</f>
        <v>636.6</v>
      </c>
      <c r="I99" s="90">
        <f>Weather!I206</f>
        <v>0</v>
      </c>
      <c r="J99" s="108">
        <v>31</v>
      </c>
      <c r="K99" s="108">
        <f t="shared" si="15"/>
        <v>0</v>
      </c>
      <c r="L99" s="152">
        <f>Data!AC86</f>
        <v>0</v>
      </c>
      <c r="M99" s="152">
        <f>Data!AD86</f>
        <v>0</v>
      </c>
      <c r="N99" s="150">
        <f>'Customer Count'!I86</f>
        <v>14069.5</v>
      </c>
      <c r="O99" s="67">
        <f t="shared" si="8"/>
        <v>17790695.406025328</v>
      </c>
      <c r="P99" s="40">
        <f t="shared" ca="1" si="9"/>
        <v>-247661.39811370522</v>
      </c>
      <c r="Q99" s="53">
        <f t="shared" ca="1" si="10"/>
        <v>-1.3729709463163379E-2</v>
      </c>
      <c r="R99" s="12">
        <f t="shared" ca="1" si="11"/>
        <v>1.3729709463163379E-2</v>
      </c>
      <c r="S99" s="153"/>
    </row>
    <row r="100" spans="1:19" ht="15" x14ac:dyDescent="0.25">
      <c r="A100" s="66">
        <v>43159</v>
      </c>
      <c r="B100" s="114">
        <f t="shared" si="12"/>
        <v>2018</v>
      </c>
      <c r="C100" s="114">
        <f t="shared" si="13"/>
        <v>2</v>
      </c>
      <c r="D100" s="107">
        <f>Purchases!C100</f>
        <v>16165609.621245151</v>
      </c>
      <c r="E100" s="104">
        <v>1758839.4821045175</v>
      </c>
      <c r="F100" s="171">
        <f ca="1">CDM!D108</f>
        <v>977344.42760804482</v>
      </c>
      <c r="G100" s="94">
        <f t="shared" ca="1" si="14"/>
        <v>15384114.566748679</v>
      </c>
      <c r="H100" s="90">
        <f>Weather!H207</f>
        <v>461.90000000000003</v>
      </c>
      <c r="I100" s="90">
        <f>Weather!I207</f>
        <v>0</v>
      </c>
      <c r="J100" s="108">
        <v>29</v>
      </c>
      <c r="K100" s="108">
        <f t="shared" si="15"/>
        <v>0</v>
      </c>
      <c r="L100" s="152">
        <f>Data!AC87</f>
        <v>0</v>
      </c>
      <c r="M100" s="152">
        <f>Data!AD87</f>
        <v>0</v>
      </c>
      <c r="N100" s="150">
        <f>'Customer Count'!I87</f>
        <v>14092</v>
      </c>
      <c r="O100" s="67">
        <f t="shared" si="8"/>
        <v>15730965.537224811</v>
      </c>
      <c r="P100" s="40">
        <f t="shared" ca="1" si="9"/>
        <v>346850.97047613189</v>
      </c>
      <c r="Q100" s="53">
        <f t="shared" ca="1" si="10"/>
        <v>2.2546047026054897E-2</v>
      </c>
      <c r="R100" s="12">
        <f t="shared" ca="1" si="11"/>
        <v>2.2546047026054897E-2</v>
      </c>
      <c r="S100" s="153"/>
    </row>
    <row r="101" spans="1:19" ht="15" x14ac:dyDescent="0.25">
      <c r="A101" s="66">
        <v>43190</v>
      </c>
      <c r="B101" s="114">
        <f t="shared" si="12"/>
        <v>2018</v>
      </c>
      <c r="C101" s="114">
        <f t="shared" si="13"/>
        <v>3</v>
      </c>
      <c r="D101" s="107">
        <f>Purchases!C101</f>
        <v>17475012.52885266</v>
      </c>
      <c r="E101" s="104">
        <v>2375340.9491960937</v>
      </c>
      <c r="F101" s="171">
        <f ca="1">CDM!D109</f>
        <v>983718.64927937742</v>
      </c>
      <c r="G101" s="94">
        <f t="shared" ca="1" si="14"/>
        <v>16083390.228935946</v>
      </c>
      <c r="H101" s="90">
        <f>Weather!H208</f>
        <v>484.09999999999997</v>
      </c>
      <c r="I101" s="90">
        <f>Weather!I208</f>
        <v>0</v>
      </c>
      <c r="J101" s="108">
        <v>31</v>
      </c>
      <c r="K101" s="108">
        <f t="shared" si="15"/>
        <v>1</v>
      </c>
      <c r="L101" s="152">
        <f>Data!AC88</f>
        <v>0</v>
      </c>
      <c r="M101" s="152">
        <f>Data!AD88</f>
        <v>0</v>
      </c>
      <c r="N101" s="150">
        <f>'Customer Count'!I88</f>
        <v>14099.5</v>
      </c>
      <c r="O101" s="67">
        <f t="shared" si="8"/>
        <v>16185075.168838771</v>
      </c>
      <c r="P101" s="40">
        <f t="shared" ca="1" si="9"/>
        <v>101684.93990282528</v>
      </c>
      <c r="Q101" s="53">
        <f t="shared" ca="1" si="10"/>
        <v>6.3223573174194265E-3</v>
      </c>
      <c r="R101" s="12">
        <f t="shared" ca="1" si="11"/>
        <v>6.3223573174194265E-3</v>
      </c>
      <c r="S101" s="153"/>
    </row>
    <row r="102" spans="1:19" ht="15" x14ac:dyDescent="0.25">
      <c r="A102" s="66">
        <v>43220</v>
      </c>
      <c r="B102" s="114">
        <f t="shared" si="12"/>
        <v>2018</v>
      </c>
      <c r="C102" s="114">
        <f t="shared" si="13"/>
        <v>4</v>
      </c>
      <c r="D102" s="107">
        <f>Purchases!C102</f>
        <v>16622054.862042977</v>
      </c>
      <c r="E102" s="104">
        <v>2485375.9892984647</v>
      </c>
      <c r="F102" s="171">
        <f ca="1">CDM!D110</f>
        <v>990092.87095071003</v>
      </c>
      <c r="G102" s="94">
        <f t="shared" ca="1" si="14"/>
        <v>15126771.74369522</v>
      </c>
      <c r="H102" s="90">
        <f>Weather!H209</f>
        <v>365.69999999999993</v>
      </c>
      <c r="I102" s="90">
        <f>Weather!I209</f>
        <v>0</v>
      </c>
      <c r="J102" s="108">
        <v>30</v>
      </c>
      <c r="K102" s="108">
        <f t="shared" si="15"/>
        <v>1</v>
      </c>
      <c r="L102" s="152">
        <f>Data!AC89</f>
        <v>0</v>
      </c>
      <c r="M102" s="152">
        <f>Data!AD89</f>
        <v>0</v>
      </c>
      <c r="N102" s="150">
        <f>'Customer Count'!I89</f>
        <v>14119</v>
      </c>
      <c r="O102" s="67">
        <f t="shared" si="8"/>
        <v>14968141.878782894</v>
      </c>
      <c r="P102" s="40">
        <f t="shared" ca="1" si="9"/>
        <v>-158629.86491232552</v>
      </c>
      <c r="Q102" s="53">
        <f t="shared" ca="1" si="10"/>
        <v>-1.0486696540419593E-2</v>
      </c>
      <c r="R102" s="12">
        <f t="shared" ca="1" si="11"/>
        <v>1.0486696540419593E-2</v>
      </c>
      <c r="S102" s="153"/>
    </row>
    <row r="103" spans="1:19" ht="15" x14ac:dyDescent="0.25">
      <c r="A103" s="66">
        <v>43251</v>
      </c>
      <c r="B103" s="114">
        <f t="shared" si="12"/>
        <v>2018</v>
      </c>
      <c r="C103" s="114">
        <f t="shared" si="13"/>
        <v>5</v>
      </c>
      <c r="D103" s="107">
        <f>Purchases!C103</f>
        <v>19779671.223524317</v>
      </c>
      <c r="E103" s="104">
        <v>5433603.1230769819</v>
      </c>
      <c r="F103" s="171">
        <f ca="1">CDM!D111</f>
        <v>996467.09262204263</v>
      </c>
      <c r="G103" s="94">
        <f t="shared" ca="1" si="14"/>
        <v>15342535.193069376</v>
      </c>
      <c r="H103" s="90">
        <f>Weather!H210</f>
        <v>48.800000000000011</v>
      </c>
      <c r="I103" s="90">
        <f>Weather!I210</f>
        <v>60.599999999999994</v>
      </c>
      <c r="J103" s="108">
        <v>31</v>
      </c>
      <c r="K103" s="108">
        <f t="shared" si="15"/>
        <v>1</v>
      </c>
      <c r="L103" s="152">
        <f>Data!AC90</f>
        <v>0</v>
      </c>
      <c r="M103" s="152">
        <f>Data!AD90</f>
        <v>0</v>
      </c>
      <c r="N103" s="150">
        <f>'Customer Count'!I90</f>
        <v>14142</v>
      </c>
      <c r="O103" s="67">
        <f t="shared" si="8"/>
        <v>15310830.42549976</v>
      </c>
      <c r="P103" s="40">
        <f t="shared" ca="1" si="9"/>
        <v>-31704.767569616437</v>
      </c>
      <c r="Q103" s="53">
        <f t="shared" ca="1" si="10"/>
        <v>-2.0664621049028657E-3</v>
      </c>
      <c r="R103" s="12">
        <f t="shared" ca="1" si="11"/>
        <v>2.0664621049028657E-3</v>
      </c>
      <c r="S103" s="153"/>
    </row>
    <row r="104" spans="1:19" ht="15" x14ac:dyDescent="0.25">
      <c r="A104" s="66">
        <v>43281</v>
      </c>
      <c r="B104" s="114">
        <f t="shared" si="12"/>
        <v>2018</v>
      </c>
      <c r="C104" s="114">
        <f t="shared" si="13"/>
        <v>6</v>
      </c>
      <c r="D104" s="107">
        <f>Purchases!C104</f>
        <v>19936672.391649656</v>
      </c>
      <c r="E104" s="104">
        <v>3916619.5607652208</v>
      </c>
      <c r="F104" s="171">
        <f ca="1">CDM!D112</f>
        <v>1002841.3142933752</v>
      </c>
      <c r="G104" s="94">
        <f t="shared" ca="1" si="14"/>
        <v>17022894.145177811</v>
      </c>
      <c r="H104" s="90">
        <f>Weather!H211</f>
        <v>5.0999999999999979</v>
      </c>
      <c r="I104" s="90">
        <f>Weather!I211</f>
        <v>112.89999999999998</v>
      </c>
      <c r="J104" s="108">
        <v>30</v>
      </c>
      <c r="K104" s="108">
        <f t="shared" si="15"/>
        <v>0</v>
      </c>
      <c r="L104" s="152">
        <f>Data!AC91</f>
        <v>0</v>
      </c>
      <c r="M104" s="152">
        <f>Data!AD91</f>
        <v>0</v>
      </c>
      <c r="N104" s="150">
        <f>'Customer Count'!I91</f>
        <v>14155</v>
      </c>
      <c r="O104" s="67">
        <f t="shared" si="8"/>
        <v>16780745.568127964</v>
      </c>
      <c r="P104" s="40">
        <f t="shared" ca="1" si="9"/>
        <v>-242148.57704984769</v>
      </c>
      <c r="Q104" s="53">
        <f t="shared" ca="1" si="10"/>
        <v>-1.4224877096967835E-2</v>
      </c>
      <c r="R104" s="12">
        <f t="shared" ca="1" si="11"/>
        <v>1.4224877096967835E-2</v>
      </c>
      <c r="S104" s="153"/>
    </row>
    <row r="105" spans="1:19" ht="15" x14ac:dyDescent="0.25">
      <c r="A105" s="66">
        <v>43312</v>
      </c>
      <c r="B105" s="114">
        <f t="shared" si="12"/>
        <v>2018</v>
      </c>
      <c r="C105" s="114">
        <f t="shared" si="13"/>
        <v>7</v>
      </c>
      <c r="D105" s="107">
        <f>Purchases!C105</f>
        <v>26519724.751660287</v>
      </c>
      <c r="E105" s="104">
        <v>5890671.1113334885</v>
      </c>
      <c r="F105" s="171">
        <f ca="1">CDM!D113</f>
        <v>1009215.5359647078</v>
      </c>
      <c r="G105" s="94">
        <f t="shared" ca="1" si="14"/>
        <v>21638269.176291507</v>
      </c>
      <c r="H105" s="90">
        <f>Weather!H212</f>
        <v>0</v>
      </c>
      <c r="I105" s="90">
        <f>Weather!I212</f>
        <v>237.30000000000007</v>
      </c>
      <c r="J105" s="108">
        <v>31</v>
      </c>
      <c r="K105" s="108">
        <f t="shared" si="15"/>
        <v>0</v>
      </c>
      <c r="L105" s="152">
        <f>Data!AC92</f>
        <v>0</v>
      </c>
      <c r="M105" s="152">
        <f>Data!AD92</f>
        <v>0</v>
      </c>
      <c r="N105" s="150">
        <f>'Customer Count'!I92</f>
        <v>14165</v>
      </c>
      <c r="O105" s="67">
        <f t="shared" si="8"/>
        <v>20934064.932535354</v>
      </c>
      <c r="P105" s="40">
        <f t="shared" ca="1" si="9"/>
        <v>-704204.24375615269</v>
      </c>
      <c r="Q105" s="53">
        <f t="shared" ca="1" si="10"/>
        <v>-3.2544388741024215E-2</v>
      </c>
      <c r="R105" s="12">
        <f t="shared" ca="1" si="11"/>
        <v>3.2544388741024215E-2</v>
      </c>
      <c r="S105" s="153"/>
    </row>
    <row r="106" spans="1:19" ht="15" x14ac:dyDescent="0.25">
      <c r="A106" s="66">
        <v>43343</v>
      </c>
      <c r="B106" s="114">
        <f t="shared" si="12"/>
        <v>2018</v>
      </c>
      <c r="C106" s="114">
        <f t="shared" si="13"/>
        <v>8</v>
      </c>
      <c r="D106" s="107">
        <f>Purchases!C106</f>
        <v>26948242.609250635</v>
      </c>
      <c r="E106" s="104">
        <v>6778894.4532912951</v>
      </c>
      <c r="F106" s="171">
        <f ca="1">CDM!D114</f>
        <v>1015589.7576360404</v>
      </c>
      <c r="G106" s="94">
        <f t="shared" ca="1" si="14"/>
        <v>21184937.913595378</v>
      </c>
      <c r="H106" s="90">
        <f>Weather!H213</f>
        <v>0</v>
      </c>
      <c r="I106" s="90">
        <f>Weather!I213</f>
        <v>233.3000000000001</v>
      </c>
      <c r="J106" s="108">
        <v>31</v>
      </c>
      <c r="K106" s="108">
        <f t="shared" si="15"/>
        <v>0</v>
      </c>
      <c r="L106" s="152">
        <f>Data!AC93</f>
        <v>0</v>
      </c>
      <c r="M106" s="152">
        <f>Data!AD93</f>
        <v>0</v>
      </c>
      <c r="N106" s="150">
        <f>'Customer Count'!I93</f>
        <v>14170</v>
      </c>
      <c r="O106" s="67">
        <f t="shared" si="8"/>
        <v>20818770.298151322</v>
      </c>
      <c r="P106" s="40">
        <f t="shared" ca="1" si="9"/>
        <v>-366167.61544405669</v>
      </c>
      <c r="Q106" s="53">
        <f t="shared" ca="1" si="10"/>
        <v>-1.7284337435280826E-2</v>
      </c>
      <c r="R106" s="12">
        <f t="shared" ca="1" si="11"/>
        <v>1.7284337435280826E-2</v>
      </c>
      <c r="S106" s="153"/>
    </row>
    <row r="107" spans="1:19" ht="15" x14ac:dyDescent="0.25">
      <c r="A107" s="66">
        <v>43373</v>
      </c>
      <c r="B107" s="114">
        <f t="shared" si="12"/>
        <v>2018</v>
      </c>
      <c r="C107" s="114">
        <f t="shared" si="13"/>
        <v>9</v>
      </c>
      <c r="D107" s="107">
        <f>Purchases!C107</f>
        <v>21215817.727722466</v>
      </c>
      <c r="E107" s="104">
        <v>4496004.9261929411</v>
      </c>
      <c r="F107" s="171">
        <f ca="1">CDM!D115</f>
        <v>1021963.9793073732</v>
      </c>
      <c r="G107" s="94">
        <f t="shared" ca="1" si="14"/>
        <v>17741776.780836895</v>
      </c>
      <c r="H107" s="90">
        <f>Weather!H214</f>
        <v>21.299999999999997</v>
      </c>
      <c r="I107" s="90">
        <f>Weather!I214</f>
        <v>121.09999999999998</v>
      </c>
      <c r="J107" s="108">
        <v>30</v>
      </c>
      <c r="K107" s="108">
        <f t="shared" si="15"/>
        <v>0</v>
      </c>
      <c r="L107" s="152">
        <f>Data!AC94</f>
        <v>0</v>
      </c>
      <c r="M107" s="152">
        <f>Data!AD94</f>
        <v>0</v>
      </c>
      <c r="N107" s="150">
        <f>'Customer Count'!I94</f>
        <v>14216.5</v>
      </c>
      <c r="O107" s="67">
        <f t="shared" si="8"/>
        <v>17162065.903669793</v>
      </c>
      <c r="P107" s="40">
        <f t="shared" ca="1" si="9"/>
        <v>-579710.87716710195</v>
      </c>
      <c r="Q107" s="53">
        <f t="shared" ca="1" si="10"/>
        <v>-3.267490535633695E-2</v>
      </c>
      <c r="R107" s="12">
        <f t="shared" ca="1" si="11"/>
        <v>3.267490535633695E-2</v>
      </c>
      <c r="S107" s="153"/>
    </row>
    <row r="108" spans="1:19" ht="15" x14ac:dyDescent="0.25">
      <c r="A108" s="66">
        <v>43404</v>
      </c>
      <c r="B108" s="114">
        <f t="shared" si="12"/>
        <v>2018</v>
      </c>
      <c r="C108" s="114">
        <f t="shared" si="13"/>
        <v>10</v>
      </c>
      <c r="D108" s="107">
        <f>Purchases!C108</f>
        <v>17077098.534574993</v>
      </c>
      <c r="E108" s="104">
        <v>2542408.0313404463</v>
      </c>
      <c r="F108" s="171">
        <f ca="1">CDM!D116</f>
        <v>1028338.2009787058</v>
      </c>
      <c r="G108" s="94">
        <f t="shared" ca="1" si="14"/>
        <v>15563028.704213254</v>
      </c>
      <c r="H108" s="90">
        <f>Weather!H215</f>
        <v>187.99999999999994</v>
      </c>
      <c r="I108" s="90">
        <f>Weather!I215</f>
        <v>18.400000000000002</v>
      </c>
      <c r="J108" s="108">
        <v>31</v>
      </c>
      <c r="K108" s="108">
        <f t="shared" si="15"/>
        <v>0</v>
      </c>
      <c r="L108" s="152">
        <f>Data!AC95</f>
        <v>0</v>
      </c>
      <c r="M108" s="152">
        <f>Data!AD95</f>
        <v>0</v>
      </c>
      <c r="N108" s="150">
        <f>'Customer Count'!I95</f>
        <v>14264.5</v>
      </c>
      <c r="O108" s="67">
        <f t="shared" si="8"/>
        <v>15679885.080034208</v>
      </c>
      <c r="P108" s="40">
        <f t="shared" ca="1" si="9"/>
        <v>116856.3758209534</v>
      </c>
      <c r="Q108" s="53">
        <f t="shared" ca="1" si="10"/>
        <v>7.5085883372635435E-3</v>
      </c>
      <c r="R108" s="12">
        <f t="shared" ca="1" si="11"/>
        <v>7.5085883372635435E-3</v>
      </c>
      <c r="S108" s="153"/>
    </row>
    <row r="109" spans="1:19" ht="15" x14ac:dyDescent="0.25">
      <c r="A109" s="66">
        <v>43434</v>
      </c>
      <c r="B109" s="114">
        <f t="shared" si="12"/>
        <v>2018</v>
      </c>
      <c r="C109" s="114">
        <f t="shared" si="13"/>
        <v>11</v>
      </c>
      <c r="D109" s="107">
        <f>Purchases!C109</f>
        <v>17872678.440282173</v>
      </c>
      <c r="E109" s="104">
        <v>2900973.5563793778</v>
      </c>
      <c r="F109" s="171">
        <f ca="1">CDM!D117</f>
        <v>1034712.4226500384</v>
      </c>
      <c r="G109" s="94">
        <f t="shared" ca="1" si="14"/>
        <v>16006417.306552835</v>
      </c>
      <c r="H109" s="90">
        <f>Weather!H216</f>
        <v>414.4</v>
      </c>
      <c r="I109" s="90">
        <f>Weather!I216</f>
        <v>0</v>
      </c>
      <c r="J109" s="108">
        <v>30</v>
      </c>
      <c r="K109" s="108">
        <f t="shared" si="15"/>
        <v>0</v>
      </c>
      <c r="L109" s="152">
        <f>Data!AC96</f>
        <v>0</v>
      </c>
      <c r="M109" s="152">
        <f>Data!AD96</f>
        <v>0</v>
      </c>
      <c r="N109" s="150">
        <f>'Customer Count'!I96</f>
        <v>14269</v>
      </c>
      <c r="O109" s="67">
        <f t="shared" si="8"/>
        <v>16043318.470388286</v>
      </c>
      <c r="P109" s="40">
        <f t="shared" ca="1" si="9"/>
        <v>36901.163835451007</v>
      </c>
      <c r="Q109" s="53">
        <f t="shared" ca="1" si="10"/>
        <v>2.3053980868250959E-3</v>
      </c>
      <c r="R109" s="12">
        <f t="shared" ca="1" si="11"/>
        <v>2.3053980868250959E-3</v>
      </c>
      <c r="S109" s="153"/>
    </row>
    <row r="110" spans="1:19" ht="15" x14ac:dyDescent="0.25">
      <c r="A110" s="66">
        <v>43465</v>
      </c>
      <c r="B110" s="114">
        <f t="shared" si="12"/>
        <v>2018</v>
      </c>
      <c r="C110" s="114">
        <f t="shared" si="13"/>
        <v>12</v>
      </c>
      <c r="D110" s="107">
        <f>Purchases!C110</f>
        <v>19117837.684365984</v>
      </c>
      <c r="E110" s="104">
        <v>2949172.2066761004</v>
      </c>
      <c r="F110" s="171">
        <f ca="1">CDM!D118</f>
        <v>1041086.644321371</v>
      </c>
      <c r="G110" s="94">
        <f ca="1">D110+F110-E110</f>
        <v>17209752.122011255</v>
      </c>
      <c r="H110" s="90">
        <f>Weather!H217</f>
        <v>478.09999999999997</v>
      </c>
      <c r="I110" s="90">
        <f>Weather!I217</f>
        <v>0</v>
      </c>
      <c r="J110" s="108">
        <v>31</v>
      </c>
      <c r="K110" s="108">
        <f t="shared" si="15"/>
        <v>0</v>
      </c>
      <c r="L110" s="152">
        <f>Data!AC97</f>
        <v>0</v>
      </c>
      <c r="M110" s="152">
        <f>Data!AD97</f>
        <v>0</v>
      </c>
      <c r="N110" s="150">
        <f>'Customer Count'!I97</f>
        <v>14276.5</v>
      </c>
      <c r="O110" s="67">
        <f t="shared" si="8"/>
        <v>16938461.911133923</v>
      </c>
      <c r="P110" s="40">
        <f t="shared" ca="1" si="9"/>
        <v>-271290.21087733284</v>
      </c>
      <c r="Q110" s="53">
        <f t="shared" ca="1" si="10"/>
        <v>-1.5763748888071021E-2</v>
      </c>
      <c r="R110" s="12">
        <f t="shared" ca="1" si="11"/>
        <v>1.5763748888071021E-2</v>
      </c>
      <c r="S110" s="153"/>
    </row>
    <row r="111" spans="1:19" ht="15" x14ac:dyDescent="0.25">
      <c r="A111" s="66">
        <v>43496</v>
      </c>
      <c r="B111" s="114">
        <f t="shared" si="12"/>
        <v>2019</v>
      </c>
      <c r="C111" s="114">
        <f t="shared" si="13"/>
        <v>1</v>
      </c>
      <c r="D111" s="107">
        <f>Purchases!C111</f>
        <v>19470279.931793816</v>
      </c>
      <c r="E111" s="104">
        <v>2345384.3176812418</v>
      </c>
      <c r="F111" s="171">
        <f ca="1">CDM!D119</f>
        <v>1047457.2026998744</v>
      </c>
      <c r="G111" s="94">
        <f t="shared" ca="1" si="14"/>
        <v>18172352.816812448</v>
      </c>
      <c r="H111" s="90">
        <f>Weather!H218</f>
        <v>661.19999999999982</v>
      </c>
      <c r="I111" s="90">
        <f>Weather!I218</f>
        <v>0</v>
      </c>
      <c r="J111" s="108">
        <v>31</v>
      </c>
      <c r="K111" s="108">
        <f t="shared" si="15"/>
        <v>0</v>
      </c>
      <c r="L111" s="152">
        <f>Data!AC98</f>
        <v>0</v>
      </c>
      <c r="M111" s="152">
        <f>Data!AD98</f>
        <v>0</v>
      </c>
      <c r="N111" s="150">
        <f>'Customer Count'!I98</f>
        <v>14284.5</v>
      </c>
      <c r="O111" s="67">
        <f t="shared" si="8"/>
        <v>18076873.438871667</v>
      </c>
      <c r="P111" s="40">
        <f t="shared" ca="1" si="9"/>
        <v>-95479.377940781415</v>
      </c>
      <c r="Q111" s="53">
        <f t="shared" ca="1" si="10"/>
        <v>-5.2541010458726682E-3</v>
      </c>
      <c r="R111" s="12">
        <f t="shared" ca="1" si="11"/>
        <v>5.2541010458726682E-3</v>
      </c>
      <c r="S111" s="153"/>
    </row>
    <row r="112" spans="1:19" ht="15" x14ac:dyDescent="0.25">
      <c r="A112" s="66">
        <v>43524</v>
      </c>
      <c r="B112" s="114">
        <f t="shared" si="12"/>
        <v>2019</v>
      </c>
      <c r="C112" s="114">
        <f t="shared" si="13"/>
        <v>2</v>
      </c>
      <c r="D112" s="107">
        <f>Purchases!C112</f>
        <v>17623038.944653146</v>
      </c>
      <c r="E112" s="104">
        <v>2502127.9915483254</v>
      </c>
      <c r="F112" s="171">
        <f ca="1">CDM!D120</f>
        <v>1048523.9785786817</v>
      </c>
      <c r="G112" s="94">
        <f t="shared" ca="1" si="14"/>
        <v>16169434.931683503</v>
      </c>
      <c r="H112" s="90">
        <f>Weather!H219</f>
        <v>526.80000000000007</v>
      </c>
      <c r="I112" s="90">
        <f>Weather!I219</f>
        <v>0</v>
      </c>
      <c r="J112" s="108">
        <v>28</v>
      </c>
      <c r="K112" s="108">
        <f t="shared" si="15"/>
        <v>0</v>
      </c>
      <c r="L112" s="152">
        <f>Data!AC99</f>
        <v>0</v>
      </c>
      <c r="M112" s="152">
        <f>Data!AD99</f>
        <v>0</v>
      </c>
      <c r="N112" s="150">
        <f>'Customer Count'!I99</f>
        <v>14285</v>
      </c>
      <c r="O112" s="67">
        <f t="shared" si="8"/>
        <v>15756752.620677924</v>
      </c>
      <c r="P112" s="40">
        <f t="shared" ca="1" si="9"/>
        <v>-412682.31100557931</v>
      </c>
      <c r="Q112" s="53">
        <f t="shared" ca="1" si="10"/>
        <v>-2.5522370617722775E-2</v>
      </c>
      <c r="R112" s="12">
        <f t="shared" ca="1" si="11"/>
        <v>2.5522370617722775E-2</v>
      </c>
      <c r="S112" s="153"/>
    </row>
    <row r="113" spans="1:22" ht="15" x14ac:dyDescent="0.25">
      <c r="A113" s="66">
        <v>43555</v>
      </c>
      <c r="B113" s="114">
        <f t="shared" si="12"/>
        <v>2019</v>
      </c>
      <c r="C113" s="114">
        <f t="shared" si="13"/>
        <v>3</v>
      </c>
      <c r="D113" s="107">
        <f>Purchases!C113</f>
        <v>18298309.582286663</v>
      </c>
      <c r="E113" s="104">
        <v>2643551.1870212546</v>
      </c>
      <c r="F113" s="171">
        <f ca="1">CDM!D121</f>
        <v>1049590.7544574891</v>
      </c>
      <c r="G113" s="94">
        <f t="shared" ca="1" si="14"/>
        <v>16704349.149722897</v>
      </c>
      <c r="H113" s="90">
        <f>Weather!H220</f>
        <v>485.99999999999994</v>
      </c>
      <c r="I113" s="90">
        <f>Weather!I220</f>
        <v>0</v>
      </c>
      <c r="J113" s="108">
        <v>31</v>
      </c>
      <c r="K113" s="108">
        <f t="shared" si="15"/>
        <v>1</v>
      </c>
      <c r="L113" s="152">
        <f>Data!AC100</f>
        <v>0</v>
      </c>
      <c r="M113" s="152">
        <f>Data!AD100</f>
        <v>0</v>
      </c>
      <c r="N113" s="150">
        <f>'Customer Count'!I100</f>
        <v>14284.5</v>
      </c>
      <c r="O113" s="67">
        <f t="shared" si="8"/>
        <v>16312051.682211801</v>
      </c>
      <c r="P113" s="40">
        <f t="shared" ca="1" si="9"/>
        <v>-392297.46751109511</v>
      </c>
      <c r="Q113" s="53">
        <f t="shared" ca="1" si="10"/>
        <v>-2.3484750228511764E-2</v>
      </c>
      <c r="R113" s="12">
        <f t="shared" ca="1" si="11"/>
        <v>2.3484750228511764E-2</v>
      </c>
      <c r="S113" s="153"/>
      <c r="U113" s="123"/>
    </row>
    <row r="114" spans="1:22" ht="15" x14ac:dyDescent="0.25">
      <c r="A114" s="66">
        <v>43585</v>
      </c>
      <c r="B114" s="114">
        <f t="shared" si="12"/>
        <v>2019</v>
      </c>
      <c r="C114" s="114">
        <f t="shared" si="13"/>
        <v>4</v>
      </c>
      <c r="D114" s="107">
        <f>Purchases!C114</f>
        <v>16030754.75111879</v>
      </c>
      <c r="E114" s="104">
        <v>2306272.4364213278</v>
      </c>
      <c r="F114" s="171">
        <f ca="1">CDM!D122</f>
        <v>1050657.5303362964</v>
      </c>
      <c r="G114" s="94">
        <f t="shared" ca="1" si="14"/>
        <v>14775139.845033761</v>
      </c>
      <c r="H114" s="90">
        <f>Weather!H221</f>
        <v>280.7999999999999</v>
      </c>
      <c r="I114" s="90">
        <f>Weather!I221</f>
        <v>0</v>
      </c>
      <c r="J114" s="108">
        <v>30</v>
      </c>
      <c r="K114" s="108">
        <f t="shared" si="15"/>
        <v>1</v>
      </c>
      <c r="L114" s="152">
        <f>Data!AC101</f>
        <v>0</v>
      </c>
      <c r="M114" s="152">
        <f>Data!AD101</f>
        <v>0</v>
      </c>
      <c r="N114" s="150">
        <f>'Customer Count'!I101</f>
        <v>14285.5</v>
      </c>
      <c r="O114" s="67">
        <f t="shared" si="8"/>
        <v>14546285.80017994</v>
      </c>
      <c r="P114" s="40">
        <f t="shared" ca="1" si="9"/>
        <v>-228854.0448538214</v>
      </c>
      <c r="Q114" s="53">
        <f t="shared" ca="1" si="10"/>
        <v>-1.548912885117254E-2</v>
      </c>
      <c r="R114" s="12">
        <f t="shared" ca="1" si="11"/>
        <v>1.548912885117254E-2</v>
      </c>
      <c r="S114" s="153"/>
      <c r="T114" s="154"/>
      <c r="U114" s="123"/>
    </row>
    <row r="115" spans="1:22" ht="15" x14ac:dyDescent="0.25">
      <c r="A115" s="66">
        <v>43616</v>
      </c>
      <c r="B115" s="114">
        <f t="shared" si="12"/>
        <v>2019</v>
      </c>
      <c r="C115" s="114">
        <f t="shared" si="13"/>
        <v>5</v>
      </c>
      <c r="D115" s="107">
        <f>Purchases!C115</f>
        <v>17509709.360292483</v>
      </c>
      <c r="E115" s="104">
        <v>3898830.8811403029</v>
      </c>
      <c r="F115" s="171">
        <f ca="1">CDM!D123</f>
        <v>1051724.3062151039</v>
      </c>
      <c r="G115" s="94">
        <f t="shared" ca="1" si="14"/>
        <v>14662602.785367284</v>
      </c>
      <c r="H115" s="90">
        <f>Weather!H222</f>
        <v>128.50000000000003</v>
      </c>
      <c r="I115" s="90">
        <f>Weather!I222</f>
        <v>11.700000000000003</v>
      </c>
      <c r="J115" s="108">
        <v>31</v>
      </c>
      <c r="K115" s="108">
        <f t="shared" si="15"/>
        <v>1</v>
      </c>
      <c r="L115" s="152">
        <f>Data!AC102</f>
        <v>0</v>
      </c>
      <c r="M115" s="152">
        <f>Data!AD102</f>
        <v>0</v>
      </c>
      <c r="N115" s="150">
        <f>'Customer Count'!I102</f>
        <v>14286</v>
      </c>
      <c r="O115" s="67">
        <f t="shared" si="8"/>
        <v>14446327.290614482</v>
      </c>
      <c r="P115" s="40">
        <f t="shared" ca="1" si="9"/>
        <v>-216275.49475280195</v>
      </c>
      <c r="Q115" s="53">
        <f t="shared" ca="1" si="10"/>
        <v>-1.4750143471705897E-2</v>
      </c>
      <c r="R115" s="12">
        <f t="shared" ca="1" si="11"/>
        <v>1.4750143471705897E-2</v>
      </c>
      <c r="S115" s="153"/>
      <c r="U115" s="123"/>
    </row>
    <row r="116" spans="1:22" ht="15" x14ac:dyDescent="0.25">
      <c r="A116" s="66">
        <v>43646</v>
      </c>
      <c r="B116" s="114">
        <f t="shared" si="12"/>
        <v>2019</v>
      </c>
      <c r="C116" s="114">
        <f t="shared" si="13"/>
        <v>6</v>
      </c>
      <c r="D116" s="107">
        <f>Purchases!C116</f>
        <v>19696522.675138813</v>
      </c>
      <c r="E116" s="104">
        <v>4853572.3585318187</v>
      </c>
      <c r="F116" s="171">
        <f ca="1">CDM!D124</f>
        <v>1052791.0820939112</v>
      </c>
      <c r="G116" s="94">
        <f t="shared" ca="1" si="14"/>
        <v>15895741.398700908</v>
      </c>
      <c r="H116" s="90">
        <f>Weather!H223</f>
        <v>11.099999999999998</v>
      </c>
      <c r="I116" s="90">
        <f>Weather!I223</f>
        <v>74.600000000000009</v>
      </c>
      <c r="J116" s="108">
        <v>30</v>
      </c>
      <c r="K116" s="108">
        <f t="shared" si="15"/>
        <v>0</v>
      </c>
      <c r="L116" s="152">
        <f>Data!AC103</f>
        <v>0</v>
      </c>
      <c r="M116" s="152">
        <f>Data!AD103</f>
        <v>0</v>
      </c>
      <c r="N116" s="150">
        <f>'Customer Count'!I103</f>
        <v>14286.5</v>
      </c>
      <c r="O116" s="67">
        <f t="shared" si="8"/>
        <v>15766021.10012595</v>
      </c>
      <c r="P116" s="40">
        <f t="shared" ca="1" si="9"/>
        <v>-129720.298574958</v>
      </c>
      <c r="Q116" s="53">
        <f t="shared" ca="1" si="10"/>
        <v>-8.1606950768310493E-3</v>
      </c>
      <c r="R116" s="12">
        <f t="shared" ca="1" si="11"/>
        <v>8.1606950768310493E-3</v>
      </c>
      <c r="S116" s="153"/>
      <c r="U116" s="123"/>
    </row>
    <row r="117" spans="1:22" ht="15" x14ac:dyDescent="0.25">
      <c r="A117" s="66">
        <v>43677</v>
      </c>
      <c r="B117" s="114">
        <f t="shared" si="12"/>
        <v>2019</v>
      </c>
      <c r="C117" s="114">
        <f t="shared" si="13"/>
        <v>7</v>
      </c>
      <c r="D117" s="107">
        <f>Purchases!C117</f>
        <v>27560108.31326063</v>
      </c>
      <c r="E117" s="104">
        <v>6991030.6470110817</v>
      </c>
      <c r="F117" s="171">
        <f ca="1">CDM!D125</f>
        <v>1053857.8579727185</v>
      </c>
      <c r="G117" s="94">
        <f t="shared" ca="1" si="14"/>
        <v>21622935.524222266</v>
      </c>
      <c r="H117" s="90">
        <f>Weather!H224</f>
        <v>0</v>
      </c>
      <c r="I117" s="90">
        <f>Weather!I224</f>
        <v>230.10000000000005</v>
      </c>
      <c r="J117" s="108">
        <v>31</v>
      </c>
      <c r="K117" s="108">
        <f t="shared" si="15"/>
        <v>0</v>
      </c>
      <c r="L117" s="152">
        <f>Data!AC104</f>
        <v>0</v>
      </c>
      <c r="M117" s="152">
        <f>Data!AD104</f>
        <v>0</v>
      </c>
      <c r="N117" s="150">
        <f>'Customer Count'!I104</f>
        <v>14291.5</v>
      </c>
      <c r="O117" s="67">
        <f t="shared" si="8"/>
        <v>20799711.746002406</v>
      </c>
      <c r="P117" s="40">
        <f t="shared" ca="1" si="9"/>
        <v>-823223.77821986005</v>
      </c>
      <c r="Q117" s="53">
        <f t="shared" ca="1" si="10"/>
        <v>-3.8071786196544645E-2</v>
      </c>
      <c r="R117" s="12">
        <f t="shared" ca="1" si="11"/>
        <v>3.8071786196544645E-2</v>
      </c>
      <c r="S117" s="153"/>
      <c r="U117" s="123"/>
    </row>
    <row r="118" spans="1:22" ht="15" x14ac:dyDescent="0.25">
      <c r="A118" s="66">
        <v>43708</v>
      </c>
      <c r="B118" s="114">
        <f t="shared" si="12"/>
        <v>2019</v>
      </c>
      <c r="C118" s="114">
        <f t="shared" si="13"/>
        <v>8</v>
      </c>
      <c r="D118" s="107">
        <f>Purchases!C118</f>
        <v>24718341.509218462</v>
      </c>
      <c r="E118" s="104">
        <v>6140130.9663574947</v>
      </c>
      <c r="F118" s="171">
        <f ca="1">CDM!D126</f>
        <v>1054924.6338515261</v>
      </c>
      <c r="G118" s="94">
        <f t="shared" ca="1" si="14"/>
        <v>19633135.176712491</v>
      </c>
      <c r="H118" s="90">
        <f>Weather!H225</f>
        <v>0</v>
      </c>
      <c r="I118" s="90">
        <f>Weather!I225</f>
        <v>167.90000000000006</v>
      </c>
      <c r="J118" s="108">
        <v>31</v>
      </c>
      <c r="K118" s="108">
        <f t="shared" si="15"/>
        <v>0</v>
      </c>
      <c r="L118" s="152">
        <f>Data!AC105</f>
        <v>0</v>
      </c>
      <c r="M118" s="152">
        <f>Data!AD105</f>
        <v>0</v>
      </c>
      <c r="N118" s="150">
        <f>'Customer Count'!I105</f>
        <v>14302</v>
      </c>
      <c r="O118" s="67">
        <f t="shared" si="8"/>
        <v>18964997.937093683</v>
      </c>
      <c r="P118" s="40">
        <f t="shared" ca="1" si="9"/>
        <v>-668137.23961880803</v>
      </c>
      <c r="Q118" s="53">
        <f t="shared" ca="1" si="10"/>
        <v>-3.4031102704946872E-2</v>
      </c>
      <c r="R118" s="12">
        <f t="shared" ca="1" si="11"/>
        <v>3.4031102704946872E-2</v>
      </c>
      <c r="S118" s="153"/>
      <c r="U118" s="123"/>
    </row>
    <row r="119" spans="1:22" ht="15" x14ac:dyDescent="0.25">
      <c r="A119" s="66">
        <v>43738</v>
      </c>
      <c r="B119" s="114">
        <f t="shared" si="12"/>
        <v>2019</v>
      </c>
      <c r="C119" s="114">
        <f t="shared" si="13"/>
        <v>9</v>
      </c>
      <c r="D119" s="107">
        <f>Purchases!C119</f>
        <v>20237615.335729983</v>
      </c>
      <c r="E119" s="104">
        <v>4814361.1713148011</v>
      </c>
      <c r="F119" s="171">
        <f ca="1">CDM!D127</f>
        <v>1055991.4097303334</v>
      </c>
      <c r="G119" s="94">
        <f t="shared" ca="1" si="14"/>
        <v>16479245.574145515</v>
      </c>
      <c r="H119" s="90">
        <f>Weather!H226</f>
        <v>1.6999999999999993</v>
      </c>
      <c r="I119" s="90">
        <f>Weather!I226</f>
        <v>78.699999999999989</v>
      </c>
      <c r="J119" s="108">
        <v>30</v>
      </c>
      <c r="K119" s="108">
        <f t="shared" si="15"/>
        <v>0</v>
      </c>
      <c r="L119" s="152">
        <f>Data!AC106</f>
        <v>0</v>
      </c>
      <c r="M119" s="152">
        <f>Data!AD106</f>
        <v>0</v>
      </c>
      <c r="N119" s="150">
        <f>'Customer Count'!I106</f>
        <v>14340.5</v>
      </c>
      <c r="O119" s="67">
        <f t="shared" si="8"/>
        <v>15862832.155633427</v>
      </c>
      <c r="P119" s="40">
        <f t="shared" ca="1" si="9"/>
        <v>-616413.41851208732</v>
      </c>
      <c r="Q119" s="53">
        <f t="shared" ca="1" si="10"/>
        <v>-3.7405439207677423E-2</v>
      </c>
      <c r="R119" s="12">
        <f t="shared" ca="1" si="11"/>
        <v>3.7405439207677423E-2</v>
      </c>
      <c r="S119" s="153"/>
      <c r="U119" s="123"/>
    </row>
    <row r="120" spans="1:22" ht="15" x14ac:dyDescent="0.25">
      <c r="A120" s="66">
        <v>43769</v>
      </c>
      <c r="B120" s="114">
        <f t="shared" si="12"/>
        <v>2019</v>
      </c>
      <c r="C120" s="114">
        <f t="shared" si="13"/>
        <v>10</v>
      </c>
      <c r="D120" s="107">
        <f>Purchases!C120</f>
        <v>18098714.600466475</v>
      </c>
      <c r="E120" s="104">
        <v>3841776.1678357082</v>
      </c>
      <c r="F120" s="171">
        <f ca="1">CDM!D128</f>
        <v>1057058.1856091407</v>
      </c>
      <c r="G120" s="94">
        <f t="shared" ca="1" si="14"/>
        <v>15313996.618239906</v>
      </c>
      <c r="H120" s="90">
        <f>Weather!H227</f>
        <v>147.5</v>
      </c>
      <c r="I120" s="90">
        <f>Weather!I227</f>
        <v>6.8000000000000007</v>
      </c>
      <c r="J120" s="108">
        <v>31</v>
      </c>
      <c r="K120" s="108">
        <f t="shared" si="15"/>
        <v>0</v>
      </c>
      <c r="L120" s="152">
        <f>Data!AC107</f>
        <v>0</v>
      </c>
      <c r="M120" s="152">
        <f>Data!AD107</f>
        <v>0</v>
      </c>
      <c r="N120" s="150">
        <f>'Customer Count'!I107</f>
        <v>14379</v>
      </c>
      <c r="O120" s="67">
        <f t="shared" si="8"/>
        <v>15157105.16675414</v>
      </c>
      <c r="P120" s="40">
        <f t="shared" ca="1" si="9"/>
        <v>-156891.4514857661</v>
      </c>
      <c r="Q120" s="53">
        <f t="shared" ca="1" si="10"/>
        <v>-1.0244971015528291E-2</v>
      </c>
      <c r="R120" s="12">
        <f t="shared" ca="1" si="11"/>
        <v>1.0244971015528291E-2</v>
      </c>
      <c r="S120" s="153"/>
      <c r="U120" s="123"/>
    </row>
    <row r="121" spans="1:22" ht="15" x14ac:dyDescent="0.25">
      <c r="A121" s="66">
        <v>43799</v>
      </c>
      <c r="B121" s="114">
        <f t="shared" si="12"/>
        <v>2019</v>
      </c>
      <c r="C121" s="114">
        <f t="shared" si="13"/>
        <v>11</v>
      </c>
      <c r="D121" s="107">
        <f>Purchases!C121</f>
        <v>19512627.908904467</v>
      </c>
      <c r="E121" s="104">
        <v>4374163.1948623955</v>
      </c>
      <c r="F121" s="171">
        <f ca="1">CDM!D129</f>
        <v>1058124.961487948</v>
      </c>
      <c r="G121" s="94">
        <f t="shared" ca="1" si="14"/>
        <v>16196589.67553002</v>
      </c>
      <c r="H121" s="90">
        <f>Weather!H228</f>
        <v>425.2</v>
      </c>
      <c r="I121" s="90">
        <f>Weather!I228</f>
        <v>0</v>
      </c>
      <c r="J121" s="108">
        <v>30</v>
      </c>
      <c r="K121" s="108">
        <f t="shared" si="15"/>
        <v>0</v>
      </c>
      <c r="L121" s="152">
        <f>Data!AC108</f>
        <v>0</v>
      </c>
      <c r="M121" s="152">
        <f>Data!AD108</f>
        <v>0</v>
      </c>
      <c r="N121" s="150">
        <f>'Customer Count'!I108</f>
        <v>14389</v>
      </c>
      <c r="O121" s="67">
        <f t="shared" si="8"/>
        <v>16184906.960807847</v>
      </c>
      <c r="P121" s="40">
        <f t="shared" ca="1" si="9"/>
        <v>-11682.714722173288</v>
      </c>
      <c r="Q121" s="53">
        <f t="shared" ca="1" si="10"/>
        <v>-7.2130707489760377E-4</v>
      </c>
      <c r="R121" s="12">
        <f t="shared" ca="1" si="11"/>
        <v>7.2130707489760377E-4</v>
      </c>
      <c r="S121" s="153"/>
      <c r="U121" s="123"/>
    </row>
    <row r="122" spans="1:22" ht="15" x14ac:dyDescent="0.25">
      <c r="A122" s="66">
        <v>43830</v>
      </c>
      <c r="B122" s="114">
        <f t="shared" si="12"/>
        <v>2019</v>
      </c>
      <c r="C122" s="114">
        <f t="shared" si="13"/>
        <v>12</v>
      </c>
      <c r="D122" s="107">
        <f>Purchases!C122</f>
        <v>20791848.943550967</v>
      </c>
      <c r="E122" s="104">
        <v>4357443.9816535302</v>
      </c>
      <c r="F122" s="171">
        <f ca="1">CDM!D130</f>
        <v>1059191.7373667555</v>
      </c>
      <c r="G122" s="94">
        <f t="shared" ca="1" si="14"/>
        <v>17493596.699264191</v>
      </c>
      <c r="H122" s="90">
        <f>Weather!H229</f>
        <v>493.69999999999987</v>
      </c>
      <c r="I122" s="90">
        <f>Weather!I229</f>
        <v>0</v>
      </c>
      <c r="J122" s="108">
        <v>31</v>
      </c>
      <c r="K122" s="108">
        <f t="shared" si="15"/>
        <v>0</v>
      </c>
      <c r="L122" s="152">
        <f>Data!AC109</f>
        <v>0</v>
      </c>
      <c r="M122" s="152">
        <f>Data!AD109</f>
        <v>0</v>
      </c>
      <c r="N122" s="150">
        <f>'Customer Count'!I109</f>
        <v>14397.5</v>
      </c>
      <c r="O122" s="67">
        <f t="shared" si="8"/>
        <v>17110386.241102826</v>
      </c>
      <c r="P122" s="40">
        <f t="shared" ca="1" si="9"/>
        <v>-383210.45816136524</v>
      </c>
      <c r="Q122" s="53">
        <f t="shared" ca="1" si="10"/>
        <v>-2.1905755845936684E-2</v>
      </c>
      <c r="R122" s="12">
        <f ca="1">ABS(Q122)</f>
        <v>2.1905755845936684E-2</v>
      </c>
      <c r="S122" s="153"/>
      <c r="U122" s="123"/>
      <c r="V122" s="123">
        <f>SUM(U113:U122)</f>
        <v>0</v>
      </c>
    </row>
    <row r="123" spans="1:22" ht="15" x14ac:dyDescent="0.25">
      <c r="A123" s="66">
        <v>43861</v>
      </c>
      <c r="B123" s="114">
        <f t="shared" si="12"/>
        <v>2020</v>
      </c>
      <c r="C123" s="114">
        <f t="shared" si="13"/>
        <v>1</v>
      </c>
      <c r="D123" s="107">
        <f>Purchases!C123</f>
        <v>21239209.767112821</v>
      </c>
      <c r="E123" s="104">
        <v>4833173.3349823048</v>
      </c>
      <c r="F123" s="171">
        <f ca="1">CDM!D131</f>
        <v>1049115.2733087833</v>
      </c>
      <c r="G123" s="94">
        <f t="shared" ca="1" si="14"/>
        <v>17455151.705439299</v>
      </c>
      <c r="H123" s="90">
        <f>Weather!H230</f>
        <v>509.5</v>
      </c>
      <c r="I123" s="90">
        <f>Weather!I230</f>
        <v>0</v>
      </c>
      <c r="J123" s="108">
        <v>31</v>
      </c>
      <c r="K123" s="108">
        <f t="shared" si="15"/>
        <v>0</v>
      </c>
      <c r="L123" s="152">
        <f>Data!AC110</f>
        <v>0</v>
      </c>
      <c r="M123" s="152">
        <f>Data!AD110</f>
        <v>0</v>
      </c>
      <c r="N123" s="150">
        <f>'Customer Count'!I110</f>
        <v>14413.5</v>
      </c>
      <c r="O123" s="67">
        <f t="shared" si="8"/>
        <v>17218156.263443626</v>
      </c>
      <c r="P123" s="40">
        <f t="shared" ca="1" si="9"/>
        <v>-236995.44199567288</v>
      </c>
      <c r="Q123" s="53">
        <f t="shared" ca="1" si="10"/>
        <v>-1.3577392279084081E-2</v>
      </c>
      <c r="R123" s="12">
        <f t="shared" ref="R123:R131" ca="1" si="16">ABS(Q123)</f>
        <v>1.3577392279084081E-2</v>
      </c>
      <c r="U123" s="123"/>
    </row>
    <row r="124" spans="1:22" ht="15" x14ac:dyDescent="0.25">
      <c r="A124" s="66">
        <v>43890</v>
      </c>
      <c r="B124" s="114">
        <f t="shared" si="12"/>
        <v>2020</v>
      </c>
      <c r="C124" s="114">
        <f t="shared" si="13"/>
        <v>2</v>
      </c>
      <c r="D124" s="107">
        <f>Purchases!C124</f>
        <v>19035160.954744305</v>
      </c>
      <c r="E124" s="104">
        <v>3781055.952817406</v>
      </c>
      <c r="F124" s="171">
        <f ca="1">CDM!D132</f>
        <v>1049115.2733087833</v>
      </c>
      <c r="G124" s="94">
        <f t="shared" ca="1" si="14"/>
        <v>16303220.275235683</v>
      </c>
      <c r="H124" s="90">
        <f>Weather!H231</f>
        <v>506.20000000000005</v>
      </c>
      <c r="I124" s="90">
        <f>Weather!I231</f>
        <v>0</v>
      </c>
      <c r="J124" s="108">
        <v>29</v>
      </c>
      <c r="K124" s="108">
        <f t="shared" si="15"/>
        <v>0</v>
      </c>
      <c r="L124" s="152">
        <f>Data!AC111</f>
        <v>0</v>
      </c>
      <c r="M124" s="152">
        <f>Data!AD111</f>
        <v>0</v>
      </c>
      <c r="N124" s="150">
        <f>'Customer Count'!I111</f>
        <v>14427.5</v>
      </c>
      <c r="O124" s="67">
        <f t="shared" si="8"/>
        <v>16214136.40924762</v>
      </c>
      <c r="P124" s="40">
        <f t="shared" ca="1" si="9"/>
        <v>-89083.865988062695</v>
      </c>
      <c r="Q124" s="53">
        <f t="shared" ca="1" si="10"/>
        <v>-5.464188331147043E-3</v>
      </c>
      <c r="R124" s="12">
        <f t="shared" ca="1" si="16"/>
        <v>5.464188331147043E-3</v>
      </c>
      <c r="S124"/>
      <c r="U124" s="55" t="s">
        <v>259</v>
      </c>
    </row>
    <row r="125" spans="1:22" ht="15" x14ac:dyDescent="0.25">
      <c r="A125" s="66">
        <v>43921</v>
      </c>
      <c r="B125" s="114">
        <f t="shared" si="12"/>
        <v>2020</v>
      </c>
      <c r="C125" s="114">
        <f t="shared" si="13"/>
        <v>3</v>
      </c>
      <c r="D125" s="107">
        <f>Purchases!C125</f>
        <v>19087245.664711308</v>
      </c>
      <c r="E125" s="104">
        <v>4032656.886527366</v>
      </c>
      <c r="F125" s="171">
        <f ca="1">CDM!D133</f>
        <v>1049115.2733087833</v>
      </c>
      <c r="G125" s="94">
        <f t="shared" ca="1" si="14"/>
        <v>16103704.051492725</v>
      </c>
      <c r="H125" s="90">
        <f>Weather!H232</f>
        <v>380.49999999999989</v>
      </c>
      <c r="I125" s="90">
        <f>Weather!I232</f>
        <v>0</v>
      </c>
      <c r="J125" s="108">
        <v>31</v>
      </c>
      <c r="K125" s="108">
        <f t="shared" si="15"/>
        <v>1</v>
      </c>
      <c r="L125" s="152"/>
      <c r="M125" s="152"/>
      <c r="N125" s="150">
        <f>'Customer Count'!I112</f>
        <v>14433.5</v>
      </c>
      <c r="O125" s="67">
        <f t="shared" si="8"/>
        <v>15751778.349568242</v>
      </c>
      <c r="P125" s="40">
        <f t="shared" ca="1" si="9"/>
        <v>-351925.70192448236</v>
      </c>
      <c r="Q125" s="53">
        <f t="shared" ca="1" si="10"/>
        <v>-2.1853711469061728E-2</v>
      </c>
      <c r="R125" s="12">
        <f t="shared" ca="1" si="16"/>
        <v>2.1853711469061728E-2</v>
      </c>
      <c r="S125"/>
      <c r="U125" s="292">
        <f>L125*$U$15+M125*$U$16</f>
        <v>0</v>
      </c>
    </row>
    <row r="126" spans="1:22" ht="15" x14ac:dyDescent="0.25">
      <c r="A126" s="66">
        <v>43951</v>
      </c>
      <c r="B126" s="114">
        <f t="shared" si="12"/>
        <v>2020</v>
      </c>
      <c r="C126" s="114">
        <f t="shared" si="13"/>
        <v>4</v>
      </c>
      <c r="D126" s="107">
        <f>Purchases!C126</f>
        <v>17079543.476648476</v>
      </c>
      <c r="E126" s="104">
        <v>3435746.1940935161</v>
      </c>
      <c r="F126" s="171">
        <f ca="1">CDM!D134</f>
        <v>1049115.2733087833</v>
      </c>
      <c r="G126" s="94">
        <f t="shared" ca="1" si="14"/>
        <v>14692912.555863744</v>
      </c>
      <c r="H126" s="90">
        <f>Weather!H233</f>
        <v>289.2999999999999</v>
      </c>
      <c r="I126" s="90">
        <f>Weather!I233</f>
        <v>0</v>
      </c>
      <c r="J126" s="108">
        <v>30</v>
      </c>
      <c r="K126" s="108">
        <f t="shared" si="15"/>
        <v>1</v>
      </c>
      <c r="L126" s="152"/>
      <c r="M126" s="152"/>
      <c r="N126" s="150">
        <f>'Customer Count'!I113</f>
        <v>14426.5</v>
      </c>
      <c r="O126" s="67">
        <f t="shared" si="8"/>
        <v>14686715.25527899</v>
      </c>
      <c r="P126" s="40">
        <f t="shared" ca="1" si="9"/>
        <v>-6197.3005847539753</v>
      </c>
      <c r="Q126" s="53">
        <f t="shared" ca="1" si="10"/>
        <v>-4.2178843447078951E-4</v>
      </c>
      <c r="R126" s="12">
        <f t="shared" ca="1" si="16"/>
        <v>4.2178843447078951E-4</v>
      </c>
      <c r="S126"/>
      <c r="U126" s="292">
        <f t="shared" ref="U126:U138" si="17">L126*$U$15+M126*$U$16</f>
        <v>0</v>
      </c>
    </row>
    <row r="127" spans="1:22" ht="15" x14ac:dyDescent="0.25">
      <c r="A127" s="66">
        <v>43982</v>
      </c>
      <c r="B127" s="114">
        <f t="shared" si="12"/>
        <v>2020</v>
      </c>
      <c r="C127" s="114">
        <f t="shared" si="13"/>
        <v>5</v>
      </c>
      <c r="D127" s="107">
        <f>Purchases!C127</f>
        <v>19158490.866862137</v>
      </c>
      <c r="E127" s="104">
        <v>4735242.6950270245</v>
      </c>
      <c r="F127" s="171">
        <f ca="1">CDM!D135</f>
        <v>1049115.2733087833</v>
      </c>
      <c r="G127" s="94">
        <f t="shared" ca="1" si="14"/>
        <v>15472363.445143897</v>
      </c>
      <c r="H127" s="90">
        <f>Weather!H234</f>
        <v>154.59999999999997</v>
      </c>
      <c r="I127" s="90">
        <f>Weather!I234</f>
        <v>45.599999999999994</v>
      </c>
      <c r="J127" s="108">
        <v>31</v>
      </c>
      <c r="K127" s="108">
        <f t="shared" si="15"/>
        <v>1</v>
      </c>
      <c r="L127" s="152"/>
      <c r="M127" s="152"/>
      <c r="N127" s="150">
        <f>'Customer Count'!I114</f>
        <v>14418</v>
      </c>
      <c r="O127" s="67">
        <f t="shared" si="8"/>
        <v>15693612.067405697</v>
      </c>
      <c r="P127" s="40">
        <f t="shared" ca="1" si="9"/>
        <v>221248.62226179987</v>
      </c>
      <c r="Q127" s="53">
        <f t="shared" ca="1" si="10"/>
        <v>1.4299600901065971E-2</v>
      </c>
      <c r="R127" s="12">
        <f t="shared" ca="1" si="16"/>
        <v>1.4299600901065971E-2</v>
      </c>
      <c r="S127"/>
      <c r="U127" s="292">
        <f t="shared" si="17"/>
        <v>0</v>
      </c>
    </row>
    <row r="128" spans="1:22" ht="15" x14ac:dyDescent="0.25">
      <c r="A128" s="66">
        <v>44012</v>
      </c>
      <c r="B128" s="114">
        <f t="shared" si="12"/>
        <v>2020</v>
      </c>
      <c r="C128" s="114">
        <f t="shared" si="13"/>
        <v>6</v>
      </c>
      <c r="D128" s="107">
        <f>Purchases!C128</f>
        <v>23659036.820064977</v>
      </c>
      <c r="E128" s="104">
        <v>6037296.4429668775</v>
      </c>
      <c r="F128" s="171">
        <f ca="1">CDM!D136</f>
        <v>1049115.2733087833</v>
      </c>
      <c r="G128" s="94">
        <f t="shared" ca="1" si="14"/>
        <v>18670855.650406882</v>
      </c>
      <c r="H128" s="90">
        <f>Weather!H235</f>
        <v>7.5999999999999979</v>
      </c>
      <c r="I128" s="90">
        <f>Weather!I235</f>
        <v>142</v>
      </c>
      <c r="J128" s="108">
        <v>30</v>
      </c>
      <c r="K128" s="108">
        <f t="shared" si="15"/>
        <v>0</v>
      </c>
      <c r="L128" s="152"/>
      <c r="M128" s="152"/>
      <c r="N128" s="150">
        <f>'Customer Count'!I115</f>
        <v>14419.5</v>
      </c>
      <c r="O128" s="67">
        <f t="shared" si="8"/>
        <v>17822369.809420213</v>
      </c>
      <c r="P128" s="40">
        <f t="shared" ca="1" si="9"/>
        <v>-848485.84098666906</v>
      </c>
      <c r="Q128" s="53">
        <f t="shared" ca="1" si="10"/>
        <v>-4.5444400453504577E-2</v>
      </c>
      <c r="R128" s="12">
        <f t="shared" ca="1" si="16"/>
        <v>4.5444400453504577E-2</v>
      </c>
      <c r="S128"/>
      <c r="U128" s="292">
        <f t="shared" si="17"/>
        <v>0</v>
      </c>
    </row>
    <row r="129" spans="1:22" ht="15" x14ac:dyDescent="0.25">
      <c r="A129" s="66">
        <v>44043</v>
      </c>
      <c r="B129" s="114">
        <f t="shared" si="12"/>
        <v>2020</v>
      </c>
      <c r="C129" s="114">
        <f t="shared" si="13"/>
        <v>7</v>
      </c>
      <c r="D129" s="107">
        <f>Purchases!C129</f>
        <v>31068671.938821949</v>
      </c>
      <c r="E129" s="104">
        <v>8129921.4906045105</v>
      </c>
      <c r="F129" s="171">
        <f ca="1">CDM!D137</f>
        <v>1049115.2733087833</v>
      </c>
      <c r="G129" s="94">
        <f t="shared" ca="1" si="14"/>
        <v>23987865.72152622</v>
      </c>
      <c r="H129" s="90">
        <f>Weather!H236</f>
        <v>0</v>
      </c>
      <c r="I129" s="90">
        <f>Weather!I236</f>
        <v>277.60000000000008</v>
      </c>
      <c r="J129" s="108">
        <v>31</v>
      </c>
      <c r="K129" s="108">
        <f t="shared" si="15"/>
        <v>0</v>
      </c>
      <c r="L129" s="152"/>
      <c r="M129" s="152"/>
      <c r="N129" s="150">
        <f>'Customer Count'!I116</f>
        <v>14419</v>
      </c>
      <c r="O129" s="67">
        <f t="shared" si="8"/>
        <v>22285218.345547572</v>
      </c>
      <c r="P129" s="40">
        <f t="shared" ca="1" si="9"/>
        <v>-1702647.3759786487</v>
      </c>
      <c r="Q129" s="53">
        <f t="shared" ca="1" si="10"/>
        <v>-7.0979527555497676E-2</v>
      </c>
      <c r="R129" s="12">
        <f t="shared" ca="1" si="16"/>
        <v>7.0979527555497676E-2</v>
      </c>
      <c r="S129"/>
      <c r="U129" s="292">
        <f t="shared" si="17"/>
        <v>0</v>
      </c>
    </row>
    <row r="130" spans="1:22" ht="15" x14ac:dyDescent="0.25">
      <c r="A130" s="66">
        <v>44074</v>
      </c>
      <c r="B130" s="114">
        <f t="shared" si="12"/>
        <v>2020</v>
      </c>
      <c r="C130" s="114">
        <f t="shared" si="13"/>
        <v>8</v>
      </c>
      <c r="D130" s="107">
        <f>Purchases!C130</f>
        <v>26721444.06371244</v>
      </c>
      <c r="E130" s="104">
        <v>6612027.0517714433</v>
      </c>
      <c r="F130" s="171">
        <f ca="1">CDM!D138</f>
        <v>1049115.2733087833</v>
      </c>
      <c r="G130" s="94">
        <f t="shared" ca="1" si="14"/>
        <v>21158532.285249781</v>
      </c>
      <c r="H130" s="90">
        <f>Weather!H237</f>
        <v>0</v>
      </c>
      <c r="I130" s="90">
        <f>Weather!I237</f>
        <v>204.70000000000002</v>
      </c>
      <c r="J130" s="108">
        <v>31</v>
      </c>
      <c r="K130" s="108">
        <f t="shared" si="15"/>
        <v>0</v>
      </c>
      <c r="L130" s="152"/>
      <c r="M130" s="152"/>
      <c r="N130" s="150">
        <f>'Customer Count'!I117</f>
        <v>14421</v>
      </c>
      <c r="O130" s="67">
        <f t="shared" si="8"/>
        <v>20128467.98307889</v>
      </c>
      <c r="P130" s="40">
        <f t="shared" ca="1" si="9"/>
        <v>-1030064.3021708913</v>
      </c>
      <c r="Q130" s="53">
        <f t="shared" ca="1" si="10"/>
        <v>-4.8683164232945338E-2</v>
      </c>
      <c r="R130" s="12">
        <f t="shared" ca="1" si="16"/>
        <v>4.8683164232945338E-2</v>
      </c>
      <c r="S130"/>
      <c r="U130" s="292">
        <f t="shared" si="17"/>
        <v>0</v>
      </c>
    </row>
    <row r="131" spans="1:22" ht="15" x14ac:dyDescent="0.25">
      <c r="A131" s="66">
        <v>44104</v>
      </c>
      <c r="B131" s="114">
        <f t="shared" si="12"/>
        <v>2020</v>
      </c>
      <c r="C131" s="114">
        <f t="shared" si="13"/>
        <v>9</v>
      </c>
      <c r="D131" s="107">
        <f>Purchases!C131</f>
        <v>20324132.402995322</v>
      </c>
      <c r="E131" s="104">
        <v>4759664.6737366663</v>
      </c>
      <c r="F131" s="171">
        <f ca="1">CDM!D139</f>
        <v>1049115.2733087833</v>
      </c>
      <c r="G131" s="94">
        <f t="shared" ca="1" si="14"/>
        <v>16613583.00256744</v>
      </c>
      <c r="H131" s="90">
        <f>Weather!H238</f>
        <v>21.899999999999995</v>
      </c>
      <c r="I131" s="90">
        <f>Weather!I238</f>
        <v>73.099999999999994</v>
      </c>
      <c r="J131" s="108">
        <v>30</v>
      </c>
      <c r="K131" s="108">
        <f t="shared" si="15"/>
        <v>0</v>
      </c>
      <c r="L131" s="152"/>
      <c r="M131" s="152"/>
      <c r="N131" s="150">
        <f>'Customer Count'!I118</f>
        <v>14423.5</v>
      </c>
      <c r="O131" s="67">
        <f t="shared" ref="O131:O158" si="18">$U$10+H131*$U$11+I131*$U$12+J131*$U$13+K131*$U$14+L131*$U$15+M131*$U$16+N131*$U$17</f>
        <v>15873793.715202941</v>
      </c>
      <c r="P131" s="40">
        <f ca="1">O131-G131</f>
        <v>-739789.28736449964</v>
      </c>
      <c r="Q131" s="53">
        <f ca="1">P131/G131</f>
        <v>-4.4529183575281357E-2</v>
      </c>
      <c r="R131" s="12">
        <f t="shared" ca="1" si="16"/>
        <v>4.4529183575281357E-2</v>
      </c>
      <c r="S131" s="192">
        <f ca="1">AVERAGE(R3:R134)</f>
        <v>1.8012194713875988E-2</v>
      </c>
      <c r="T131" t="s">
        <v>63</v>
      </c>
      <c r="U131" s="292">
        <f t="shared" si="17"/>
        <v>0</v>
      </c>
    </row>
    <row r="132" spans="1:22" ht="15" x14ac:dyDescent="0.25">
      <c r="A132" s="66">
        <v>44135</v>
      </c>
      <c r="B132" s="114">
        <f t="shared" ref="B132:B158" si="19">YEAR(A132)</f>
        <v>2020</v>
      </c>
      <c r="C132" s="114">
        <f t="shared" ref="C132:C158" si="20">MONTH(A132)</f>
        <v>10</v>
      </c>
      <c r="D132" s="107">
        <f>Purchases!C132</f>
        <v>19166451.094120812</v>
      </c>
      <c r="E132" s="107">
        <v>4510134.313046311</v>
      </c>
      <c r="F132" s="171">
        <f ca="1">CDM!D140</f>
        <v>1049115.2733087833</v>
      </c>
      <c r="G132" s="94">
        <f ca="1">D132+F132-E132</f>
        <v>15705432.054383285</v>
      </c>
      <c r="H132" s="90">
        <f>Weather!H239</f>
        <v>172.2</v>
      </c>
      <c r="I132" s="90">
        <f>Weather!I239</f>
        <v>5.8000000000000007</v>
      </c>
      <c r="J132" s="67">
        <v>31</v>
      </c>
      <c r="K132" s="108">
        <f t="shared" si="15"/>
        <v>0</v>
      </c>
      <c r="L132" s="152"/>
      <c r="M132" s="152"/>
      <c r="N132" s="150">
        <f>'Customer Count'!I119</f>
        <v>14424</v>
      </c>
      <c r="O132" s="67">
        <f t="shared" si="18"/>
        <v>15308426.751455955</v>
      </c>
      <c r="P132" s="40">
        <f ca="1">O132-G132</f>
        <v>-397005.30292733014</v>
      </c>
      <c r="Q132" s="53">
        <f ca="1">P132/G132</f>
        <v>-2.5278215941632022E-2</v>
      </c>
      <c r="R132" s="12">
        <f ca="1">ABS(Q132)</f>
        <v>2.5278215941632022E-2</v>
      </c>
      <c r="S132"/>
      <c r="U132" s="292">
        <f t="shared" si="17"/>
        <v>0</v>
      </c>
    </row>
    <row r="133" spans="1:22" ht="15" x14ac:dyDescent="0.25">
      <c r="A133" s="66">
        <v>44165</v>
      </c>
      <c r="B133" s="114">
        <f t="shared" si="19"/>
        <v>2020</v>
      </c>
      <c r="C133" s="114">
        <f t="shared" si="20"/>
        <v>11</v>
      </c>
      <c r="D133" s="107">
        <f>Purchases!C133</f>
        <v>18736074.894379988</v>
      </c>
      <c r="E133" s="107">
        <v>3624554.3128952486</v>
      </c>
      <c r="F133" s="171">
        <f ca="1">CDM!D141</f>
        <v>1049115.2733087833</v>
      </c>
      <c r="G133" s="94">
        <f ca="1">D133+F133-E133</f>
        <v>16160635.854793523</v>
      </c>
      <c r="H133" s="90">
        <f>Weather!H240</f>
        <v>251.89999999999998</v>
      </c>
      <c r="I133" s="90">
        <f>Weather!I240</f>
        <v>3.1000000000000014</v>
      </c>
      <c r="J133" s="67">
        <v>30</v>
      </c>
      <c r="K133" s="108">
        <f t="shared" si="15"/>
        <v>0</v>
      </c>
      <c r="L133" s="152"/>
      <c r="M133" s="152"/>
      <c r="N133" s="150">
        <f>'Customer Count'!I120</f>
        <v>14421</v>
      </c>
      <c r="O133" s="67">
        <f t="shared" si="18"/>
        <v>15223837.590386195</v>
      </c>
      <c r="P133" s="40">
        <f ca="1">O133-G133</f>
        <v>-936798.2644073274</v>
      </c>
      <c r="Q133" s="53">
        <f ca="1">P133/G133</f>
        <v>-5.7967908739770098E-2</v>
      </c>
      <c r="R133" s="12">
        <f ca="1">ABS(Q133)</f>
        <v>5.7967908739770098E-2</v>
      </c>
      <c r="S133"/>
      <c r="U133" s="292">
        <f t="shared" si="17"/>
        <v>0</v>
      </c>
    </row>
    <row r="134" spans="1:22" ht="15" x14ac:dyDescent="0.25">
      <c r="A134" s="66">
        <v>44196</v>
      </c>
      <c r="B134" s="114">
        <f t="shared" si="19"/>
        <v>2020</v>
      </c>
      <c r="C134" s="114">
        <f t="shared" si="20"/>
        <v>12</v>
      </c>
      <c r="D134" s="107">
        <f>Purchases!C134</f>
        <v>22275090.071478143</v>
      </c>
      <c r="E134" s="107">
        <v>4690646.6356936488</v>
      </c>
      <c r="F134" s="171">
        <f ca="1">CDM!D142</f>
        <v>1049115.2733087833</v>
      </c>
      <c r="G134" s="94">
        <f ca="1">D134+F134-E134</f>
        <v>18633558.70909328</v>
      </c>
      <c r="H134" s="90">
        <f>Weather!H241</f>
        <v>475.89999999999986</v>
      </c>
      <c r="I134" s="90">
        <f>Weather!I241</f>
        <v>0</v>
      </c>
      <c r="J134" s="67">
        <v>31</v>
      </c>
      <c r="K134" s="108">
        <f t="shared" si="15"/>
        <v>0</v>
      </c>
      <c r="L134" s="152"/>
      <c r="M134" s="152"/>
      <c r="N134" s="150">
        <f>'Customer Count'!I121</f>
        <v>14427</v>
      </c>
      <c r="O134" s="67">
        <f t="shared" si="18"/>
        <v>17018572.464767125</v>
      </c>
      <c r="P134" s="40">
        <f ca="1">O134-G134</f>
        <v>-1614986.2443261556</v>
      </c>
      <c r="Q134" s="53">
        <f ca="1">P134/G134</f>
        <v>-8.6670843156655492E-2</v>
      </c>
      <c r="R134" s="12">
        <f ca="1">ABS(Q134)</f>
        <v>8.6670843156655492E-2</v>
      </c>
      <c r="S134"/>
      <c r="U134" s="292">
        <f t="shared" si="17"/>
        <v>0</v>
      </c>
      <c r="V134" s="123">
        <f>SUM(U125:U134)</f>
        <v>0</v>
      </c>
    </row>
    <row r="135" spans="1:22" x14ac:dyDescent="0.2">
      <c r="A135" s="66">
        <v>44227</v>
      </c>
      <c r="B135" s="114">
        <f t="shared" si="19"/>
        <v>2021</v>
      </c>
      <c r="C135" s="114">
        <f t="shared" si="20"/>
        <v>1</v>
      </c>
      <c r="D135" s="258"/>
      <c r="E135" s="258"/>
      <c r="F135" s="171">
        <f ca="1">CDM!D143</f>
        <v>1038798.6979376742</v>
      </c>
      <c r="G135" s="258"/>
      <c r="H135" s="111">
        <f ca="1">Weather!AX61</f>
        <v>607.33000000000004</v>
      </c>
      <c r="I135" s="111">
        <f ca="1">Weather!AY61</f>
        <v>0</v>
      </c>
      <c r="J135" s="113">
        <v>31</v>
      </c>
      <c r="K135" s="108">
        <f t="shared" si="15"/>
        <v>0</v>
      </c>
      <c r="L135" s="152"/>
      <c r="M135" s="152"/>
      <c r="N135" s="151">
        <f>'Customer Count'!Q122</f>
        <v>14505.569962236639</v>
      </c>
      <c r="O135" s="230">
        <f ca="1">$U$10+H135*$U$11+I135*$U$12+J135*$U$13+K135*$U$14+L135*$U$15+M135*$U$16+N135*$U$17</f>
        <v>17881085.19779294</v>
      </c>
      <c r="P135" s="40"/>
      <c r="Q135" s="53"/>
      <c r="R135" s="12"/>
      <c r="S135"/>
      <c r="U135" s="292">
        <f t="shared" si="17"/>
        <v>0</v>
      </c>
    </row>
    <row r="136" spans="1:22" x14ac:dyDescent="0.2">
      <c r="A136" s="66">
        <v>44255</v>
      </c>
      <c r="B136" s="114">
        <f t="shared" si="19"/>
        <v>2021</v>
      </c>
      <c r="C136" s="114">
        <f t="shared" si="20"/>
        <v>2</v>
      </c>
      <c r="D136" s="258"/>
      <c r="E136" s="258"/>
      <c r="F136" s="171">
        <f ca="1">CDM!D144</f>
        <v>1038798.6979376742</v>
      </c>
      <c r="G136" s="258"/>
      <c r="H136" s="111">
        <f ca="1">Weather!AX62</f>
        <v>533.1</v>
      </c>
      <c r="I136" s="111">
        <f ca="1">Weather!AY62</f>
        <v>0</v>
      </c>
      <c r="J136" s="113">
        <v>28</v>
      </c>
      <c r="K136" s="108">
        <f t="shared" si="15"/>
        <v>0</v>
      </c>
      <c r="L136" s="152"/>
      <c r="M136" s="152"/>
      <c r="N136" s="151">
        <f>'Customer Count'!Q123</f>
        <v>14521.313874358173</v>
      </c>
      <c r="O136" s="230">
        <f t="shared" ca="1" si="18"/>
        <v>15942923.576731751</v>
      </c>
      <c r="P136" s="40"/>
      <c r="Q136" s="53"/>
      <c r="R136" s="12"/>
      <c r="S136"/>
      <c r="U136" s="292">
        <f t="shared" si="17"/>
        <v>0</v>
      </c>
    </row>
    <row r="137" spans="1:22" x14ac:dyDescent="0.2">
      <c r="A137" s="66">
        <v>44286</v>
      </c>
      <c r="B137" s="114">
        <f t="shared" si="19"/>
        <v>2021</v>
      </c>
      <c r="C137" s="114">
        <f t="shared" si="20"/>
        <v>3</v>
      </c>
      <c r="D137" s="258"/>
      <c r="E137" s="258"/>
      <c r="F137" s="171">
        <f ca="1">CDM!D145</f>
        <v>1038798.6979376742</v>
      </c>
      <c r="G137" s="258"/>
      <c r="H137" s="111">
        <f ca="1">Weather!AX63</f>
        <v>453.77</v>
      </c>
      <c r="I137" s="111">
        <f ca="1">Weather!AY63</f>
        <v>0.26000000000000012</v>
      </c>
      <c r="J137" s="113">
        <v>31</v>
      </c>
      <c r="K137" s="108">
        <f t="shared" si="15"/>
        <v>1</v>
      </c>
      <c r="L137" s="152"/>
      <c r="M137" s="152"/>
      <c r="N137" s="151">
        <f>'Customer Count'!Q124</f>
        <v>14537.069323843798</v>
      </c>
      <c r="O137" s="230">
        <f t="shared" ca="1" si="18"/>
        <v>16277533.662575457</v>
      </c>
      <c r="P137" s="40"/>
      <c r="Q137" s="53"/>
      <c r="R137" s="12"/>
      <c r="S137"/>
      <c r="U137" s="292">
        <f t="shared" si="17"/>
        <v>0</v>
      </c>
    </row>
    <row r="138" spans="1:22" x14ac:dyDescent="0.2">
      <c r="A138" s="66">
        <v>44316</v>
      </c>
      <c r="B138" s="114">
        <f t="shared" si="19"/>
        <v>2021</v>
      </c>
      <c r="C138" s="114">
        <f t="shared" si="20"/>
        <v>4</v>
      </c>
      <c r="D138" s="258"/>
      <c r="E138" s="258"/>
      <c r="F138" s="171">
        <f ca="1">CDM!D146</f>
        <v>1038798.6979376742</v>
      </c>
      <c r="G138" s="258"/>
      <c r="H138" s="111">
        <f ca="1">Weather!AX64</f>
        <v>276.92999999999995</v>
      </c>
      <c r="I138" s="111">
        <f ca="1">Weather!AY64</f>
        <v>1.2600000000000002</v>
      </c>
      <c r="J138" s="113">
        <v>30</v>
      </c>
      <c r="K138" s="108">
        <f t="shared" si="15"/>
        <v>1</v>
      </c>
      <c r="L138" s="152"/>
      <c r="M138" s="152"/>
      <c r="N138" s="151">
        <f>'Customer Count'!Q125</f>
        <v>14552.836320994007</v>
      </c>
      <c r="O138" s="230">
        <f t="shared" ca="1" si="18"/>
        <v>14726121.208272081</v>
      </c>
      <c r="P138" s="40"/>
      <c r="Q138" s="53"/>
      <c r="R138" s="12"/>
      <c r="S138"/>
      <c r="U138" s="292">
        <f t="shared" si="17"/>
        <v>0</v>
      </c>
      <c r="V138" s="123">
        <f>SUM(U135:U138)</f>
        <v>0</v>
      </c>
    </row>
    <row r="139" spans="1:22" x14ac:dyDescent="0.2">
      <c r="A139" s="66">
        <v>44347</v>
      </c>
      <c r="B139" s="114">
        <f t="shared" si="19"/>
        <v>2021</v>
      </c>
      <c r="C139" s="114">
        <f t="shared" si="20"/>
        <v>5</v>
      </c>
      <c r="D139" s="258"/>
      <c r="E139" s="258"/>
      <c r="F139" s="171">
        <f ca="1">CDM!D147</f>
        <v>1038798.6979376742</v>
      </c>
      <c r="G139" s="258"/>
      <c r="H139" s="111">
        <f ca="1">Weather!AX65</f>
        <v>91.789999999999992</v>
      </c>
      <c r="I139" s="111">
        <f ca="1">Weather!AY65</f>
        <v>44.669999999999995</v>
      </c>
      <c r="J139" s="113">
        <v>31</v>
      </c>
      <c r="K139" s="108">
        <f t="shared" si="15"/>
        <v>1</v>
      </c>
      <c r="L139" s="112"/>
      <c r="M139" s="112"/>
      <c r="N139" s="151">
        <f>'Customer Count'!Q126</f>
        <v>14568.614876122647</v>
      </c>
      <c r="O139" s="230">
        <f t="shared" ca="1" si="18"/>
        <v>15371074.950130787</v>
      </c>
      <c r="P139" s="40"/>
      <c r="Q139" s="53"/>
      <c r="R139" s="12"/>
      <c r="S139"/>
      <c r="U139" s="123"/>
    </row>
    <row r="140" spans="1:22" x14ac:dyDescent="0.2">
      <c r="A140" s="66">
        <v>44377</v>
      </c>
      <c r="B140" s="114">
        <f t="shared" si="19"/>
        <v>2021</v>
      </c>
      <c r="C140" s="114">
        <f t="shared" si="20"/>
        <v>6</v>
      </c>
      <c r="D140" s="258"/>
      <c r="E140" s="258"/>
      <c r="F140" s="171">
        <f ca="1">CDM!D148</f>
        <v>1038798.6979376742</v>
      </c>
      <c r="G140" s="258"/>
      <c r="H140" s="111">
        <f ca="1">Weather!AX66</f>
        <v>8.3199999999999985</v>
      </c>
      <c r="I140" s="111">
        <f ca="1">Weather!AY66</f>
        <v>115.62</v>
      </c>
      <c r="J140" s="113">
        <v>30</v>
      </c>
      <c r="K140" s="108">
        <f t="shared" si="15"/>
        <v>0</v>
      </c>
      <c r="L140" s="112"/>
      <c r="M140" s="112"/>
      <c r="N140" s="151">
        <f>'Customer Count'!Q127</f>
        <v>14584.404999556964</v>
      </c>
      <c r="O140" s="230">
        <f t="shared" ca="1" si="18"/>
        <v>17148622.586489469</v>
      </c>
      <c r="P140" s="40"/>
      <c r="Q140" s="53"/>
      <c r="R140" s="12"/>
      <c r="S140"/>
      <c r="U140" s="123"/>
    </row>
    <row r="141" spans="1:22" x14ac:dyDescent="0.2">
      <c r="A141" s="66">
        <v>44408</v>
      </c>
      <c r="B141" s="114">
        <f t="shared" si="19"/>
        <v>2021</v>
      </c>
      <c r="C141" s="114">
        <f t="shared" si="20"/>
        <v>7</v>
      </c>
      <c r="D141" s="258"/>
      <c r="E141" s="258"/>
      <c r="F141" s="171">
        <f ca="1">CDM!D149</f>
        <v>1038798.6979376742</v>
      </c>
      <c r="G141" s="258"/>
      <c r="H141" s="111">
        <f ca="1">Weather!AX67</f>
        <v>0</v>
      </c>
      <c r="I141" s="111">
        <f ca="1">Weather!AY67</f>
        <v>224.87000000000003</v>
      </c>
      <c r="J141" s="113">
        <v>31</v>
      </c>
      <c r="K141" s="108">
        <f t="shared" si="15"/>
        <v>0</v>
      </c>
      <c r="L141" s="112"/>
      <c r="M141" s="112"/>
      <c r="N141" s="151">
        <f>'Customer Count'!Q128</f>
        <v>14600.20670163759</v>
      </c>
      <c r="O141" s="230">
        <f t="shared" ca="1" si="18"/>
        <v>20837150.246547244</v>
      </c>
      <c r="P141" s="40"/>
      <c r="Q141" s="53"/>
      <c r="R141" s="12"/>
      <c r="S141"/>
      <c r="U141" s="123"/>
    </row>
    <row r="142" spans="1:22" x14ac:dyDescent="0.2">
      <c r="A142" s="66">
        <v>44439</v>
      </c>
      <c r="B142" s="114">
        <f t="shared" si="19"/>
        <v>2021</v>
      </c>
      <c r="C142" s="114">
        <f t="shared" si="20"/>
        <v>8</v>
      </c>
      <c r="D142" s="258"/>
      <c r="E142" s="258"/>
      <c r="F142" s="171">
        <f ca="1">CDM!D150</f>
        <v>1038798.6979376742</v>
      </c>
      <c r="G142" s="258"/>
      <c r="H142" s="111">
        <f ca="1">Weather!AX68</f>
        <v>9.9999999999999638E-3</v>
      </c>
      <c r="I142" s="111">
        <f ca="1">Weather!AY68</f>
        <v>186.09000000000003</v>
      </c>
      <c r="J142" s="113">
        <v>31</v>
      </c>
      <c r="K142" s="108">
        <f t="shared" si="15"/>
        <v>0</v>
      </c>
      <c r="L142" s="112"/>
      <c r="M142" s="112"/>
      <c r="N142" s="151">
        <f>'Customer Count'!Q129</f>
        <v>14616.019992718553</v>
      </c>
      <c r="O142" s="230">
        <f t="shared" ca="1" si="18"/>
        <v>19699089.468836412</v>
      </c>
      <c r="P142" s="40"/>
      <c r="Q142" s="53"/>
      <c r="R142" s="12"/>
      <c r="S142"/>
      <c r="U142" s="123"/>
    </row>
    <row r="143" spans="1:22" x14ac:dyDescent="0.2">
      <c r="A143" s="66">
        <v>44469</v>
      </c>
      <c r="B143" s="114">
        <f t="shared" si="19"/>
        <v>2021</v>
      </c>
      <c r="C143" s="114">
        <f t="shared" si="20"/>
        <v>9</v>
      </c>
      <c r="D143" s="258"/>
      <c r="E143" s="258"/>
      <c r="F143" s="171">
        <f ca="1">CDM!D151</f>
        <v>1038798.6979376742</v>
      </c>
      <c r="G143" s="258"/>
      <c r="H143" s="111">
        <f ca="1">Weather!AX69</f>
        <v>19.43</v>
      </c>
      <c r="I143" s="111">
        <f ca="1">Weather!AY69</f>
        <v>90.78</v>
      </c>
      <c r="J143" s="113">
        <v>30</v>
      </c>
      <c r="K143" s="108">
        <f t="shared" si="15"/>
        <v>0</v>
      </c>
      <c r="L143" s="112"/>
      <c r="M143" s="112"/>
      <c r="N143" s="151">
        <f>'Customer Count'!Q130</f>
        <v>14631.844883167309</v>
      </c>
      <c r="O143" s="230">
        <f t="shared" ca="1" si="18"/>
        <v>16511623.611631481</v>
      </c>
      <c r="P143" s="40"/>
      <c r="Q143" s="53"/>
      <c r="R143" s="12"/>
      <c r="S143"/>
      <c r="U143" s="123"/>
    </row>
    <row r="144" spans="1:22" x14ac:dyDescent="0.2">
      <c r="A144" s="66">
        <v>44500</v>
      </c>
      <c r="B144" s="114">
        <f t="shared" si="19"/>
        <v>2021</v>
      </c>
      <c r="C144" s="114">
        <f t="shared" si="20"/>
        <v>10</v>
      </c>
      <c r="D144" s="258"/>
      <c r="E144" s="258"/>
      <c r="F144" s="171">
        <f ca="1">CDM!D152</f>
        <v>1038798.6979376742</v>
      </c>
      <c r="G144" s="258"/>
      <c r="H144" s="111">
        <f ca="1">Weather!AX70</f>
        <v>147.23999999999998</v>
      </c>
      <c r="I144" s="111">
        <f ca="1">Weather!AY70</f>
        <v>14.710000000000003</v>
      </c>
      <c r="J144" s="113">
        <v>31</v>
      </c>
      <c r="K144" s="108">
        <f t="shared" ref="K144:K158" si="21">K132</f>
        <v>0</v>
      </c>
      <c r="L144" s="112"/>
      <c r="M144" s="112"/>
      <c r="N144" s="151">
        <f>'Customer Count'!Q131</f>
        <v>14647.681383364732</v>
      </c>
      <c r="O144" s="230">
        <f t="shared" ca="1" si="18"/>
        <v>15556979.176374149</v>
      </c>
      <c r="P144" s="40"/>
      <c r="Q144" s="53"/>
      <c r="R144" s="12"/>
      <c r="S144"/>
    </row>
    <row r="145" spans="1:19" x14ac:dyDescent="0.2">
      <c r="A145" s="66">
        <v>44530</v>
      </c>
      <c r="B145" s="114">
        <f t="shared" si="19"/>
        <v>2021</v>
      </c>
      <c r="C145" s="114">
        <f t="shared" si="20"/>
        <v>11</v>
      </c>
      <c r="D145" s="258"/>
      <c r="E145" s="258"/>
      <c r="F145" s="171">
        <f ca="1">CDM!D153</f>
        <v>1038798.6979376742</v>
      </c>
      <c r="G145" s="258"/>
      <c r="H145" s="111">
        <f ca="1">Weather!AX71</f>
        <v>331.03</v>
      </c>
      <c r="I145" s="111">
        <f ca="1">Weather!AY71</f>
        <v>0.54000000000000026</v>
      </c>
      <c r="J145" s="113">
        <v>30</v>
      </c>
      <c r="K145" s="108">
        <f t="shared" si="21"/>
        <v>0</v>
      </c>
      <c r="L145" s="112"/>
      <c r="M145" s="112"/>
      <c r="N145" s="151">
        <f>'Customer Count'!Q132</f>
        <v>14663.529503705133</v>
      </c>
      <c r="O145" s="230">
        <f t="shared" ca="1" si="18"/>
        <v>15788931.778245274</v>
      </c>
      <c r="P145" s="40"/>
      <c r="Q145" s="53"/>
      <c r="R145" s="12"/>
      <c r="S145"/>
    </row>
    <row r="146" spans="1:19" x14ac:dyDescent="0.2">
      <c r="A146" s="66">
        <v>44561</v>
      </c>
      <c r="B146" s="114">
        <f t="shared" si="19"/>
        <v>2021</v>
      </c>
      <c r="C146" s="114">
        <f t="shared" si="20"/>
        <v>12</v>
      </c>
      <c r="D146" s="258"/>
      <c r="E146" s="258"/>
      <c r="F146" s="171">
        <f ca="1">CDM!D154</f>
        <v>1038798.6979376742</v>
      </c>
      <c r="G146" s="258"/>
      <c r="H146" s="111">
        <f ca="1">Weather!AX72</f>
        <v>485.42000000000007</v>
      </c>
      <c r="I146" s="111">
        <f ca="1">Weather!AY72</f>
        <v>0</v>
      </c>
      <c r="J146" s="113">
        <v>31</v>
      </c>
      <c r="K146" s="108">
        <f t="shared" si="21"/>
        <v>0</v>
      </c>
      <c r="L146" s="112"/>
      <c r="M146" s="112"/>
      <c r="N146" s="151">
        <f>'Customer Count'!Q133</f>
        <v>14679.389254596274</v>
      </c>
      <c r="O146" s="230">
        <f t="shared" ca="1" si="18"/>
        <v>17234687.423160408</v>
      </c>
      <c r="P146" s="40"/>
      <c r="Q146" s="53"/>
      <c r="R146" s="12"/>
      <c r="S146"/>
    </row>
    <row r="147" spans="1:19" x14ac:dyDescent="0.2">
      <c r="A147" s="66">
        <v>44592</v>
      </c>
      <c r="B147" s="114">
        <f t="shared" si="19"/>
        <v>2022</v>
      </c>
      <c r="C147" s="114">
        <f t="shared" si="20"/>
        <v>1</v>
      </c>
      <c r="D147" s="258"/>
      <c r="E147" s="258"/>
      <c r="F147" s="171">
        <f ca="1">CDM!D155</f>
        <v>1005081.2242870992</v>
      </c>
      <c r="G147" s="258"/>
      <c r="H147" s="111">
        <f ca="1">H135</f>
        <v>607.33000000000004</v>
      </c>
      <c r="I147" s="111">
        <f ca="1">I135</f>
        <v>0</v>
      </c>
      <c r="J147" s="113">
        <v>31</v>
      </c>
      <c r="K147" s="108">
        <f t="shared" si="21"/>
        <v>0</v>
      </c>
      <c r="L147" s="112"/>
      <c r="M147" s="112"/>
      <c r="N147" s="151">
        <f>'Customer Count'!Q134</f>
        <v>14710.927313126034</v>
      </c>
      <c r="O147" s="231">
        <f t="shared" ca="1" si="18"/>
        <v>18008978.532005742</v>
      </c>
      <c r="P147" s="40"/>
      <c r="Q147" s="53"/>
      <c r="R147" s="12"/>
      <c r="S147"/>
    </row>
    <row r="148" spans="1:19" x14ac:dyDescent="0.2">
      <c r="A148" s="66">
        <v>44620</v>
      </c>
      <c r="B148" s="114">
        <f t="shared" si="19"/>
        <v>2022</v>
      </c>
      <c r="C148" s="114">
        <f t="shared" si="20"/>
        <v>2</v>
      </c>
      <c r="D148" s="258"/>
      <c r="E148" s="258"/>
      <c r="F148" s="171">
        <f ca="1">CDM!D156</f>
        <v>1005081.2242870992</v>
      </c>
      <c r="G148" s="258"/>
      <c r="H148" s="111">
        <f t="shared" ref="H148:I158" ca="1" si="22">H136</f>
        <v>533.1</v>
      </c>
      <c r="I148" s="111">
        <f t="shared" ca="1" si="22"/>
        <v>0</v>
      </c>
      <c r="J148" s="113">
        <v>28</v>
      </c>
      <c r="K148" s="108">
        <f t="shared" si="21"/>
        <v>0</v>
      </c>
      <c r="L148" s="112"/>
      <c r="M148" s="112"/>
      <c r="N148" s="151">
        <f>'Customer Count'!Q135</f>
        <v>14742.477023062438</v>
      </c>
      <c r="O148" s="231">
        <f t="shared" ca="1" si="18"/>
        <v>16080660.513687201</v>
      </c>
      <c r="P148" s="40"/>
      <c r="Q148" s="53"/>
      <c r="R148" s="12"/>
      <c r="S148"/>
    </row>
    <row r="149" spans="1:19" x14ac:dyDescent="0.2">
      <c r="A149" s="66">
        <v>44651</v>
      </c>
      <c r="B149" s="114">
        <f t="shared" si="19"/>
        <v>2022</v>
      </c>
      <c r="C149" s="114">
        <f t="shared" si="20"/>
        <v>3</v>
      </c>
      <c r="D149" s="258"/>
      <c r="E149" s="258"/>
      <c r="F149" s="171">
        <f ca="1">CDM!D157</f>
        <v>1005081.2242870992</v>
      </c>
      <c r="G149" s="258"/>
      <c r="H149" s="111">
        <f t="shared" ca="1" si="22"/>
        <v>453.77</v>
      </c>
      <c r="I149" s="111">
        <f t="shared" ca="1" si="22"/>
        <v>0.26000000000000012</v>
      </c>
      <c r="J149" s="113">
        <v>31</v>
      </c>
      <c r="K149" s="108">
        <f t="shared" si="21"/>
        <v>1</v>
      </c>
      <c r="L149" s="112"/>
      <c r="M149" s="112"/>
      <c r="N149" s="151">
        <f>'Customer Count'!Q136</f>
        <v>14774.038394853656</v>
      </c>
      <c r="O149" s="231">
        <f t="shared" ca="1" si="18"/>
        <v>16425114.27980442</v>
      </c>
      <c r="P149" s="40"/>
      <c r="Q149" s="53"/>
      <c r="R149" s="12"/>
      <c r="S149"/>
    </row>
    <row r="150" spans="1:19" x14ac:dyDescent="0.2">
      <c r="A150" s="66">
        <v>44681</v>
      </c>
      <c r="B150" s="114">
        <f t="shared" si="19"/>
        <v>2022</v>
      </c>
      <c r="C150" s="114">
        <f t="shared" si="20"/>
        <v>4</v>
      </c>
      <c r="D150" s="258"/>
      <c r="E150" s="258"/>
      <c r="F150" s="171">
        <f ca="1">CDM!D158</f>
        <v>1005081.2242870992</v>
      </c>
      <c r="G150" s="258"/>
      <c r="H150" s="111">
        <f t="shared" ca="1" si="22"/>
        <v>276.92999999999995</v>
      </c>
      <c r="I150" s="111">
        <f t="shared" ca="1" si="22"/>
        <v>1.2600000000000002</v>
      </c>
      <c r="J150" s="113">
        <v>30</v>
      </c>
      <c r="K150" s="108">
        <f t="shared" si="21"/>
        <v>1</v>
      </c>
      <c r="L150" s="112"/>
      <c r="M150" s="112"/>
      <c r="N150" s="151">
        <f>'Customer Count'!Q137</f>
        <v>14805.611438961343</v>
      </c>
      <c r="O150" s="231">
        <f t="shared" ca="1" si="18"/>
        <v>14883545.583405793</v>
      </c>
      <c r="P150" s="40"/>
      <c r="Q150" s="53"/>
      <c r="R150" s="12"/>
      <c r="S150"/>
    </row>
    <row r="151" spans="1:19" x14ac:dyDescent="0.2">
      <c r="A151" s="66">
        <v>44712</v>
      </c>
      <c r="B151" s="114">
        <f t="shared" si="19"/>
        <v>2022</v>
      </c>
      <c r="C151" s="114">
        <f t="shared" si="20"/>
        <v>5</v>
      </c>
      <c r="D151" s="258"/>
      <c r="E151" s="258"/>
      <c r="F151" s="171">
        <f ca="1">CDM!D159</f>
        <v>1005081.2242870992</v>
      </c>
      <c r="G151" s="258"/>
      <c r="H151" s="111">
        <f t="shared" ca="1" si="22"/>
        <v>91.789999999999992</v>
      </c>
      <c r="I151" s="111">
        <f t="shared" ca="1" si="22"/>
        <v>44.669999999999995</v>
      </c>
      <c r="J151" s="113">
        <v>31</v>
      </c>
      <c r="K151" s="108">
        <f t="shared" si="21"/>
        <v>1</v>
      </c>
      <c r="L151" s="112"/>
      <c r="M151" s="112"/>
      <c r="N151" s="151">
        <f>'Customer Count'!Q138</f>
        <v>14837.196165860663</v>
      </c>
      <c r="O151" s="231">
        <f t="shared" ca="1" si="18"/>
        <v>15538343.16090095</v>
      </c>
      <c r="P151" s="40"/>
      <c r="Q151" s="53"/>
      <c r="R151" s="12"/>
      <c r="S151"/>
    </row>
    <row r="152" spans="1:19" x14ac:dyDescent="0.2">
      <c r="A152" s="66">
        <v>44742</v>
      </c>
      <c r="B152" s="114">
        <f t="shared" si="19"/>
        <v>2022</v>
      </c>
      <c r="C152" s="114">
        <f t="shared" si="20"/>
        <v>6</v>
      </c>
      <c r="D152" s="258"/>
      <c r="E152" s="258"/>
      <c r="F152" s="171">
        <f ca="1">CDM!D160</f>
        <v>1005081.2242870992</v>
      </c>
      <c r="G152" s="258"/>
      <c r="H152" s="111">
        <f t="shared" ca="1" si="22"/>
        <v>8.3199999999999985</v>
      </c>
      <c r="I152" s="111">
        <f t="shared" ca="1" si="22"/>
        <v>115.62</v>
      </c>
      <c r="J152" s="113">
        <v>30</v>
      </c>
      <c r="K152" s="108">
        <f t="shared" si="21"/>
        <v>0</v>
      </c>
      <c r="L152" s="112"/>
      <c r="M152" s="112"/>
      <c r="N152" s="151">
        <f>'Customer Count'!Q139</f>
        <v>14868.792586040297</v>
      </c>
      <c r="O152" s="231">
        <f t="shared" ca="1" si="18"/>
        <v>17325734.710728325</v>
      </c>
      <c r="P152" s="40"/>
      <c r="Q152" s="53"/>
      <c r="R152" s="12"/>
      <c r="S152"/>
    </row>
    <row r="153" spans="1:19" x14ac:dyDescent="0.2">
      <c r="A153" s="66">
        <v>44773</v>
      </c>
      <c r="B153" s="114">
        <f t="shared" si="19"/>
        <v>2022</v>
      </c>
      <c r="C153" s="114">
        <f t="shared" si="20"/>
        <v>7</v>
      </c>
      <c r="D153" s="258"/>
      <c r="E153" s="258"/>
      <c r="F153" s="171">
        <f ca="1">CDM!D161</f>
        <v>1005081.2242870992</v>
      </c>
      <c r="G153" s="258"/>
      <c r="H153" s="111">
        <f t="shared" ca="1" si="22"/>
        <v>0</v>
      </c>
      <c r="I153" s="111">
        <f t="shared" ca="1" si="22"/>
        <v>224.87000000000003</v>
      </c>
      <c r="J153" s="113">
        <v>31</v>
      </c>
      <c r="K153" s="108">
        <f t="shared" si="21"/>
        <v>0</v>
      </c>
      <c r="L153" s="112"/>
      <c r="M153" s="112"/>
      <c r="N153" s="151">
        <f>'Customer Count'!Q140</f>
        <v>14900.400710002439</v>
      </c>
      <c r="O153" s="231">
        <f t="shared" ca="1" si="18"/>
        <v>21024106.362187658</v>
      </c>
      <c r="P153" s="40"/>
      <c r="Q153" s="53"/>
      <c r="R153" s="12"/>
      <c r="S153"/>
    </row>
    <row r="154" spans="1:19" x14ac:dyDescent="0.2">
      <c r="A154" s="66">
        <v>44804</v>
      </c>
      <c r="B154" s="114">
        <f t="shared" si="19"/>
        <v>2022</v>
      </c>
      <c r="C154" s="114">
        <f t="shared" si="20"/>
        <v>8</v>
      </c>
      <c r="D154" s="258"/>
      <c r="E154" s="258"/>
      <c r="F154" s="171">
        <f ca="1">CDM!D162</f>
        <v>1005081.2242870992</v>
      </c>
      <c r="G154" s="258"/>
      <c r="H154" s="111">
        <f t="shared" ca="1" si="22"/>
        <v>9.9999999999999638E-3</v>
      </c>
      <c r="I154" s="111">
        <f t="shared" ca="1" si="22"/>
        <v>186.09000000000003</v>
      </c>
      <c r="J154" s="113">
        <v>31</v>
      </c>
      <c r="K154" s="108">
        <f t="shared" si="21"/>
        <v>0</v>
      </c>
      <c r="L154" s="112"/>
      <c r="M154" s="112"/>
      <c r="N154" s="151">
        <f>'Customer Count'!Q141</f>
        <v>14932.020548262832</v>
      </c>
      <c r="O154" s="231">
        <f t="shared" ca="1" si="18"/>
        <v>19895889.653911956</v>
      </c>
      <c r="P154" s="40"/>
      <c r="Q154" s="53"/>
      <c r="R154" s="12"/>
      <c r="S154"/>
    </row>
    <row r="155" spans="1:19" x14ac:dyDescent="0.2">
      <c r="A155" s="66">
        <v>44834</v>
      </c>
      <c r="B155" s="114">
        <f t="shared" si="19"/>
        <v>2022</v>
      </c>
      <c r="C155" s="114">
        <f t="shared" si="20"/>
        <v>9</v>
      </c>
      <c r="D155" s="258"/>
      <c r="E155" s="258"/>
      <c r="F155" s="171">
        <f ca="1">CDM!D163</f>
        <v>1005081.2242870992</v>
      </c>
      <c r="G155" s="258"/>
      <c r="H155" s="111">
        <f t="shared" ca="1" si="22"/>
        <v>19.43</v>
      </c>
      <c r="I155" s="111">
        <f t="shared" ca="1" si="22"/>
        <v>90.78</v>
      </c>
      <c r="J155" s="113">
        <v>30</v>
      </c>
      <c r="K155" s="108">
        <f t="shared" si="21"/>
        <v>0</v>
      </c>
      <c r="L155" s="112"/>
      <c r="M155" s="112"/>
      <c r="N155" s="151">
        <f>'Customer Count'!Q142</f>
        <v>14963.652111350762</v>
      </c>
      <c r="O155" s="231">
        <f t="shared" ca="1" si="18"/>
        <v>16718267.944276512</v>
      </c>
      <c r="P155" s="40"/>
      <c r="Q155" s="53"/>
      <c r="R155" s="12"/>
      <c r="S155"/>
    </row>
    <row r="156" spans="1:19" x14ac:dyDescent="0.2">
      <c r="A156" s="66">
        <v>44865</v>
      </c>
      <c r="B156" s="114">
        <f t="shared" si="19"/>
        <v>2022</v>
      </c>
      <c r="C156" s="114">
        <f t="shared" si="20"/>
        <v>10</v>
      </c>
      <c r="D156" s="258"/>
      <c r="E156" s="258"/>
      <c r="F156" s="171">
        <f ca="1">CDM!D164</f>
        <v>1005081.2242870992</v>
      </c>
      <c r="G156" s="258"/>
      <c r="H156" s="111">
        <f t="shared" ca="1" si="22"/>
        <v>147.23999999999998</v>
      </c>
      <c r="I156" s="111">
        <f t="shared" ca="1" si="22"/>
        <v>14.710000000000003</v>
      </c>
      <c r="J156" s="113">
        <v>31</v>
      </c>
      <c r="K156" s="108">
        <f t="shared" si="21"/>
        <v>0</v>
      </c>
      <c r="L156" s="112"/>
      <c r="M156" s="112"/>
      <c r="N156" s="151">
        <f>'Customer Count'!Q143</f>
        <v>14995.295409809067</v>
      </c>
      <c r="O156" s="231">
        <f t="shared" ca="1" si="18"/>
        <v>15773467.734823894</v>
      </c>
      <c r="P156" s="40"/>
      <c r="Q156" s="53"/>
      <c r="R156" s="12"/>
      <c r="S156"/>
    </row>
    <row r="157" spans="1:19" x14ac:dyDescent="0.2">
      <c r="A157" s="66">
        <v>44895</v>
      </c>
      <c r="B157" s="114">
        <f t="shared" si="19"/>
        <v>2022</v>
      </c>
      <c r="C157" s="114">
        <f t="shared" si="20"/>
        <v>11</v>
      </c>
      <c r="D157" s="258"/>
      <c r="E157" s="258"/>
      <c r="F157" s="171">
        <f ca="1">CDM!D165</f>
        <v>1005081.2242870992</v>
      </c>
      <c r="G157" s="258"/>
      <c r="H157" s="111">
        <f t="shared" ca="1" si="22"/>
        <v>331.03</v>
      </c>
      <c r="I157" s="111">
        <f t="shared" ca="1" si="22"/>
        <v>0.54000000000000026</v>
      </c>
      <c r="J157" s="113">
        <v>30</v>
      </c>
      <c r="K157" s="108">
        <f t="shared" si="21"/>
        <v>0</v>
      </c>
      <c r="L157" s="112"/>
      <c r="M157" s="112"/>
      <c r="N157" s="151">
        <f>'Customer Count'!Q144</f>
        <v>15026.950454194166</v>
      </c>
      <c r="O157" s="231">
        <f t="shared" ca="1" si="18"/>
        <v>16015264.640835918</v>
      </c>
      <c r="P157" s="40"/>
      <c r="Q157" s="53"/>
      <c r="R157" s="12"/>
      <c r="S157"/>
    </row>
    <row r="158" spans="1:19" x14ac:dyDescent="0.2">
      <c r="A158" s="66">
        <v>44926</v>
      </c>
      <c r="B158" s="114">
        <f t="shared" si="19"/>
        <v>2022</v>
      </c>
      <c r="C158" s="114">
        <f t="shared" si="20"/>
        <v>12</v>
      </c>
      <c r="D158" s="258"/>
      <c r="E158" s="258"/>
      <c r="F158" s="171">
        <f ca="1">CDM!D166</f>
        <v>1005081.2242870992</v>
      </c>
      <c r="G158" s="258"/>
      <c r="H158" s="111">
        <f t="shared" ca="1" si="22"/>
        <v>485.42000000000007</v>
      </c>
      <c r="I158" s="111">
        <f t="shared" ca="1" si="22"/>
        <v>0</v>
      </c>
      <c r="J158" s="113">
        <v>31</v>
      </c>
      <c r="K158" s="108">
        <f t="shared" si="21"/>
        <v>0</v>
      </c>
      <c r="L158" s="112"/>
      <c r="M158" s="112"/>
      <c r="N158" s="151">
        <f>'Customer Count'!Q145</f>
        <v>15058.617255076055</v>
      </c>
      <c r="O158" s="231">
        <f t="shared" ca="1" si="18"/>
        <v>17470864.668329179</v>
      </c>
      <c r="P158" s="40"/>
      <c r="Q158" s="53"/>
      <c r="R158" s="12"/>
      <c r="S158"/>
    </row>
    <row r="159" spans="1:19" x14ac:dyDescent="0.2">
      <c r="A159" s="41"/>
      <c r="B159" s="6"/>
      <c r="C159" s="6"/>
      <c r="J159" s="10"/>
      <c r="K159" s="10"/>
      <c r="S159"/>
    </row>
    <row r="160" spans="1:19" x14ac:dyDescent="0.2">
      <c r="A160" s="41"/>
      <c r="B160" s="6"/>
      <c r="C160" s="6"/>
      <c r="J160" s="10"/>
      <c r="K160" s="10"/>
      <c r="S160"/>
    </row>
    <row r="161" spans="1:26" x14ac:dyDescent="0.2">
      <c r="A161" s="41"/>
      <c r="B161" s="41"/>
      <c r="C161" s="41"/>
      <c r="J161" s="10"/>
      <c r="K161" s="10"/>
      <c r="S161"/>
    </row>
    <row r="162" spans="1:26" x14ac:dyDescent="0.2">
      <c r="A162" s="41"/>
      <c r="B162" s="41"/>
      <c r="C162" s="41"/>
      <c r="H162" s="14"/>
      <c r="I162" s="76" t="s">
        <v>65</v>
      </c>
      <c r="J162" s="10"/>
      <c r="K162" s="10"/>
      <c r="O162" s="40">
        <f ca="1">SUM(O3:O146)</f>
        <v>2356528794.5731649</v>
      </c>
    </row>
    <row r="163" spans="1:26" x14ac:dyDescent="0.2">
      <c r="A163" s="41"/>
      <c r="B163" s="41"/>
      <c r="C163" s="41"/>
      <c r="J163" s="10"/>
      <c r="K163" s="10"/>
    </row>
    <row r="164" spans="1:26" x14ac:dyDescent="0.2">
      <c r="O164" s="6"/>
      <c r="P164" s="256" t="s">
        <v>131</v>
      </c>
      <c r="Q164" s="55" t="s">
        <v>142</v>
      </c>
      <c r="R164" s="256" t="s">
        <v>146</v>
      </c>
      <c r="S164" s="55" t="s">
        <v>226</v>
      </c>
      <c r="T164" s="5"/>
      <c r="W164" s="55"/>
      <c r="X164" s="55"/>
      <c r="Y164" s="55"/>
      <c r="Z164" s="55"/>
    </row>
    <row r="165" spans="1:26" x14ac:dyDescent="0.2">
      <c r="A165" s="32">
        <v>2011</v>
      </c>
      <c r="D165" s="6">
        <f>SUMIF($B$3:$B$158,$A165,D$3:D$158)</f>
        <v>190473063.91087499</v>
      </c>
      <c r="E165" s="6">
        <f>SUMIF($B$3:$B$158,$A165,E$3:E$158)</f>
        <v>0</v>
      </c>
      <c r="F165" s="6">
        <f ca="1">SUMIF($B$3:$B$158,$A165,F$3:F$158)</f>
        <v>520824.3209481074</v>
      </c>
      <c r="G165" s="6">
        <f ca="1">SUMIF($B$3:$B$158,$A165,G$3:G$158)</f>
        <v>190993888.23182315</v>
      </c>
      <c r="O165" s="6">
        <f>SUMIF($B$3:$B$158,$A165,O$3:O$158)</f>
        <v>190093872.64504793</v>
      </c>
      <c r="P165" s="128">
        <f t="shared" ref="P165:P176" ca="1" si="23">F165</f>
        <v>520824.3209481074</v>
      </c>
      <c r="Q165" s="48">
        <f ca="1">O165-P165</f>
        <v>189573048.32409984</v>
      </c>
      <c r="R165" s="6">
        <f t="shared" ref="R165:R174" si="24">E165</f>
        <v>0</v>
      </c>
      <c r="S165" s="72">
        <f ca="1">O165-P165+R165</f>
        <v>189573048.32409984</v>
      </c>
      <c r="T165" s="44">
        <f t="shared" ref="T165:T174" ca="1" si="25">D165-S165</f>
        <v>900015.58677515388</v>
      </c>
      <c r="U165" s="47">
        <f t="shared" ref="U165:U174" ca="1" si="26">T165/S165</f>
        <v>4.7475925229437674E-3</v>
      </c>
      <c r="X165" s="128"/>
      <c r="Y165" s="128"/>
      <c r="Z165" s="128"/>
    </row>
    <row r="166" spans="1:26" x14ac:dyDescent="0.2">
      <c r="A166" s="32">
        <v>2012</v>
      </c>
      <c r="D166" s="6">
        <f t="shared" ref="D166:G176" si="27">SUMIF($B$3:$B$158,$A166,D$3:D$158)</f>
        <v>191452810.61006799</v>
      </c>
      <c r="E166" s="6">
        <f t="shared" si="27"/>
        <v>0</v>
      </c>
      <c r="F166" s="6">
        <f t="shared" ca="1" si="27"/>
        <v>1532724.4935625999</v>
      </c>
      <c r="G166" s="6">
        <f t="shared" ca="1" si="27"/>
        <v>192985535.10363057</v>
      </c>
      <c r="O166" s="6">
        <f t="shared" ref="O166:O172" si="28">SUMIF($B$3:$B$158,$A166,O$3:O$158)</f>
        <v>191985396.44787151</v>
      </c>
      <c r="P166" s="128">
        <f t="shared" ca="1" si="23"/>
        <v>1532724.4935625999</v>
      </c>
      <c r="Q166" s="48">
        <f t="shared" ref="Q166:Q174" ca="1" si="29">O166-P166</f>
        <v>190452671.9543089</v>
      </c>
      <c r="R166" s="6">
        <f t="shared" si="24"/>
        <v>0</v>
      </c>
      <c r="S166" s="72">
        <f t="shared" ref="S166:S174" ca="1" si="30">O166-P166+R166</f>
        <v>190452671.9543089</v>
      </c>
      <c r="T166" s="44">
        <f t="shared" ca="1" si="25"/>
        <v>1000138.6557590961</v>
      </c>
      <c r="U166" s="47">
        <f t="shared" ca="1" si="26"/>
        <v>5.2513763419346372E-3</v>
      </c>
      <c r="X166" s="128"/>
      <c r="Y166" s="128"/>
      <c r="Z166" s="128"/>
    </row>
    <row r="167" spans="1:26" x14ac:dyDescent="0.2">
      <c r="A167" s="32">
        <v>2013</v>
      </c>
      <c r="D167" s="6">
        <f t="shared" si="27"/>
        <v>189981587.17494002</v>
      </c>
      <c r="E167" s="6">
        <f t="shared" si="27"/>
        <v>0</v>
      </c>
      <c r="F167" s="6">
        <f t="shared" ca="1" si="27"/>
        <v>2655730.9873594944</v>
      </c>
      <c r="G167" s="6">
        <f t="shared" ca="1" si="27"/>
        <v>192637318.16229948</v>
      </c>
      <c r="O167" s="6">
        <f t="shared" si="28"/>
        <v>190417203.06541935</v>
      </c>
      <c r="P167" s="128">
        <f t="shared" ca="1" si="23"/>
        <v>2655730.9873594944</v>
      </c>
      <c r="Q167" s="48">
        <f t="shared" ca="1" si="29"/>
        <v>187761472.07805985</v>
      </c>
      <c r="R167" s="6">
        <f t="shared" si="24"/>
        <v>0</v>
      </c>
      <c r="S167" s="72">
        <f t="shared" ca="1" si="30"/>
        <v>187761472.07805985</v>
      </c>
      <c r="T167" s="44">
        <f t="shared" ca="1" si="25"/>
        <v>2220115.0968801677</v>
      </c>
      <c r="U167" s="47">
        <f t="shared" ca="1" si="26"/>
        <v>1.1824124897983216E-2</v>
      </c>
      <c r="X167" s="128"/>
      <c r="Y167" s="128"/>
      <c r="Z167" s="128"/>
    </row>
    <row r="168" spans="1:26" x14ac:dyDescent="0.2">
      <c r="A168" s="32">
        <v>2014</v>
      </c>
      <c r="D168" s="6">
        <f t="shared" si="27"/>
        <v>188316012.84</v>
      </c>
      <c r="E168" s="6">
        <f t="shared" si="27"/>
        <v>0</v>
      </c>
      <c r="F168" s="6">
        <f t="shared" ca="1" si="27"/>
        <v>3764717.9785461775</v>
      </c>
      <c r="G168" s="6">
        <f ca="1">SUMIF($B$3:$B$158,$A168,G$3:G$158)</f>
        <v>192080730.81854618</v>
      </c>
      <c r="O168" s="6">
        <f t="shared" si="28"/>
        <v>193111973.18749326</v>
      </c>
      <c r="P168" s="128">
        <f t="shared" ca="1" si="23"/>
        <v>3764717.9785461775</v>
      </c>
      <c r="Q168" s="48">
        <f t="shared" ca="1" si="29"/>
        <v>189347255.20894709</v>
      </c>
      <c r="R168" s="6">
        <f t="shared" si="24"/>
        <v>0</v>
      </c>
      <c r="S168" s="72">
        <f t="shared" ca="1" si="30"/>
        <v>189347255.20894709</v>
      </c>
      <c r="T168" s="44">
        <f t="shared" ca="1" si="25"/>
        <v>-1031242.3689470887</v>
      </c>
      <c r="U168" s="47">
        <f t="shared" ca="1" si="26"/>
        <v>-5.4463021806632457E-3</v>
      </c>
      <c r="X168" s="128"/>
      <c r="Y168" s="128"/>
      <c r="Z168" s="128"/>
    </row>
    <row r="169" spans="1:26" x14ac:dyDescent="0.2">
      <c r="A169" s="42">
        <v>2015</v>
      </c>
      <c r="B169" s="42"/>
      <c r="C169" s="42"/>
      <c r="D169" s="6">
        <f t="shared" si="27"/>
        <v>188795455.39999998</v>
      </c>
      <c r="E169" s="6">
        <f t="shared" si="27"/>
        <v>0</v>
      </c>
      <c r="F169" s="6">
        <f t="shared" ca="1" si="27"/>
        <v>5732266.0412412714</v>
      </c>
      <c r="G169" s="6">
        <f t="shared" ca="1" si="27"/>
        <v>194527721.44124129</v>
      </c>
      <c r="O169" s="6">
        <f>SUMIF($B$3:$B$158,$A169,O$3:O$158)</f>
        <v>196545895.37309664</v>
      </c>
      <c r="P169" s="128">
        <f t="shared" ca="1" si="23"/>
        <v>5732266.0412412714</v>
      </c>
      <c r="Q169" s="48">
        <f ca="1">O169-P169</f>
        <v>190813629.33185539</v>
      </c>
      <c r="R169" s="6">
        <f t="shared" si="24"/>
        <v>0</v>
      </c>
      <c r="S169" s="72">
        <f t="shared" ca="1" si="30"/>
        <v>190813629.33185539</v>
      </c>
      <c r="T169" s="44">
        <f t="shared" ca="1" si="25"/>
        <v>-2018173.9318554103</v>
      </c>
      <c r="U169" s="47">
        <f t="shared" ca="1" si="26"/>
        <v>-1.0576675989666773E-2</v>
      </c>
      <c r="X169" s="128"/>
      <c r="Y169" s="128"/>
      <c r="Z169" s="128"/>
    </row>
    <row r="170" spans="1:26" x14ac:dyDescent="0.2">
      <c r="A170" s="32">
        <v>2016</v>
      </c>
      <c r="D170" s="6">
        <f t="shared" si="27"/>
        <v>189916009.50999996</v>
      </c>
      <c r="E170" s="6">
        <f t="shared" si="27"/>
        <v>0</v>
      </c>
      <c r="F170" s="6">
        <f t="shared" ca="1" si="27"/>
        <v>8429939.1914095152</v>
      </c>
      <c r="G170" s="6">
        <f ca="1">SUMIF($B$3:$B$158,$A170,G$3:G$158)</f>
        <v>198345948.70140949</v>
      </c>
      <c r="O170" s="6">
        <f t="shared" si="28"/>
        <v>201869923.82094663</v>
      </c>
      <c r="P170" s="128">
        <f t="shared" ca="1" si="23"/>
        <v>8429939.1914095152</v>
      </c>
      <c r="Q170" s="48">
        <f t="shared" ca="1" si="29"/>
        <v>193439984.62953711</v>
      </c>
      <c r="R170" s="6">
        <f t="shared" si="24"/>
        <v>0</v>
      </c>
      <c r="S170" s="72">
        <f t="shared" ca="1" si="30"/>
        <v>193439984.62953711</v>
      </c>
      <c r="T170" s="44">
        <f t="shared" ca="1" si="25"/>
        <v>-3523975.1195371449</v>
      </c>
      <c r="U170" s="47">
        <f t="shared" ca="1" si="26"/>
        <v>-1.8217407979462048E-2</v>
      </c>
      <c r="X170" s="128"/>
      <c r="Y170" s="128"/>
      <c r="Z170" s="128"/>
    </row>
    <row r="171" spans="1:26" x14ac:dyDescent="0.2">
      <c r="A171" s="42">
        <v>2017</v>
      </c>
      <c r="B171" s="42"/>
      <c r="C171" s="42"/>
      <c r="D171" s="6">
        <f t="shared" si="27"/>
        <v>211070217.70538622</v>
      </c>
      <c r="E171" s="6">
        <f t="shared" si="27"/>
        <v>29983391.131810207</v>
      </c>
      <c r="F171" s="6">
        <f t="shared" ca="1" si="27"/>
        <v>10777674.105339322</v>
      </c>
      <c r="G171" s="6">
        <f t="shared" ca="1" si="27"/>
        <v>191864500.67891529</v>
      </c>
      <c r="O171" s="6">
        <f>SUMIF($B$3:$B$158,$A171,O$3:O$158)</f>
        <v>195658061.52302676</v>
      </c>
      <c r="P171" s="128">
        <f t="shared" ca="1" si="23"/>
        <v>10777674.105339322</v>
      </c>
      <c r="Q171" s="48">
        <f t="shared" ca="1" si="29"/>
        <v>184880387.41768745</v>
      </c>
      <c r="R171" s="6">
        <f t="shared" si="24"/>
        <v>29983391.131810207</v>
      </c>
      <c r="S171" s="72">
        <f t="shared" ca="1" si="30"/>
        <v>214863778.54949766</v>
      </c>
      <c r="T171" s="44">
        <f t="shared" ca="1" si="25"/>
        <v>-3793560.8441114426</v>
      </c>
      <c r="U171" s="47">
        <f t="shared" ca="1" si="26"/>
        <v>-1.765565545631289E-2</v>
      </c>
      <c r="X171" s="128"/>
      <c r="Y171" s="128"/>
      <c r="Z171" s="128"/>
    </row>
    <row r="172" spans="1:26" x14ac:dyDescent="0.2">
      <c r="A172" s="32">
        <v>2018</v>
      </c>
      <c r="D172" s="6">
        <f t="shared" si="27"/>
        <v>237650537.15783811</v>
      </c>
      <c r="E172" s="6">
        <f t="shared" si="27"/>
        <v>43380633.574119426</v>
      </c>
      <c r="F172" s="6">
        <f t="shared" ca="1" si="27"/>
        <v>12072341.1015485</v>
      </c>
      <c r="G172" s="6">
        <f t="shared" ca="1" si="27"/>
        <v>206342244.68526715</v>
      </c>
      <c r="O172" s="6">
        <f t="shared" si="28"/>
        <v>204343020.58041239</v>
      </c>
      <c r="P172" s="128">
        <f t="shared" ca="1" si="23"/>
        <v>12072341.1015485</v>
      </c>
      <c r="Q172" s="48">
        <f t="shared" ca="1" si="29"/>
        <v>192270679.47886389</v>
      </c>
      <c r="R172" s="6">
        <f t="shared" si="24"/>
        <v>43380633.574119426</v>
      </c>
      <c r="S172" s="72">
        <f t="shared" ca="1" si="30"/>
        <v>235651313.05298331</v>
      </c>
      <c r="T172" s="44">
        <f t="shared" ca="1" si="25"/>
        <v>1999224.1048547924</v>
      </c>
      <c r="U172" s="47">
        <f t="shared" ca="1" si="26"/>
        <v>8.4838233190972761E-3</v>
      </c>
      <c r="X172" s="128"/>
      <c r="Y172" s="128"/>
      <c r="Z172" s="128"/>
    </row>
    <row r="173" spans="1:26" x14ac:dyDescent="0.2">
      <c r="A173" s="42">
        <v>2019</v>
      </c>
      <c r="B173" s="42"/>
      <c r="C173" s="42"/>
      <c r="D173" s="6">
        <f t="shared" si="27"/>
        <v>239547871.85641468</v>
      </c>
      <c r="E173" s="6">
        <f t="shared" si="27"/>
        <v>49068645.301379278</v>
      </c>
      <c r="F173" s="6">
        <f t="shared" ca="1" si="27"/>
        <v>12639893.64039978</v>
      </c>
      <c r="G173" s="6">
        <f t="shared" ca="1" si="27"/>
        <v>203119120.1954352</v>
      </c>
      <c r="O173" s="6">
        <f>SUMIF($B$3:$B$158,$A173,O$3:O$158)</f>
        <v>198984252.14007607</v>
      </c>
      <c r="P173" s="128">
        <f t="shared" ca="1" si="23"/>
        <v>12639893.64039978</v>
      </c>
      <c r="Q173" s="48">
        <f t="shared" ca="1" si="29"/>
        <v>186344358.49967629</v>
      </c>
      <c r="R173" s="6">
        <f t="shared" si="24"/>
        <v>49068645.301379278</v>
      </c>
      <c r="S173" s="72">
        <f t="shared" ca="1" si="30"/>
        <v>235413003.80105555</v>
      </c>
      <c r="T173" s="44">
        <f t="shared" ca="1" si="25"/>
        <v>4134868.0553591251</v>
      </c>
      <c r="U173" s="47">
        <f t="shared" ca="1" si="26"/>
        <v>1.7564314581591457E-2</v>
      </c>
      <c r="X173" s="128"/>
      <c r="Y173" s="128"/>
      <c r="Z173" s="128"/>
    </row>
    <row r="174" spans="1:26" x14ac:dyDescent="0.2">
      <c r="A174" s="32">
        <v>2020</v>
      </c>
      <c r="D174" s="6">
        <f t="shared" si="27"/>
        <v>257550552.01565266</v>
      </c>
      <c r="E174" s="6">
        <f>SUMIF($B$3:$B$158,$A174,E$3:E$158)</f>
        <v>59182119.984162331</v>
      </c>
      <c r="F174" s="6">
        <f ca="1">SUMIF($B$3:$B$158,$A174,F$3:F$158)</f>
        <v>12589383.279705403</v>
      </c>
      <c r="G174" s="6">
        <f t="shared" ca="1" si="27"/>
        <v>210957815.31119573</v>
      </c>
      <c r="O174" s="6">
        <f>SUMIF($B$3:$B$158,$A174,O$3:O$158)</f>
        <v>203225085.00480306</v>
      </c>
      <c r="P174" s="128">
        <f t="shared" ca="1" si="23"/>
        <v>12589383.279705403</v>
      </c>
      <c r="Q174" s="48">
        <f t="shared" ca="1" si="29"/>
        <v>190635701.72509766</v>
      </c>
      <c r="R174" s="6">
        <f t="shared" si="24"/>
        <v>59182119.984162331</v>
      </c>
      <c r="S174" s="72">
        <f t="shared" ca="1" si="30"/>
        <v>249817821.70925999</v>
      </c>
      <c r="T174" s="44">
        <f t="shared" ca="1" si="25"/>
        <v>7732730.3063926697</v>
      </c>
      <c r="U174" s="47">
        <f t="shared" ca="1" si="26"/>
        <v>3.0953477432014775E-2</v>
      </c>
      <c r="X174" s="128"/>
      <c r="Y174" s="128"/>
      <c r="Z174" s="128"/>
    </row>
    <row r="175" spans="1:26" x14ac:dyDescent="0.2">
      <c r="A175" s="32">
        <v>2021</v>
      </c>
      <c r="F175" s="6">
        <f t="shared" ca="1" si="27"/>
        <v>12465584.375252092</v>
      </c>
      <c r="O175" s="17">
        <f ca="1">SUMIF($B$3:$B$158,$A175,O$3:O$158)</f>
        <v>202975822.88678741</v>
      </c>
      <c r="P175" s="128">
        <f t="shared" ca="1" si="23"/>
        <v>12465584.375252092</v>
      </c>
      <c r="Q175" s="232">
        <f ca="1">O175-P175</f>
        <v>190510238.51153532</v>
      </c>
      <c r="R175" s="50">
        <f ca="1">'Embedded Distributor'!K10</f>
        <v>58368501.882965423</v>
      </c>
      <c r="S175" s="302">
        <f ca="1">O175-P175+R175</f>
        <v>248878740.39450073</v>
      </c>
      <c r="T175" s="44"/>
      <c r="X175" s="128"/>
      <c r="Y175" s="128"/>
      <c r="Z175" s="128"/>
    </row>
    <row r="176" spans="1:26" x14ac:dyDescent="0.2">
      <c r="A176" s="32">
        <v>2022</v>
      </c>
      <c r="F176" s="6">
        <f t="shared" ca="1" si="27"/>
        <v>12060974.691445194</v>
      </c>
      <c r="O176" s="17">
        <f ca="1">SUMIF($B$3:$B$158,$A176,O$3:O$158)</f>
        <v>205160237.78489751</v>
      </c>
      <c r="P176" s="128">
        <f t="shared" ca="1" si="23"/>
        <v>12060974.691445194</v>
      </c>
      <c r="Q176" s="232">
        <f ca="1">O176-P176</f>
        <v>193099263.0934523</v>
      </c>
      <c r="R176" s="50">
        <f ca="1">'Embedded Distributor'!K11</f>
        <v>58660344.392380245</v>
      </c>
      <c r="S176" s="302">
        <f ca="1">O176-P176+R176</f>
        <v>251759607.48583254</v>
      </c>
      <c r="T176" s="44"/>
      <c r="X176" s="128"/>
      <c r="Y176" s="128"/>
      <c r="Z176" s="128"/>
    </row>
    <row r="177" spans="1:20" x14ac:dyDescent="0.2">
      <c r="O177" s="6"/>
      <c r="T177" s="257"/>
    </row>
    <row r="178" spans="1:20" x14ac:dyDescent="0.2">
      <c r="A178" s="54" t="s">
        <v>12</v>
      </c>
      <c r="B178" s="54"/>
      <c r="C178" s="54"/>
      <c r="D178" s="6">
        <f>SUM(D164:D174)</f>
        <v>2084754118.1811748</v>
      </c>
      <c r="O178" s="6">
        <f>SUM(O164:O174)</f>
        <v>1966234683.7881937</v>
      </c>
      <c r="P178" s="40"/>
      <c r="S178" s="6">
        <f ca="1">SUM(S165:S174)</f>
        <v>2077133978.6396046</v>
      </c>
      <c r="T178" s="6">
        <f>O178-G178</f>
        <v>1966234683.7881937</v>
      </c>
    </row>
    <row r="179" spans="1:20" x14ac:dyDescent="0.2">
      <c r="T179" s="5"/>
    </row>
    <row r="180" spans="1:20" x14ac:dyDescent="0.2">
      <c r="O180" s="6">
        <f ca="1">SUM(O164:O175)</f>
        <v>2169210506.6749811</v>
      </c>
      <c r="P180" s="40">
        <f ca="1">O162-O180</f>
        <v>187318287.89818382</v>
      </c>
      <c r="S180" s="5"/>
    </row>
    <row r="181" spans="1:20" x14ac:dyDescent="0.2">
      <c r="L181" s="169"/>
      <c r="M181" s="169"/>
      <c r="N181" s="169"/>
      <c r="O181" s="169"/>
      <c r="P181" s="169"/>
      <c r="Q181"/>
      <c r="R181"/>
      <c r="S181" s="5"/>
    </row>
    <row r="182" spans="1:20" x14ac:dyDescent="0.2">
      <c r="S182" s="6"/>
    </row>
    <row r="183" spans="1:20" x14ac:dyDescent="0.2">
      <c r="S183" s="6"/>
    </row>
    <row r="184" spans="1:20" x14ac:dyDescent="0.2">
      <c r="A184" s="54" t="s">
        <v>61</v>
      </c>
      <c r="B184" s="54"/>
      <c r="C184" s="54"/>
      <c r="D184"/>
      <c r="E184"/>
      <c r="F184"/>
      <c r="G184"/>
      <c r="H184"/>
      <c r="I184"/>
      <c r="J184"/>
      <c r="K184"/>
      <c r="L184"/>
      <c r="M184"/>
      <c r="N184"/>
      <c r="O184"/>
      <c r="P184" s="55" t="s">
        <v>131</v>
      </c>
      <c r="Q184" s="257" t="str">
        <f>R164</f>
        <v>Embedded</v>
      </c>
      <c r="R184" s="55" t="s">
        <v>142</v>
      </c>
      <c r="T184" s="6"/>
    </row>
    <row r="185" spans="1:20" x14ac:dyDescent="0.2">
      <c r="A185" s="66">
        <v>44592</v>
      </c>
      <c r="B185" s="114">
        <f t="shared" ref="B185:B196" si="31">YEAR(A185)</f>
        <v>2022</v>
      </c>
      <c r="C185" s="114">
        <f t="shared" ref="C185:C196" si="32">MONTH(A185)</f>
        <v>1</v>
      </c>
      <c r="D185" s="258"/>
      <c r="E185" s="258"/>
      <c r="F185" s="258"/>
      <c r="G185" s="258"/>
      <c r="H185" s="70">
        <f ca="1">Weather!BC61</f>
        <v>608.40383458646636</v>
      </c>
      <c r="I185" s="70">
        <f ca="1">Weather!BD61</f>
        <v>0</v>
      </c>
      <c r="J185" s="67">
        <f>J147</f>
        <v>31</v>
      </c>
      <c r="K185" s="67">
        <f>K147</f>
        <v>0</v>
      </c>
      <c r="L185" s="67"/>
      <c r="M185" s="67"/>
      <c r="N185" s="67">
        <f>N147</f>
        <v>14710.927313126034</v>
      </c>
      <c r="O185" s="67">
        <f t="shared" ref="O185:O196" ca="1" si="33">$U$10+H185*$U$11+I185*$U$12+J185*$U$13+K185*$U$14+L185*$U$15+M185*$U$16+N185*$U$17</f>
        <v>18015625.804171436</v>
      </c>
      <c r="P185" s="44">
        <f t="shared" ref="P185:P196" ca="1" si="34">F147</f>
        <v>1005081.2242870992</v>
      </c>
      <c r="Q185" s="172">
        <f>E123*(1.005^2)</f>
        <v>4881625.8976655016</v>
      </c>
      <c r="R185" s="44">
        <f ca="1">O185-P185+Q185</f>
        <v>21892170.477549836</v>
      </c>
      <c r="S185" s="40"/>
    </row>
    <row r="186" spans="1:20" x14ac:dyDescent="0.2">
      <c r="A186" s="66">
        <v>44620</v>
      </c>
      <c r="B186" s="114">
        <f t="shared" si="31"/>
        <v>2022</v>
      </c>
      <c r="C186" s="114">
        <f t="shared" si="32"/>
        <v>2</v>
      </c>
      <c r="D186" s="258"/>
      <c r="E186" s="258"/>
      <c r="F186" s="258"/>
      <c r="G186" s="258"/>
      <c r="H186" s="70">
        <f ca="1">Weather!BC62</f>
        <v>530.0746616541353</v>
      </c>
      <c r="I186" s="70">
        <f ca="1">Weather!BD62</f>
        <v>0</v>
      </c>
      <c r="J186" s="67">
        <f t="shared" ref="J186:K196" si="35">J148</f>
        <v>28</v>
      </c>
      <c r="K186" s="67">
        <f t="shared" si="35"/>
        <v>0</v>
      </c>
      <c r="L186" s="68"/>
      <c r="M186" s="68"/>
      <c r="N186" s="67">
        <f t="shared" ref="N186:N196" si="36">N148</f>
        <v>14742.477023062438</v>
      </c>
      <c r="O186" s="67">
        <f t="shared" ca="1" si="33"/>
        <v>16061933.004225567</v>
      </c>
      <c r="P186" s="44">
        <f t="shared" ca="1" si="34"/>
        <v>1005081.2242870992</v>
      </c>
      <c r="Q186" s="172">
        <f t="shared" ref="Q186:Q196" si="37">E124*(1.005^2)</f>
        <v>3818961.0387443993</v>
      </c>
      <c r="R186" s="44">
        <f t="shared" ref="R186:R196" ca="1" si="38">O186-P186+Q186</f>
        <v>18875812.818682864</v>
      </c>
      <c r="S186" s="40"/>
    </row>
    <row r="187" spans="1:20" x14ac:dyDescent="0.2">
      <c r="A187" s="66">
        <v>44651</v>
      </c>
      <c r="B187" s="114">
        <f t="shared" si="31"/>
        <v>2022</v>
      </c>
      <c r="C187" s="114">
        <f t="shared" si="32"/>
        <v>3</v>
      </c>
      <c r="D187" s="258"/>
      <c r="E187" s="258"/>
      <c r="F187" s="258"/>
      <c r="G187" s="258"/>
      <c r="H187" s="70">
        <f ca="1">Weather!BC63</f>
        <v>448.21669172932332</v>
      </c>
      <c r="I187" s="70">
        <f ca="1">Weather!BD63</f>
        <v>0.19744360902255842</v>
      </c>
      <c r="J187" s="67">
        <f t="shared" si="35"/>
        <v>31</v>
      </c>
      <c r="K187" s="67">
        <f t="shared" si="35"/>
        <v>1</v>
      </c>
      <c r="L187" s="68"/>
      <c r="M187" s="68"/>
      <c r="N187" s="67">
        <f t="shared" si="36"/>
        <v>14774.038394853656</v>
      </c>
      <c r="O187" s="67">
        <f t="shared" ca="1" si="33"/>
        <v>16388886.277771333</v>
      </c>
      <c r="P187" s="44">
        <f t="shared" ca="1" si="34"/>
        <v>1005081.2242870992</v>
      </c>
      <c r="Q187" s="172">
        <f t="shared" si="37"/>
        <v>4073084.2718148017</v>
      </c>
      <c r="R187" s="44">
        <f t="shared" ca="1" si="38"/>
        <v>19456889.325299036</v>
      </c>
      <c r="S187" s="40"/>
    </row>
    <row r="188" spans="1:20" x14ac:dyDescent="0.2">
      <c r="A188" s="66">
        <v>44681</v>
      </c>
      <c r="B188" s="114">
        <f t="shared" si="31"/>
        <v>2022</v>
      </c>
      <c r="C188" s="114">
        <f t="shared" si="32"/>
        <v>4</v>
      </c>
      <c r="D188" s="258"/>
      <c r="E188" s="258"/>
      <c r="F188" s="258"/>
      <c r="G188" s="258"/>
      <c r="H188" s="70">
        <f ca="1">Weather!BC64</f>
        <v>287.38796992481275</v>
      </c>
      <c r="I188" s="70">
        <f ca="1">Weather!BD64</f>
        <v>0</v>
      </c>
      <c r="J188" s="67">
        <f t="shared" si="35"/>
        <v>30</v>
      </c>
      <c r="K188" s="67">
        <f t="shared" si="35"/>
        <v>1</v>
      </c>
      <c r="L188" s="68"/>
      <c r="M188" s="68"/>
      <c r="N188" s="67">
        <f t="shared" si="36"/>
        <v>14805.611438961343</v>
      </c>
      <c r="O188" s="67">
        <f t="shared" ca="1" si="33"/>
        <v>14910984.021251347</v>
      </c>
      <c r="P188" s="44">
        <f t="shared" ca="1" si="34"/>
        <v>1005081.2242870992</v>
      </c>
      <c r="Q188" s="172">
        <f t="shared" si="37"/>
        <v>3470189.5496893027</v>
      </c>
      <c r="R188" s="44">
        <f ca="1">O188-P188+Q188</f>
        <v>17376092.346653551</v>
      </c>
      <c r="S188" s="40"/>
    </row>
    <row r="189" spans="1:20" x14ac:dyDescent="0.2">
      <c r="A189" s="66">
        <v>44712</v>
      </c>
      <c r="B189" s="114">
        <f t="shared" si="31"/>
        <v>2022</v>
      </c>
      <c r="C189" s="114">
        <f t="shared" si="32"/>
        <v>5</v>
      </c>
      <c r="D189" s="258"/>
      <c r="E189" s="258"/>
      <c r="F189" s="258"/>
      <c r="G189" s="258"/>
      <c r="H189" s="70">
        <f ca="1">Weather!BC65</f>
        <v>96.100075187969935</v>
      </c>
      <c r="I189" s="70">
        <f ca="1">Weather!BD65</f>
        <v>52.986616541353214</v>
      </c>
      <c r="J189" s="67">
        <f t="shared" si="35"/>
        <v>31</v>
      </c>
      <c r="K189" s="67">
        <f t="shared" si="35"/>
        <v>1</v>
      </c>
      <c r="L189" s="68"/>
      <c r="M189" s="68"/>
      <c r="N189" s="67">
        <f t="shared" si="36"/>
        <v>14837.196165860663</v>
      </c>
      <c r="O189" s="67">
        <f t="shared" ca="1" si="33"/>
        <v>15811213.112491468</v>
      </c>
      <c r="P189" s="44">
        <f t="shared" ca="1" si="34"/>
        <v>1005081.2242870992</v>
      </c>
      <c r="Q189" s="172">
        <f t="shared" si="37"/>
        <v>4782713.5030446695</v>
      </c>
      <c r="R189" s="44">
        <f t="shared" ca="1" si="38"/>
        <v>19588845.391249038</v>
      </c>
      <c r="S189" s="40"/>
    </row>
    <row r="190" spans="1:20" x14ac:dyDescent="0.2">
      <c r="A190" s="66">
        <v>44742</v>
      </c>
      <c r="B190" s="114">
        <f t="shared" si="31"/>
        <v>2022</v>
      </c>
      <c r="C190" s="114">
        <f t="shared" si="32"/>
        <v>6</v>
      </c>
      <c r="D190" s="258"/>
      <c r="E190" s="258"/>
      <c r="F190" s="258"/>
      <c r="G190" s="258"/>
      <c r="H190" s="70">
        <f ca="1">Weather!BC66</f>
        <v>7.5652631578947194</v>
      </c>
      <c r="I190" s="70">
        <f ca="1">Weather!BD66</f>
        <v>110.8995488721805</v>
      </c>
      <c r="J190" s="67">
        <f t="shared" si="35"/>
        <v>30</v>
      </c>
      <c r="K190" s="67">
        <f t="shared" si="35"/>
        <v>0</v>
      </c>
      <c r="L190" s="68"/>
      <c r="M190" s="68"/>
      <c r="N190" s="67">
        <f t="shared" si="36"/>
        <v>14868.792586040297</v>
      </c>
      <c r="O190" s="67">
        <f t="shared" ca="1" si="33"/>
        <v>17181327.273454759</v>
      </c>
      <c r="P190" s="44">
        <f t="shared" ca="1" si="34"/>
        <v>1005081.2242870992</v>
      </c>
      <c r="Q190" s="172">
        <f t="shared" si="37"/>
        <v>6097820.3398076184</v>
      </c>
      <c r="R190" s="44">
        <f t="shared" ca="1" si="38"/>
        <v>22274066.388975278</v>
      </c>
      <c r="S190" s="40"/>
    </row>
    <row r="191" spans="1:20" ht="12.75" customHeight="1" x14ac:dyDescent="0.2">
      <c r="A191" s="66">
        <v>44773</v>
      </c>
      <c r="B191" s="114">
        <f t="shared" si="31"/>
        <v>2022</v>
      </c>
      <c r="C191" s="114">
        <f t="shared" si="32"/>
        <v>7</v>
      </c>
      <c r="D191" s="258"/>
      <c r="E191" s="258"/>
      <c r="F191" s="258"/>
      <c r="G191" s="258"/>
      <c r="H191" s="70">
        <f ca="1">Weather!BC67</f>
        <v>0</v>
      </c>
      <c r="I191" s="70">
        <f ca="1">Weather!BD67</f>
        <v>231.80947368421039</v>
      </c>
      <c r="J191" s="67">
        <f t="shared" si="35"/>
        <v>31</v>
      </c>
      <c r="K191" s="67">
        <f t="shared" si="35"/>
        <v>0</v>
      </c>
      <c r="L191" s="68"/>
      <c r="M191" s="68"/>
      <c r="N191" s="67">
        <f t="shared" si="36"/>
        <v>14900.400710002439</v>
      </c>
      <c r="O191" s="67">
        <f t="shared" ca="1" si="33"/>
        <v>21229529.626581304</v>
      </c>
      <c r="P191" s="44">
        <f t="shared" ca="1" si="34"/>
        <v>1005081.2242870992</v>
      </c>
      <c r="Q191" s="172">
        <f t="shared" si="37"/>
        <v>8211423.9535478186</v>
      </c>
      <c r="R191" s="44">
        <f t="shared" ca="1" si="38"/>
        <v>28435872.355842024</v>
      </c>
      <c r="S191" s="40"/>
      <c r="T191" s="100" t="s">
        <v>143</v>
      </c>
    </row>
    <row r="192" spans="1:20" x14ac:dyDescent="0.2">
      <c r="A192" s="66">
        <v>44804</v>
      </c>
      <c r="B192" s="114">
        <f t="shared" si="31"/>
        <v>2022</v>
      </c>
      <c r="C192" s="114">
        <f t="shared" si="32"/>
        <v>8</v>
      </c>
      <c r="D192" s="258"/>
      <c r="E192" s="258"/>
      <c r="F192" s="258"/>
      <c r="G192" s="258"/>
      <c r="H192" s="70">
        <f ca="1">Weather!BC68</f>
        <v>3.9022556390978735E-2</v>
      </c>
      <c r="I192" s="70">
        <f ca="1">Weather!BD68</f>
        <v>180.80398496240605</v>
      </c>
      <c r="J192" s="67">
        <f t="shared" si="35"/>
        <v>31</v>
      </c>
      <c r="K192" s="67">
        <f t="shared" si="35"/>
        <v>0</v>
      </c>
      <c r="L192" s="68"/>
      <c r="M192" s="68"/>
      <c r="N192" s="67">
        <f t="shared" si="36"/>
        <v>14932.020548262832</v>
      </c>
      <c r="O192" s="67">
        <f t="shared" ca="1" si="33"/>
        <v>19739591.958164643</v>
      </c>
      <c r="P192" s="44">
        <f t="shared" ca="1" si="34"/>
        <v>1005081.2242870992</v>
      </c>
      <c r="Q192" s="172">
        <f t="shared" si="37"/>
        <v>6678312.6229654504</v>
      </c>
      <c r="R192" s="44">
        <f t="shared" ca="1" si="38"/>
        <v>25412823.356842995</v>
      </c>
      <c r="S192" s="40"/>
      <c r="T192" s="100"/>
    </row>
    <row r="193" spans="1:21" x14ac:dyDescent="0.2">
      <c r="A193" s="66">
        <v>44834</v>
      </c>
      <c r="B193" s="114">
        <f t="shared" si="31"/>
        <v>2022</v>
      </c>
      <c r="C193" s="114">
        <f t="shared" si="32"/>
        <v>9</v>
      </c>
      <c r="D193" s="258"/>
      <c r="E193" s="258"/>
      <c r="F193" s="258"/>
      <c r="G193" s="258"/>
      <c r="H193" s="70">
        <f ca="1">Weather!BC69</f>
        <v>19.08556390977445</v>
      </c>
      <c r="I193" s="70">
        <f ca="1">Weather!BD69</f>
        <v>89.375714285714309</v>
      </c>
      <c r="J193" s="67">
        <f t="shared" si="35"/>
        <v>30</v>
      </c>
      <c r="K193" s="67">
        <f t="shared" si="35"/>
        <v>0</v>
      </c>
      <c r="L193" s="68"/>
      <c r="M193" s="68"/>
      <c r="N193" s="67">
        <f t="shared" si="36"/>
        <v>14963.652111350762</v>
      </c>
      <c r="O193" s="67">
        <f t="shared" ca="1" si="33"/>
        <v>16674565.948285101</v>
      </c>
      <c r="P193" s="44">
        <f t="shared" ca="1" si="34"/>
        <v>1005081.2242870992</v>
      </c>
      <c r="Q193" s="172">
        <f t="shared" si="37"/>
        <v>4807380.3120908756</v>
      </c>
      <c r="R193" s="44">
        <f t="shared" ca="1" si="38"/>
        <v>20476865.036088876</v>
      </c>
      <c r="S193" s="40"/>
      <c r="T193" s="100"/>
    </row>
    <row r="194" spans="1:21" x14ac:dyDescent="0.2">
      <c r="A194" s="66">
        <v>44865</v>
      </c>
      <c r="B194" s="114">
        <f t="shared" si="31"/>
        <v>2022</v>
      </c>
      <c r="C194" s="114">
        <f t="shared" si="32"/>
        <v>10</v>
      </c>
      <c r="D194" s="258"/>
      <c r="E194" s="258"/>
      <c r="F194" s="258"/>
      <c r="G194" s="258"/>
      <c r="H194" s="70">
        <f ca="1">Weather!BC70</f>
        <v>140.13097744360903</v>
      </c>
      <c r="I194" s="70">
        <f ca="1">Weather!BD70</f>
        <v>13.702255639097729</v>
      </c>
      <c r="J194" s="67">
        <f t="shared" si="35"/>
        <v>31</v>
      </c>
      <c r="K194" s="67">
        <f t="shared" si="35"/>
        <v>0</v>
      </c>
      <c r="L194" s="68"/>
      <c r="M194" s="68"/>
      <c r="N194" s="67">
        <f t="shared" si="36"/>
        <v>14995.295409809067</v>
      </c>
      <c r="O194" s="67">
        <f t="shared" ca="1" si="33"/>
        <v>15699629.933708154</v>
      </c>
      <c r="P194" s="44">
        <f t="shared" ca="1" si="34"/>
        <v>1005081.2242870992</v>
      </c>
      <c r="Q194" s="172">
        <f t="shared" si="37"/>
        <v>4555348.4095345987</v>
      </c>
      <c r="R194" s="44">
        <f t="shared" ca="1" si="38"/>
        <v>19249897.118955653</v>
      </c>
      <c r="S194" s="40"/>
      <c r="T194" s="100"/>
    </row>
    <row r="195" spans="1:21" x14ac:dyDescent="0.2">
      <c r="A195" s="66">
        <v>44895</v>
      </c>
      <c r="B195" s="114">
        <f t="shared" si="31"/>
        <v>2022</v>
      </c>
      <c r="C195" s="114">
        <f t="shared" si="32"/>
        <v>11</v>
      </c>
      <c r="D195" s="258"/>
      <c r="E195" s="258"/>
      <c r="F195" s="258"/>
      <c r="G195" s="258"/>
      <c r="H195" s="70">
        <f ca="1">Weather!BC71</f>
        <v>354.61300751879662</v>
      </c>
      <c r="I195" s="70">
        <f ca="1">Weather!BD71</f>
        <v>0.92398496240600991</v>
      </c>
      <c r="J195" s="67">
        <f t="shared" si="35"/>
        <v>30</v>
      </c>
      <c r="K195" s="67">
        <f t="shared" si="35"/>
        <v>0</v>
      </c>
      <c r="L195" s="68"/>
      <c r="M195" s="68"/>
      <c r="N195" s="67">
        <f t="shared" si="36"/>
        <v>15026.950454194166</v>
      </c>
      <c r="O195" s="67">
        <f t="shared" ca="1" si="33"/>
        <v>16172615.418166682</v>
      </c>
      <c r="P195" s="44">
        <f t="shared" ca="1" si="34"/>
        <v>1005081.2242870992</v>
      </c>
      <c r="Q195" s="172">
        <f t="shared" si="37"/>
        <v>3660890.4698820226</v>
      </c>
      <c r="R195" s="44">
        <f t="shared" ca="1" si="38"/>
        <v>18828424.663761605</v>
      </c>
      <c r="S195" s="40"/>
      <c r="T195" s="101"/>
    </row>
    <row r="196" spans="1:21" ht="15" x14ac:dyDescent="0.25">
      <c r="A196" s="66">
        <v>44926</v>
      </c>
      <c r="B196" s="114">
        <f t="shared" si="31"/>
        <v>2022</v>
      </c>
      <c r="C196" s="114">
        <f t="shared" si="32"/>
        <v>12</v>
      </c>
      <c r="D196" s="258"/>
      <c r="E196" s="258"/>
      <c r="F196" s="258"/>
      <c r="G196" s="258"/>
      <c r="H196" s="70">
        <f ca="1">Weather!BC72</f>
        <v>499.75917293233078</v>
      </c>
      <c r="I196" s="70">
        <f ca="1">Weather!BD72</f>
        <v>0</v>
      </c>
      <c r="J196" s="67">
        <f t="shared" si="35"/>
        <v>31</v>
      </c>
      <c r="K196" s="67">
        <f t="shared" si="35"/>
        <v>0</v>
      </c>
      <c r="L196" s="68"/>
      <c r="M196" s="68"/>
      <c r="N196" s="67">
        <f t="shared" si="36"/>
        <v>15058.617255076055</v>
      </c>
      <c r="O196" s="67">
        <f t="shared" ca="1" si="33"/>
        <v>17559627.301153138</v>
      </c>
      <c r="P196" s="44">
        <f t="shared" ca="1" si="34"/>
        <v>1005081.2242870992</v>
      </c>
      <c r="Q196" s="172">
        <f t="shared" si="37"/>
        <v>4737670.3682164764</v>
      </c>
      <c r="R196" s="44">
        <f t="shared" ca="1" si="38"/>
        <v>21292216.445082515</v>
      </c>
      <c r="S196" s="40">
        <f ca="1">SUM(R185:R196)</f>
        <v>253159975.72498327</v>
      </c>
      <c r="T196" s="96">
        <f ca="1">S176-S196</f>
        <v>-1400368.2391507328</v>
      </c>
    </row>
    <row r="197" spans="1:21" x14ac:dyDescent="0.2">
      <c r="A197"/>
      <c r="B197"/>
      <c r="C197"/>
      <c r="T197" s="47">
        <f ca="1">T196/S176</f>
        <v>-5.56232293629365E-3</v>
      </c>
    </row>
    <row r="198" spans="1:21" x14ac:dyDescent="0.2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</row>
    <row r="199" spans="1:21" x14ac:dyDescent="0.2">
      <c r="A199"/>
      <c r="B199"/>
      <c r="C199"/>
      <c r="Q199"/>
      <c r="R199"/>
      <c r="S199"/>
    </row>
    <row r="200" spans="1:21" x14ac:dyDescent="0.2">
      <c r="A200" s="54" t="s">
        <v>257</v>
      </c>
      <c r="B200" s="54"/>
      <c r="C200" s="54"/>
      <c r="D200"/>
      <c r="E200"/>
      <c r="F200"/>
      <c r="G200"/>
      <c r="H200"/>
      <c r="I200"/>
      <c r="J200"/>
      <c r="K200"/>
      <c r="L200"/>
      <c r="M200"/>
      <c r="N200"/>
      <c r="O200"/>
      <c r="P200" s="55" t="s">
        <v>131</v>
      </c>
      <c r="Q200" s="48"/>
      <c r="R200" s="55" t="s">
        <v>142</v>
      </c>
      <c r="T200" s="6"/>
      <c r="U200" s="55" t="s">
        <v>259</v>
      </c>
    </row>
    <row r="201" spans="1:21" x14ac:dyDescent="0.2">
      <c r="A201" s="66">
        <f t="shared" ref="A201:A212" si="39">A123</f>
        <v>43861</v>
      </c>
      <c r="B201" s="213">
        <f t="shared" ref="B201:B212" si="40">YEAR(A201)</f>
        <v>2020</v>
      </c>
      <c r="C201" s="213">
        <f t="shared" ref="C201:C212" si="41">MONTH(A201)</f>
        <v>1</v>
      </c>
      <c r="D201" s="258">
        <f t="shared" ref="D201:G212" si="42">D123</f>
        <v>21239209.767112821</v>
      </c>
      <c r="E201" s="258">
        <f t="shared" si="42"/>
        <v>4833173.3349823048</v>
      </c>
      <c r="F201" s="258">
        <f t="shared" ca="1" si="42"/>
        <v>1049115.2733087833</v>
      </c>
      <c r="G201" s="258">
        <f t="shared" ca="1" si="42"/>
        <v>17455151.705439299</v>
      </c>
      <c r="H201" s="258">
        <f t="shared" ref="H201:I212" ca="1" si="43">H147</f>
        <v>607.33000000000004</v>
      </c>
      <c r="I201" s="258">
        <f t="shared" ca="1" si="43"/>
        <v>0</v>
      </c>
      <c r="J201" s="258">
        <f t="shared" ref="J201:K212" si="44">J123</f>
        <v>31</v>
      </c>
      <c r="K201" s="258">
        <f t="shared" si="44"/>
        <v>0</v>
      </c>
      <c r="L201" s="258"/>
      <c r="M201" s="258"/>
      <c r="N201" s="258">
        <f t="shared" ref="N201:N212" si="45">N123</f>
        <v>14413.5</v>
      </c>
      <c r="O201" s="67">
        <f t="shared" ref="O201:O212" ca="1" si="46">$U$10+H201*$U$11+I201*$U$12+J201*$U$13+K201*$U$14+L201*$U$15+M201*$U$16+N201*$U$17</f>
        <v>17823745.470725495</v>
      </c>
      <c r="P201" s="44">
        <f t="shared" ref="P201:P212" ca="1" si="47">F123</f>
        <v>1049115.2733087833</v>
      </c>
      <c r="Q201" s="172">
        <f t="shared" ref="Q201:Q212" si="48">E123</f>
        <v>4833173.3349823048</v>
      </c>
      <c r="R201" s="44">
        <f ca="1">O201-P201+Q201</f>
        <v>21607803.532399017</v>
      </c>
      <c r="S201" s="40"/>
      <c r="U201" s="123">
        <f>L201*$U$15+M201*$U$16</f>
        <v>0</v>
      </c>
    </row>
    <row r="202" spans="1:21" x14ac:dyDescent="0.2">
      <c r="A202" s="66">
        <f t="shared" si="39"/>
        <v>43890</v>
      </c>
      <c r="B202" s="213">
        <f t="shared" si="40"/>
        <v>2020</v>
      </c>
      <c r="C202" s="213">
        <f t="shared" si="41"/>
        <v>2</v>
      </c>
      <c r="D202" s="258">
        <f t="shared" si="42"/>
        <v>19035160.954744305</v>
      </c>
      <c r="E202" s="258">
        <f t="shared" si="42"/>
        <v>3781055.952817406</v>
      </c>
      <c r="F202" s="258">
        <f t="shared" ca="1" si="42"/>
        <v>1049115.2733087833</v>
      </c>
      <c r="G202" s="258">
        <f t="shared" ca="1" si="42"/>
        <v>16303220.275235683</v>
      </c>
      <c r="H202" s="258">
        <f t="shared" ca="1" si="43"/>
        <v>533.1</v>
      </c>
      <c r="I202" s="258">
        <f t="shared" ca="1" si="43"/>
        <v>0</v>
      </c>
      <c r="J202" s="258">
        <f t="shared" si="44"/>
        <v>29</v>
      </c>
      <c r="K202" s="258">
        <f t="shared" si="44"/>
        <v>0</v>
      </c>
      <c r="L202" s="258"/>
      <c r="M202" s="258"/>
      <c r="N202" s="258">
        <f t="shared" si="45"/>
        <v>14427.5</v>
      </c>
      <c r="O202" s="67">
        <f t="shared" ca="1" si="46"/>
        <v>16380653.323035643</v>
      </c>
      <c r="P202" s="44">
        <f t="shared" ca="1" si="47"/>
        <v>1049115.2733087833</v>
      </c>
      <c r="Q202" s="172">
        <f t="shared" si="48"/>
        <v>3781055.952817406</v>
      </c>
      <c r="R202" s="44">
        <f t="shared" ref="R202:R203" ca="1" si="49">O202-P202+Q202</f>
        <v>19112594.002544265</v>
      </c>
      <c r="S202" s="40"/>
      <c r="U202" s="123">
        <f t="shared" ref="U202:U212" si="50">L202*$U$15+M202*$U$16</f>
        <v>0</v>
      </c>
    </row>
    <row r="203" spans="1:21" x14ac:dyDescent="0.2">
      <c r="A203" s="66">
        <f t="shared" si="39"/>
        <v>43921</v>
      </c>
      <c r="B203" s="213">
        <f t="shared" si="40"/>
        <v>2020</v>
      </c>
      <c r="C203" s="213">
        <f t="shared" si="41"/>
        <v>3</v>
      </c>
      <c r="D203" s="258">
        <f t="shared" si="42"/>
        <v>19087245.664711308</v>
      </c>
      <c r="E203" s="258">
        <f t="shared" si="42"/>
        <v>4032656.886527366</v>
      </c>
      <c r="F203" s="258">
        <f t="shared" ca="1" si="42"/>
        <v>1049115.2733087833</v>
      </c>
      <c r="G203" s="258">
        <f t="shared" ca="1" si="42"/>
        <v>16103704.051492725</v>
      </c>
      <c r="H203" s="258">
        <f t="shared" ca="1" si="43"/>
        <v>453.77</v>
      </c>
      <c r="I203" s="258">
        <f t="shared" ca="1" si="43"/>
        <v>0.26000000000000012</v>
      </c>
      <c r="J203" s="258">
        <f t="shared" si="44"/>
        <v>31</v>
      </c>
      <c r="K203" s="258">
        <f t="shared" si="44"/>
        <v>1</v>
      </c>
      <c r="L203" s="258"/>
      <c r="M203" s="258"/>
      <c r="N203" s="258">
        <f t="shared" si="45"/>
        <v>14433.5</v>
      </c>
      <c r="O203" s="67">
        <f t="shared" ca="1" si="46"/>
        <v>16213032.313628457</v>
      </c>
      <c r="P203" s="44">
        <f t="shared" ca="1" si="47"/>
        <v>1049115.2733087833</v>
      </c>
      <c r="Q203" s="172">
        <f t="shared" si="48"/>
        <v>4032656.886527366</v>
      </c>
      <c r="R203" s="44">
        <f t="shared" ca="1" si="49"/>
        <v>19196573.926847041</v>
      </c>
      <c r="S203" s="40"/>
      <c r="U203" s="123">
        <f t="shared" si="50"/>
        <v>0</v>
      </c>
    </row>
    <row r="204" spans="1:21" x14ac:dyDescent="0.2">
      <c r="A204" s="66">
        <f t="shared" si="39"/>
        <v>43951</v>
      </c>
      <c r="B204" s="213">
        <f t="shared" si="40"/>
        <v>2020</v>
      </c>
      <c r="C204" s="213">
        <f t="shared" si="41"/>
        <v>4</v>
      </c>
      <c r="D204" s="258">
        <f t="shared" si="42"/>
        <v>17079543.476648476</v>
      </c>
      <c r="E204" s="258">
        <f t="shared" si="42"/>
        <v>3435746.1940935161</v>
      </c>
      <c r="F204" s="258">
        <f t="shared" ca="1" si="42"/>
        <v>1049115.2733087833</v>
      </c>
      <c r="G204" s="258">
        <f t="shared" ca="1" si="42"/>
        <v>14692912.555863744</v>
      </c>
      <c r="H204" s="258">
        <f t="shared" ca="1" si="43"/>
        <v>276.92999999999995</v>
      </c>
      <c r="I204" s="258">
        <f t="shared" ca="1" si="43"/>
        <v>1.2600000000000002</v>
      </c>
      <c r="J204" s="258">
        <f t="shared" si="44"/>
        <v>30</v>
      </c>
      <c r="K204" s="258">
        <f t="shared" si="44"/>
        <v>1</v>
      </c>
      <c r="L204" s="258"/>
      <c r="M204" s="258"/>
      <c r="N204" s="258">
        <f t="shared" si="45"/>
        <v>14426.5</v>
      </c>
      <c r="O204" s="67">
        <f t="shared" ca="1" si="46"/>
        <v>14647440.930920795</v>
      </c>
      <c r="P204" s="44">
        <f t="shared" ca="1" si="47"/>
        <v>1049115.2733087833</v>
      </c>
      <c r="Q204" s="172">
        <f t="shared" si="48"/>
        <v>3435746.1940935161</v>
      </c>
      <c r="R204" s="44">
        <f ca="1">O204-P204+Q204</f>
        <v>17034071.851705529</v>
      </c>
      <c r="S204" s="40"/>
      <c r="U204" s="123">
        <f t="shared" si="50"/>
        <v>0</v>
      </c>
    </row>
    <row r="205" spans="1:21" x14ac:dyDescent="0.2">
      <c r="A205" s="66">
        <f t="shared" si="39"/>
        <v>43982</v>
      </c>
      <c r="B205" s="213">
        <f t="shared" si="40"/>
        <v>2020</v>
      </c>
      <c r="C205" s="213">
        <f t="shared" si="41"/>
        <v>5</v>
      </c>
      <c r="D205" s="258">
        <f t="shared" si="42"/>
        <v>19158490.866862137</v>
      </c>
      <c r="E205" s="258">
        <f t="shared" si="42"/>
        <v>4735242.6950270245</v>
      </c>
      <c r="F205" s="258">
        <f t="shared" ca="1" si="42"/>
        <v>1049115.2733087833</v>
      </c>
      <c r="G205" s="258">
        <f t="shared" ca="1" si="42"/>
        <v>15472363.445143897</v>
      </c>
      <c r="H205" s="258">
        <f t="shared" ca="1" si="43"/>
        <v>91.789999999999992</v>
      </c>
      <c r="I205" s="258">
        <f t="shared" ca="1" si="43"/>
        <v>44.669999999999995</v>
      </c>
      <c r="J205" s="258">
        <f t="shared" si="44"/>
        <v>31</v>
      </c>
      <c r="K205" s="258">
        <f t="shared" si="44"/>
        <v>1</v>
      </c>
      <c r="L205" s="258"/>
      <c r="M205" s="258"/>
      <c r="N205" s="258">
        <f t="shared" si="45"/>
        <v>14418</v>
      </c>
      <c r="O205" s="67">
        <f t="shared" ca="1" si="46"/>
        <v>15277274.369796321</v>
      </c>
      <c r="P205" s="44">
        <f t="shared" ca="1" si="47"/>
        <v>1049115.2733087833</v>
      </c>
      <c r="Q205" s="172">
        <f t="shared" si="48"/>
        <v>4735242.6950270245</v>
      </c>
      <c r="R205" s="44">
        <f t="shared" ref="R205:R212" ca="1" si="51">O205-P205+Q205</f>
        <v>18963401.791514561</v>
      </c>
      <c r="S205" s="40"/>
      <c r="U205" s="123">
        <f t="shared" si="50"/>
        <v>0</v>
      </c>
    </row>
    <row r="206" spans="1:21" x14ac:dyDescent="0.2">
      <c r="A206" s="66">
        <f t="shared" si="39"/>
        <v>44012</v>
      </c>
      <c r="B206" s="213">
        <f t="shared" si="40"/>
        <v>2020</v>
      </c>
      <c r="C206" s="213">
        <f t="shared" si="41"/>
        <v>6</v>
      </c>
      <c r="D206" s="258">
        <f t="shared" si="42"/>
        <v>23659036.820064977</v>
      </c>
      <c r="E206" s="258">
        <f t="shared" si="42"/>
        <v>6037296.4429668775</v>
      </c>
      <c r="F206" s="258">
        <f t="shared" ca="1" si="42"/>
        <v>1049115.2733087833</v>
      </c>
      <c r="G206" s="258">
        <f t="shared" ca="1" si="42"/>
        <v>18670855.650406882</v>
      </c>
      <c r="H206" s="258">
        <f t="shared" ca="1" si="43"/>
        <v>8.3199999999999985</v>
      </c>
      <c r="I206" s="258">
        <f t="shared" ca="1" si="43"/>
        <v>115.62</v>
      </c>
      <c r="J206" s="258">
        <f t="shared" si="44"/>
        <v>30</v>
      </c>
      <c r="K206" s="258">
        <f t="shared" si="44"/>
        <v>0</v>
      </c>
      <c r="L206" s="258"/>
      <c r="M206" s="258"/>
      <c r="N206" s="258">
        <f t="shared" si="45"/>
        <v>14419.5</v>
      </c>
      <c r="O206" s="67">
        <f t="shared" ca="1" si="46"/>
        <v>17045922.341621876</v>
      </c>
      <c r="P206" s="44">
        <f t="shared" ca="1" si="47"/>
        <v>1049115.2733087833</v>
      </c>
      <c r="Q206" s="172">
        <f t="shared" si="48"/>
        <v>6037296.4429668775</v>
      </c>
      <c r="R206" s="44">
        <f t="shared" ca="1" si="51"/>
        <v>22034103.51127997</v>
      </c>
      <c r="S206" s="40"/>
      <c r="U206" s="123">
        <f t="shared" si="50"/>
        <v>0</v>
      </c>
    </row>
    <row r="207" spans="1:21" ht="13.5" customHeight="1" x14ac:dyDescent="0.2">
      <c r="A207" s="66">
        <f t="shared" si="39"/>
        <v>44043</v>
      </c>
      <c r="B207" s="213">
        <f t="shared" si="40"/>
        <v>2020</v>
      </c>
      <c r="C207" s="213">
        <f t="shared" si="41"/>
        <v>7</v>
      </c>
      <c r="D207" s="258">
        <f t="shared" si="42"/>
        <v>31068671.938821949</v>
      </c>
      <c r="E207" s="258">
        <f t="shared" si="42"/>
        <v>8129921.4906045105</v>
      </c>
      <c r="F207" s="258">
        <f t="shared" ca="1" si="42"/>
        <v>1049115.2733087833</v>
      </c>
      <c r="G207" s="258">
        <f t="shared" ca="1" si="42"/>
        <v>23987865.72152622</v>
      </c>
      <c r="H207" s="258">
        <f t="shared" ca="1" si="43"/>
        <v>0</v>
      </c>
      <c r="I207" s="258">
        <f t="shared" ca="1" si="43"/>
        <v>224.87000000000003</v>
      </c>
      <c r="J207" s="258">
        <f t="shared" si="44"/>
        <v>31</v>
      </c>
      <c r="K207" s="258">
        <f t="shared" si="44"/>
        <v>0</v>
      </c>
      <c r="L207" s="258"/>
      <c r="M207" s="258"/>
      <c r="N207" s="258">
        <f t="shared" si="45"/>
        <v>14419</v>
      </c>
      <c r="O207" s="67">
        <f t="shared" ca="1" si="46"/>
        <v>20724297.557545532</v>
      </c>
      <c r="P207" s="44">
        <f t="shared" ca="1" si="47"/>
        <v>1049115.2733087833</v>
      </c>
      <c r="Q207" s="172">
        <f t="shared" si="48"/>
        <v>8129921.4906045105</v>
      </c>
      <c r="R207" s="44">
        <f t="shared" ca="1" si="51"/>
        <v>27805103.774841256</v>
      </c>
      <c r="S207" s="40"/>
      <c r="T207" s="100" t="s">
        <v>143</v>
      </c>
      <c r="U207" s="123">
        <f t="shared" si="50"/>
        <v>0</v>
      </c>
    </row>
    <row r="208" spans="1:21" x14ac:dyDescent="0.2">
      <c r="A208" s="66">
        <f t="shared" si="39"/>
        <v>44074</v>
      </c>
      <c r="B208" s="213">
        <f t="shared" si="40"/>
        <v>2020</v>
      </c>
      <c r="C208" s="213">
        <f t="shared" si="41"/>
        <v>8</v>
      </c>
      <c r="D208" s="258">
        <f t="shared" si="42"/>
        <v>26721444.06371244</v>
      </c>
      <c r="E208" s="258">
        <f t="shared" si="42"/>
        <v>6612027.0517714433</v>
      </c>
      <c r="F208" s="258">
        <f t="shared" ca="1" si="42"/>
        <v>1049115.2733087833</v>
      </c>
      <c r="G208" s="258">
        <f t="shared" ca="1" si="42"/>
        <v>21158532.285249781</v>
      </c>
      <c r="H208" s="258">
        <f t="shared" ca="1" si="43"/>
        <v>9.9999999999999638E-3</v>
      </c>
      <c r="I208" s="258">
        <f t="shared" ca="1" si="43"/>
        <v>186.09000000000003</v>
      </c>
      <c r="J208" s="258">
        <f t="shared" si="44"/>
        <v>31</v>
      </c>
      <c r="K208" s="258">
        <f t="shared" si="44"/>
        <v>0</v>
      </c>
      <c r="L208" s="258"/>
      <c r="M208" s="258"/>
      <c r="N208" s="258">
        <f t="shared" si="45"/>
        <v>14421</v>
      </c>
      <c r="O208" s="67">
        <f t="shared" ca="1" si="46"/>
        <v>19577634.079005413</v>
      </c>
      <c r="P208" s="44">
        <f t="shared" ca="1" si="47"/>
        <v>1049115.2733087833</v>
      </c>
      <c r="Q208" s="172">
        <f t="shared" si="48"/>
        <v>6612027.0517714433</v>
      </c>
      <c r="R208" s="44">
        <f t="shared" ca="1" si="51"/>
        <v>25140545.857468072</v>
      </c>
      <c r="S208" s="40"/>
      <c r="T208" s="100"/>
      <c r="U208" s="123">
        <f t="shared" si="50"/>
        <v>0</v>
      </c>
    </row>
    <row r="209" spans="1:22" x14ac:dyDescent="0.2">
      <c r="A209" s="66">
        <f t="shared" si="39"/>
        <v>44104</v>
      </c>
      <c r="B209" s="213">
        <f t="shared" si="40"/>
        <v>2020</v>
      </c>
      <c r="C209" s="213">
        <f t="shared" si="41"/>
        <v>9</v>
      </c>
      <c r="D209" s="258">
        <f t="shared" si="42"/>
        <v>20324132.402995322</v>
      </c>
      <c r="E209" s="258">
        <f t="shared" si="42"/>
        <v>4759664.6737366663</v>
      </c>
      <c r="F209" s="258">
        <f t="shared" ca="1" si="42"/>
        <v>1049115.2733087833</v>
      </c>
      <c r="G209" s="258">
        <f t="shared" ca="1" si="42"/>
        <v>16613583.00256744</v>
      </c>
      <c r="H209" s="258">
        <f t="shared" ca="1" si="43"/>
        <v>19.43</v>
      </c>
      <c r="I209" s="258">
        <f t="shared" ca="1" si="43"/>
        <v>90.78</v>
      </c>
      <c r="J209" s="258">
        <f t="shared" si="44"/>
        <v>30</v>
      </c>
      <c r="K209" s="258">
        <f t="shared" si="44"/>
        <v>0</v>
      </c>
      <c r="L209" s="258"/>
      <c r="M209" s="258"/>
      <c r="N209" s="258">
        <f t="shared" si="45"/>
        <v>14423.5</v>
      </c>
      <c r="O209" s="67">
        <f t="shared" ca="1" si="46"/>
        <v>16381869.689217495</v>
      </c>
      <c r="P209" s="44">
        <f t="shared" ca="1" si="47"/>
        <v>1049115.2733087833</v>
      </c>
      <c r="Q209" s="172">
        <f t="shared" si="48"/>
        <v>4759664.6737366663</v>
      </c>
      <c r="R209" s="44">
        <f t="shared" ca="1" si="51"/>
        <v>20092419.089645378</v>
      </c>
      <c r="S209" s="40"/>
      <c r="T209" s="100"/>
      <c r="U209" s="123">
        <f t="shared" si="50"/>
        <v>0</v>
      </c>
    </row>
    <row r="210" spans="1:22" x14ac:dyDescent="0.2">
      <c r="A210" s="66">
        <f t="shared" si="39"/>
        <v>44135</v>
      </c>
      <c r="B210" s="213">
        <f t="shared" si="40"/>
        <v>2020</v>
      </c>
      <c r="C210" s="213">
        <f t="shared" si="41"/>
        <v>10</v>
      </c>
      <c r="D210" s="258">
        <f t="shared" si="42"/>
        <v>19166451.094120812</v>
      </c>
      <c r="E210" s="258">
        <f t="shared" si="42"/>
        <v>4510134.313046311</v>
      </c>
      <c r="F210" s="258">
        <f t="shared" ca="1" si="42"/>
        <v>1049115.2733087833</v>
      </c>
      <c r="G210" s="258">
        <f t="shared" ca="1" si="42"/>
        <v>15705432.054383285</v>
      </c>
      <c r="H210" s="258">
        <f t="shared" ca="1" si="43"/>
        <v>147.23999999999998</v>
      </c>
      <c r="I210" s="258">
        <f t="shared" ca="1" si="43"/>
        <v>14.710000000000003</v>
      </c>
      <c r="J210" s="258">
        <f t="shared" si="44"/>
        <v>31</v>
      </c>
      <c r="K210" s="258">
        <f t="shared" si="44"/>
        <v>0</v>
      </c>
      <c r="L210" s="258"/>
      <c r="M210" s="258"/>
      <c r="N210" s="258">
        <f t="shared" si="45"/>
        <v>14424</v>
      </c>
      <c r="O210" s="67">
        <f t="shared" ca="1" si="46"/>
        <v>15417673.922406122</v>
      </c>
      <c r="P210" s="44">
        <f t="shared" ca="1" si="47"/>
        <v>1049115.2733087833</v>
      </c>
      <c r="Q210" s="172">
        <f t="shared" si="48"/>
        <v>4510134.313046311</v>
      </c>
      <c r="R210" s="44">
        <f t="shared" ca="1" si="51"/>
        <v>18878692.962143648</v>
      </c>
      <c r="S210" s="40"/>
      <c r="T210" s="100"/>
      <c r="U210" s="123">
        <f t="shared" si="50"/>
        <v>0</v>
      </c>
    </row>
    <row r="211" spans="1:22" x14ac:dyDescent="0.2">
      <c r="A211" s="66">
        <f t="shared" si="39"/>
        <v>44165</v>
      </c>
      <c r="B211" s="213">
        <f t="shared" si="40"/>
        <v>2020</v>
      </c>
      <c r="C211" s="213">
        <f t="shared" si="41"/>
        <v>11</v>
      </c>
      <c r="D211" s="258">
        <f t="shared" si="42"/>
        <v>18736074.894379988</v>
      </c>
      <c r="E211" s="258">
        <f t="shared" si="42"/>
        <v>3624554.3128952486</v>
      </c>
      <c r="F211" s="258">
        <f t="shared" ca="1" si="42"/>
        <v>1049115.2733087833</v>
      </c>
      <c r="G211" s="258">
        <f t="shared" ca="1" si="42"/>
        <v>16160635.854793523</v>
      </c>
      <c r="H211" s="258">
        <f t="shared" ca="1" si="43"/>
        <v>331.03</v>
      </c>
      <c r="I211" s="258">
        <f t="shared" ca="1" si="43"/>
        <v>0.54000000000000026</v>
      </c>
      <c r="J211" s="258">
        <f t="shared" si="44"/>
        <v>30</v>
      </c>
      <c r="K211" s="258">
        <f t="shared" si="44"/>
        <v>0</v>
      </c>
      <c r="L211" s="258"/>
      <c r="M211" s="258"/>
      <c r="N211" s="258">
        <f t="shared" si="45"/>
        <v>14421</v>
      </c>
      <c r="O211" s="67">
        <f t="shared" ca="1" si="46"/>
        <v>15637888.210827362</v>
      </c>
      <c r="P211" s="44">
        <f t="shared" ca="1" si="47"/>
        <v>1049115.2733087833</v>
      </c>
      <c r="Q211" s="172">
        <f t="shared" si="48"/>
        <v>3624554.3128952486</v>
      </c>
      <c r="R211" s="44">
        <f t="shared" ca="1" si="51"/>
        <v>18213327.250413828</v>
      </c>
      <c r="S211" s="40"/>
      <c r="T211" s="101"/>
      <c r="U211" s="123">
        <f t="shared" si="50"/>
        <v>0</v>
      </c>
      <c r="V211" s="123">
        <f>SUM(U201:U212)</f>
        <v>0</v>
      </c>
    </row>
    <row r="212" spans="1:22" ht="15" x14ac:dyDescent="0.25">
      <c r="A212" s="66">
        <f t="shared" si="39"/>
        <v>44196</v>
      </c>
      <c r="B212" s="213">
        <f t="shared" si="40"/>
        <v>2020</v>
      </c>
      <c r="C212" s="213">
        <f t="shared" si="41"/>
        <v>12</v>
      </c>
      <c r="D212" s="258">
        <f t="shared" si="42"/>
        <v>22275090.071478143</v>
      </c>
      <c r="E212" s="258">
        <f t="shared" si="42"/>
        <v>4690646.6356936488</v>
      </c>
      <c r="F212" s="258">
        <f t="shared" ca="1" si="42"/>
        <v>1049115.2733087833</v>
      </c>
      <c r="G212" s="258">
        <f t="shared" ca="1" si="42"/>
        <v>18633558.70909328</v>
      </c>
      <c r="H212" s="258">
        <f t="shared" ca="1" si="43"/>
        <v>485.42000000000007</v>
      </c>
      <c r="I212" s="258">
        <f t="shared" ca="1" si="43"/>
        <v>0</v>
      </c>
      <c r="J212" s="258">
        <f t="shared" si="44"/>
        <v>31</v>
      </c>
      <c r="K212" s="258">
        <f t="shared" si="44"/>
        <v>0</v>
      </c>
      <c r="L212" s="258"/>
      <c r="M212" s="258"/>
      <c r="N212" s="258">
        <f t="shared" si="45"/>
        <v>14427</v>
      </c>
      <c r="O212" s="67">
        <f t="shared" ca="1" si="46"/>
        <v>17077503.357676495</v>
      </c>
      <c r="P212" s="44">
        <f t="shared" ca="1" si="47"/>
        <v>1049115.2733087833</v>
      </c>
      <c r="Q212" s="172">
        <f t="shared" si="48"/>
        <v>4690646.6356936488</v>
      </c>
      <c r="R212" s="44">
        <f t="shared" ca="1" si="51"/>
        <v>20719034.720061362</v>
      </c>
      <c r="S212" s="40">
        <f ca="1">SUM(R201:R212)</f>
        <v>248797672.27086395</v>
      </c>
      <c r="T212" s="96">
        <f ca="1">S174-S212</f>
        <v>1020149.4383960366</v>
      </c>
      <c r="U212" s="123">
        <f t="shared" si="50"/>
        <v>0</v>
      </c>
    </row>
    <row r="213" spans="1:22" x14ac:dyDescent="0.2">
      <c r="A213"/>
      <c r="B213"/>
      <c r="C213"/>
      <c r="N213" s="257"/>
      <c r="T213" s="47">
        <f ca="1">T212/S174</f>
        <v>4.083573507350868E-3</v>
      </c>
    </row>
  </sheetData>
  <printOptions gridLines="1"/>
  <pageMargins left="0.38" right="0.75" top="0.73" bottom="0.74" header="0.5" footer="0.5"/>
  <pageSetup scale="15" orientation="landscape" r:id="rId1"/>
  <headerFooter alignWithMargins="0">
    <oddFooter>&amp;L&amp;Z&amp;F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9"/>
  <sheetViews>
    <sheetView topLeftCell="A115" workbookViewId="0">
      <selection activeCell="F104" sqref="F104"/>
    </sheetView>
  </sheetViews>
  <sheetFormatPr defaultRowHeight="12.75" x14ac:dyDescent="0.2"/>
  <cols>
    <col min="3" max="3" width="19.85546875" customWidth="1"/>
    <col min="4" max="4" width="18.28515625" customWidth="1"/>
    <col min="5" max="5" width="18.42578125" customWidth="1"/>
    <col min="6" max="6" width="21.140625" customWidth="1"/>
    <col min="7" max="7" width="25.140625" customWidth="1"/>
    <col min="9" max="9" width="10.28515625" bestFit="1" customWidth="1"/>
    <col min="10" max="14" width="15" customWidth="1"/>
    <col min="19" max="19" width="12.85546875" customWidth="1"/>
  </cols>
  <sheetData>
    <row r="1" spans="1:19" ht="15" x14ac:dyDescent="0.25">
      <c r="A1" s="212"/>
      <c r="B1" s="212"/>
      <c r="C1" s="316" t="s">
        <v>9</v>
      </c>
      <c r="D1" s="316"/>
      <c r="E1" s="316"/>
      <c r="F1" s="316"/>
      <c r="G1" s="316"/>
    </row>
    <row r="2" spans="1:19" ht="77.25" x14ac:dyDescent="0.25">
      <c r="A2" s="213"/>
      <c r="B2" s="213"/>
      <c r="C2" s="183" t="s">
        <v>221</v>
      </c>
      <c r="D2" s="214" t="s">
        <v>222</v>
      </c>
      <c r="E2" s="214" t="s">
        <v>223</v>
      </c>
      <c r="F2" s="214" t="s">
        <v>224</v>
      </c>
      <c r="G2" s="215" t="s">
        <v>225</v>
      </c>
      <c r="J2" s="217" t="str">
        <f>C2</f>
        <v>Power Purchased with Losses Includes Class A and Generation Including WMP</v>
      </c>
      <c r="K2" s="217" t="str">
        <f>D2</f>
        <v>Purchases for WMP with Losses</v>
      </c>
      <c r="L2" s="217" t="str">
        <f>E2</f>
        <v>Purchases Generation</v>
      </c>
      <c r="M2" s="217" t="str">
        <f>F2</f>
        <v>Purchases Embedded Distributor</v>
      </c>
      <c r="N2" s="217" t="str">
        <f>G2</f>
        <v>Purchases without WMP, Generation and Embedded Distributor</v>
      </c>
      <c r="O2" s="217"/>
      <c r="P2" s="217"/>
      <c r="S2" s="183" t="s">
        <v>229</v>
      </c>
    </row>
    <row r="3" spans="1:19" x14ac:dyDescent="0.2">
      <c r="A3" s="66">
        <v>40209</v>
      </c>
      <c r="B3" s="114">
        <f>YEAR(A3)</f>
        <v>2010</v>
      </c>
      <c r="C3" s="104">
        <v>16710571.449999999</v>
      </c>
      <c r="D3" s="185"/>
      <c r="E3" s="185"/>
      <c r="F3" s="185"/>
      <c r="G3" s="189">
        <f>C3-D3-E3-F3</f>
        <v>16710571.449999999</v>
      </c>
      <c r="I3">
        <v>2010</v>
      </c>
      <c r="J3" s="128">
        <f>SUMIF($B:$B,$I3,C:G)</f>
        <v>188942673.05000001</v>
      </c>
      <c r="K3" s="128">
        <f t="shared" ref="K3:N13" si="0">SUMIF($B:$B,$I3,D:H)</f>
        <v>0</v>
      </c>
      <c r="L3" s="128">
        <f t="shared" si="0"/>
        <v>4121.91</v>
      </c>
      <c r="M3" s="128">
        <f t="shared" si="0"/>
        <v>0</v>
      </c>
      <c r="N3" s="128">
        <f t="shared" si="0"/>
        <v>188938551.14000002</v>
      </c>
      <c r="S3" s="184"/>
    </row>
    <row r="4" spans="1:19" x14ac:dyDescent="0.2">
      <c r="A4" s="66">
        <v>40237</v>
      </c>
      <c r="B4" s="114">
        <f t="shared" ref="B4:B67" si="1">YEAR(A4)</f>
        <v>2010</v>
      </c>
      <c r="C4" s="104">
        <v>14688782.35</v>
      </c>
      <c r="D4" s="185"/>
      <c r="E4" s="185"/>
      <c r="F4" s="185"/>
      <c r="G4" s="189">
        <f t="shared" ref="G4:G60" si="2">C4-D4-E4-F4</f>
        <v>14688782.35</v>
      </c>
      <c r="I4">
        <f>I3+1</f>
        <v>2011</v>
      </c>
      <c r="J4" s="128">
        <f t="shared" ref="J4:J13" si="3">SUMIF($B:$B,$I4,C:G)</f>
        <v>190473063.91087499</v>
      </c>
      <c r="K4" s="128">
        <f t="shared" si="0"/>
        <v>0</v>
      </c>
      <c r="L4" s="128">
        <f t="shared" si="0"/>
        <v>72864.84</v>
      </c>
      <c r="M4" s="128">
        <f t="shared" si="0"/>
        <v>0</v>
      </c>
      <c r="N4" s="128">
        <f t="shared" si="0"/>
        <v>190400199.07087499</v>
      </c>
      <c r="S4" s="184"/>
    </row>
    <row r="5" spans="1:19" x14ac:dyDescent="0.2">
      <c r="A5" s="66">
        <v>40268</v>
      </c>
      <c r="B5" s="114">
        <f t="shared" si="1"/>
        <v>2010</v>
      </c>
      <c r="C5" s="104">
        <v>14685368.52</v>
      </c>
      <c r="D5" s="185"/>
      <c r="E5" s="185"/>
      <c r="F5" s="185"/>
      <c r="G5" s="189">
        <f t="shared" si="2"/>
        <v>14685368.52</v>
      </c>
      <c r="I5">
        <f>I4+1</f>
        <v>2012</v>
      </c>
      <c r="J5" s="128">
        <f t="shared" si="3"/>
        <v>191452810.61006799</v>
      </c>
      <c r="K5" s="128">
        <f t="shared" si="0"/>
        <v>3287451.3806179999</v>
      </c>
      <c r="L5" s="128">
        <f t="shared" si="0"/>
        <v>154487.33999999997</v>
      </c>
      <c r="M5" s="128">
        <f t="shared" si="0"/>
        <v>0</v>
      </c>
      <c r="N5" s="128">
        <f t="shared" si="0"/>
        <v>188010871.88944998</v>
      </c>
      <c r="S5" s="185">
        <v>3123172.5067623029</v>
      </c>
    </row>
    <row r="6" spans="1:19" x14ac:dyDescent="0.2">
      <c r="A6" s="66">
        <v>40298</v>
      </c>
      <c r="B6" s="114">
        <f t="shared" si="1"/>
        <v>2010</v>
      </c>
      <c r="C6" s="104">
        <v>13053838.199999999</v>
      </c>
      <c r="D6" s="185"/>
      <c r="E6" s="185"/>
      <c r="F6" s="185"/>
      <c r="G6" s="189">
        <f t="shared" si="2"/>
        <v>13053838.199999999</v>
      </c>
      <c r="I6">
        <f t="shared" ref="I6:I13" si="4">I5+1</f>
        <v>2013</v>
      </c>
      <c r="J6" s="128">
        <f t="shared" si="3"/>
        <v>189981587.17494002</v>
      </c>
      <c r="K6" s="128">
        <f t="shared" si="0"/>
        <v>4370764.71</v>
      </c>
      <c r="L6" s="128">
        <f t="shared" si="0"/>
        <v>349983.3299999999</v>
      </c>
      <c r="M6" s="128">
        <f t="shared" si="0"/>
        <v>0</v>
      </c>
      <c r="N6" s="128">
        <f t="shared" si="0"/>
        <v>185260839.13494</v>
      </c>
      <c r="S6" s="185">
        <v>4152351.045031351</v>
      </c>
    </row>
    <row r="7" spans="1:19" x14ac:dyDescent="0.2">
      <c r="A7" s="66">
        <v>40329</v>
      </c>
      <c r="B7" s="114">
        <f t="shared" si="1"/>
        <v>2010</v>
      </c>
      <c r="C7" s="104">
        <v>14445330.75</v>
      </c>
      <c r="D7" s="185"/>
      <c r="E7" s="185"/>
      <c r="F7" s="185"/>
      <c r="G7" s="189">
        <f t="shared" si="2"/>
        <v>14445330.75</v>
      </c>
      <c r="I7">
        <f t="shared" si="4"/>
        <v>2014</v>
      </c>
      <c r="J7" s="128">
        <f t="shared" si="3"/>
        <v>188316012.84</v>
      </c>
      <c r="K7" s="128">
        <f t="shared" si="0"/>
        <v>4168053.3299999996</v>
      </c>
      <c r="L7" s="128">
        <f t="shared" si="0"/>
        <v>374779.53999999992</v>
      </c>
      <c r="M7" s="128">
        <f t="shared" si="0"/>
        <v>0</v>
      </c>
      <c r="N7" s="128">
        <f t="shared" si="0"/>
        <v>183773179.97</v>
      </c>
      <c r="S7" s="185">
        <v>3959769.4565836973</v>
      </c>
    </row>
    <row r="8" spans="1:19" x14ac:dyDescent="0.2">
      <c r="A8" s="66">
        <v>40359</v>
      </c>
      <c r="B8" s="114">
        <f t="shared" si="1"/>
        <v>2010</v>
      </c>
      <c r="C8" s="104">
        <v>16128916.77</v>
      </c>
      <c r="D8" s="185"/>
      <c r="E8" s="185"/>
      <c r="F8" s="185"/>
      <c r="G8" s="189">
        <f t="shared" si="2"/>
        <v>16128916.77</v>
      </c>
      <c r="I8">
        <f t="shared" si="4"/>
        <v>2015</v>
      </c>
      <c r="J8" s="128">
        <f t="shared" si="3"/>
        <v>188795455.39999998</v>
      </c>
      <c r="K8" s="128">
        <f t="shared" si="0"/>
        <v>4217629.8100000005</v>
      </c>
      <c r="L8" s="128">
        <f t="shared" si="0"/>
        <v>808354.63600000006</v>
      </c>
      <c r="M8" s="128">
        <f t="shared" si="0"/>
        <v>0</v>
      </c>
      <c r="N8" s="128">
        <f t="shared" si="0"/>
        <v>183769470.954</v>
      </c>
      <c r="S8" s="185">
        <v>4032533.3843358518</v>
      </c>
    </row>
    <row r="9" spans="1:19" x14ac:dyDescent="0.2">
      <c r="A9" s="66">
        <v>40390</v>
      </c>
      <c r="B9" s="114">
        <f t="shared" si="1"/>
        <v>2010</v>
      </c>
      <c r="C9" s="104">
        <v>19784906.43</v>
      </c>
      <c r="D9" s="185"/>
      <c r="E9" s="185"/>
      <c r="F9" s="185"/>
      <c r="G9" s="189">
        <f t="shared" si="2"/>
        <v>19784906.43</v>
      </c>
      <c r="I9">
        <f t="shared" si="4"/>
        <v>2016</v>
      </c>
      <c r="J9" s="128">
        <f t="shared" si="3"/>
        <v>189916009.50999996</v>
      </c>
      <c r="K9" s="128">
        <f t="shared" si="0"/>
        <v>4112281.6985530001</v>
      </c>
      <c r="L9" s="128">
        <f t="shared" si="0"/>
        <v>910246.23999999987</v>
      </c>
      <c r="M9" s="128">
        <f t="shared" si="0"/>
        <v>0</v>
      </c>
      <c r="N9" s="128">
        <f t="shared" si="0"/>
        <v>184893481.57144699</v>
      </c>
      <c r="S9" s="185">
        <v>3913320.49</v>
      </c>
    </row>
    <row r="10" spans="1:19" x14ac:dyDescent="0.2">
      <c r="A10" s="66">
        <v>40421</v>
      </c>
      <c r="B10" s="114">
        <f t="shared" si="1"/>
        <v>2010</v>
      </c>
      <c r="C10" s="104">
        <v>19044589.699999999</v>
      </c>
      <c r="D10" s="185"/>
      <c r="E10" s="185"/>
      <c r="F10" s="185"/>
      <c r="G10" s="189">
        <f t="shared" si="2"/>
        <v>19044589.699999999</v>
      </c>
      <c r="I10">
        <f t="shared" si="4"/>
        <v>2017</v>
      </c>
      <c r="J10" s="128">
        <f t="shared" si="3"/>
        <v>211070217.70538622</v>
      </c>
      <c r="K10" s="128">
        <f t="shared" si="0"/>
        <v>3586590.0621512067</v>
      </c>
      <c r="L10" s="128">
        <f t="shared" si="0"/>
        <v>1894524.9100000001</v>
      </c>
      <c r="M10" s="128">
        <f t="shared" si="0"/>
        <v>29983391.131810207</v>
      </c>
      <c r="N10" s="128">
        <f t="shared" si="0"/>
        <v>175605711.60142478</v>
      </c>
      <c r="S10" s="185">
        <v>3421726.3774166652</v>
      </c>
    </row>
    <row r="11" spans="1:19" x14ac:dyDescent="0.2">
      <c r="A11" s="66">
        <v>40451</v>
      </c>
      <c r="B11" s="114">
        <f t="shared" si="1"/>
        <v>2010</v>
      </c>
      <c r="C11" s="104">
        <v>14895979.83</v>
      </c>
      <c r="D11" s="185"/>
      <c r="E11" s="185"/>
      <c r="F11" s="185"/>
      <c r="G11" s="189">
        <f t="shared" si="2"/>
        <v>14895979.83</v>
      </c>
      <c r="I11">
        <f t="shared" si="4"/>
        <v>2018</v>
      </c>
      <c r="J11" s="128">
        <f t="shared" si="3"/>
        <v>237650537.15783811</v>
      </c>
      <c r="K11" s="128">
        <f t="shared" si="0"/>
        <v>3532775.9939492545</v>
      </c>
      <c r="L11" s="128">
        <f t="shared" si="0"/>
        <v>6123474.8000000007</v>
      </c>
      <c r="M11" s="128">
        <f t="shared" si="0"/>
        <v>43380633.574119426</v>
      </c>
      <c r="N11" s="128">
        <f t="shared" si="0"/>
        <v>184613652.78976944</v>
      </c>
      <c r="S11" s="185">
        <v>3378383.8519166647</v>
      </c>
    </row>
    <row r="12" spans="1:19" x14ac:dyDescent="0.2">
      <c r="A12" s="66">
        <v>40482</v>
      </c>
      <c r="B12" s="114">
        <f t="shared" si="1"/>
        <v>2010</v>
      </c>
      <c r="C12" s="104">
        <v>13951924.74</v>
      </c>
      <c r="D12" s="185"/>
      <c r="E12" s="185"/>
      <c r="F12" s="185"/>
      <c r="G12" s="189">
        <f t="shared" si="2"/>
        <v>13951924.74</v>
      </c>
      <c r="I12">
        <f t="shared" si="4"/>
        <v>2019</v>
      </c>
      <c r="J12" s="128">
        <f t="shared" si="3"/>
        <v>239547871.85641468</v>
      </c>
      <c r="K12" s="128">
        <f t="shared" si="0"/>
        <v>3463148.8363172137</v>
      </c>
      <c r="L12" s="128">
        <f t="shared" si="0"/>
        <v>2800701</v>
      </c>
      <c r="M12" s="128">
        <f t="shared" si="0"/>
        <v>49068645.301379278</v>
      </c>
      <c r="N12" s="128">
        <f t="shared" si="0"/>
        <v>184215376.7187182</v>
      </c>
      <c r="S12" s="185">
        <v>3311799.5948333307</v>
      </c>
    </row>
    <row r="13" spans="1:19" ht="13.5" thickBot="1" x14ac:dyDescent="0.25">
      <c r="A13" s="66">
        <v>40512</v>
      </c>
      <c r="B13" s="114">
        <f t="shared" si="1"/>
        <v>2010</v>
      </c>
      <c r="C13" s="104">
        <v>14495200.18</v>
      </c>
      <c r="D13" s="185"/>
      <c r="E13" s="184">
        <v>3115.96</v>
      </c>
      <c r="F13" s="185"/>
      <c r="G13" s="189">
        <f t="shared" si="2"/>
        <v>14492084.219999999</v>
      </c>
      <c r="I13">
        <f t="shared" si="4"/>
        <v>2020</v>
      </c>
      <c r="J13" s="128">
        <f t="shared" si="3"/>
        <v>257550552.01565266</v>
      </c>
      <c r="K13" s="128">
        <f t="shared" si="0"/>
        <v>3367819.6749302396</v>
      </c>
      <c r="L13" s="128">
        <f t="shared" si="0"/>
        <v>1254630</v>
      </c>
      <c r="M13" s="128">
        <f t="shared" si="0"/>
        <v>59182119.984162331</v>
      </c>
      <c r="N13" s="128">
        <f t="shared" si="0"/>
        <v>193745982.35656011</v>
      </c>
      <c r="S13" s="219">
        <v>3220636.5830833311</v>
      </c>
    </row>
    <row r="14" spans="1:19" x14ac:dyDescent="0.2">
      <c r="A14" s="66">
        <v>40543</v>
      </c>
      <c r="B14" s="114">
        <f t="shared" si="1"/>
        <v>2010</v>
      </c>
      <c r="C14" s="104">
        <v>17057264.129999999</v>
      </c>
      <c r="D14" s="185"/>
      <c r="E14" s="184">
        <v>1005.9499999999998</v>
      </c>
      <c r="F14" s="185"/>
      <c r="G14" s="189">
        <f t="shared" si="2"/>
        <v>17056258.18</v>
      </c>
    </row>
    <row r="15" spans="1:19" x14ac:dyDescent="0.2">
      <c r="A15" s="66">
        <v>40574</v>
      </c>
      <c r="B15" s="114">
        <f t="shared" si="1"/>
        <v>2011</v>
      </c>
      <c r="C15" s="104">
        <v>16972495.279649999</v>
      </c>
      <c r="D15" s="185"/>
      <c r="E15" s="184">
        <v>647.80999999999995</v>
      </c>
      <c r="F15" s="185"/>
      <c r="G15" s="189">
        <f t="shared" si="2"/>
        <v>16971847.46965</v>
      </c>
      <c r="K15" s="128"/>
    </row>
    <row r="16" spans="1:19" x14ac:dyDescent="0.2">
      <c r="A16" s="66">
        <v>40602</v>
      </c>
      <c r="B16" s="114">
        <f t="shared" si="1"/>
        <v>2011</v>
      </c>
      <c r="C16" s="104">
        <v>15034235.442599999</v>
      </c>
      <c r="D16" s="185"/>
      <c r="E16" s="184">
        <v>730.44</v>
      </c>
      <c r="F16" s="185"/>
      <c r="G16" s="189">
        <f t="shared" si="2"/>
        <v>15033505.002599999</v>
      </c>
      <c r="S16" s="128"/>
    </row>
    <row r="17" spans="1:19" x14ac:dyDescent="0.2">
      <c r="A17" s="66">
        <v>40633</v>
      </c>
      <c r="B17" s="114">
        <f t="shared" si="1"/>
        <v>2011</v>
      </c>
      <c r="C17" s="104">
        <v>15600132.157400001</v>
      </c>
      <c r="D17" s="185"/>
      <c r="E17" s="184">
        <v>1340.73</v>
      </c>
      <c r="F17" s="185"/>
      <c r="G17" s="189">
        <f t="shared" si="2"/>
        <v>15598791.4274</v>
      </c>
      <c r="S17" s="128"/>
    </row>
    <row r="18" spans="1:19" x14ac:dyDescent="0.2">
      <c r="A18" s="66">
        <v>40663</v>
      </c>
      <c r="B18" s="114">
        <f t="shared" si="1"/>
        <v>2011</v>
      </c>
      <c r="C18" s="104">
        <v>13905160.764599999</v>
      </c>
      <c r="D18" s="185"/>
      <c r="E18" s="184">
        <v>5127.5600000000004</v>
      </c>
      <c r="F18" s="185"/>
      <c r="G18" s="189">
        <f t="shared" si="2"/>
        <v>13900033.204599999</v>
      </c>
    </row>
    <row r="19" spans="1:19" x14ac:dyDescent="0.2">
      <c r="A19" s="66">
        <v>40694</v>
      </c>
      <c r="B19" s="114">
        <f t="shared" si="1"/>
        <v>2011</v>
      </c>
      <c r="C19" s="104">
        <v>13964088.668949999</v>
      </c>
      <c r="D19" s="185"/>
      <c r="E19" s="184">
        <v>5185.79</v>
      </c>
      <c r="F19" s="185"/>
      <c r="G19" s="189">
        <f t="shared" si="2"/>
        <v>13958902.87895</v>
      </c>
    </row>
    <row r="20" spans="1:19" x14ac:dyDescent="0.2">
      <c r="A20" s="66">
        <v>40724</v>
      </c>
      <c r="B20" s="114">
        <f t="shared" si="1"/>
        <v>2011</v>
      </c>
      <c r="C20" s="104">
        <v>15635949.933149999</v>
      </c>
      <c r="D20" s="185"/>
      <c r="E20" s="184">
        <v>6637.2000000000007</v>
      </c>
      <c r="F20" s="185"/>
      <c r="G20" s="189">
        <f t="shared" si="2"/>
        <v>15629312.73315</v>
      </c>
    </row>
    <row r="21" spans="1:19" x14ac:dyDescent="0.2">
      <c r="A21" s="66">
        <v>40755</v>
      </c>
      <c r="B21" s="114">
        <f t="shared" si="1"/>
        <v>2011</v>
      </c>
      <c r="C21" s="104">
        <v>20776403.369124997</v>
      </c>
      <c r="D21" s="185"/>
      <c r="E21" s="184">
        <v>8474.489999999998</v>
      </c>
      <c r="F21" s="185"/>
      <c r="G21" s="189">
        <f t="shared" si="2"/>
        <v>20767928.879124999</v>
      </c>
    </row>
    <row r="22" spans="1:19" x14ac:dyDescent="0.2">
      <c r="A22" s="66">
        <v>40786</v>
      </c>
      <c r="B22" s="114">
        <f t="shared" si="1"/>
        <v>2011</v>
      </c>
      <c r="C22" s="104">
        <v>18292832.774299998</v>
      </c>
      <c r="D22" s="185"/>
      <c r="E22" s="184">
        <v>11147.150000000005</v>
      </c>
      <c r="F22" s="185"/>
      <c r="G22" s="189">
        <f t="shared" si="2"/>
        <v>18281685.624299999</v>
      </c>
      <c r="L22" s="216"/>
    </row>
    <row r="23" spans="1:19" x14ac:dyDescent="0.2">
      <c r="A23" s="66">
        <v>40816</v>
      </c>
      <c r="B23" s="114">
        <f t="shared" si="1"/>
        <v>2011</v>
      </c>
      <c r="C23" s="104">
        <v>15179291.59935</v>
      </c>
      <c r="D23" s="185"/>
      <c r="E23" s="184">
        <v>12426.089999999995</v>
      </c>
      <c r="F23" s="185"/>
      <c r="G23" s="189">
        <f t="shared" si="2"/>
        <v>15166865.50935</v>
      </c>
    </row>
    <row r="24" spans="1:19" x14ac:dyDescent="0.2">
      <c r="A24" s="66">
        <v>40847</v>
      </c>
      <c r="B24" s="114">
        <f t="shared" si="1"/>
        <v>2011</v>
      </c>
      <c r="C24" s="104">
        <v>14464910.0175</v>
      </c>
      <c r="D24" s="185"/>
      <c r="E24" s="184">
        <v>9295.5400000000027</v>
      </c>
      <c r="F24" s="185"/>
      <c r="G24" s="189">
        <f t="shared" si="2"/>
        <v>14455614.477500001</v>
      </c>
    </row>
    <row r="25" spans="1:19" x14ac:dyDescent="0.2">
      <c r="A25" s="66">
        <v>40877</v>
      </c>
      <c r="B25" s="114">
        <f t="shared" si="1"/>
        <v>2011</v>
      </c>
      <c r="C25" s="104">
        <v>14415495.62755</v>
      </c>
      <c r="D25" s="185"/>
      <c r="E25" s="184">
        <v>6582.4299999999976</v>
      </c>
      <c r="F25" s="185"/>
      <c r="G25" s="189">
        <f t="shared" si="2"/>
        <v>14408913.197550001</v>
      </c>
    </row>
    <row r="26" spans="1:19" x14ac:dyDescent="0.2">
      <c r="A26" s="66">
        <v>40908</v>
      </c>
      <c r="B26" s="114">
        <f t="shared" si="1"/>
        <v>2011</v>
      </c>
      <c r="C26" s="104">
        <v>16232068.276699999</v>
      </c>
      <c r="D26" s="185"/>
      <c r="E26" s="184">
        <v>5269.6100000000079</v>
      </c>
      <c r="F26" s="185"/>
      <c r="G26" s="189">
        <f t="shared" si="2"/>
        <v>16226798.6667</v>
      </c>
    </row>
    <row r="27" spans="1:19" x14ac:dyDescent="0.2">
      <c r="A27" s="66">
        <v>40939</v>
      </c>
      <c r="B27" s="114">
        <f t="shared" si="1"/>
        <v>2012</v>
      </c>
      <c r="C27" s="104">
        <v>16429520.481299998</v>
      </c>
      <c r="D27" s="185"/>
      <c r="E27" s="184">
        <v>3775.6099999999938</v>
      </c>
      <c r="F27" s="185"/>
      <c r="G27" s="189">
        <f t="shared" si="2"/>
        <v>16425744.871299999</v>
      </c>
    </row>
    <row r="28" spans="1:19" x14ac:dyDescent="0.2">
      <c r="A28" s="66">
        <v>40968</v>
      </c>
      <c r="B28" s="114">
        <f t="shared" si="1"/>
        <v>2012</v>
      </c>
      <c r="C28" s="104">
        <v>14922709.590399999</v>
      </c>
      <c r="D28" s="185"/>
      <c r="E28" s="184">
        <v>3878.9</v>
      </c>
      <c r="F28" s="185"/>
      <c r="G28" s="189">
        <f t="shared" si="2"/>
        <v>14918830.690399999</v>
      </c>
    </row>
    <row r="29" spans="1:19" x14ac:dyDescent="0.2">
      <c r="A29" s="66">
        <v>40999</v>
      </c>
      <c r="B29" s="114">
        <f t="shared" si="1"/>
        <v>2012</v>
      </c>
      <c r="C29" s="104">
        <v>14512774.780449999</v>
      </c>
      <c r="D29" s="185"/>
      <c r="E29" s="184">
        <v>5726.27</v>
      </c>
      <c r="F29" s="185"/>
      <c r="G29" s="189">
        <f t="shared" si="2"/>
        <v>14507048.51045</v>
      </c>
    </row>
    <row r="30" spans="1:19" x14ac:dyDescent="0.2">
      <c r="A30" s="66">
        <v>41029</v>
      </c>
      <c r="B30" s="114">
        <f t="shared" si="1"/>
        <v>2012</v>
      </c>
      <c r="C30" s="104">
        <v>13420400.940308001</v>
      </c>
      <c r="D30" s="185">
        <v>171325.681128</v>
      </c>
      <c r="E30" s="184">
        <v>11679.34</v>
      </c>
      <c r="F30" s="185"/>
      <c r="G30" s="189">
        <f>C30-D30-E30-F30</f>
        <v>13237395.91918</v>
      </c>
    </row>
    <row r="31" spans="1:19" x14ac:dyDescent="0.2">
      <c r="A31" s="66">
        <v>41060</v>
      </c>
      <c r="B31" s="114">
        <f t="shared" si="1"/>
        <v>2012</v>
      </c>
      <c r="C31" s="104">
        <v>14603680.867724</v>
      </c>
      <c r="D31" s="185">
        <v>387331.106034</v>
      </c>
      <c r="E31" s="184">
        <v>22653.550000000003</v>
      </c>
      <c r="F31" s="185"/>
      <c r="G31" s="189">
        <f t="shared" si="2"/>
        <v>14193696.211689999</v>
      </c>
    </row>
    <row r="32" spans="1:19" x14ac:dyDescent="0.2">
      <c r="A32" s="66">
        <v>41090</v>
      </c>
      <c r="B32" s="114">
        <f t="shared" si="1"/>
        <v>2012</v>
      </c>
      <c r="C32" s="104">
        <v>17157940.412751999</v>
      </c>
      <c r="D32" s="185">
        <v>412875.00285200001</v>
      </c>
      <c r="E32" s="184">
        <v>19815.54</v>
      </c>
      <c r="F32" s="185"/>
      <c r="G32" s="189">
        <f t="shared" si="2"/>
        <v>16725249.869899999</v>
      </c>
    </row>
    <row r="33" spans="1:7" x14ac:dyDescent="0.2">
      <c r="A33" s="66">
        <v>41121</v>
      </c>
      <c r="B33" s="114">
        <f t="shared" si="1"/>
        <v>2012</v>
      </c>
      <c r="C33" s="104">
        <v>20944843.982699998</v>
      </c>
      <c r="D33" s="185">
        <v>450462.27519999997</v>
      </c>
      <c r="E33" s="184">
        <v>19126.609999999997</v>
      </c>
      <c r="F33" s="185"/>
      <c r="G33" s="189">
        <f t="shared" si="2"/>
        <v>20475255.0975</v>
      </c>
    </row>
    <row r="34" spans="1:7" x14ac:dyDescent="0.2">
      <c r="A34" s="66">
        <v>41152</v>
      </c>
      <c r="B34" s="114">
        <f t="shared" si="1"/>
        <v>2012</v>
      </c>
      <c r="C34" s="104">
        <v>18739592.12965</v>
      </c>
      <c r="D34" s="185">
        <v>449753.77014000004</v>
      </c>
      <c r="E34" s="184">
        <v>19538.02</v>
      </c>
      <c r="F34" s="185"/>
      <c r="G34" s="189">
        <f t="shared" si="2"/>
        <v>18270300.339510001</v>
      </c>
    </row>
    <row r="35" spans="1:7" x14ac:dyDescent="0.2">
      <c r="A35" s="66">
        <v>41182</v>
      </c>
      <c r="B35" s="114">
        <f t="shared" si="1"/>
        <v>2012</v>
      </c>
      <c r="C35" s="104">
        <v>15430254.123528</v>
      </c>
      <c r="D35" s="185">
        <v>380388.514318</v>
      </c>
      <c r="E35" s="184">
        <v>17528.609999999993</v>
      </c>
      <c r="F35" s="185"/>
      <c r="G35" s="189">
        <f t="shared" si="2"/>
        <v>15032336.99921</v>
      </c>
    </row>
    <row r="36" spans="1:7" x14ac:dyDescent="0.2">
      <c r="A36" s="66">
        <v>41213</v>
      </c>
      <c r="B36" s="114">
        <f t="shared" si="1"/>
        <v>2012</v>
      </c>
      <c r="C36" s="104">
        <v>14418668.859476</v>
      </c>
      <c r="D36" s="185">
        <v>357659.49094600003</v>
      </c>
      <c r="E36" s="184">
        <v>28216.500000000004</v>
      </c>
      <c r="F36" s="185"/>
      <c r="G36" s="189">
        <f t="shared" si="2"/>
        <v>14032792.86853</v>
      </c>
    </row>
    <row r="37" spans="1:7" x14ac:dyDescent="0.2">
      <c r="A37" s="66">
        <v>41243</v>
      </c>
      <c r="B37" s="114">
        <f t="shared" si="1"/>
        <v>2012</v>
      </c>
      <c r="C37" s="104">
        <v>14689598.23167</v>
      </c>
      <c r="D37" s="185">
        <v>326178.34000000003</v>
      </c>
      <c r="E37" s="184">
        <v>8710.919999999991</v>
      </c>
      <c r="F37" s="185"/>
      <c r="G37" s="189">
        <f t="shared" si="2"/>
        <v>14354708.97167</v>
      </c>
    </row>
    <row r="38" spans="1:7" x14ac:dyDescent="0.2">
      <c r="A38" s="66">
        <v>41274</v>
      </c>
      <c r="B38" s="114">
        <f t="shared" si="1"/>
        <v>2012</v>
      </c>
      <c r="C38" s="104">
        <v>16182826.210109999</v>
      </c>
      <c r="D38" s="185">
        <v>351477.2</v>
      </c>
      <c r="E38" s="184">
        <v>-6162.53</v>
      </c>
      <c r="F38" s="185"/>
      <c r="G38" s="189">
        <f t="shared" si="2"/>
        <v>15837511.540109999</v>
      </c>
    </row>
    <row r="39" spans="1:7" x14ac:dyDescent="0.2">
      <c r="A39" s="66">
        <v>41305</v>
      </c>
      <c r="B39" s="114">
        <f t="shared" si="1"/>
        <v>2013</v>
      </c>
      <c r="C39" s="104">
        <v>16622084.10345</v>
      </c>
      <c r="D39" s="185">
        <v>337084.59</v>
      </c>
      <c r="E39" s="184">
        <v>3623.740000000008</v>
      </c>
      <c r="F39" s="185"/>
      <c r="G39" s="189">
        <f t="shared" si="2"/>
        <v>16281375.77345</v>
      </c>
    </row>
    <row r="40" spans="1:7" x14ac:dyDescent="0.2">
      <c r="A40" s="66">
        <v>41333</v>
      </c>
      <c r="B40" s="114">
        <f t="shared" si="1"/>
        <v>2013</v>
      </c>
      <c r="C40" s="104">
        <v>15003411.894210001</v>
      </c>
      <c r="D40" s="185">
        <v>296978.39</v>
      </c>
      <c r="E40" s="184">
        <v>6191.91</v>
      </c>
      <c r="F40" s="185"/>
      <c r="G40" s="189">
        <f t="shared" si="2"/>
        <v>14700241.594210001</v>
      </c>
    </row>
    <row r="41" spans="1:7" x14ac:dyDescent="0.2">
      <c r="A41" s="66">
        <v>41364</v>
      </c>
      <c r="B41" s="114">
        <f t="shared" si="1"/>
        <v>2013</v>
      </c>
      <c r="C41" s="104">
        <v>15405740.23608</v>
      </c>
      <c r="D41" s="185">
        <v>330061.96000000002</v>
      </c>
      <c r="E41" s="184">
        <v>64343.679999999993</v>
      </c>
      <c r="F41" s="185"/>
      <c r="G41" s="189">
        <f t="shared" si="2"/>
        <v>15011334.59608</v>
      </c>
    </row>
    <row r="42" spans="1:7" x14ac:dyDescent="0.2">
      <c r="A42" s="66">
        <v>41394</v>
      </c>
      <c r="B42" s="114">
        <f t="shared" si="1"/>
        <v>2013</v>
      </c>
      <c r="C42" s="104">
        <v>13953064.21022</v>
      </c>
      <c r="D42" s="185">
        <v>328201.44</v>
      </c>
      <c r="E42" s="184">
        <v>25307.850000000006</v>
      </c>
      <c r="F42" s="185"/>
      <c r="G42" s="189">
        <f t="shared" si="2"/>
        <v>13599554.920220001</v>
      </c>
    </row>
    <row r="43" spans="1:7" x14ac:dyDescent="0.2">
      <c r="A43" s="66">
        <v>41425</v>
      </c>
      <c r="B43" s="114">
        <f t="shared" si="1"/>
        <v>2013</v>
      </c>
      <c r="C43" s="104">
        <v>14135961.105699999</v>
      </c>
      <c r="D43" s="185">
        <v>370779.87</v>
      </c>
      <c r="E43" s="184">
        <v>37859.68</v>
      </c>
      <c r="F43" s="185"/>
      <c r="G43" s="189">
        <f t="shared" si="2"/>
        <v>13727321.5557</v>
      </c>
    </row>
    <row r="44" spans="1:7" x14ac:dyDescent="0.2">
      <c r="A44" s="66">
        <v>41455</v>
      </c>
      <c r="B44" s="114">
        <f t="shared" si="1"/>
        <v>2013</v>
      </c>
      <c r="C44" s="104">
        <v>15880216.29284</v>
      </c>
      <c r="D44" s="185">
        <v>394568.8</v>
      </c>
      <c r="E44" s="184">
        <v>54918.479999999996</v>
      </c>
      <c r="F44" s="185"/>
      <c r="G44" s="189">
        <f t="shared" si="2"/>
        <v>15430729.012839999</v>
      </c>
    </row>
    <row r="45" spans="1:7" x14ac:dyDescent="0.2">
      <c r="A45" s="66">
        <v>41486</v>
      </c>
      <c r="B45" s="114">
        <f t="shared" si="1"/>
        <v>2013</v>
      </c>
      <c r="C45" s="104">
        <v>19373764.10244</v>
      </c>
      <c r="D45" s="185">
        <v>452426.52</v>
      </c>
      <c r="E45" s="184">
        <v>37562.449999999983</v>
      </c>
      <c r="F45" s="185"/>
      <c r="G45" s="189">
        <f t="shared" si="2"/>
        <v>18883775.132440001</v>
      </c>
    </row>
    <row r="46" spans="1:7" x14ac:dyDescent="0.2">
      <c r="A46" s="66">
        <v>41517</v>
      </c>
      <c r="B46" s="114">
        <f t="shared" si="1"/>
        <v>2013</v>
      </c>
      <c r="C46" s="104">
        <v>17518528.28576</v>
      </c>
      <c r="D46" s="185">
        <v>439096.71</v>
      </c>
      <c r="E46" s="184">
        <v>31313.799999999985</v>
      </c>
      <c r="F46" s="185"/>
      <c r="G46" s="189">
        <f t="shared" si="2"/>
        <v>17048117.775759999</v>
      </c>
    </row>
    <row r="47" spans="1:7" x14ac:dyDescent="0.2">
      <c r="A47" s="66">
        <v>41547</v>
      </c>
      <c r="B47" s="114">
        <f t="shared" si="1"/>
        <v>2013</v>
      </c>
      <c r="C47" s="104">
        <v>15118315.780299999</v>
      </c>
      <c r="D47" s="185">
        <v>387329.36</v>
      </c>
      <c r="E47" s="184">
        <v>35691.969999999994</v>
      </c>
      <c r="F47" s="185"/>
      <c r="G47" s="189">
        <f t="shared" si="2"/>
        <v>14695294.450299999</v>
      </c>
    </row>
    <row r="48" spans="1:7" x14ac:dyDescent="0.2">
      <c r="A48" s="66">
        <v>41578</v>
      </c>
      <c r="B48" s="114">
        <f t="shared" si="1"/>
        <v>2013</v>
      </c>
      <c r="C48" s="104">
        <v>14697969.943470001</v>
      </c>
      <c r="D48" s="185">
        <v>359615.31</v>
      </c>
      <c r="E48" s="184">
        <v>28716.750000000015</v>
      </c>
      <c r="F48" s="185"/>
      <c r="G48" s="189">
        <f t="shared" si="2"/>
        <v>14309637.883470001</v>
      </c>
    </row>
    <row r="49" spans="1:7" x14ac:dyDescent="0.2">
      <c r="A49" s="66">
        <v>41608</v>
      </c>
      <c r="B49" s="114">
        <f t="shared" si="1"/>
        <v>2013</v>
      </c>
      <c r="C49" s="104">
        <v>15084391.12145</v>
      </c>
      <c r="D49" s="185">
        <v>328090.75</v>
      </c>
      <c r="E49" s="184">
        <v>18237.399999999991</v>
      </c>
      <c r="F49" s="185"/>
      <c r="G49" s="189">
        <f t="shared" si="2"/>
        <v>14738062.971449999</v>
      </c>
    </row>
    <row r="50" spans="1:7" x14ac:dyDescent="0.2">
      <c r="A50" s="66">
        <v>41639</v>
      </c>
      <c r="B50" s="114">
        <f t="shared" si="1"/>
        <v>2013</v>
      </c>
      <c r="C50" s="104">
        <v>17188140.099020001</v>
      </c>
      <c r="D50" s="185">
        <v>346531.01</v>
      </c>
      <c r="E50" s="184">
        <v>6215.6199999999608</v>
      </c>
      <c r="F50" s="185"/>
      <c r="G50" s="189">
        <f t="shared" si="2"/>
        <v>16835393.469019998</v>
      </c>
    </row>
    <row r="51" spans="1:7" x14ac:dyDescent="0.2">
      <c r="A51" s="66">
        <v>41670</v>
      </c>
      <c r="B51" s="114">
        <f t="shared" si="1"/>
        <v>2014</v>
      </c>
      <c r="C51" s="104">
        <v>17832921.899999999</v>
      </c>
      <c r="D51" s="185">
        <v>340474.77</v>
      </c>
      <c r="E51" s="185">
        <v>-1071.1700000000089</v>
      </c>
      <c r="F51" s="185"/>
      <c r="G51" s="189">
        <f t="shared" si="2"/>
        <v>17493518.300000001</v>
      </c>
    </row>
    <row r="52" spans="1:7" x14ac:dyDescent="0.2">
      <c r="A52" s="66">
        <v>41698</v>
      </c>
      <c r="B52" s="114">
        <f t="shared" si="1"/>
        <v>2014</v>
      </c>
      <c r="C52" s="104">
        <v>15630733.610000001</v>
      </c>
      <c r="D52" s="185">
        <v>299997.96999999997</v>
      </c>
      <c r="E52" s="185">
        <v>15557.190000000002</v>
      </c>
      <c r="F52" s="185"/>
      <c r="G52" s="189">
        <f t="shared" si="2"/>
        <v>15315178.450000001</v>
      </c>
    </row>
    <row r="53" spans="1:7" x14ac:dyDescent="0.2">
      <c r="A53" s="66">
        <v>41729</v>
      </c>
      <c r="B53" s="114">
        <f t="shared" si="1"/>
        <v>2014</v>
      </c>
      <c r="C53" s="104">
        <v>16233179.18</v>
      </c>
      <c r="D53" s="185">
        <v>326095.78999999998</v>
      </c>
      <c r="E53" s="185">
        <v>28822.83</v>
      </c>
      <c r="F53" s="185"/>
      <c r="G53" s="189">
        <f t="shared" si="2"/>
        <v>15878260.560000001</v>
      </c>
    </row>
    <row r="54" spans="1:7" x14ac:dyDescent="0.2">
      <c r="A54" s="66">
        <v>41759</v>
      </c>
      <c r="B54" s="114">
        <f t="shared" si="1"/>
        <v>2014</v>
      </c>
      <c r="C54" s="104">
        <v>13779375.02</v>
      </c>
      <c r="D54" s="185">
        <v>316986.74</v>
      </c>
      <c r="E54" s="185">
        <v>31006.799999999996</v>
      </c>
      <c r="F54" s="185"/>
      <c r="G54" s="189">
        <f t="shared" si="2"/>
        <v>13431381.479999999</v>
      </c>
    </row>
    <row r="55" spans="1:7" x14ac:dyDescent="0.2">
      <c r="A55" s="66">
        <v>41790</v>
      </c>
      <c r="B55" s="114">
        <f t="shared" si="1"/>
        <v>2014</v>
      </c>
      <c r="C55" s="104">
        <v>13816260.479999999</v>
      </c>
      <c r="D55" s="185">
        <v>345342.44</v>
      </c>
      <c r="E55" s="185">
        <v>44942.669999999991</v>
      </c>
      <c r="F55" s="185"/>
      <c r="G55" s="189">
        <f t="shared" si="2"/>
        <v>13425975.369999999</v>
      </c>
    </row>
    <row r="56" spans="1:7" x14ac:dyDescent="0.2">
      <c r="A56" s="66">
        <v>41820</v>
      </c>
      <c r="B56" s="114">
        <f t="shared" si="1"/>
        <v>2014</v>
      </c>
      <c r="C56" s="104">
        <v>15763795.030000001</v>
      </c>
      <c r="D56" s="185">
        <v>376748.21</v>
      </c>
      <c r="E56" s="185">
        <v>49024.599999999991</v>
      </c>
      <c r="F56" s="185"/>
      <c r="G56" s="189">
        <f t="shared" si="2"/>
        <v>15338022.220000001</v>
      </c>
    </row>
    <row r="57" spans="1:7" x14ac:dyDescent="0.2">
      <c r="A57" s="66">
        <v>41851</v>
      </c>
      <c r="B57" s="114">
        <f t="shared" si="1"/>
        <v>2014</v>
      </c>
      <c r="C57" s="104">
        <v>17256405.399999999</v>
      </c>
      <c r="D57" s="185">
        <v>396813.88</v>
      </c>
      <c r="E57" s="185">
        <v>44819.719999999994</v>
      </c>
      <c r="F57" s="185"/>
      <c r="G57" s="189">
        <f t="shared" si="2"/>
        <v>16814771.800000001</v>
      </c>
    </row>
    <row r="58" spans="1:7" x14ac:dyDescent="0.2">
      <c r="A58" s="66">
        <v>41882</v>
      </c>
      <c r="B58" s="114">
        <f t="shared" si="1"/>
        <v>2014</v>
      </c>
      <c r="C58" s="104">
        <v>17022827.640000001</v>
      </c>
      <c r="D58" s="185">
        <v>398208.05</v>
      </c>
      <c r="E58" s="185">
        <v>33262.070000000007</v>
      </c>
      <c r="F58" s="185"/>
      <c r="G58" s="189">
        <f t="shared" si="2"/>
        <v>16591357.52</v>
      </c>
    </row>
    <row r="59" spans="1:7" x14ac:dyDescent="0.2">
      <c r="A59" s="66">
        <v>41912</v>
      </c>
      <c r="B59" s="114">
        <f t="shared" si="1"/>
        <v>2014</v>
      </c>
      <c r="C59" s="104">
        <v>15128454.74</v>
      </c>
      <c r="D59" s="185">
        <v>368488.06</v>
      </c>
      <c r="E59" s="185">
        <v>33678.07</v>
      </c>
      <c r="F59" s="185"/>
      <c r="G59" s="189">
        <f t="shared" si="2"/>
        <v>14726288.609999999</v>
      </c>
    </row>
    <row r="60" spans="1:7" x14ac:dyDescent="0.2">
      <c r="A60" s="66">
        <v>41943</v>
      </c>
      <c r="B60" s="114">
        <f t="shared" si="1"/>
        <v>2014</v>
      </c>
      <c r="C60" s="104">
        <v>14319576.609999999</v>
      </c>
      <c r="D60" s="185">
        <v>352104.36</v>
      </c>
      <c r="E60" s="185">
        <v>26694.059999999979</v>
      </c>
      <c r="F60" s="185"/>
      <c r="G60" s="189">
        <f t="shared" si="2"/>
        <v>13940778.189999999</v>
      </c>
    </row>
    <row r="61" spans="1:7" x14ac:dyDescent="0.2">
      <c r="A61" s="66">
        <v>41973</v>
      </c>
      <c r="B61" s="114">
        <f t="shared" si="1"/>
        <v>2014</v>
      </c>
      <c r="C61" s="104">
        <v>15066567.450000001</v>
      </c>
      <c r="D61" s="185">
        <v>318178.89</v>
      </c>
      <c r="E61" s="185">
        <v>13140.310000000005</v>
      </c>
      <c r="F61" s="185"/>
      <c r="G61" s="189">
        <f>C61-D61-E61-F61</f>
        <v>14735248.25</v>
      </c>
    </row>
    <row r="62" spans="1:7" x14ac:dyDescent="0.2">
      <c r="A62" s="66">
        <v>42004</v>
      </c>
      <c r="B62" s="114">
        <f t="shared" si="1"/>
        <v>2014</v>
      </c>
      <c r="C62" s="104">
        <v>16465915.779999999</v>
      </c>
      <c r="D62" s="185">
        <v>328614.17</v>
      </c>
      <c r="E62" s="185">
        <v>54902.389999999985</v>
      </c>
      <c r="F62" s="185"/>
      <c r="G62" s="189">
        <f t="shared" ref="G62:G125" si="5">C62-D62-E62-F62</f>
        <v>16082399.219999999</v>
      </c>
    </row>
    <row r="63" spans="1:7" x14ac:dyDescent="0.2">
      <c r="A63" s="66">
        <v>42035</v>
      </c>
      <c r="B63" s="114">
        <f t="shared" si="1"/>
        <v>2015</v>
      </c>
      <c r="C63" s="104">
        <v>17410556.84</v>
      </c>
      <c r="D63" s="185">
        <v>309262.77</v>
      </c>
      <c r="E63" s="185">
        <v>16808.939999999999</v>
      </c>
      <c r="F63" s="185"/>
      <c r="G63" s="189">
        <f t="shared" si="5"/>
        <v>17084485.129999999</v>
      </c>
    </row>
    <row r="64" spans="1:7" x14ac:dyDescent="0.2">
      <c r="A64" s="66">
        <v>42063</v>
      </c>
      <c r="B64" s="114">
        <f t="shared" si="1"/>
        <v>2015</v>
      </c>
      <c r="C64" s="104">
        <v>16200376.42</v>
      </c>
      <c r="D64" s="185">
        <v>281693.87</v>
      </c>
      <c r="E64" s="185">
        <v>30880.59</v>
      </c>
      <c r="F64" s="185"/>
      <c r="G64" s="189">
        <f t="shared" si="5"/>
        <v>15887801.960000001</v>
      </c>
    </row>
    <row r="65" spans="1:9" x14ac:dyDescent="0.2">
      <c r="A65" s="66">
        <v>42094</v>
      </c>
      <c r="B65" s="114">
        <f t="shared" si="1"/>
        <v>2015</v>
      </c>
      <c r="C65" s="104">
        <v>15791088.430000002</v>
      </c>
      <c r="D65" s="185">
        <v>315059.96000000002</v>
      </c>
      <c r="E65" s="185">
        <v>15717.019999999999</v>
      </c>
      <c r="F65" s="185"/>
      <c r="G65" s="189">
        <f t="shared" si="5"/>
        <v>15460311.450000001</v>
      </c>
    </row>
    <row r="66" spans="1:9" x14ac:dyDescent="0.2">
      <c r="A66" s="66">
        <v>42124</v>
      </c>
      <c r="B66" s="114">
        <f t="shared" si="1"/>
        <v>2015</v>
      </c>
      <c r="C66" s="104">
        <v>13751123.979999999</v>
      </c>
      <c r="D66" s="185">
        <v>324280.28999999998</v>
      </c>
      <c r="E66" s="185">
        <v>142178.34</v>
      </c>
      <c r="F66" s="185"/>
      <c r="G66" s="189">
        <f t="shared" si="5"/>
        <v>13284665.35</v>
      </c>
    </row>
    <row r="67" spans="1:9" x14ac:dyDescent="0.2">
      <c r="A67" s="66">
        <v>42155</v>
      </c>
      <c r="B67" s="114">
        <f t="shared" si="1"/>
        <v>2015</v>
      </c>
      <c r="C67" s="104">
        <v>14187561.25</v>
      </c>
      <c r="D67" s="185">
        <v>362559.52</v>
      </c>
      <c r="E67" s="185">
        <v>105405.34</v>
      </c>
      <c r="F67" s="185"/>
      <c r="G67" s="189">
        <f t="shared" si="5"/>
        <v>13719596.390000001</v>
      </c>
    </row>
    <row r="68" spans="1:9" x14ac:dyDescent="0.2">
      <c r="A68" s="66">
        <v>42185</v>
      </c>
      <c r="B68" s="114">
        <f t="shared" ref="B68:B131" si="6">YEAR(A68)</f>
        <v>2015</v>
      </c>
      <c r="C68" s="104">
        <v>14895713.270000001</v>
      </c>
      <c r="D68" s="185">
        <v>371032.39</v>
      </c>
      <c r="E68" s="185">
        <v>94924.63</v>
      </c>
      <c r="F68" s="185"/>
      <c r="G68" s="189">
        <f t="shared" si="5"/>
        <v>14429756.25</v>
      </c>
    </row>
    <row r="69" spans="1:9" x14ac:dyDescent="0.2">
      <c r="A69" s="66">
        <v>42216</v>
      </c>
      <c r="B69" s="114">
        <f t="shared" si="6"/>
        <v>2015</v>
      </c>
      <c r="C69" s="104">
        <v>18727962.900000002</v>
      </c>
      <c r="D69" s="185">
        <v>412807.51</v>
      </c>
      <c r="E69" s="185">
        <v>111973.94</v>
      </c>
      <c r="F69" s="185"/>
      <c r="G69" s="189">
        <f t="shared" si="5"/>
        <v>18203181.449999999</v>
      </c>
    </row>
    <row r="70" spans="1:9" x14ac:dyDescent="0.2">
      <c r="A70" s="66">
        <v>42247</v>
      </c>
      <c r="B70" s="114">
        <f t="shared" si="6"/>
        <v>2015</v>
      </c>
      <c r="C70" s="104">
        <v>17447202.449999999</v>
      </c>
      <c r="D70" s="185">
        <v>412146.38</v>
      </c>
      <c r="E70" s="185">
        <v>94429.14</v>
      </c>
      <c r="F70" s="185"/>
      <c r="G70" s="189">
        <f t="shared" si="5"/>
        <v>16940626.93</v>
      </c>
    </row>
    <row r="71" spans="1:9" x14ac:dyDescent="0.2">
      <c r="A71" s="66">
        <v>42277</v>
      </c>
      <c r="B71" s="114">
        <f t="shared" si="6"/>
        <v>2015</v>
      </c>
      <c r="C71" s="104">
        <v>16730321.560000001</v>
      </c>
      <c r="D71" s="185">
        <v>397772.3</v>
      </c>
      <c r="E71" s="185">
        <v>77572.990000000005</v>
      </c>
      <c r="F71" s="185"/>
      <c r="G71" s="189">
        <f t="shared" si="5"/>
        <v>16254976.27</v>
      </c>
    </row>
    <row r="72" spans="1:9" x14ac:dyDescent="0.2">
      <c r="A72" s="66">
        <v>42308</v>
      </c>
      <c r="B72" s="114">
        <f t="shared" si="6"/>
        <v>2015</v>
      </c>
      <c r="C72" s="104">
        <v>14060097.34</v>
      </c>
      <c r="D72" s="185">
        <v>355814.16</v>
      </c>
      <c r="E72" s="185">
        <v>55620.76</v>
      </c>
      <c r="F72" s="185"/>
      <c r="G72" s="189">
        <f t="shared" si="5"/>
        <v>13648662.42</v>
      </c>
    </row>
    <row r="73" spans="1:9" x14ac:dyDescent="0.2">
      <c r="A73" s="66">
        <v>42338</v>
      </c>
      <c r="B73" s="114">
        <f t="shared" si="6"/>
        <v>2015</v>
      </c>
      <c r="C73" s="104">
        <v>14124167.139999999</v>
      </c>
      <c r="D73" s="185">
        <v>337560.6</v>
      </c>
      <c r="E73" s="185">
        <v>43671.364000000016</v>
      </c>
      <c r="F73" s="185"/>
      <c r="G73" s="189">
        <f t="shared" si="5"/>
        <v>13742935.175999999</v>
      </c>
    </row>
    <row r="74" spans="1:9" x14ac:dyDescent="0.2">
      <c r="A74" s="66">
        <v>42369</v>
      </c>
      <c r="B74" s="114">
        <f t="shared" si="6"/>
        <v>2015</v>
      </c>
      <c r="C74" s="104">
        <v>15469283.82</v>
      </c>
      <c r="D74" s="185">
        <v>337640.06</v>
      </c>
      <c r="E74" s="185">
        <v>19171.58200000002</v>
      </c>
      <c r="F74" s="185"/>
      <c r="G74" s="189">
        <f t="shared" si="5"/>
        <v>15112472.177999999</v>
      </c>
    </row>
    <row r="75" spans="1:9" x14ac:dyDescent="0.2">
      <c r="A75" s="66">
        <v>42400</v>
      </c>
      <c r="B75" s="114">
        <f t="shared" si="6"/>
        <v>2016</v>
      </c>
      <c r="C75" s="104">
        <v>16335083.52</v>
      </c>
      <c r="D75" s="185">
        <v>323736.64855300006</v>
      </c>
      <c r="E75" s="185">
        <v>30179.259999999907</v>
      </c>
      <c r="F75" s="185"/>
      <c r="G75" s="189">
        <f t="shared" si="5"/>
        <v>15981167.611446999</v>
      </c>
      <c r="I75" s="71"/>
    </row>
    <row r="76" spans="1:9" x14ac:dyDescent="0.2">
      <c r="A76" s="66">
        <v>42429</v>
      </c>
      <c r="B76" s="114">
        <f t="shared" si="6"/>
        <v>2016</v>
      </c>
      <c r="C76" s="104">
        <v>14794270.139999997</v>
      </c>
      <c r="D76" s="185">
        <v>291471.34999999998</v>
      </c>
      <c r="E76" s="185">
        <v>45700.119999999995</v>
      </c>
      <c r="F76" s="185"/>
      <c r="G76" s="189">
        <f t="shared" si="5"/>
        <v>14457098.669999998</v>
      </c>
      <c r="I76" s="71"/>
    </row>
    <row r="77" spans="1:9" x14ac:dyDescent="0.2">
      <c r="A77" s="66">
        <v>42460</v>
      </c>
      <c r="B77" s="114">
        <f t="shared" si="6"/>
        <v>2016</v>
      </c>
      <c r="C77" s="104">
        <v>14632046.780000001</v>
      </c>
      <c r="D77" s="185">
        <v>314156.38</v>
      </c>
      <c r="E77" s="185">
        <v>64746.64</v>
      </c>
      <c r="F77" s="185"/>
      <c r="G77" s="189">
        <f t="shared" si="5"/>
        <v>14253143.76</v>
      </c>
      <c r="I77" s="71"/>
    </row>
    <row r="78" spans="1:9" x14ac:dyDescent="0.2">
      <c r="A78" s="66">
        <v>42490</v>
      </c>
      <c r="B78" s="114">
        <f t="shared" si="6"/>
        <v>2016</v>
      </c>
      <c r="C78" s="104">
        <v>13549514.359999999</v>
      </c>
      <c r="D78" s="185">
        <v>307713.01000000007</v>
      </c>
      <c r="E78" s="185">
        <v>86325.119999999995</v>
      </c>
      <c r="F78" s="185"/>
      <c r="G78" s="189">
        <f t="shared" si="5"/>
        <v>13155476.23</v>
      </c>
      <c r="I78" s="71"/>
    </row>
    <row r="79" spans="1:9" x14ac:dyDescent="0.2">
      <c r="A79" s="66">
        <v>42521</v>
      </c>
      <c r="B79" s="114">
        <f t="shared" si="6"/>
        <v>2016</v>
      </c>
      <c r="C79" s="104">
        <v>14337851.494000001</v>
      </c>
      <c r="D79" s="185">
        <v>348253.19000000006</v>
      </c>
      <c r="E79" s="185">
        <v>127653.004</v>
      </c>
      <c r="F79" s="185"/>
      <c r="G79" s="189">
        <f t="shared" si="5"/>
        <v>13861945.300000001</v>
      </c>
      <c r="I79" s="71"/>
    </row>
    <row r="80" spans="1:9" x14ac:dyDescent="0.2">
      <c r="A80" s="66">
        <v>42551</v>
      </c>
      <c r="B80" s="114">
        <f t="shared" si="6"/>
        <v>2016</v>
      </c>
      <c r="C80" s="104">
        <v>16249758.006000003</v>
      </c>
      <c r="D80" s="185">
        <v>364418.49999999994</v>
      </c>
      <c r="E80" s="185">
        <v>97453.01599999996</v>
      </c>
      <c r="F80" s="185"/>
      <c r="G80" s="189">
        <f t="shared" si="5"/>
        <v>15787886.490000002</v>
      </c>
      <c r="I80" s="71"/>
    </row>
    <row r="81" spans="1:9" x14ac:dyDescent="0.2">
      <c r="A81" s="66">
        <v>42582</v>
      </c>
      <c r="B81" s="114">
        <f t="shared" si="6"/>
        <v>2016</v>
      </c>
      <c r="C81" s="104">
        <v>19768835.849999994</v>
      </c>
      <c r="D81" s="185">
        <v>397896.24999999994</v>
      </c>
      <c r="E81" s="185">
        <v>112959.15000000001</v>
      </c>
      <c r="F81" s="185"/>
      <c r="G81" s="189">
        <f t="shared" si="5"/>
        <v>19257980.449999996</v>
      </c>
      <c r="I81" s="71"/>
    </row>
    <row r="82" spans="1:9" x14ac:dyDescent="0.2">
      <c r="A82" s="66">
        <v>42613</v>
      </c>
      <c r="B82" s="114">
        <f t="shared" si="6"/>
        <v>2016</v>
      </c>
      <c r="C82" s="104">
        <v>20746903.439999998</v>
      </c>
      <c r="D82" s="185">
        <v>431608.64000000007</v>
      </c>
      <c r="E82" s="185">
        <v>109672.22000000004</v>
      </c>
      <c r="F82" s="185"/>
      <c r="G82" s="189">
        <f t="shared" si="5"/>
        <v>20205622.579999998</v>
      </c>
      <c r="I82" s="71"/>
    </row>
    <row r="83" spans="1:9" x14ac:dyDescent="0.2">
      <c r="A83" s="66">
        <v>42643</v>
      </c>
      <c r="B83" s="114">
        <f t="shared" si="6"/>
        <v>2016</v>
      </c>
      <c r="C83" s="104">
        <v>16199694.169999998</v>
      </c>
      <c r="D83" s="185">
        <v>388284.72</v>
      </c>
      <c r="E83" s="185">
        <v>99862.56</v>
      </c>
      <c r="F83" s="185"/>
      <c r="G83" s="189">
        <f t="shared" si="5"/>
        <v>15711546.889999997</v>
      </c>
      <c r="I83" s="71"/>
    </row>
    <row r="84" spans="1:9" x14ac:dyDescent="0.2">
      <c r="A84" s="66">
        <v>42674</v>
      </c>
      <c r="B84" s="114">
        <f t="shared" si="6"/>
        <v>2016</v>
      </c>
      <c r="C84" s="104">
        <v>13767515.480000002</v>
      </c>
      <c r="D84" s="185">
        <v>345929.02</v>
      </c>
      <c r="E84" s="185">
        <v>49590.399999999994</v>
      </c>
      <c r="F84" s="185"/>
      <c r="G84" s="189">
        <f t="shared" si="5"/>
        <v>13371996.060000002</v>
      </c>
      <c r="I84" s="71"/>
    </row>
    <row r="85" spans="1:9" x14ac:dyDescent="0.2">
      <c r="A85" s="66">
        <v>42704</v>
      </c>
      <c r="B85" s="114">
        <f t="shared" si="6"/>
        <v>2016</v>
      </c>
      <c r="C85" s="104">
        <v>13671662.76</v>
      </c>
      <c r="D85" s="185">
        <v>302752.97000000003</v>
      </c>
      <c r="E85" s="185">
        <v>67727.41</v>
      </c>
      <c r="F85" s="185"/>
      <c r="G85" s="189">
        <f t="shared" si="5"/>
        <v>13301182.379999999</v>
      </c>
      <c r="I85" s="71"/>
    </row>
    <row r="86" spans="1:9" x14ac:dyDescent="0.2">
      <c r="A86" s="66">
        <v>42735</v>
      </c>
      <c r="B86" s="114">
        <f t="shared" si="6"/>
        <v>2016</v>
      </c>
      <c r="C86" s="104">
        <v>15862873.509999998</v>
      </c>
      <c r="D86" s="185">
        <v>296061.02000000008</v>
      </c>
      <c r="E86" s="185">
        <v>18377.339999999997</v>
      </c>
      <c r="F86" s="185"/>
      <c r="G86" s="189">
        <f t="shared" si="5"/>
        <v>15548435.149999999</v>
      </c>
      <c r="I86" s="71"/>
    </row>
    <row r="87" spans="1:9" x14ac:dyDescent="0.2">
      <c r="A87" s="66">
        <v>42766</v>
      </c>
      <c r="B87" s="114">
        <f t="shared" si="6"/>
        <v>2017</v>
      </c>
      <c r="C87" s="104">
        <v>15654286.4</v>
      </c>
      <c r="D87" s="185">
        <v>289156.14999999997</v>
      </c>
      <c r="E87" s="185">
        <v>25655.719999999936</v>
      </c>
      <c r="F87" s="185"/>
      <c r="G87" s="189">
        <f t="shared" si="5"/>
        <v>15339474.529999999</v>
      </c>
      <c r="I87" s="71"/>
    </row>
    <row r="88" spans="1:9" x14ac:dyDescent="0.2">
      <c r="A88" s="66">
        <v>42794</v>
      </c>
      <c r="B88" s="114">
        <f t="shared" si="6"/>
        <v>2017</v>
      </c>
      <c r="C88" s="104">
        <v>13535413.060000001</v>
      </c>
      <c r="D88" s="185">
        <v>250726.39999999994</v>
      </c>
      <c r="E88" s="185">
        <v>48065.67</v>
      </c>
      <c r="F88" s="185"/>
      <c r="G88" s="189">
        <f t="shared" si="5"/>
        <v>13236620.99</v>
      </c>
      <c r="I88" s="71"/>
    </row>
    <row r="89" spans="1:9" x14ac:dyDescent="0.2">
      <c r="A89" s="66">
        <v>42825</v>
      </c>
      <c r="B89" s="114">
        <f t="shared" si="6"/>
        <v>2017</v>
      </c>
      <c r="C89" s="104">
        <v>17164609.959131006</v>
      </c>
      <c r="D89" s="185">
        <v>275792.50843416649</v>
      </c>
      <c r="E89" s="185">
        <v>73286.51999999999</v>
      </c>
      <c r="F89" s="185">
        <v>2413945.7550129993</v>
      </c>
      <c r="G89" s="189">
        <f t="shared" si="5"/>
        <v>14401585.175683841</v>
      </c>
      <c r="I89" s="71"/>
    </row>
    <row r="90" spans="1:9" x14ac:dyDescent="0.2">
      <c r="A90" s="66">
        <v>42855</v>
      </c>
      <c r="B90" s="114">
        <f t="shared" si="6"/>
        <v>2017</v>
      </c>
      <c r="C90" s="104">
        <v>15201392.558417326</v>
      </c>
      <c r="D90" s="185">
        <v>271524.62984645821</v>
      </c>
      <c r="E90" s="185">
        <v>83782.200000000012</v>
      </c>
      <c r="F90" s="185">
        <v>2181294.6017022091</v>
      </c>
      <c r="G90" s="189">
        <f t="shared" si="5"/>
        <v>12664791.12686866</v>
      </c>
      <c r="I90" s="71"/>
    </row>
    <row r="91" spans="1:9" x14ac:dyDescent="0.2">
      <c r="A91" s="66">
        <v>42886</v>
      </c>
      <c r="B91" s="114">
        <f t="shared" si="6"/>
        <v>2017</v>
      </c>
      <c r="C91" s="104">
        <v>16229118.897553997</v>
      </c>
      <c r="D91" s="185">
        <v>297866.26955593261</v>
      </c>
      <c r="E91" s="185">
        <v>96218.63</v>
      </c>
      <c r="F91" s="185">
        <v>2595303.9357047086</v>
      </c>
      <c r="G91" s="189">
        <f t="shared" si="5"/>
        <v>13239730.062293356</v>
      </c>
      <c r="I91" s="71"/>
    </row>
    <row r="92" spans="1:9" x14ac:dyDescent="0.2">
      <c r="A92" s="66">
        <v>42916</v>
      </c>
      <c r="B92" s="114">
        <f t="shared" si="6"/>
        <v>2017</v>
      </c>
      <c r="C92" s="104">
        <v>18871717.803001981</v>
      </c>
      <c r="D92" s="185">
        <v>337986.32504454174</v>
      </c>
      <c r="E92" s="185">
        <v>106148.9</v>
      </c>
      <c r="F92" s="185">
        <v>3158025.9024923728</v>
      </c>
      <c r="G92" s="189">
        <f t="shared" si="5"/>
        <v>15269556.675465068</v>
      </c>
      <c r="I92" s="71"/>
    </row>
    <row r="93" spans="1:9" x14ac:dyDescent="0.2">
      <c r="A93" s="66">
        <v>42947</v>
      </c>
      <c r="B93" s="114">
        <f t="shared" si="6"/>
        <v>2017</v>
      </c>
      <c r="C93" s="104">
        <v>22363391.152751956</v>
      </c>
      <c r="D93" s="185">
        <v>364817.79093802511</v>
      </c>
      <c r="E93" s="185">
        <v>102913.34</v>
      </c>
      <c r="F93" s="185">
        <v>4500801.1910749236</v>
      </c>
      <c r="G93" s="189">
        <f t="shared" si="5"/>
        <v>17394858.83073901</v>
      </c>
      <c r="I93" s="71"/>
    </row>
    <row r="94" spans="1:9" x14ac:dyDescent="0.2">
      <c r="A94" s="66">
        <v>42978</v>
      </c>
      <c r="B94" s="114">
        <f t="shared" si="6"/>
        <v>2017</v>
      </c>
      <c r="C94" s="104">
        <v>21211440.486327328</v>
      </c>
      <c r="D94" s="185">
        <v>353796.76519339968</v>
      </c>
      <c r="E94" s="185">
        <v>103746.94</v>
      </c>
      <c r="F94" s="185">
        <v>4110221.2645936697</v>
      </c>
      <c r="G94" s="189">
        <f t="shared" si="5"/>
        <v>16643675.516540257</v>
      </c>
      <c r="I94" s="71"/>
    </row>
    <row r="95" spans="1:9" x14ac:dyDescent="0.2">
      <c r="A95" s="66">
        <v>43008</v>
      </c>
      <c r="B95" s="114">
        <f t="shared" si="6"/>
        <v>2017</v>
      </c>
      <c r="C95" s="104">
        <v>19533578.176179972</v>
      </c>
      <c r="D95" s="185">
        <v>323623.71702199965</v>
      </c>
      <c r="E95" s="185">
        <v>160362.58000000005</v>
      </c>
      <c r="F95" s="185">
        <v>4259176.9817509372</v>
      </c>
      <c r="G95" s="189">
        <f t="shared" si="5"/>
        <v>14790414.897407038</v>
      </c>
      <c r="I95" s="71"/>
    </row>
    <row r="96" spans="1:9" x14ac:dyDescent="0.2">
      <c r="A96" s="66">
        <v>43039</v>
      </c>
      <c r="B96" s="114">
        <f t="shared" si="6"/>
        <v>2017</v>
      </c>
      <c r="C96" s="104">
        <v>15916473.155721987</v>
      </c>
      <c r="D96" s="185">
        <v>303546.2446052999</v>
      </c>
      <c r="E96" s="185">
        <v>263337.89</v>
      </c>
      <c r="F96" s="185">
        <v>2009640.1544891417</v>
      </c>
      <c r="G96" s="189">
        <f t="shared" si="5"/>
        <v>13339948.866627546</v>
      </c>
      <c r="I96" s="71"/>
    </row>
    <row r="97" spans="1:9" x14ac:dyDescent="0.2">
      <c r="A97" s="66">
        <v>43069</v>
      </c>
      <c r="B97" s="114">
        <f t="shared" si="6"/>
        <v>2017</v>
      </c>
      <c r="C97" s="104">
        <v>16479806.154822662</v>
      </c>
      <c r="D97" s="185">
        <v>256337.10691339997</v>
      </c>
      <c r="E97" s="185">
        <v>410515.30000000005</v>
      </c>
      <c r="F97" s="185">
        <v>2222237.4702646215</v>
      </c>
      <c r="G97" s="189">
        <f t="shared" si="5"/>
        <v>13590716.27764464</v>
      </c>
      <c r="I97" s="71"/>
    </row>
    <row r="98" spans="1:9" x14ac:dyDescent="0.2">
      <c r="A98" s="66">
        <v>43100</v>
      </c>
      <c r="B98" s="114">
        <f t="shared" si="6"/>
        <v>2017</v>
      </c>
      <c r="C98" s="104">
        <v>18908989.901477978</v>
      </c>
      <c r="D98" s="185">
        <v>261416.15459798294</v>
      </c>
      <c r="E98" s="185">
        <v>420491.22000000009</v>
      </c>
      <c r="F98" s="185">
        <v>2532743.8747246251</v>
      </c>
      <c r="G98" s="189">
        <f t="shared" si="5"/>
        <v>15694338.652155371</v>
      </c>
      <c r="I98" s="71"/>
    </row>
    <row r="99" spans="1:9" x14ac:dyDescent="0.2">
      <c r="A99" s="66">
        <v>43131</v>
      </c>
      <c r="B99" s="114">
        <f t="shared" si="6"/>
        <v>2018</v>
      </c>
      <c r="C99" s="104">
        <v>18920116.782666825</v>
      </c>
      <c r="D99" s="185">
        <v>260663.87984795796</v>
      </c>
      <c r="E99" s="185">
        <v>286936.78999999998</v>
      </c>
      <c r="F99" s="185">
        <v>1852730.1844645019</v>
      </c>
      <c r="G99" s="189">
        <f t="shared" si="5"/>
        <v>16519785.928354366</v>
      </c>
      <c r="I99" s="71"/>
    </row>
    <row r="100" spans="1:9" x14ac:dyDescent="0.2">
      <c r="A100" s="66">
        <v>43159</v>
      </c>
      <c r="B100" s="114">
        <f t="shared" si="6"/>
        <v>2018</v>
      </c>
      <c r="C100" s="104">
        <v>16165609.621245151</v>
      </c>
      <c r="D100" s="185">
        <v>233091.18266786649</v>
      </c>
      <c r="E100" s="185">
        <v>361721.62</v>
      </c>
      <c r="F100" s="185">
        <v>1758839.4821045175</v>
      </c>
      <c r="G100" s="189">
        <f t="shared" si="5"/>
        <v>13811957.336472768</v>
      </c>
      <c r="I100" s="71"/>
    </row>
    <row r="101" spans="1:9" x14ac:dyDescent="0.2">
      <c r="A101" s="66">
        <v>43190</v>
      </c>
      <c r="B101" s="114">
        <f t="shared" si="6"/>
        <v>2018</v>
      </c>
      <c r="C101" s="104">
        <v>17475012.52885266</v>
      </c>
      <c r="D101" s="185">
        <v>253471.92002297472</v>
      </c>
      <c r="E101" s="185">
        <v>516188.18</v>
      </c>
      <c r="F101" s="185">
        <v>2375340.9491960937</v>
      </c>
      <c r="G101" s="189">
        <f t="shared" si="5"/>
        <v>14330011.479633592</v>
      </c>
      <c r="I101" s="71"/>
    </row>
    <row r="102" spans="1:9" x14ac:dyDescent="0.2">
      <c r="A102" s="66">
        <v>43220</v>
      </c>
      <c r="B102" s="114">
        <f t="shared" si="6"/>
        <v>2018</v>
      </c>
      <c r="C102" s="104">
        <v>16622054.862042977</v>
      </c>
      <c r="D102" s="185">
        <v>249131.70461491676</v>
      </c>
      <c r="E102" s="185">
        <v>545767.91999999993</v>
      </c>
      <c r="F102" s="185">
        <v>2485375.9892984647</v>
      </c>
      <c r="G102" s="189">
        <f t="shared" si="5"/>
        <v>13341779.248129595</v>
      </c>
      <c r="I102" s="71"/>
    </row>
    <row r="103" spans="1:9" x14ac:dyDescent="0.2">
      <c r="A103" s="66">
        <v>43251</v>
      </c>
      <c r="B103" s="114">
        <f t="shared" si="6"/>
        <v>2018</v>
      </c>
      <c r="C103" s="104">
        <v>19779671.223524317</v>
      </c>
      <c r="D103" s="185">
        <v>305893.60582280043</v>
      </c>
      <c r="E103" s="185">
        <v>789825.02</v>
      </c>
      <c r="F103" s="185">
        <v>5433603.1230769819</v>
      </c>
      <c r="G103" s="189">
        <f t="shared" si="5"/>
        <v>13250349.474624533</v>
      </c>
      <c r="I103" s="71"/>
    </row>
    <row r="104" spans="1:9" x14ac:dyDescent="0.2">
      <c r="A104" s="66">
        <v>43281</v>
      </c>
      <c r="B104" s="114">
        <f t="shared" si="6"/>
        <v>2018</v>
      </c>
      <c r="C104" s="104">
        <v>19936672.391649656</v>
      </c>
      <c r="D104" s="185">
        <v>326683.65908894094</v>
      </c>
      <c r="E104" s="185">
        <v>651984.87</v>
      </c>
      <c r="F104" s="185">
        <v>3916619.5607652208</v>
      </c>
      <c r="G104" s="189">
        <f t="shared" si="5"/>
        <v>15041384.301795494</v>
      </c>
      <c r="I104" s="71"/>
    </row>
    <row r="105" spans="1:9" x14ac:dyDescent="0.2">
      <c r="A105" s="66">
        <v>43312</v>
      </c>
      <c r="B105" s="114">
        <f t="shared" si="6"/>
        <v>2018</v>
      </c>
      <c r="C105" s="104">
        <v>26519724.751660287</v>
      </c>
      <c r="D105" s="185">
        <v>378051.220729566</v>
      </c>
      <c r="E105" s="185">
        <v>347409.95999999996</v>
      </c>
      <c r="F105" s="185">
        <v>5890671.1113334885</v>
      </c>
      <c r="G105" s="189">
        <f t="shared" si="5"/>
        <v>19903592.45959723</v>
      </c>
      <c r="I105" s="71"/>
    </row>
    <row r="106" spans="1:9" x14ac:dyDescent="0.2">
      <c r="A106" s="66">
        <v>43343</v>
      </c>
      <c r="B106" s="114">
        <f t="shared" si="6"/>
        <v>2018</v>
      </c>
      <c r="C106" s="104">
        <v>26948242.609250635</v>
      </c>
      <c r="D106" s="185">
        <v>380576.38981224928</v>
      </c>
      <c r="E106" s="185">
        <v>395040.79</v>
      </c>
      <c r="F106" s="185">
        <v>6778894.4532912951</v>
      </c>
      <c r="G106" s="189">
        <f t="shared" si="5"/>
        <v>19393730.976147093</v>
      </c>
      <c r="I106" s="71"/>
    </row>
    <row r="107" spans="1:9" x14ac:dyDescent="0.2">
      <c r="A107" s="66">
        <v>43373</v>
      </c>
      <c r="B107" s="114">
        <f t="shared" si="6"/>
        <v>2018</v>
      </c>
      <c r="C107" s="104">
        <v>21215817.727722466</v>
      </c>
      <c r="D107" s="185">
        <v>336873.12092674151</v>
      </c>
      <c r="E107" s="185">
        <v>549182.92000000004</v>
      </c>
      <c r="F107" s="185">
        <v>4496004.9261929411</v>
      </c>
      <c r="G107" s="189">
        <f t="shared" si="5"/>
        <v>15833756.760602782</v>
      </c>
      <c r="I107" s="71"/>
    </row>
    <row r="108" spans="1:9" x14ac:dyDescent="0.2">
      <c r="A108" s="66">
        <v>43404</v>
      </c>
      <c r="B108" s="114">
        <f t="shared" si="6"/>
        <v>2018</v>
      </c>
      <c r="C108" s="104">
        <v>17077098.534574993</v>
      </c>
      <c r="D108" s="185">
        <v>289693.5765448414</v>
      </c>
      <c r="E108" s="185">
        <v>628924.93000000005</v>
      </c>
      <c r="F108" s="185">
        <v>2542408.0313404463</v>
      </c>
      <c r="G108" s="189">
        <f t="shared" si="5"/>
        <v>13616071.996689707</v>
      </c>
      <c r="I108" s="71"/>
    </row>
    <row r="109" spans="1:9" x14ac:dyDescent="0.2">
      <c r="A109" s="66">
        <v>43434</v>
      </c>
      <c r="B109" s="114">
        <f t="shared" si="6"/>
        <v>2018</v>
      </c>
      <c r="C109" s="104">
        <v>17872678.440282173</v>
      </c>
      <c r="D109" s="185">
        <v>255460.29321474969</v>
      </c>
      <c r="E109" s="185">
        <v>517508.82</v>
      </c>
      <c r="F109" s="185">
        <v>2900973.5563793778</v>
      </c>
      <c r="G109" s="189">
        <f t="shared" si="5"/>
        <v>14198735.770688046</v>
      </c>
      <c r="I109" s="71"/>
    </row>
    <row r="110" spans="1:9" x14ac:dyDescent="0.2">
      <c r="A110" s="66">
        <v>43465</v>
      </c>
      <c r="B110" s="114">
        <f t="shared" si="6"/>
        <v>2018</v>
      </c>
      <c r="C110" s="104">
        <v>19117837.684365984</v>
      </c>
      <c r="D110" s="185">
        <v>263185.44065564952</v>
      </c>
      <c r="E110" s="185">
        <v>532982.98</v>
      </c>
      <c r="F110" s="185">
        <v>2949172.2066761004</v>
      </c>
      <c r="G110" s="189">
        <f t="shared" si="5"/>
        <v>15372497.057034235</v>
      </c>
      <c r="I110" s="71"/>
    </row>
    <row r="111" spans="1:9" x14ac:dyDescent="0.2">
      <c r="A111" s="66">
        <v>43496</v>
      </c>
      <c r="B111" s="114">
        <f t="shared" si="6"/>
        <v>2019</v>
      </c>
      <c r="C111" s="104">
        <v>19470279.931793816</v>
      </c>
      <c r="D111" s="185">
        <v>259518.88453304139</v>
      </c>
      <c r="E111" s="185">
        <v>485187</v>
      </c>
      <c r="F111" s="185">
        <v>2345384.3176812418</v>
      </c>
      <c r="G111" s="189">
        <f t="shared" si="5"/>
        <v>16380189.729579534</v>
      </c>
      <c r="I111" s="71"/>
    </row>
    <row r="112" spans="1:9" x14ac:dyDescent="0.2">
      <c r="A112" s="66">
        <v>43524</v>
      </c>
      <c r="B112" s="114">
        <f t="shared" si="6"/>
        <v>2019</v>
      </c>
      <c r="C112" s="104">
        <v>17623038.944653146</v>
      </c>
      <c r="D112" s="185">
        <v>233002.90798524953</v>
      </c>
      <c r="E112" s="185">
        <v>352751</v>
      </c>
      <c r="F112" s="185">
        <v>2502127.9915483254</v>
      </c>
      <c r="G112" s="189">
        <f t="shared" si="5"/>
        <v>14535157.045119572</v>
      </c>
      <c r="I112" s="71"/>
    </row>
    <row r="113" spans="1:9" x14ac:dyDescent="0.2">
      <c r="A113" s="66">
        <v>43555</v>
      </c>
      <c r="B113" s="114">
        <f t="shared" si="6"/>
        <v>2019</v>
      </c>
      <c r="C113" s="104">
        <v>18298309.582286663</v>
      </c>
      <c r="D113" s="185">
        <v>257795.42514503322</v>
      </c>
      <c r="E113" s="185">
        <v>203251</v>
      </c>
      <c r="F113" s="185">
        <v>2643551.1870212546</v>
      </c>
      <c r="G113" s="189">
        <f t="shared" si="5"/>
        <v>15193711.970120374</v>
      </c>
      <c r="I113" s="71"/>
    </row>
    <row r="114" spans="1:9" x14ac:dyDescent="0.2">
      <c r="A114" s="66">
        <v>43585</v>
      </c>
      <c r="B114" s="114">
        <f t="shared" si="6"/>
        <v>2019</v>
      </c>
      <c r="C114" s="104">
        <v>16030754.75111879</v>
      </c>
      <c r="D114" s="185">
        <v>258369.50302947458</v>
      </c>
      <c r="E114" s="185">
        <v>366384</v>
      </c>
      <c r="F114" s="185">
        <v>2306272.4364213278</v>
      </c>
      <c r="G114" s="189">
        <f t="shared" si="5"/>
        <v>13099728.811667988</v>
      </c>
      <c r="I114" s="71"/>
    </row>
    <row r="115" spans="1:9" x14ac:dyDescent="0.2">
      <c r="A115" s="66">
        <v>43616</v>
      </c>
      <c r="B115" s="114">
        <f t="shared" si="6"/>
        <v>2019</v>
      </c>
      <c r="C115" s="104">
        <v>17509709.360292483</v>
      </c>
      <c r="D115" s="185">
        <v>283801.76541944972</v>
      </c>
      <c r="E115" s="185">
        <v>190700</v>
      </c>
      <c r="F115" s="185">
        <v>3898830.8811403029</v>
      </c>
      <c r="G115" s="189">
        <f t="shared" si="5"/>
        <v>13136376.713732731</v>
      </c>
      <c r="I115" s="71"/>
    </row>
    <row r="116" spans="1:9" x14ac:dyDescent="0.2">
      <c r="A116" s="66">
        <v>43646</v>
      </c>
      <c r="B116" s="114">
        <f t="shared" si="6"/>
        <v>2019</v>
      </c>
      <c r="C116" s="104">
        <v>19696522.675138813</v>
      </c>
      <c r="D116" s="185">
        <v>318251.81442964997</v>
      </c>
      <c r="E116" s="185">
        <v>430994</v>
      </c>
      <c r="F116" s="185">
        <v>4853572.3585318187</v>
      </c>
      <c r="G116" s="189">
        <f t="shared" si="5"/>
        <v>14093704.502177346</v>
      </c>
      <c r="I116" s="71"/>
    </row>
    <row r="117" spans="1:9" x14ac:dyDescent="0.2">
      <c r="A117" s="66">
        <v>43677</v>
      </c>
      <c r="B117" s="114">
        <f t="shared" si="6"/>
        <v>2019</v>
      </c>
      <c r="C117" s="104">
        <v>27560108.31326063</v>
      </c>
      <c r="D117" s="185">
        <v>376735.02001212502</v>
      </c>
      <c r="E117" s="185">
        <v>299697</v>
      </c>
      <c r="F117" s="185">
        <v>6991030.6470110817</v>
      </c>
      <c r="G117" s="189">
        <f t="shared" si="5"/>
        <v>19892645.646237422</v>
      </c>
      <c r="I117" s="71"/>
    </row>
    <row r="118" spans="1:9" x14ac:dyDescent="0.2">
      <c r="A118" s="66">
        <v>43708</v>
      </c>
      <c r="B118" s="114">
        <f t="shared" si="6"/>
        <v>2019</v>
      </c>
      <c r="C118" s="104">
        <v>24718341.509218462</v>
      </c>
      <c r="D118" s="185">
        <v>366712.24728569196</v>
      </c>
      <c r="E118" s="185">
        <v>196040</v>
      </c>
      <c r="F118" s="185">
        <v>6140130.9663574947</v>
      </c>
      <c r="G118" s="189">
        <f t="shared" si="5"/>
        <v>18015458.295575276</v>
      </c>
      <c r="I118" s="71"/>
    </row>
    <row r="119" spans="1:9" x14ac:dyDescent="0.2">
      <c r="A119" s="66">
        <v>43738</v>
      </c>
      <c r="B119" s="114">
        <f t="shared" si="6"/>
        <v>2019</v>
      </c>
      <c r="C119" s="104">
        <v>20237615.335729983</v>
      </c>
      <c r="D119" s="185">
        <v>331856.46955116605</v>
      </c>
      <c r="E119" s="185">
        <v>115009</v>
      </c>
      <c r="F119" s="185">
        <v>4814361.1713148011</v>
      </c>
      <c r="G119" s="189">
        <f t="shared" si="5"/>
        <v>14976388.694864016</v>
      </c>
      <c r="I119" s="71"/>
    </row>
    <row r="120" spans="1:9" x14ac:dyDescent="0.2">
      <c r="A120" s="66">
        <v>43769</v>
      </c>
      <c r="B120" s="114">
        <f t="shared" si="6"/>
        <v>2019</v>
      </c>
      <c r="C120" s="104">
        <v>18098714.600466475</v>
      </c>
      <c r="D120" s="185">
        <v>287602.19135892455</v>
      </c>
      <c r="E120" s="185">
        <v>102685</v>
      </c>
      <c r="F120" s="185">
        <v>3841776.1678357082</v>
      </c>
      <c r="G120" s="189">
        <f t="shared" si="5"/>
        <v>13866651.241271842</v>
      </c>
      <c r="I120" s="71"/>
    </row>
    <row r="121" spans="1:9" x14ac:dyDescent="0.2">
      <c r="A121" s="66">
        <v>43799</v>
      </c>
      <c r="B121" s="114">
        <f t="shared" si="6"/>
        <v>2019</v>
      </c>
      <c r="C121" s="104">
        <v>19512627.908904467</v>
      </c>
      <c r="D121" s="185">
        <v>253155.45991911681</v>
      </c>
      <c r="E121" s="185">
        <v>46269</v>
      </c>
      <c r="F121" s="185">
        <v>4374163.1948623955</v>
      </c>
      <c r="G121" s="189">
        <f t="shared" si="5"/>
        <v>14839040.254122954</v>
      </c>
      <c r="I121" s="71"/>
    </row>
    <row r="122" spans="1:9" x14ac:dyDescent="0.2">
      <c r="A122" s="66">
        <v>43830</v>
      </c>
      <c r="B122" s="114">
        <f t="shared" si="6"/>
        <v>2019</v>
      </c>
      <c r="C122" s="104">
        <v>20791848.943550967</v>
      </c>
      <c r="D122" s="185">
        <v>236347.14764829137</v>
      </c>
      <c r="E122" s="185">
        <v>11734</v>
      </c>
      <c r="F122" s="185">
        <v>4357443.9816535302</v>
      </c>
      <c r="G122" s="189">
        <f t="shared" si="5"/>
        <v>16186323.814249147</v>
      </c>
      <c r="I122" s="71"/>
    </row>
    <row r="123" spans="1:9" x14ac:dyDescent="0.2">
      <c r="A123" s="66">
        <v>43861</v>
      </c>
      <c r="B123" s="114">
        <f t="shared" si="6"/>
        <v>2020</v>
      </c>
      <c r="C123" s="104">
        <v>21239209.767112821</v>
      </c>
      <c r="D123" s="185">
        <v>241876.21415784972</v>
      </c>
      <c r="E123" s="185">
        <v>35874</v>
      </c>
      <c r="F123" s="185">
        <v>4833173.3349823048</v>
      </c>
      <c r="G123" s="189">
        <f t="shared" si="5"/>
        <v>16128286.217972666</v>
      </c>
      <c r="I123" s="71"/>
    </row>
    <row r="124" spans="1:9" x14ac:dyDescent="0.2">
      <c r="A124" s="66">
        <v>43890</v>
      </c>
      <c r="B124" s="114">
        <f t="shared" si="6"/>
        <v>2020</v>
      </c>
      <c r="C124" s="104">
        <v>19035160.954744305</v>
      </c>
      <c r="D124" s="185">
        <v>219846.83132409982</v>
      </c>
      <c r="E124" s="185">
        <v>54110</v>
      </c>
      <c r="F124" s="185">
        <v>3781055.952817406</v>
      </c>
      <c r="G124" s="189">
        <f t="shared" si="5"/>
        <v>14980148.170602798</v>
      </c>
      <c r="I124" s="71"/>
    </row>
    <row r="125" spans="1:9" x14ac:dyDescent="0.2">
      <c r="A125" s="66">
        <v>43921</v>
      </c>
      <c r="B125" s="114">
        <f t="shared" si="6"/>
        <v>2020</v>
      </c>
      <c r="C125" s="104">
        <v>19087245.664711308</v>
      </c>
      <c r="D125" s="185">
        <v>234429.85669829146</v>
      </c>
      <c r="E125" s="185">
        <v>95039</v>
      </c>
      <c r="F125" s="185">
        <v>4032656.886527366</v>
      </c>
      <c r="G125" s="189">
        <f t="shared" si="5"/>
        <v>14725119.921485648</v>
      </c>
      <c r="I125" s="71"/>
    </row>
    <row r="126" spans="1:9" x14ac:dyDescent="0.2">
      <c r="A126" s="66">
        <v>43951</v>
      </c>
      <c r="B126" s="114">
        <f t="shared" si="6"/>
        <v>2020</v>
      </c>
      <c r="C126" s="104">
        <v>17079543.476648476</v>
      </c>
      <c r="D126" s="185">
        <v>235777.46989516634</v>
      </c>
      <c r="E126" s="185">
        <v>130172</v>
      </c>
      <c r="F126" s="185">
        <v>3435746.1940935161</v>
      </c>
      <c r="G126" s="189">
        <f t="shared" ref="G126:G134" si="7">C126-D126-E126-F126</f>
        <v>13277847.812659794</v>
      </c>
      <c r="I126" s="71"/>
    </row>
    <row r="127" spans="1:9" x14ac:dyDescent="0.2">
      <c r="A127" s="66">
        <v>43982</v>
      </c>
      <c r="B127" s="114">
        <f t="shared" si="6"/>
        <v>2020</v>
      </c>
      <c r="C127" s="104">
        <v>19158490.866862137</v>
      </c>
      <c r="D127" s="185">
        <v>274148.17167523329</v>
      </c>
      <c r="E127" s="185">
        <v>147145</v>
      </c>
      <c r="F127" s="185">
        <v>4735242.6950270245</v>
      </c>
      <c r="G127" s="189">
        <f t="shared" si="7"/>
        <v>14001955.000159878</v>
      </c>
      <c r="I127" s="71"/>
    </row>
    <row r="128" spans="1:9" x14ac:dyDescent="0.2">
      <c r="A128" s="66">
        <v>44012</v>
      </c>
      <c r="B128" s="114">
        <f t="shared" si="6"/>
        <v>2020</v>
      </c>
      <c r="C128" s="104">
        <v>23659036.820064977</v>
      </c>
      <c r="D128" s="185">
        <v>315897.23500647472</v>
      </c>
      <c r="E128" s="185">
        <v>188949</v>
      </c>
      <c r="F128" s="185">
        <v>6037296.4429668775</v>
      </c>
      <c r="G128" s="189">
        <f t="shared" si="7"/>
        <v>17116894.142091624</v>
      </c>
      <c r="I128" s="71"/>
    </row>
    <row r="129" spans="1:9" x14ac:dyDescent="0.2">
      <c r="A129" s="66">
        <v>44043</v>
      </c>
      <c r="B129" s="114">
        <f t="shared" si="6"/>
        <v>2020</v>
      </c>
      <c r="C129" s="104">
        <v>31068671.938821949</v>
      </c>
      <c r="D129" s="185">
        <v>386787.89286449185</v>
      </c>
      <c r="E129" s="185">
        <v>170096</v>
      </c>
      <c r="F129" s="185">
        <v>8129921.4906045105</v>
      </c>
      <c r="G129" s="189">
        <f t="shared" si="7"/>
        <v>22381866.555352949</v>
      </c>
      <c r="I129" s="71"/>
    </row>
    <row r="130" spans="1:9" x14ac:dyDescent="0.2">
      <c r="A130" s="66">
        <v>44074</v>
      </c>
      <c r="B130" s="114">
        <f t="shared" si="6"/>
        <v>2020</v>
      </c>
      <c r="C130" s="104">
        <v>26721444.06371244</v>
      </c>
      <c r="D130" s="185">
        <v>375618.09921509953</v>
      </c>
      <c r="E130" s="185">
        <v>156057</v>
      </c>
      <c r="F130" s="185">
        <v>6612027.0517714433</v>
      </c>
      <c r="G130" s="189">
        <f t="shared" si="7"/>
        <v>19577741.912725899</v>
      </c>
      <c r="I130" s="71"/>
    </row>
    <row r="131" spans="1:9" x14ac:dyDescent="0.2">
      <c r="A131" s="66">
        <v>44104</v>
      </c>
      <c r="B131" s="114">
        <f t="shared" si="6"/>
        <v>2020</v>
      </c>
      <c r="C131" s="104">
        <v>20324132.402995322</v>
      </c>
      <c r="D131" s="185">
        <v>309602.16030736646</v>
      </c>
      <c r="E131" s="185">
        <v>117483</v>
      </c>
      <c r="F131" s="185">
        <v>4759664.6737366663</v>
      </c>
      <c r="G131" s="189">
        <f t="shared" si="7"/>
        <v>15137382.56895129</v>
      </c>
      <c r="I131" s="71"/>
    </row>
    <row r="132" spans="1:9" ht="15" x14ac:dyDescent="0.25">
      <c r="A132" s="66">
        <v>44135</v>
      </c>
      <c r="B132" s="114">
        <f>YEAR(A132)</f>
        <v>2020</v>
      </c>
      <c r="C132" s="107">
        <v>19166451.094120812</v>
      </c>
      <c r="D132" s="185">
        <v>268595.79773265816</v>
      </c>
      <c r="E132" s="185">
        <v>75885</v>
      </c>
      <c r="F132" s="185">
        <v>4510134.313046311</v>
      </c>
      <c r="G132" s="189">
        <f t="shared" si="7"/>
        <v>14311835.983341843</v>
      </c>
      <c r="I132" s="71"/>
    </row>
    <row r="133" spans="1:9" ht="15" x14ac:dyDescent="0.25">
      <c r="A133" s="66">
        <v>44165</v>
      </c>
      <c r="B133" s="114">
        <f>YEAR(A133)</f>
        <v>2020</v>
      </c>
      <c r="C133" s="107">
        <v>18736074.894379988</v>
      </c>
      <c r="D133" s="185">
        <v>252242.68607887469</v>
      </c>
      <c r="E133" s="185">
        <v>54996</v>
      </c>
      <c r="F133" s="185">
        <v>3624554.3128952486</v>
      </c>
      <c r="G133" s="189">
        <f t="shared" si="7"/>
        <v>14804281.895405862</v>
      </c>
      <c r="I133" s="71"/>
    </row>
    <row r="134" spans="1:9" ht="15" x14ac:dyDescent="0.25">
      <c r="A134" s="66">
        <v>44196</v>
      </c>
      <c r="B134" s="114">
        <f>YEAR(A134)</f>
        <v>2020</v>
      </c>
      <c r="C134" s="107">
        <v>22275090.071478143</v>
      </c>
      <c r="D134" s="185">
        <v>252997.25997463329</v>
      </c>
      <c r="E134" s="185">
        <v>28824</v>
      </c>
      <c r="F134" s="185">
        <v>4690646.6356936488</v>
      </c>
      <c r="G134" s="189">
        <f t="shared" si="7"/>
        <v>17302622.17580986</v>
      </c>
      <c r="I134" s="71"/>
    </row>
    <row r="137" spans="1:9" x14ac:dyDescent="0.2">
      <c r="D137" s="71"/>
    </row>
    <row r="138" spans="1:9" x14ac:dyDescent="0.2">
      <c r="D138" s="71"/>
    </row>
    <row r="139" spans="1:9" x14ac:dyDescent="0.2">
      <c r="D139" s="71"/>
    </row>
  </sheetData>
  <mergeCells count="1">
    <mergeCell ref="C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L265"/>
  <sheetViews>
    <sheetView workbookViewId="0">
      <pane xSplit="1" ySplit="1" topLeftCell="L28" activePane="bottomRight" state="frozen"/>
      <selection activeCell="K26" sqref="K26"/>
      <selection pane="topRight" activeCell="K26" sqref="K26"/>
      <selection pane="bottomLeft" activeCell="K26" sqref="K26"/>
      <selection pane="bottomRight" activeCell="AU14" sqref="AU14"/>
    </sheetView>
  </sheetViews>
  <sheetFormatPr defaultRowHeight="12.75" x14ac:dyDescent="0.2"/>
  <cols>
    <col min="1" max="1" width="9.140625" style="132"/>
    <col min="2" max="2" width="10" style="132" bestFit="1" customWidth="1"/>
    <col min="3" max="4" width="9.7109375" style="132" customWidth="1"/>
    <col min="5" max="15" width="9.140625" style="132"/>
    <col min="16" max="16" width="12.140625" style="132" bestFit="1" customWidth="1"/>
    <col min="17" max="18" width="12" style="132" bestFit="1" customWidth="1"/>
    <col min="19" max="19" width="12.7109375" style="133" bestFit="1" customWidth="1"/>
    <col min="20" max="20" width="13.7109375" style="133" customWidth="1"/>
    <col min="21" max="21" width="7.42578125" style="133" customWidth="1"/>
    <col min="22" max="30" width="7.42578125" style="132" customWidth="1"/>
    <col min="31" max="31" width="11" style="132" customWidth="1"/>
    <col min="32" max="32" width="7.42578125" style="132" customWidth="1"/>
    <col min="33" max="33" width="9.42578125" style="132" customWidth="1"/>
    <col min="34" max="16384" width="9.140625" style="132"/>
  </cols>
  <sheetData>
    <row r="1" spans="1:116" x14ac:dyDescent="0.2">
      <c r="A1" s="132" t="s">
        <v>84</v>
      </c>
      <c r="B1" s="132" t="s">
        <v>43</v>
      </c>
      <c r="C1" s="132" t="s">
        <v>90</v>
      </c>
      <c r="D1" s="132" t="s">
        <v>91</v>
      </c>
      <c r="E1" s="132" t="s">
        <v>92</v>
      </c>
      <c r="F1" s="132" t="s">
        <v>93</v>
      </c>
      <c r="G1" s="132" t="s">
        <v>94</v>
      </c>
      <c r="H1" s="132" t="s">
        <v>95</v>
      </c>
      <c r="I1" s="132" t="s">
        <v>96</v>
      </c>
      <c r="J1" s="132" t="s">
        <v>97</v>
      </c>
      <c r="K1" s="132" t="s">
        <v>98</v>
      </c>
      <c r="L1" s="132" t="s">
        <v>99</v>
      </c>
      <c r="M1" s="132" t="s">
        <v>100</v>
      </c>
      <c r="N1" s="132" t="s">
        <v>101</v>
      </c>
      <c r="O1" s="132" t="s">
        <v>102</v>
      </c>
      <c r="P1" s="147" t="str">
        <f>'Purchased Power Model'!D2</f>
        <v>Power Purchased from IESO Final Statements Includes Class A and Generation</v>
      </c>
      <c r="Q1" s="147" t="str">
        <f>'Purchased Power Model'!G2</f>
        <v>Purchases Plus CDM Less Embedded</v>
      </c>
    </row>
    <row r="2" spans="1:116" x14ac:dyDescent="0.2">
      <c r="A2" s="132">
        <v>2001</v>
      </c>
      <c r="B2" s="144">
        <v>1</v>
      </c>
      <c r="C2" s="144">
        <v>-2.5741935483870964</v>
      </c>
      <c r="D2" s="134">
        <v>699.8</v>
      </c>
      <c r="E2" s="134">
        <v>0</v>
      </c>
      <c r="F2" s="134">
        <v>637.79999999999995</v>
      </c>
      <c r="G2" s="134">
        <v>0</v>
      </c>
      <c r="H2" s="134">
        <v>575.80000000000018</v>
      </c>
      <c r="I2" s="134">
        <v>0</v>
      </c>
      <c r="J2" s="134">
        <v>513.80000000000007</v>
      </c>
      <c r="K2" s="134">
        <v>0</v>
      </c>
      <c r="L2" s="134">
        <v>451.80000000000007</v>
      </c>
      <c r="M2" s="134">
        <v>0</v>
      </c>
      <c r="N2" s="134">
        <v>389.8</v>
      </c>
      <c r="O2" s="134">
        <v>0</v>
      </c>
      <c r="P2" s="134"/>
      <c r="Q2" s="134"/>
      <c r="R2" s="134"/>
    </row>
    <row r="3" spans="1:116" x14ac:dyDescent="0.2">
      <c r="A3" s="132">
        <v>2001</v>
      </c>
      <c r="B3" s="144">
        <v>2</v>
      </c>
      <c r="C3" s="144">
        <v>-1.5249999999999999</v>
      </c>
      <c r="D3" s="134">
        <v>602.70000000000005</v>
      </c>
      <c r="E3" s="134">
        <v>0</v>
      </c>
      <c r="F3" s="134">
        <v>546.69999999999993</v>
      </c>
      <c r="G3" s="134">
        <v>0</v>
      </c>
      <c r="H3" s="134">
        <v>490.7</v>
      </c>
      <c r="I3" s="134">
        <v>0</v>
      </c>
      <c r="J3" s="134">
        <v>434.7</v>
      </c>
      <c r="K3" s="134">
        <v>0</v>
      </c>
      <c r="L3" s="134">
        <v>378.70000000000005</v>
      </c>
      <c r="M3" s="134">
        <v>0</v>
      </c>
      <c r="N3" s="134">
        <v>322.70000000000005</v>
      </c>
      <c r="O3" s="134">
        <v>0</v>
      </c>
      <c r="P3" s="134"/>
      <c r="Q3" s="134"/>
      <c r="R3" s="134"/>
    </row>
    <row r="4" spans="1:116" x14ac:dyDescent="0.2">
      <c r="A4" s="132">
        <v>2001</v>
      </c>
      <c r="B4" s="144">
        <v>3</v>
      </c>
      <c r="C4" s="144">
        <v>0.45161290322580655</v>
      </c>
      <c r="D4" s="134">
        <v>606</v>
      </c>
      <c r="E4" s="134">
        <v>0</v>
      </c>
      <c r="F4" s="134">
        <v>544</v>
      </c>
      <c r="G4" s="134">
        <v>0</v>
      </c>
      <c r="H4" s="134">
        <v>481.99999999999994</v>
      </c>
      <c r="I4" s="134">
        <v>0</v>
      </c>
      <c r="J4" s="134">
        <v>419.99999999999994</v>
      </c>
      <c r="K4" s="134">
        <v>0</v>
      </c>
      <c r="L4" s="134">
        <v>357.99999999999994</v>
      </c>
      <c r="M4" s="134">
        <v>0</v>
      </c>
      <c r="N4" s="134">
        <v>295.99999999999994</v>
      </c>
      <c r="O4" s="134">
        <v>0</v>
      </c>
      <c r="P4" s="134"/>
      <c r="Q4" s="134"/>
      <c r="R4" s="134"/>
      <c r="T4" s="135" t="str">
        <f>D1</f>
        <v>HDD20</v>
      </c>
      <c r="U4" s="136" t="s">
        <v>103</v>
      </c>
      <c r="V4" s="136" t="s">
        <v>104</v>
      </c>
      <c r="W4" s="136" t="s">
        <v>105</v>
      </c>
      <c r="X4" s="136" t="s">
        <v>106</v>
      </c>
      <c r="Y4" s="136" t="s">
        <v>38</v>
      </c>
      <c r="Z4" s="136" t="s">
        <v>48</v>
      </c>
      <c r="AA4" s="136" t="s">
        <v>49</v>
      </c>
      <c r="AB4" s="137" t="s">
        <v>50</v>
      </c>
      <c r="AC4" s="137" t="s">
        <v>107</v>
      </c>
      <c r="AD4" s="137" t="s">
        <v>108</v>
      </c>
      <c r="AE4" s="137" t="s">
        <v>109</v>
      </c>
      <c r="AF4" s="137" t="s">
        <v>110</v>
      </c>
      <c r="AH4" s="135" t="str">
        <f>F1</f>
        <v>HDD18</v>
      </c>
      <c r="AI4" s="136" t="s">
        <v>103</v>
      </c>
      <c r="AJ4" s="136" t="s">
        <v>104</v>
      </c>
      <c r="AK4" s="136" t="s">
        <v>105</v>
      </c>
      <c r="AL4" s="136" t="s">
        <v>106</v>
      </c>
      <c r="AM4" s="136" t="s">
        <v>38</v>
      </c>
      <c r="AN4" s="136" t="s">
        <v>48</v>
      </c>
      <c r="AO4" s="136" t="s">
        <v>49</v>
      </c>
      <c r="AP4" s="137" t="s">
        <v>50</v>
      </c>
      <c r="AQ4" s="137" t="s">
        <v>107</v>
      </c>
      <c r="AR4" s="137" t="s">
        <v>108</v>
      </c>
      <c r="AS4" s="137" t="s">
        <v>109</v>
      </c>
      <c r="AT4" s="137" t="s">
        <v>110</v>
      </c>
      <c r="AV4" s="135" t="str">
        <f>H1</f>
        <v>HDD16</v>
      </c>
      <c r="AW4" s="136" t="s">
        <v>103</v>
      </c>
      <c r="AX4" s="136" t="s">
        <v>104</v>
      </c>
      <c r="AY4" s="136" t="s">
        <v>105</v>
      </c>
      <c r="AZ4" s="136" t="s">
        <v>106</v>
      </c>
      <c r="BA4" s="136" t="s">
        <v>38</v>
      </c>
      <c r="BB4" s="136" t="s">
        <v>48</v>
      </c>
      <c r="BC4" s="136" t="s">
        <v>49</v>
      </c>
      <c r="BD4" s="137" t="s">
        <v>50</v>
      </c>
      <c r="BE4" s="137" t="s">
        <v>107</v>
      </c>
      <c r="BF4" s="137" t="s">
        <v>108</v>
      </c>
      <c r="BG4" s="137" t="s">
        <v>109</v>
      </c>
      <c r="BH4" s="137" t="s">
        <v>110</v>
      </c>
      <c r="BJ4" s="135" t="str">
        <f>J1</f>
        <v>HDD14</v>
      </c>
      <c r="BK4" s="136" t="s">
        <v>103</v>
      </c>
      <c r="BL4" s="136" t="s">
        <v>104</v>
      </c>
      <c r="BM4" s="136" t="s">
        <v>105</v>
      </c>
      <c r="BN4" s="136" t="s">
        <v>106</v>
      </c>
      <c r="BO4" s="136" t="s">
        <v>38</v>
      </c>
      <c r="BP4" s="136" t="s">
        <v>48</v>
      </c>
      <c r="BQ4" s="136" t="s">
        <v>49</v>
      </c>
      <c r="BR4" s="137" t="s">
        <v>50</v>
      </c>
      <c r="BS4" s="137" t="s">
        <v>107</v>
      </c>
      <c r="BT4" s="137" t="s">
        <v>108</v>
      </c>
      <c r="BU4" s="137" t="s">
        <v>109</v>
      </c>
      <c r="BV4" s="137" t="s">
        <v>110</v>
      </c>
      <c r="BX4" s="135" t="str">
        <f>L1</f>
        <v>HDD12</v>
      </c>
      <c r="BY4" s="136" t="s">
        <v>103</v>
      </c>
      <c r="BZ4" s="136" t="s">
        <v>104</v>
      </c>
      <c r="CA4" s="136" t="s">
        <v>105</v>
      </c>
      <c r="CB4" s="136" t="s">
        <v>106</v>
      </c>
      <c r="CC4" s="136" t="s">
        <v>38</v>
      </c>
      <c r="CD4" s="136" t="s">
        <v>48</v>
      </c>
      <c r="CE4" s="136" t="s">
        <v>49</v>
      </c>
      <c r="CF4" s="137" t="s">
        <v>50</v>
      </c>
      <c r="CG4" s="137" t="s">
        <v>107</v>
      </c>
      <c r="CH4" s="137" t="s">
        <v>108</v>
      </c>
      <c r="CI4" s="137" t="s">
        <v>109</v>
      </c>
      <c r="CJ4" s="137" t="s">
        <v>110</v>
      </c>
      <c r="CL4" s="135" t="str">
        <f>N1</f>
        <v>HDD10</v>
      </c>
      <c r="CM4" s="136" t="s">
        <v>103</v>
      </c>
      <c r="CN4" s="136" t="s">
        <v>104</v>
      </c>
      <c r="CO4" s="136" t="s">
        <v>105</v>
      </c>
      <c r="CP4" s="136" t="s">
        <v>106</v>
      </c>
      <c r="CQ4" s="136" t="s">
        <v>38</v>
      </c>
      <c r="CR4" s="136" t="s">
        <v>48</v>
      </c>
      <c r="CS4" s="136" t="s">
        <v>49</v>
      </c>
      <c r="CT4" s="137" t="s">
        <v>50</v>
      </c>
      <c r="CU4" s="137" t="s">
        <v>107</v>
      </c>
      <c r="CV4" s="137" t="s">
        <v>108</v>
      </c>
      <c r="CW4" s="137" t="s">
        <v>109</v>
      </c>
      <c r="CX4" s="137" t="s">
        <v>110</v>
      </c>
      <c r="CZ4" s="135"/>
      <c r="DA4" s="136"/>
      <c r="DB4" s="136"/>
      <c r="DC4" s="136"/>
      <c r="DD4" s="136"/>
      <c r="DE4" s="136"/>
      <c r="DF4" s="136"/>
      <c r="DG4" s="136"/>
      <c r="DH4" s="137"/>
      <c r="DI4" s="137"/>
      <c r="DJ4" s="137"/>
      <c r="DK4" s="137"/>
      <c r="DL4" s="137"/>
    </row>
    <row r="5" spans="1:116" x14ac:dyDescent="0.2">
      <c r="A5" s="132">
        <v>2001</v>
      </c>
      <c r="B5" s="144">
        <v>4</v>
      </c>
      <c r="C5" s="144">
        <v>8.5700000000000021</v>
      </c>
      <c r="D5" s="134">
        <v>342.89999999999992</v>
      </c>
      <c r="E5" s="134">
        <v>0</v>
      </c>
      <c r="F5" s="134">
        <v>282.89999999999992</v>
      </c>
      <c r="G5" s="134">
        <v>0</v>
      </c>
      <c r="H5" s="134">
        <v>225.69999999999993</v>
      </c>
      <c r="I5" s="134">
        <v>2.8000000000000007</v>
      </c>
      <c r="J5" s="134">
        <v>172.19999999999993</v>
      </c>
      <c r="K5" s="134">
        <v>9.3000000000000007</v>
      </c>
      <c r="L5" s="134">
        <v>122.50000000000001</v>
      </c>
      <c r="M5" s="134">
        <v>19.600000000000001</v>
      </c>
      <c r="N5" s="134">
        <v>78.300000000000011</v>
      </c>
      <c r="O5" s="134">
        <v>35.400000000000006</v>
      </c>
      <c r="P5" s="134"/>
      <c r="Q5" s="134"/>
      <c r="R5" s="134"/>
      <c r="T5" s="132">
        <v>2001</v>
      </c>
      <c r="U5" s="132">
        <f t="shared" ref="U5:U24" ca="1" si="0">OFFSET($D$2,(ROW()-5)*12+COLUMN()-21,0)</f>
        <v>699.8</v>
      </c>
      <c r="V5" s="132">
        <f t="shared" ref="V5:AF20" ca="1" si="1">OFFSET($D$2,(ROW()-5)*12+COLUMN()-21,0)</f>
        <v>602.70000000000005</v>
      </c>
      <c r="W5" s="132">
        <f t="shared" ca="1" si="1"/>
        <v>606</v>
      </c>
      <c r="X5" s="132">
        <f t="shared" ca="1" si="1"/>
        <v>342.89999999999992</v>
      </c>
      <c r="Y5" s="132">
        <f t="shared" ca="1" si="1"/>
        <v>154.1</v>
      </c>
      <c r="Z5" s="132">
        <f t="shared" ca="1" si="1"/>
        <v>51.2</v>
      </c>
      <c r="AA5" s="132">
        <f t="shared" ca="1" si="1"/>
        <v>19.599999999999994</v>
      </c>
      <c r="AB5" s="132">
        <f t="shared" ca="1" si="1"/>
        <v>1.5</v>
      </c>
      <c r="AC5" s="132">
        <f t="shared" ca="1" si="1"/>
        <v>93.9</v>
      </c>
      <c r="AD5" s="132">
        <f t="shared" ca="1" si="1"/>
        <v>247.69999999999993</v>
      </c>
      <c r="AE5" s="132">
        <f t="shared" ca="1" si="1"/>
        <v>346.19999999999993</v>
      </c>
      <c r="AF5" s="132">
        <f t="shared" ca="1" si="1"/>
        <v>537.79999999999995</v>
      </c>
      <c r="AH5" s="132">
        <v>2001</v>
      </c>
      <c r="AI5" s="132">
        <f t="shared" ref="AI5:AI24" ca="1" si="2">OFFSET($F$2,(ROW()-5)*12+COLUMN()-35,0)</f>
        <v>637.79999999999995</v>
      </c>
      <c r="AJ5" s="132">
        <f t="shared" ref="AJ5:AT20" ca="1" si="3">OFFSET($F$2,(ROW()-5)*12+COLUMN()-35,0)</f>
        <v>546.69999999999993</v>
      </c>
      <c r="AK5" s="132">
        <f t="shared" ca="1" si="3"/>
        <v>544</v>
      </c>
      <c r="AL5" s="132">
        <f t="shared" ca="1" si="3"/>
        <v>282.89999999999992</v>
      </c>
      <c r="AM5" s="132">
        <f t="shared" ca="1" si="3"/>
        <v>102.70000000000002</v>
      </c>
      <c r="AN5" s="132">
        <f t="shared" ca="1" si="3"/>
        <v>28.4</v>
      </c>
      <c r="AO5" s="132">
        <f t="shared" ca="1" si="3"/>
        <v>4.5999999999999979</v>
      </c>
      <c r="AP5" s="132">
        <f t="shared" ca="1" si="3"/>
        <v>0</v>
      </c>
      <c r="AQ5" s="132">
        <f t="shared" ca="1" si="3"/>
        <v>53.3</v>
      </c>
      <c r="AR5" s="132">
        <f t="shared" ca="1" si="3"/>
        <v>194.1</v>
      </c>
      <c r="AS5" s="132">
        <f t="shared" ca="1" si="3"/>
        <v>286.19999999999993</v>
      </c>
      <c r="AT5" s="132">
        <f t="shared" ca="1" si="3"/>
        <v>475.79999999999995</v>
      </c>
      <c r="AU5" s="295">
        <f ca="1">SUM(AI5:AT5)</f>
        <v>3156.5</v>
      </c>
      <c r="AV5" s="132">
        <v>2001</v>
      </c>
      <c r="AW5" s="132">
        <f t="shared" ref="AW5:AW24" ca="1" si="4">OFFSET($H$2,(ROW()-5)*12+COLUMN()-49,0)</f>
        <v>575.80000000000018</v>
      </c>
      <c r="AX5" s="132">
        <f t="shared" ref="AX5:BH20" ca="1" si="5">OFFSET($H$2,(ROW()-5)*12+COLUMN()-49,0)</f>
        <v>490.7</v>
      </c>
      <c r="AY5" s="132">
        <f t="shared" ca="1" si="5"/>
        <v>481.99999999999994</v>
      </c>
      <c r="AZ5" s="132">
        <f t="shared" ca="1" si="5"/>
        <v>225.69999999999993</v>
      </c>
      <c r="BA5" s="132">
        <f t="shared" ca="1" si="5"/>
        <v>57.800000000000011</v>
      </c>
      <c r="BB5" s="132">
        <f t="shared" ca="1" si="5"/>
        <v>12.399999999999999</v>
      </c>
      <c r="BC5" s="132">
        <f t="shared" ca="1" si="5"/>
        <v>1.1999999999999993</v>
      </c>
      <c r="BD5" s="132">
        <f t="shared" ca="1" si="5"/>
        <v>0</v>
      </c>
      <c r="BE5" s="132">
        <f t="shared" ca="1" si="5"/>
        <v>26.699999999999996</v>
      </c>
      <c r="BF5" s="132">
        <f t="shared" ca="1" si="5"/>
        <v>146.60000000000002</v>
      </c>
      <c r="BG5" s="132">
        <f t="shared" ca="1" si="5"/>
        <v>226.49999999999994</v>
      </c>
      <c r="BH5" s="132">
        <f t="shared" ca="1" si="5"/>
        <v>413.79999999999995</v>
      </c>
      <c r="BJ5" s="132">
        <v>2001</v>
      </c>
      <c r="BK5" s="132">
        <f t="shared" ref="BK5:BK24" ca="1" si="6">OFFSET($J$2,(ROW()-5)*12+COLUMN()-63,0)</f>
        <v>513.80000000000007</v>
      </c>
      <c r="BL5" s="132">
        <f t="shared" ref="BL5:BV20" ca="1" si="7">OFFSET($J$2,(ROW()-5)*12+COLUMN()-63,0)</f>
        <v>434.7</v>
      </c>
      <c r="BM5" s="132">
        <f t="shared" ca="1" si="7"/>
        <v>419.99999999999994</v>
      </c>
      <c r="BN5" s="132">
        <f t="shared" ca="1" si="7"/>
        <v>172.19999999999993</v>
      </c>
      <c r="BO5" s="132">
        <f t="shared" ca="1" si="7"/>
        <v>21.299999999999997</v>
      </c>
      <c r="BP5" s="132">
        <f t="shared" ca="1" si="7"/>
        <v>4</v>
      </c>
      <c r="BQ5" s="132">
        <f t="shared" ca="1" si="7"/>
        <v>0</v>
      </c>
      <c r="BR5" s="132">
        <f t="shared" ca="1" si="7"/>
        <v>0</v>
      </c>
      <c r="BS5" s="132">
        <f t="shared" ca="1" si="7"/>
        <v>11.799999999999997</v>
      </c>
      <c r="BT5" s="132">
        <f t="shared" ca="1" si="7"/>
        <v>103.50000000000001</v>
      </c>
      <c r="BU5" s="132">
        <f t="shared" ca="1" si="7"/>
        <v>169.5</v>
      </c>
      <c r="BV5" s="132">
        <f t="shared" ca="1" si="7"/>
        <v>353.09999999999991</v>
      </c>
      <c r="BX5" s="132">
        <v>2001</v>
      </c>
      <c r="BY5" s="132">
        <f t="shared" ref="BY5:BY24" ca="1" si="8">OFFSET($L$2,(ROW()-5)*12+COLUMN()-77,0)</f>
        <v>451.80000000000007</v>
      </c>
      <c r="BZ5" s="132">
        <f t="shared" ref="BZ5:CJ20" ca="1" si="9">OFFSET($L$2,(ROW()-5)*12+COLUMN()-77,0)</f>
        <v>378.70000000000005</v>
      </c>
      <c r="CA5" s="132">
        <f t="shared" ca="1" si="9"/>
        <v>357.99999999999994</v>
      </c>
      <c r="CB5" s="132">
        <f t="shared" ca="1" si="9"/>
        <v>122.50000000000001</v>
      </c>
      <c r="CC5" s="132">
        <f t="shared" ca="1" si="9"/>
        <v>3.5</v>
      </c>
      <c r="CD5" s="132">
        <f t="shared" ca="1" si="9"/>
        <v>0</v>
      </c>
      <c r="CE5" s="132">
        <f t="shared" ca="1" si="9"/>
        <v>0</v>
      </c>
      <c r="CF5" s="132">
        <f t="shared" ca="1" si="9"/>
        <v>0</v>
      </c>
      <c r="CG5" s="132">
        <f t="shared" ca="1" si="9"/>
        <v>3.8999999999999986</v>
      </c>
      <c r="CH5" s="132">
        <f t="shared" ca="1" si="9"/>
        <v>67.300000000000011</v>
      </c>
      <c r="CI5" s="132">
        <f t="shared" ca="1" si="9"/>
        <v>117.30000000000003</v>
      </c>
      <c r="CJ5" s="132">
        <f t="shared" ca="1" si="9"/>
        <v>293.10000000000002</v>
      </c>
      <c r="CL5" s="132">
        <v>2001</v>
      </c>
      <c r="CM5" s="132">
        <f t="shared" ref="CM5:CM24" ca="1" si="10">OFFSET($N$2,(ROW()-5)*12+COLUMN()-91,0)</f>
        <v>389.8</v>
      </c>
      <c r="CN5" s="132">
        <f t="shared" ref="CN5:CX20" ca="1" si="11">OFFSET($N$2,(ROW()-5)*12+COLUMN()-91,0)</f>
        <v>322.70000000000005</v>
      </c>
      <c r="CO5" s="132">
        <f t="shared" ca="1" si="11"/>
        <v>295.99999999999994</v>
      </c>
      <c r="CP5" s="132">
        <f t="shared" ca="1" si="11"/>
        <v>78.300000000000011</v>
      </c>
      <c r="CQ5" s="132">
        <f t="shared" ca="1" si="11"/>
        <v>0</v>
      </c>
      <c r="CR5" s="132">
        <f t="shared" ca="1" si="11"/>
        <v>0</v>
      </c>
      <c r="CS5" s="132">
        <f t="shared" ca="1" si="11"/>
        <v>0</v>
      </c>
      <c r="CT5" s="132">
        <f t="shared" ca="1" si="11"/>
        <v>0</v>
      </c>
      <c r="CU5" s="132">
        <f t="shared" ca="1" si="11"/>
        <v>0.69999999999999929</v>
      </c>
      <c r="CV5" s="132">
        <f t="shared" ca="1" si="11"/>
        <v>35.899999999999991</v>
      </c>
      <c r="CW5" s="132">
        <f t="shared" ca="1" si="11"/>
        <v>73.900000000000006</v>
      </c>
      <c r="CX5" s="132">
        <f t="shared" ca="1" si="11"/>
        <v>233.10000000000005</v>
      </c>
    </row>
    <row r="6" spans="1:116" x14ac:dyDescent="0.2">
      <c r="A6" s="132">
        <v>2001</v>
      </c>
      <c r="B6" s="144">
        <v>5</v>
      </c>
      <c r="C6" s="144">
        <v>15.277419354838715</v>
      </c>
      <c r="D6" s="134">
        <v>154.1</v>
      </c>
      <c r="E6" s="134">
        <v>7.7000000000000028</v>
      </c>
      <c r="F6" s="134">
        <v>102.70000000000002</v>
      </c>
      <c r="G6" s="134">
        <v>18.300000000000004</v>
      </c>
      <c r="H6" s="134">
        <v>57.800000000000011</v>
      </c>
      <c r="I6" s="134">
        <v>35.400000000000006</v>
      </c>
      <c r="J6" s="134">
        <v>21.299999999999997</v>
      </c>
      <c r="K6" s="134">
        <v>60.899999999999977</v>
      </c>
      <c r="L6" s="134">
        <v>3.5</v>
      </c>
      <c r="M6" s="134">
        <v>105.09999999999997</v>
      </c>
      <c r="N6" s="134">
        <v>0</v>
      </c>
      <c r="O6" s="134">
        <v>163.60000000000002</v>
      </c>
      <c r="P6" s="134"/>
      <c r="Q6" s="134"/>
      <c r="R6" s="134"/>
      <c r="T6" s="132">
        <f>1+T5</f>
        <v>2002</v>
      </c>
      <c r="U6" s="132">
        <f t="shared" ca="1" si="0"/>
        <v>596.40000000000009</v>
      </c>
      <c r="V6" s="132">
        <f t="shared" ca="1" si="1"/>
        <v>554.19999999999993</v>
      </c>
      <c r="W6" s="132">
        <f t="shared" ca="1" si="1"/>
        <v>564.20000000000005</v>
      </c>
      <c r="X6" s="132">
        <f t="shared" ca="1" si="1"/>
        <v>350.49999999999989</v>
      </c>
      <c r="Y6" s="132">
        <f t="shared" ca="1" si="1"/>
        <v>254.09999999999991</v>
      </c>
      <c r="Z6" s="132">
        <f t="shared" ca="1" si="1"/>
        <v>60.7</v>
      </c>
      <c r="AA6" s="132">
        <f t="shared" ca="1" si="1"/>
        <v>3.5999999999999979</v>
      </c>
      <c r="AB6" s="132">
        <f t="shared" ca="1" si="1"/>
        <v>2.6999999999999993</v>
      </c>
      <c r="AC6" s="132">
        <f t="shared" ca="1" si="1"/>
        <v>30.999999999999996</v>
      </c>
      <c r="AD6" s="132">
        <f t="shared" ca="1" si="1"/>
        <v>307.89999999999998</v>
      </c>
      <c r="AE6" s="132">
        <f t="shared" ca="1" si="1"/>
        <v>457.2999999999999</v>
      </c>
      <c r="AF6" s="132">
        <f t="shared" ca="1" si="1"/>
        <v>655.20000000000005</v>
      </c>
      <c r="AH6" s="132">
        <f>1+AH5</f>
        <v>2002</v>
      </c>
      <c r="AI6" s="132">
        <f t="shared" ca="1" si="2"/>
        <v>534.39999999999986</v>
      </c>
      <c r="AJ6" s="132">
        <f t="shared" ca="1" si="3"/>
        <v>498.2</v>
      </c>
      <c r="AK6" s="132">
        <f t="shared" ca="1" si="3"/>
        <v>502.2</v>
      </c>
      <c r="AL6" s="132">
        <f t="shared" ca="1" si="3"/>
        <v>298.29999999999995</v>
      </c>
      <c r="AM6" s="132">
        <f t="shared" ca="1" si="3"/>
        <v>198.09999999999994</v>
      </c>
      <c r="AN6" s="132">
        <f t="shared" ca="1" si="3"/>
        <v>31.999999999999996</v>
      </c>
      <c r="AO6" s="132">
        <f t="shared" ca="1" si="3"/>
        <v>0</v>
      </c>
      <c r="AP6" s="132">
        <f t="shared" ca="1" si="3"/>
        <v>0</v>
      </c>
      <c r="AQ6" s="132">
        <f t="shared" ca="1" si="3"/>
        <v>13.499999999999996</v>
      </c>
      <c r="AR6" s="132">
        <f t="shared" ca="1" si="3"/>
        <v>251.89999999999995</v>
      </c>
      <c r="AS6" s="132">
        <f t="shared" ca="1" si="3"/>
        <v>397.29999999999995</v>
      </c>
      <c r="AT6" s="132">
        <f t="shared" ca="1" si="3"/>
        <v>593.20000000000005</v>
      </c>
      <c r="AU6" s="295">
        <f t="shared" ref="AU6:AU28" ca="1" si="12">SUM(AI6:AT6)</f>
        <v>3319.0999999999995</v>
      </c>
      <c r="AV6" s="132">
        <f>1+AV5</f>
        <v>2002</v>
      </c>
      <c r="AW6" s="132">
        <f t="shared" ca="1" si="4"/>
        <v>472.4</v>
      </c>
      <c r="AX6" s="132">
        <f t="shared" ca="1" si="5"/>
        <v>442.2</v>
      </c>
      <c r="AY6" s="132">
        <f t="shared" ca="1" si="5"/>
        <v>440.2</v>
      </c>
      <c r="AZ6" s="132">
        <f t="shared" ca="1" si="5"/>
        <v>246.29999999999995</v>
      </c>
      <c r="BA6" s="132">
        <f t="shared" ca="1" si="5"/>
        <v>146.39999999999998</v>
      </c>
      <c r="BB6" s="132">
        <f t="shared" ca="1" si="5"/>
        <v>11.099999999999998</v>
      </c>
      <c r="BC6" s="132">
        <f t="shared" ca="1" si="5"/>
        <v>0</v>
      </c>
      <c r="BD6" s="132">
        <f t="shared" ca="1" si="5"/>
        <v>0</v>
      </c>
      <c r="BE6" s="132">
        <f t="shared" ca="1" si="5"/>
        <v>2.8999999999999986</v>
      </c>
      <c r="BF6" s="132">
        <f t="shared" ca="1" si="5"/>
        <v>196.7</v>
      </c>
      <c r="BG6" s="132">
        <f t="shared" ca="1" si="5"/>
        <v>337.29999999999995</v>
      </c>
      <c r="BH6" s="132">
        <f t="shared" ca="1" si="5"/>
        <v>531.20000000000005</v>
      </c>
      <c r="BJ6" s="132">
        <f>1+BJ5</f>
        <v>2002</v>
      </c>
      <c r="BK6" s="132">
        <f t="shared" ca="1" si="6"/>
        <v>410.4</v>
      </c>
      <c r="BL6" s="132">
        <f t="shared" ca="1" si="7"/>
        <v>386.2</v>
      </c>
      <c r="BM6" s="132">
        <f t="shared" ca="1" si="7"/>
        <v>378.2</v>
      </c>
      <c r="BN6" s="132">
        <f t="shared" ca="1" si="7"/>
        <v>194.79999999999995</v>
      </c>
      <c r="BO6" s="132">
        <f t="shared" ca="1" si="7"/>
        <v>100.80000000000001</v>
      </c>
      <c r="BP6" s="132">
        <f t="shared" ca="1" si="7"/>
        <v>3.1999999999999993</v>
      </c>
      <c r="BQ6" s="132">
        <f t="shared" ca="1" si="7"/>
        <v>0</v>
      </c>
      <c r="BR6" s="132">
        <f t="shared" ca="1" si="7"/>
        <v>0</v>
      </c>
      <c r="BS6" s="132">
        <f t="shared" ca="1" si="7"/>
        <v>0</v>
      </c>
      <c r="BT6" s="132">
        <f t="shared" ca="1" si="7"/>
        <v>146.69999999999999</v>
      </c>
      <c r="BU6" s="132">
        <f t="shared" ca="1" si="7"/>
        <v>279.39999999999998</v>
      </c>
      <c r="BV6" s="132">
        <f t="shared" ca="1" si="7"/>
        <v>469.20000000000005</v>
      </c>
      <c r="BX6" s="132">
        <f>1+BX5</f>
        <v>2002</v>
      </c>
      <c r="BY6" s="132">
        <f t="shared" ca="1" si="8"/>
        <v>348.4</v>
      </c>
      <c r="BZ6" s="132">
        <f t="shared" ca="1" si="9"/>
        <v>330.2</v>
      </c>
      <c r="CA6" s="132">
        <f t="shared" ca="1" si="9"/>
        <v>316.5</v>
      </c>
      <c r="CB6" s="132">
        <f t="shared" ca="1" si="9"/>
        <v>145.6</v>
      </c>
      <c r="CC6" s="132">
        <f t="shared" ca="1" si="9"/>
        <v>64.400000000000006</v>
      </c>
      <c r="CD6" s="132">
        <f t="shared" ca="1" si="9"/>
        <v>1.1999999999999993</v>
      </c>
      <c r="CE6" s="132">
        <f t="shared" ca="1" si="9"/>
        <v>0</v>
      </c>
      <c r="CF6" s="132">
        <f t="shared" ca="1" si="9"/>
        <v>0</v>
      </c>
      <c r="CG6" s="132">
        <f t="shared" ca="1" si="9"/>
        <v>0</v>
      </c>
      <c r="CH6" s="132">
        <f t="shared" ca="1" si="9"/>
        <v>104.30000000000001</v>
      </c>
      <c r="CI6" s="132">
        <f t="shared" ca="1" si="9"/>
        <v>223.39999999999998</v>
      </c>
      <c r="CJ6" s="132">
        <f t="shared" ca="1" si="9"/>
        <v>407.20000000000005</v>
      </c>
      <c r="CL6" s="132">
        <f>1+CL5</f>
        <v>2002</v>
      </c>
      <c r="CM6" s="132">
        <f t="shared" ca="1" si="10"/>
        <v>286.39999999999998</v>
      </c>
      <c r="CN6" s="132">
        <f t="shared" ca="1" si="11"/>
        <v>274.2</v>
      </c>
      <c r="CO6" s="132">
        <f t="shared" ca="1" si="11"/>
        <v>256.5</v>
      </c>
      <c r="CP6" s="132">
        <f t="shared" ca="1" si="11"/>
        <v>102.4</v>
      </c>
      <c r="CQ6" s="132">
        <f t="shared" ca="1" si="11"/>
        <v>33.399999999999991</v>
      </c>
      <c r="CR6" s="132">
        <f t="shared" ca="1" si="11"/>
        <v>0</v>
      </c>
      <c r="CS6" s="132">
        <f t="shared" ca="1" si="11"/>
        <v>0</v>
      </c>
      <c r="CT6" s="132">
        <f t="shared" ca="1" si="11"/>
        <v>0</v>
      </c>
      <c r="CU6" s="132">
        <f t="shared" ca="1" si="11"/>
        <v>0</v>
      </c>
      <c r="CV6" s="132">
        <f t="shared" ca="1" si="11"/>
        <v>67.100000000000009</v>
      </c>
      <c r="CW6" s="132">
        <f t="shared" ca="1" si="11"/>
        <v>168.20000000000002</v>
      </c>
      <c r="CX6" s="132">
        <f t="shared" ca="1" si="11"/>
        <v>345.20000000000005</v>
      </c>
    </row>
    <row r="7" spans="1:116" x14ac:dyDescent="0.2">
      <c r="A7" s="132">
        <v>2001</v>
      </c>
      <c r="B7" s="144">
        <v>6</v>
      </c>
      <c r="C7" s="144">
        <v>19.969999999999995</v>
      </c>
      <c r="D7" s="134">
        <v>51.2</v>
      </c>
      <c r="E7" s="134">
        <v>50.3</v>
      </c>
      <c r="F7" s="134">
        <v>28.4</v>
      </c>
      <c r="G7" s="134">
        <v>87.499999999999986</v>
      </c>
      <c r="H7" s="134">
        <v>12.399999999999999</v>
      </c>
      <c r="I7" s="134">
        <v>131.49999999999997</v>
      </c>
      <c r="J7" s="134">
        <v>4</v>
      </c>
      <c r="K7" s="134">
        <v>183.10000000000002</v>
      </c>
      <c r="L7" s="134">
        <v>0</v>
      </c>
      <c r="M7" s="134">
        <v>239.10000000000008</v>
      </c>
      <c r="N7" s="134">
        <v>0</v>
      </c>
      <c r="O7" s="134">
        <v>299.10000000000008</v>
      </c>
      <c r="P7" s="134"/>
      <c r="Q7" s="134"/>
      <c r="R7" s="134"/>
      <c r="T7" s="132">
        <f t="shared" ref="T7:T24" si="13">1+T6</f>
        <v>2003</v>
      </c>
      <c r="U7" s="132">
        <f t="shared" ca="1" si="0"/>
        <v>817.99999999999977</v>
      </c>
      <c r="V7" s="132">
        <f t="shared" ca="1" si="1"/>
        <v>716.99999999999989</v>
      </c>
      <c r="W7" s="132">
        <f t="shared" ca="1" si="1"/>
        <v>596.9</v>
      </c>
      <c r="X7" s="132">
        <f t="shared" ca="1" si="1"/>
        <v>427.59999999999991</v>
      </c>
      <c r="Y7" s="132">
        <f t="shared" ca="1" si="1"/>
        <v>236.29999999999993</v>
      </c>
      <c r="Z7" s="132">
        <f t="shared" ca="1" si="1"/>
        <v>77.800000000000026</v>
      </c>
      <c r="AA7" s="132">
        <f t="shared" ca="1" si="1"/>
        <v>3.9999999999999964</v>
      </c>
      <c r="AB7" s="132">
        <f t="shared" ca="1" si="1"/>
        <v>5.8999999999999986</v>
      </c>
      <c r="AC7" s="132">
        <f t="shared" ca="1" si="1"/>
        <v>78.900000000000006</v>
      </c>
      <c r="AD7" s="132">
        <f t="shared" ca="1" si="1"/>
        <v>319.99999999999994</v>
      </c>
      <c r="AE7" s="132">
        <f t="shared" ca="1" si="1"/>
        <v>406.39999999999986</v>
      </c>
      <c r="AF7" s="132">
        <f t="shared" ca="1" si="1"/>
        <v>586.30000000000018</v>
      </c>
      <c r="AH7" s="132">
        <f t="shared" ref="AH7:AH24" si="14">1+AH6</f>
        <v>2003</v>
      </c>
      <c r="AI7" s="132">
        <f t="shared" ca="1" si="2"/>
        <v>755.99999999999977</v>
      </c>
      <c r="AJ7" s="132">
        <f t="shared" ca="1" si="3"/>
        <v>660.99999999999989</v>
      </c>
      <c r="AK7" s="132">
        <f t="shared" ca="1" si="3"/>
        <v>534.89999999999986</v>
      </c>
      <c r="AL7" s="132">
        <f t="shared" ca="1" si="3"/>
        <v>369.39999999999992</v>
      </c>
      <c r="AM7" s="132">
        <f t="shared" ca="1" si="3"/>
        <v>174.29999999999998</v>
      </c>
      <c r="AN7" s="132">
        <f t="shared" ca="1" si="3"/>
        <v>41.400000000000006</v>
      </c>
      <c r="AO7" s="132">
        <f t="shared" ca="1" si="3"/>
        <v>0</v>
      </c>
      <c r="AP7" s="132">
        <f t="shared" ca="1" si="3"/>
        <v>0.19999999999999929</v>
      </c>
      <c r="AQ7" s="132">
        <f t="shared" ca="1" si="3"/>
        <v>37.899999999999991</v>
      </c>
      <c r="AR7" s="132">
        <f t="shared" ca="1" si="3"/>
        <v>257.99999999999994</v>
      </c>
      <c r="AS7" s="132">
        <f t="shared" ca="1" si="3"/>
        <v>346.39999999999992</v>
      </c>
      <c r="AT7" s="132">
        <f t="shared" ca="1" si="3"/>
        <v>524.30000000000007</v>
      </c>
      <c r="AU7" s="295">
        <f t="shared" ca="1" si="12"/>
        <v>3703.7999999999997</v>
      </c>
      <c r="AV7" s="132">
        <f t="shared" ref="AV7:AV24" si="15">1+AV6</f>
        <v>2003</v>
      </c>
      <c r="AW7" s="132">
        <f t="shared" ca="1" si="4"/>
        <v>693.99999999999989</v>
      </c>
      <c r="AX7" s="132">
        <f t="shared" ca="1" si="5"/>
        <v>605</v>
      </c>
      <c r="AY7" s="132">
        <f t="shared" ca="1" si="5"/>
        <v>472.89999999999986</v>
      </c>
      <c r="AZ7" s="132">
        <f t="shared" ca="1" si="5"/>
        <v>311.39999999999992</v>
      </c>
      <c r="BA7" s="132">
        <f t="shared" ca="1" si="5"/>
        <v>114.10000000000004</v>
      </c>
      <c r="BB7" s="132">
        <f t="shared" ca="1" si="5"/>
        <v>17.7</v>
      </c>
      <c r="BC7" s="132">
        <f t="shared" ca="1" si="5"/>
        <v>0</v>
      </c>
      <c r="BD7" s="132">
        <f t="shared" ca="1" si="5"/>
        <v>0</v>
      </c>
      <c r="BE7" s="132">
        <f t="shared" ca="1" si="5"/>
        <v>15.599999999999998</v>
      </c>
      <c r="BF7" s="132">
        <f t="shared" ca="1" si="5"/>
        <v>199.29999999999998</v>
      </c>
      <c r="BG7" s="132">
        <f t="shared" ca="1" si="5"/>
        <v>286.39999999999992</v>
      </c>
      <c r="BH7" s="132">
        <f t="shared" ca="1" si="5"/>
        <v>462.29999999999995</v>
      </c>
      <c r="BJ7" s="132">
        <f t="shared" ref="BJ7:BJ24" si="16">1+BJ6</f>
        <v>2003</v>
      </c>
      <c r="BK7" s="132">
        <f t="shared" ca="1" si="6"/>
        <v>631.99999999999989</v>
      </c>
      <c r="BL7" s="132">
        <f t="shared" ca="1" si="7"/>
        <v>549</v>
      </c>
      <c r="BM7" s="132">
        <f t="shared" ca="1" si="7"/>
        <v>410.89999999999986</v>
      </c>
      <c r="BN7" s="132">
        <f t="shared" ca="1" si="7"/>
        <v>256.39999999999992</v>
      </c>
      <c r="BO7" s="132">
        <f t="shared" ca="1" si="7"/>
        <v>63.100000000000009</v>
      </c>
      <c r="BP7" s="132">
        <f t="shared" ca="1" si="7"/>
        <v>7.1999999999999993</v>
      </c>
      <c r="BQ7" s="132">
        <f t="shared" ca="1" si="7"/>
        <v>0</v>
      </c>
      <c r="BR7" s="132">
        <f t="shared" ca="1" si="7"/>
        <v>0</v>
      </c>
      <c r="BS7" s="132">
        <f t="shared" ca="1" si="7"/>
        <v>6.6999999999999993</v>
      </c>
      <c r="BT7" s="132">
        <f t="shared" ca="1" si="7"/>
        <v>144.10000000000002</v>
      </c>
      <c r="BU7" s="132">
        <f t="shared" ca="1" si="7"/>
        <v>226.39999999999992</v>
      </c>
      <c r="BV7" s="132">
        <f t="shared" ca="1" si="7"/>
        <v>400.29999999999995</v>
      </c>
      <c r="BX7" s="132">
        <f t="shared" ref="BX7:BX24" si="17">1+BX6</f>
        <v>2003</v>
      </c>
      <c r="BY7" s="132">
        <f t="shared" ca="1" si="8"/>
        <v>570</v>
      </c>
      <c r="BZ7" s="132">
        <f t="shared" ca="1" si="9"/>
        <v>493.00000000000011</v>
      </c>
      <c r="CA7" s="132">
        <f t="shared" ca="1" si="9"/>
        <v>349.39999999999986</v>
      </c>
      <c r="CB7" s="132">
        <f t="shared" ca="1" si="9"/>
        <v>204.39999999999989</v>
      </c>
      <c r="CC7" s="132">
        <f t="shared" ca="1" si="9"/>
        <v>26.799999999999997</v>
      </c>
      <c r="CD7" s="132">
        <f t="shared" ca="1" si="9"/>
        <v>1</v>
      </c>
      <c r="CE7" s="132">
        <f t="shared" ca="1" si="9"/>
        <v>0</v>
      </c>
      <c r="CF7" s="132">
        <f t="shared" ca="1" si="9"/>
        <v>0</v>
      </c>
      <c r="CG7" s="132">
        <f t="shared" ca="1" si="9"/>
        <v>2.1999999999999993</v>
      </c>
      <c r="CH7" s="132">
        <f t="shared" ca="1" si="9"/>
        <v>94.100000000000009</v>
      </c>
      <c r="CI7" s="132">
        <f t="shared" ca="1" si="9"/>
        <v>167.89999999999998</v>
      </c>
      <c r="CJ7" s="132">
        <f t="shared" ca="1" si="9"/>
        <v>338.29999999999995</v>
      </c>
      <c r="CL7" s="132">
        <f t="shared" ref="CL7:CL24" si="18">1+CL6</f>
        <v>2003</v>
      </c>
      <c r="CM7" s="132">
        <f t="shared" ca="1" si="10"/>
        <v>508.00000000000011</v>
      </c>
      <c r="CN7" s="132">
        <f t="shared" ca="1" si="11"/>
        <v>437.00000000000011</v>
      </c>
      <c r="CO7" s="132">
        <f t="shared" ca="1" si="11"/>
        <v>289.69999999999993</v>
      </c>
      <c r="CP7" s="132">
        <f t="shared" ca="1" si="11"/>
        <v>155.79999999999998</v>
      </c>
      <c r="CQ7" s="132">
        <f t="shared" ca="1" si="11"/>
        <v>5</v>
      </c>
      <c r="CR7" s="132">
        <f t="shared" ca="1" si="11"/>
        <v>0</v>
      </c>
      <c r="CS7" s="132">
        <f t="shared" ca="1" si="11"/>
        <v>0</v>
      </c>
      <c r="CT7" s="132">
        <f t="shared" ca="1" si="11"/>
        <v>0</v>
      </c>
      <c r="CU7" s="132">
        <f t="shared" ca="1" si="11"/>
        <v>0</v>
      </c>
      <c r="CV7" s="132">
        <f t="shared" ca="1" si="11"/>
        <v>52</v>
      </c>
      <c r="CW7" s="132">
        <f t="shared" ca="1" si="11"/>
        <v>118.30000000000003</v>
      </c>
      <c r="CX7" s="132">
        <f t="shared" ca="1" si="11"/>
        <v>276.29999999999995</v>
      </c>
    </row>
    <row r="8" spans="1:116" x14ac:dyDescent="0.2">
      <c r="A8" s="132">
        <v>2001</v>
      </c>
      <c r="B8" s="144">
        <v>7</v>
      </c>
      <c r="C8" s="144">
        <v>21.37096774193548</v>
      </c>
      <c r="D8" s="134">
        <v>19.599999999999994</v>
      </c>
      <c r="E8" s="134">
        <v>62.099999999999994</v>
      </c>
      <c r="F8" s="134">
        <v>4.5999999999999979</v>
      </c>
      <c r="G8" s="134">
        <v>109.09999999999998</v>
      </c>
      <c r="H8" s="134">
        <v>1.1999999999999993</v>
      </c>
      <c r="I8" s="134">
        <v>167.70000000000005</v>
      </c>
      <c r="J8" s="134">
        <v>0</v>
      </c>
      <c r="K8" s="134">
        <v>228.50000000000006</v>
      </c>
      <c r="L8" s="134">
        <v>0</v>
      </c>
      <c r="M8" s="134">
        <v>290.50000000000006</v>
      </c>
      <c r="N8" s="134">
        <v>0</v>
      </c>
      <c r="O8" s="134">
        <v>352.50000000000006</v>
      </c>
      <c r="P8" s="134"/>
      <c r="Q8" s="134"/>
      <c r="R8" s="134"/>
      <c r="T8" s="132">
        <f t="shared" si="13"/>
        <v>2004</v>
      </c>
      <c r="U8" s="132">
        <f t="shared" ca="1" si="0"/>
        <v>846.99999999999977</v>
      </c>
      <c r="V8" s="132">
        <f t="shared" ca="1" si="1"/>
        <v>653.29999999999984</v>
      </c>
      <c r="W8" s="132">
        <f t="shared" ca="1" si="1"/>
        <v>532.6</v>
      </c>
      <c r="X8" s="132">
        <f t="shared" ca="1" si="1"/>
        <v>366.99999999999989</v>
      </c>
      <c r="Y8" s="132">
        <f t="shared" ca="1" si="1"/>
        <v>187.69999999999996</v>
      </c>
      <c r="Z8" s="132">
        <f t="shared" ca="1" si="1"/>
        <v>74.300000000000026</v>
      </c>
      <c r="AA8" s="132">
        <f t="shared" ca="1" si="1"/>
        <v>13.399999999999995</v>
      </c>
      <c r="AB8" s="132">
        <f t="shared" ca="1" si="1"/>
        <v>28.899999999999995</v>
      </c>
      <c r="AC8" s="132">
        <f t="shared" ca="1" si="1"/>
        <v>46.5</v>
      </c>
      <c r="AD8" s="132">
        <f t="shared" ca="1" si="1"/>
        <v>256.59999999999991</v>
      </c>
      <c r="AE8" s="132">
        <f t="shared" ca="1" si="1"/>
        <v>404.09999999999991</v>
      </c>
      <c r="AF8" s="132">
        <f t="shared" ca="1" si="1"/>
        <v>644.5</v>
      </c>
      <c r="AH8" s="132">
        <f t="shared" si="14"/>
        <v>2004</v>
      </c>
      <c r="AI8" s="132">
        <f t="shared" ca="1" si="2"/>
        <v>784.99999999999977</v>
      </c>
      <c r="AJ8" s="132">
        <f t="shared" ca="1" si="3"/>
        <v>595.29999999999995</v>
      </c>
      <c r="AK8" s="132">
        <f t="shared" ca="1" si="3"/>
        <v>470.59999999999997</v>
      </c>
      <c r="AL8" s="132">
        <f t="shared" ca="1" si="3"/>
        <v>307.99999999999989</v>
      </c>
      <c r="AM8" s="132">
        <f t="shared" ca="1" si="3"/>
        <v>134.00000000000003</v>
      </c>
      <c r="AN8" s="132">
        <f t="shared" ca="1" si="3"/>
        <v>36.900000000000006</v>
      </c>
      <c r="AO8" s="132">
        <f t="shared" ca="1" si="3"/>
        <v>0.89999999999999858</v>
      </c>
      <c r="AP8" s="132">
        <f t="shared" ca="1" si="3"/>
        <v>5.7999999999999972</v>
      </c>
      <c r="AQ8" s="132">
        <f t="shared" ca="1" si="3"/>
        <v>20.999999999999996</v>
      </c>
      <c r="AR8" s="132">
        <f t="shared" ca="1" si="3"/>
        <v>197.89999999999992</v>
      </c>
      <c r="AS8" s="132">
        <f t="shared" ca="1" si="3"/>
        <v>344.09999999999991</v>
      </c>
      <c r="AT8" s="132">
        <f t="shared" ca="1" si="3"/>
        <v>582.50000000000011</v>
      </c>
      <c r="AU8" s="295">
        <f t="shared" ca="1" si="12"/>
        <v>3482</v>
      </c>
      <c r="AV8" s="132">
        <f t="shared" si="15"/>
        <v>2004</v>
      </c>
      <c r="AW8" s="132">
        <f t="shared" ca="1" si="4"/>
        <v>722.99999999999989</v>
      </c>
      <c r="AX8" s="132">
        <f t="shared" ca="1" si="5"/>
        <v>537.30000000000018</v>
      </c>
      <c r="AY8" s="132">
        <f t="shared" ca="1" si="5"/>
        <v>408.59999999999997</v>
      </c>
      <c r="AZ8" s="132">
        <f t="shared" ca="1" si="5"/>
        <v>250.2999999999999</v>
      </c>
      <c r="BA8" s="132">
        <f t="shared" ca="1" si="5"/>
        <v>85.40000000000002</v>
      </c>
      <c r="BB8" s="132">
        <f t="shared" ca="1" si="5"/>
        <v>12.499999999999996</v>
      </c>
      <c r="BC8" s="132">
        <f t="shared" ca="1" si="5"/>
        <v>0</v>
      </c>
      <c r="BD8" s="132">
        <f t="shared" ca="1" si="5"/>
        <v>0</v>
      </c>
      <c r="BE8" s="132">
        <f t="shared" ca="1" si="5"/>
        <v>7.2999999999999972</v>
      </c>
      <c r="BF8" s="132">
        <f t="shared" ca="1" si="5"/>
        <v>143.5</v>
      </c>
      <c r="BG8" s="132">
        <f t="shared" ca="1" si="5"/>
        <v>284.09999999999991</v>
      </c>
      <c r="BH8" s="132">
        <f t="shared" ca="1" si="5"/>
        <v>520.50000000000011</v>
      </c>
      <c r="BJ8" s="132">
        <f t="shared" si="16"/>
        <v>2004</v>
      </c>
      <c r="BK8" s="132">
        <f t="shared" ca="1" si="6"/>
        <v>661</v>
      </c>
      <c r="BL8" s="132">
        <f t="shared" ca="1" si="7"/>
        <v>479.30000000000013</v>
      </c>
      <c r="BM8" s="132">
        <f t="shared" ca="1" si="7"/>
        <v>346.59999999999997</v>
      </c>
      <c r="BN8" s="132">
        <f t="shared" ca="1" si="7"/>
        <v>194.29999999999993</v>
      </c>
      <c r="BO8" s="132">
        <f t="shared" ca="1" si="7"/>
        <v>50.800000000000011</v>
      </c>
      <c r="BP8" s="132">
        <f t="shared" ca="1" si="7"/>
        <v>2</v>
      </c>
      <c r="BQ8" s="132">
        <f t="shared" ca="1" si="7"/>
        <v>0</v>
      </c>
      <c r="BR8" s="132">
        <f t="shared" ca="1" si="7"/>
        <v>0</v>
      </c>
      <c r="BS8" s="132">
        <f t="shared" ca="1" si="7"/>
        <v>2.1999999999999993</v>
      </c>
      <c r="BT8" s="132">
        <f t="shared" ca="1" si="7"/>
        <v>93.500000000000028</v>
      </c>
      <c r="BU8" s="132">
        <f t="shared" ca="1" si="7"/>
        <v>224.09999999999997</v>
      </c>
      <c r="BV8" s="132">
        <f t="shared" ca="1" si="7"/>
        <v>458.50000000000006</v>
      </c>
      <c r="BX8" s="132">
        <f t="shared" si="17"/>
        <v>2004</v>
      </c>
      <c r="BY8" s="132">
        <f t="shared" ca="1" si="8"/>
        <v>599</v>
      </c>
      <c r="BZ8" s="132">
        <f t="shared" ca="1" si="9"/>
        <v>421.30000000000013</v>
      </c>
      <c r="CA8" s="132">
        <f t="shared" ca="1" si="9"/>
        <v>286.39999999999998</v>
      </c>
      <c r="CB8" s="132">
        <f t="shared" ca="1" si="9"/>
        <v>141.90000000000003</v>
      </c>
      <c r="CC8" s="132">
        <f t="shared" ca="1" si="9"/>
        <v>26.399999999999995</v>
      </c>
      <c r="CD8" s="132">
        <f t="shared" ca="1" si="9"/>
        <v>0</v>
      </c>
      <c r="CE8" s="132">
        <f t="shared" ca="1" si="9"/>
        <v>0</v>
      </c>
      <c r="CF8" s="132">
        <f t="shared" ca="1" si="9"/>
        <v>0</v>
      </c>
      <c r="CG8" s="132">
        <f t="shared" ca="1" si="9"/>
        <v>0.19999999999999929</v>
      </c>
      <c r="CH8" s="132">
        <f t="shared" ca="1" si="9"/>
        <v>50.400000000000006</v>
      </c>
      <c r="CI8" s="132">
        <f t="shared" ca="1" si="9"/>
        <v>165.39999999999998</v>
      </c>
      <c r="CJ8" s="132">
        <f t="shared" ca="1" si="9"/>
        <v>396.50000000000006</v>
      </c>
      <c r="CL8" s="132">
        <f t="shared" si="18"/>
        <v>2004</v>
      </c>
      <c r="CM8" s="132">
        <f t="shared" ca="1" si="10"/>
        <v>538.30000000000007</v>
      </c>
      <c r="CN8" s="132">
        <f t="shared" ca="1" si="11"/>
        <v>363.30000000000013</v>
      </c>
      <c r="CO8" s="132">
        <f t="shared" ca="1" si="11"/>
        <v>229.2</v>
      </c>
      <c r="CP8" s="132">
        <f t="shared" ca="1" si="11"/>
        <v>96.300000000000011</v>
      </c>
      <c r="CQ8" s="132">
        <f t="shared" ca="1" si="11"/>
        <v>13.100000000000001</v>
      </c>
      <c r="CR8" s="132">
        <f t="shared" ca="1" si="11"/>
        <v>0</v>
      </c>
      <c r="CS8" s="132">
        <f t="shared" ca="1" si="11"/>
        <v>0</v>
      </c>
      <c r="CT8" s="132">
        <f t="shared" ca="1" si="11"/>
        <v>0</v>
      </c>
      <c r="CU8" s="132">
        <f t="shared" ca="1" si="11"/>
        <v>0</v>
      </c>
      <c r="CV8" s="132">
        <f t="shared" ca="1" si="11"/>
        <v>18.799999999999994</v>
      </c>
      <c r="CW8" s="132">
        <f t="shared" ca="1" si="11"/>
        <v>110.20000000000002</v>
      </c>
      <c r="CX8" s="132">
        <f t="shared" ca="1" si="11"/>
        <v>334.50000000000006</v>
      </c>
    </row>
    <row r="9" spans="1:116" x14ac:dyDescent="0.2">
      <c r="A9" s="132">
        <v>2001</v>
      </c>
      <c r="B9" s="144">
        <v>8</v>
      </c>
      <c r="C9" s="144">
        <v>23.741935483870961</v>
      </c>
      <c r="D9" s="134">
        <v>1.5</v>
      </c>
      <c r="E9" s="134">
        <v>117.49999999999996</v>
      </c>
      <c r="F9" s="134">
        <v>0</v>
      </c>
      <c r="G9" s="134">
        <v>178.00000000000009</v>
      </c>
      <c r="H9" s="134">
        <v>0</v>
      </c>
      <c r="I9" s="134">
        <v>240.00000000000011</v>
      </c>
      <c r="J9" s="134">
        <v>0</v>
      </c>
      <c r="K9" s="134">
        <v>302.00000000000017</v>
      </c>
      <c r="L9" s="134">
        <v>0</v>
      </c>
      <c r="M9" s="134">
        <v>364.00000000000017</v>
      </c>
      <c r="N9" s="134">
        <v>0</v>
      </c>
      <c r="O9" s="134">
        <v>426.00000000000017</v>
      </c>
      <c r="P9" s="134"/>
      <c r="Q9" s="134"/>
      <c r="R9" s="134"/>
      <c r="T9" s="132">
        <f t="shared" si="13"/>
        <v>2005</v>
      </c>
      <c r="U9" s="132">
        <f t="shared" ca="1" si="0"/>
        <v>772.89999999999975</v>
      </c>
      <c r="V9" s="132">
        <f t="shared" ca="1" si="1"/>
        <v>627.79999999999995</v>
      </c>
      <c r="W9" s="132">
        <f t="shared" ca="1" si="1"/>
        <v>634.9000000000002</v>
      </c>
      <c r="X9" s="132">
        <f t="shared" ca="1" si="1"/>
        <v>355.39999999999986</v>
      </c>
      <c r="Y9" s="132">
        <f t="shared" ca="1" si="1"/>
        <v>239.49999999999994</v>
      </c>
      <c r="Z9" s="132">
        <f t="shared" ca="1" si="1"/>
        <v>21.199999999999996</v>
      </c>
      <c r="AA9" s="132">
        <f t="shared" ca="1" si="1"/>
        <v>2.1999999999999993</v>
      </c>
      <c r="AB9" s="132">
        <f t="shared" ca="1" si="1"/>
        <v>3.3999999999999986</v>
      </c>
      <c r="AC9" s="132">
        <f t="shared" ca="1" si="1"/>
        <v>47.400000000000006</v>
      </c>
      <c r="AD9" s="132">
        <f t="shared" ca="1" si="1"/>
        <v>270.7</v>
      </c>
      <c r="AE9" s="132">
        <f t="shared" ca="1" si="1"/>
        <v>429.3</v>
      </c>
      <c r="AF9" s="132">
        <f t="shared" ca="1" si="1"/>
        <v>702.8</v>
      </c>
      <c r="AH9" s="132">
        <f t="shared" si="14"/>
        <v>2005</v>
      </c>
      <c r="AI9" s="132">
        <f t="shared" ca="1" si="2"/>
        <v>710.89999999999975</v>
      </c>
      <c r="AJ9" s="132">
        <f t="shared" ca="1" si="3"/>
        <v>571.80000000000007</v>
      </c>
      <c r="AK9" s="132">
        <f t="shared" ca="1" si="3"/>
        <v>572.90000000000009</v>
      </c>
      <c r="AL9" s="132">
        <f t="shared" ca="1" si="3"/>
        <v>295.39999999999992</v>
      </c>
      <c r="AM9" s="132">
        <f t="shared" ca="1" si="3"/>
        <v>178.79999999999995</v>
      </c>
      <c r="AN9" s="132">
        <f t="shared" ca="1" si="3"/>
        <v>4.7999999999999972</v>
      </c>
      <c r="AO9" s="132">
        <f t="shared" ca="1" si="3"/>
        <v>0</v>
      </c>
      <c r="AP9" s="132">
        <f t="shared" ca="1" si="3"/>
        <v>0</v>
      </c>
      <c r="AQ9" s="132">
        <f t="shared" ca="1" si="3"/>
        <v>22.700000000000003</v>
      </c>
      <c r="AR9" s="132">
        <f t="shared" ca="1" si="3"/>
        <v>216.6</v>
      </c>
      <c r="AS9" s="132">
        <f t="shared" ca="1" si="3"/>
        <v>369.3</v>
      </c>
      <c r="AT9" s="132">
        <f t="shared" ca="1" si="3"/>
        <v>640.79999999999995</v>
      </c>
      <c r="AU9" s="295">
        <f t="shared" ca="1" si="12"/>
        <v>3584</v>
      </c>
      <c r="AV9" s="132">
        <f t="shared" si="15"/>
        <v>2005</v>
      </c>
      <c r="AW9" s="132">
        <f t="shared" ca="1" si="4"/>
        <v>648.89999999999986</v>
      </c>
      <c r="AX9" s="132">
        <f t="shared" ca="1" si="5"/>
        <v>515.80000000000018</v>
      </c>
      <c r="AY9" s="132">
        <f t="shared" ca="1" si="5"/>
        <v>510.9</v>
      </c>
      <c r="AZ9" s="132">
        <f t="shared" ca="1" si="5"/>
        <v>236.19999999999993</v>
      </c>
      <c r="BA9" s="132">
        <f t="shared" ca="1" si="5"/>
        <v>124.10000000000002</v>
      </c>
      <c r="BB9" s="132">
        <f t="shared" ca="1" si="5"/>
        <v>0</v>
      </c>
      <c r="BC9" s="132">
        <f t="shared" ca="1" si="5"/>
        <v>0</v>
      </c>
      <c r="BD9" s="132">
        <f t="shared" ca="1" si="5"/>
        <v>0</v>
      </c>
      <c r="BE9" s="132">
        <f t="shared" ca="1" si="5"/>
        <v>10.199999999999999</v>
      </c>
      <c r="BF9" s="132">
        <f t="shared" ca="1" si="5"/>
        <v>163.1</v>
      </c>
      <c r="BG9" s="132">
        <f t="shared" ca="1" si="5"/>
        <v>309.3</v>
      </c>
      <c r="BH9" s="132">
        <f t="shared" ca="1" si="5"/>
        <v>578.79999999999995</v>
      </c>
      <c r="BJ9" s="132">
        <f t="shared" si="16"/>
        <v>2005</v>
      </c>
      <c r="BK9" s="132">
        <f t="shared" ca="1" si="6"/>
        <v>586.9</v>
      </c>
      <c r="BL9" s="132">
        <f t="shared" ca="1" si="7"/>
        <v>459.80000000000013</v>
      </c>
      <c r="BM9" s="132">
        <f t="shared" ca="1" si="7"/>
        <v>448.90000000000003</v>
      </c>
      <c r="BN9" s="132">
        <f t="shared" ca="1" si="7"/>
        <v>179.49999999999997</v>
      </c>
      <c r="BO9" s="132">
        <f t="shared" ca="1" si="7"/>
        <v>79.000000000000014</v>
      </c>
      <c r="BP9" s="132">
        <f t="shared" ca="1" si="7"/>
        <v>0</v>
      </c>
      <c r="BQ9" s="132">
        <f t="shared" ca="1" si="7"/>
        <v>0</v>
      </c>
      <c r="BR9" s="132">
        <f t="shared" ca="1" si="7"/>
        <v>0</v>
      </c>
      <c r="BS9" s="132">
        <f t="shared" ca="1" si="7"/>
        <v>4.5999999999999996</v>
      </c>
      <c r="BT9" s="132">
        <f t="shared" ca="1" si="7"/>
        <v>112.7</v>
      </c>
      <c r="BU9" s="132">
        <f t="shared" ca="1" si="7"/>
        <v>249.3</v>
      </c>
      <c r="BV9" s="132">
        <f t="shared" ca="1" si="7"/>
        <v>516.79999999999995</v>
      </c>
      <c r="BX9" s="132">
        <f t="shared" si="17"/>
        <v>2005</v>
      </c>
      <c r="BY9" s="132">
        <f t="shared" ca="1" si="8"/>
        <v>524.90000000000009</v>
      </c>
      <c r="BZ9" s="132">
        <f t="shared" ca="1" si="9"/>
        <v>403.80000000000007</v>
      </c>
      <c r="CA9" s="132">
        <f t="shared" ca="1" si="9"/>
        <v>386.9</v>
      </c>
      <c r="CB9" s="132">
        <f t="shared" ca="1" si="9"/>
        <v>127.00000000000003</v>
      </c>
      <c r="CC9" s="132">
        <f t="shared" ca="1" si="9"/>
        <v>43.800000000000011</v>
      </c>
      <c r="CD9" s="132">
        <f t="shared" ca="1" si="9"/>
        <v>0</v>
      </c>
      <c r="CE9" s="132">
        <f t="shared" ca="1" si="9"/>
        <v>0</v>
      </c>
      <c r="CF9" s="132">
        <f t="shared" ca="1" si="9"/>
        <v>0</v>
      </c>
      <c r="CG9" s="132">
        <f t="shared" ca="1" si="9"/>
        <v>1.1999999999999993</v>
      </c>
      <c r="CH9" s="132">
        <f t="shared" ca="1" si="9"/>
        <v>69.399999999999991</v>
      </c>
      <c r="CI9" s="132">
        <f t="shared" ca="1" si="9"/>
        <v>193.70000000000002</v>
      </c>
      <c r="CJ9" s="132">
        <f t="shared" ca="1" si="9"/>
        <v>454.8</v>
      </c>
      <c r="CL9" s="132">
        <f t="shared" si="18"/>
        <v>2005</v>
      </c>
      <c r="CM9" s="132">
        <f t="shared" ca="1" si="10"/>
        <v>463.40000000000009</v>
      </c>
      <c r="CN9" s="132">
        <f t="shared" ca="1" si="11"/>
        <v>347.80000000000013</v>
      </c>
      <c r="CO9" s="132">
        <f t="shared" ca="1" si="11"/>
        <v>325.40000000000003</v>
      </c>
      <c r="CP9" s="132">
        <f t="shared" ca="1" si="11"/>
        <v>78.400000000000006</v>
      </c>
      <c r="CQ9" s="132">
        <f t="shared" ca="1" si="11"/>
        <v>19.999999999999996</v>
      </c>
      <c r="CR9" s="132">
        <f t="shared" ca="1" si="11"/>
        <v>0</v>
      </c>
      <c r="CS9" s="132">
        <f t="shared" ca="1" si="11"/>
        <v>0</v>
      </c>
      <c r="CT9" s="132">
        <f t="shared" ca="1" si="11"/>
        <v>0</v>
      </c>
      <c r="CU9" s="132">
        <f t="shared" ca="1" si="11"/>
        <v>0</v>
      </c>
      <c r="CV9" s="132">
        <f t="shared" ca="1" si="11"/>
        <v>38.199999999999996</v>
      </c>
      <c r="CW9" s="132">
        <f t="shared" ca="1" si="11"/>
        <v>146.00000000000003</v>
      </c>
      <c r="CX9" s="132">
        <f t="shared" ca="1" si="11"/>
        <v>392.8</v>
      </c>
    </row>
    <row r="10" spans="1:116" x14ac:dyDescent="0.2">
      <c r="A10" s="132">
        <v>2001</v>
      </c>
      <c r="B10" s="144">
        <v>9</v>
      </c>
      <c r="C10" s="144">
        <v>17.55</v>
      </c>
      <c r="D10" s="134">
        <v>93.9</v>
      </c>
      <c r="E10" s="134">
        <v>20.400000000000002</v>
      </c>
      <c r="F10" s="134">
        <v>53.3</v>
      </c>
      <c r="G10" s="134">
        <v>39.799999999999997</v>
      </c>
      <c r="H10" s="134">
        <v>26.699999999999996</v>
      </c>
      <c r="I10" s="134">
        <v>73.199999999999989</v>
      </c>
      <c r="J10" s="134">
        <v>11.799999999999997</v>
      </c>
      <c r="K10" s="134">
        <v>118.29999999999998</v>
      </c>
      <c r="L10" s="134">
        <v>3.8999999999999986</v>
      </c>
      <c r="M10" s="134">
        <v>170.40000000000003</v>
      </c>
      <c r="N10" s="134">
        <v>0.69999999999999929</v>
      </c>
      <c r="O10" s="134">
        <v>227.20000000000007</v>
      </c>
      <c r="P10" s="134"/>
      <c r="Q10" s="134"/>
      <c r="R10" s="134"/>
      <c r="T10" s="132">
        <f t="shared" si="13"/>
        <v>2006</v>
      </c>
      <c r="U10" s="132">
        <f t="shared" ca="1" si="0"/>
        <v>582.4000000000002</v>
      </c>
      <c r="V10" s="132">
        <f t="shared" ca="1" si="1"/>
        <v>620.70000000000005</v>
      </c>
      <c r="W10" s="132">
        <f t="shared" ca="1" si="1"/>
        <v>550.70000000000005</v>
      </c>
      <c r="X10" s="132">
        <f t="shared" ca="1" si="1"/>
        <v>356.69999999999993</v>
      </c>
      <c r="Y10" s="132">
        <f t="shared" ca="1" si="1"/>
        <v>187.19999999999996</v>
      </c>
      <c r="Z10" s="132">
        <f t="shared" ca="1" si="1"/>
        <v>39.199999999999989</v>
      </c>
      <c r="AA10" s="132">
        <f t="shared" ca="1" si="1"/>
        <v>6</v>
      </c>
      <c r="AB10" s="132">
        <f t="shared" ca="1" si="1"/>
        <v>15.399999999999999</v>
      </c>
      <c r="AC10" s="132">
        <f t="shared" ca="1" si="1"/>
        <v>117.60000000000001</v>
      </c>
      <c r="AD10" s="132">
        <f t="shared" ca="1" si="1"/>
        <v>317.90000000000003</v>
      </c>
      <c r="AE10" s="132">
        <f t="shared" ca="1" si="1"/>
        <v>420.8</v>
      </c>
      <c r="AF10" s="132">
        <f t="shared" ca="1" si="1"/>
        <v>536.30000000000007</v>
      </c>
      <c r="AH10" s="132">
        <f t="shared" si="14"/>
        <v>2006</v>
      </c>
      <c r="AI10" s="132">
        <f t="shared" ca="1" si="2"/>
        <v>520.4000000000002</v>
      </c>
      <c r="AJ10" s="132">
        <f t="shared" ca="1" si="3"/>
        <v>564.69999999999993</v>
      </c>
      <c r="AK10" s="132">
        <f t="shared" ca="1" si="3"/>
        <v>488.70000000000005</v>
      </c>
      <c r="AL10" s="132">
        <f t="shared" ca="1" si="3"/>
        <v>296.7</v>
      </c>
      <c r="AM10" s="132">
        <f t="shared" ca="1" si="3"/>
        <v>135.29999999999998</v>
      </c>
      <c r="AN10" s="132">
        <f t="shared" ca="1" si="3"/>
        <v>15.899999999999995</v>
      </c>
      <c r="AO10" s="132">
        <f t="shared" ca="1" si="3"/>
        <v>0.60000000000000142</v>
      </c>
      <c r="AP10" s="132">
        <f t="shared" ca="1" si="3"/>
        <v>1.3999999999999986</v>
      </c>
      <c r="AQ10" s="132">
        <f t="shared" ca="1" si="3"/>
        <v>69.2</v>
      </c>
      <c r="AR10" s="132">
        <f t="shared" ca="1" si="3"/>
        <v>256.7</v>
      </c>
      <c r="AS10" s="132">
        <f t="shared" ca="1" si="3"/>
        <v>360.79999999999995</v>
      </c>
      <c r="AT10" s="132">
        <f t="shared" ca="1" si="3"/>
        <v>474.30000000000007</v>
      </c>
      <c r="AU10" s="295">
        <f t="shared" ca="1" si="12"/>
        <v>3184.7</v>
      </c>
      <c r="AV10" s="132">
        <f t="shared" si="15"/>
        <v>2006</v>
      </c>
      <c r="AW10" s="132">
        <f t="shared" ca="1" si="4"/>
        <v>458.40000000000009</v>
      </c>
      <c r="AX10" s="132">
        <f t="shared" ca="1" si="5"/>
        <v>508.7000000000001</v>
      </c>
      <c r="AY10" s="132">
        <f t="shared" ca="1" si="5"/>
        <v>426.70000000000005</v>
      </c>
      <c r="AZ10" s="132">
        <f t="shared" ca="1" si="5"/>
        <v>236.7</v>
      </c>
      <c r="BA10" s="132">
        <f t="shared" ca="1" si="5"/>
        <v>88.600000000000009</v>
      </c>
      <c r="BB10" s="132">
        <f t="shared" ca="1" si="5"/>
        <v>5.1999999999999993</v>
      </c>
      <c r="BC10" s="132">
        <f t="shared" ca="1" si="5"/>
        <v>0</v>
      </c>
      <c r="BD10" s="132">
        <f t="shared" ca="1" si="5"/>
        <v>0</v>
      </c>
      <c r="BE10" s="132">
        <f t="shared" ca="1" si="5"/>
        <v>36.400000000000006</v>
      </c>
      <c r="BF10" s="132">
        <f t="shared" ca="1" si="5"/>
        <v>197.2</v>
      </c>
      <c r="BG10" s="132">
        <f t="shared" ca="1" si="5"/>
        <v>300.79999999999995</v>
      </c>
      <c r="BH10" s="132">
        <f t="shared" ca="1" si="5"/>
        <v>412.30000000000007</v>
      </c>
      <c r="BJ10" s="132">
        <f t="shared" si="16"/>
        <v>2006</v>
      </c>
      <c r="BK10" s="132">
        <f t="shared" ca="1" si="6"/>
        <v>396.40000000000003</v>
      </c>
      <c r="BL10" s="132">
        <f t="shared" ca="1" si="7"/>
        <v>452.7</v>
      </c>
      <c r="BM10" s="132">
        <f t="shared" ca="1" si="7"/>
        <v>364.70000000000005</v>
      </c>
      <c r="BN10" s="132">
        <f t="shared" ca="1" si="7"/>
        <v>179.6</v>
      </c>
      <c r="BO10" s="132">
        <f t="shared" ca="1" si="7"/>
        <v>48.800000000000004</v>
      </c>
      <c r="BP10" s="132">
        <f t="shared" ca="1" si="7"/>
        <v>1.1999999999999993</v>
      </c>
      <c r="BQ10" s="132">
        <f t="shared" ca="1" si="7"/>
        <v>0</v>
      </c>
      <c r="BR10" s="132">
        <f t="shared" ca="1" si="7"/>
        <v>0</v>
      </c>
      <c r="BS10" s="132">
        <f t="shared" ca="1" si="7"/>
        <v>15.200000000000003</v>
      </c>
      <c r="BT10" s="132">
        <f t="shared" ca="1" si="7"/>
        <v>142.70000000000002</v>
      </c>
      <c r="BU10" s="132">
        <f t="shared" ca="1" si="7"/>
        <v>240.8</v>
      </c>
      <c r="BV10" s="132">
        <f t="shared" ca="1" si="7"/>
        <v>350.30000000000007</v>
      </c>
      <c r="BX10" s="132">
        <f t="shared" si="17"/>
        <v>2006</v>
      </c>
      <c r="BY10" s="132">
        <f t="shared" ca="1" si="8"/>
        <v>334.4</v>
      </c>
      <c r="BZ10" s="132">
        <f t="shared" ca="1" si="9"/>
        <v>396.7</v>
      </c>
      <c r="CA10" s="132">
        <f t="shared" ca="1" si="9"/>
        <v>304.70000000000005</v>
      </c>
      <c r="CB10" s="132">
        <f t="shared" ca="1" si="9"/>
        <v>125.60000000000004</v>
      </c>
      <c r="CC10" s="132">
        <f t="shared" ca="1" si="9"/>
        <v>21.4</v>
      </c>
      <c r="CD10" s="132">
        <f t="shared" ca="1" si="9"/>
        <v>0</v>
      </c>
      <c r="CE10" s="132">
        <f t="shared" ca="1" si="9"/>
        <v>0</v>
      </c>
      <c r="CF10" s="132">
        <f t="shared" ca="1" si="9"/>
        <v>0</v>
      </c>
      <c r="CG10" s="132">
        <f t="shared" ca="1" si="9"/>
        <v>4.8000000000000007</v>
      </c>
      <c r="CH10" s="132">
        <f t="shared" ca="1" si="9"/>
        <v>99.499999999999986</v>
      </c>
      <c r="CI10" s="132">
        <f t="shared" ca="1" si="9"/>
        <v>180.9</v>
      </c>
      <c r="CJ10" s="132">
        <f t="shared" ca="1" si="9"/>
        <v>288.30000000000007</v>
      </c>
      <c r="CL10" s="132">
        <f t="shared" si="18"/>
        <v>2006</v>
      </c>
      <c r="CM10" s="132">
        <f t="shared" ca="1" si="10"/>
        <v>272.39999999999998</v>
      </c>
      <c r="CN10" s="132">
        <f t="shared" ca="1" si="11"/>
        <v>340.7</v>
      </c>
      <c r="CO10" s="132">
        <f t="shared" ca="1" si="11"/>
        <v>244.70000000000002</v>
      </c>
      <c r="CP10" s="132">
        <f t="shared" ca="1" si="11"/>
        <v>76.300000000000011</v>
      </c>
      <c r="CQ10" s="132">
        <f t="shared" ca="1" si="11"/>
        <v>6.6999999999999993</v>
      </c>
      <c r="CR10" s="132">
        <f t="shared" ca="1" si="11"/>
        <v>0</v>
      </c>
      <c r="CS10" s="132">
        <f t="shared" ca="1" si="11"/>
        <v>0</v>
      </c>
      <c r="CT10" s="132">
        <f t="shared" ca="1" si="11"/>
        <v>0</v>
      </c>
      <c r="CU10" s="132">
        <f t="shared" ca="1" si="11"/>
        <v>1.3000000000000007</v>
      </c>
      <c r="CV10" s="132">
        <f t="shared" ca="1" si="11"/>
        <v>61.600000000000009</v>
      </c>
      <c r="CW10" s="132">
        <f t="shared" ca="1" si="11"/>
        <v>126.29999999999998</v>
      </c>
      <c r="CX10" s="132">
        <f t="shared" ca="1" si="11"/>
        <v>226.30000000000004</v>
      </c>
    </row>
    <row r="11" spans="1:116" x14ac:dyDescent="0.2">
      <c r="A11" s="132">
        <v>2001</v>
      </c>
      <c r="B11" s="144">
        <v>10</v>
      </c>
      <c r="C11" s="144">
        <v>12.054838709677425</v>
      </c>
      <c r="D11" s="134">
        <v>247.69999999999993</v>
      </c>
      <c r="E11" s="134">
        <v>1.4000000000000021</v>
      </c>
      <c r="F11" s="134">
        <v>194.1</v>
      </c>
      <c r="G11" s="134">
        <v>9.8000000000000043</v>
      </c>
      <c r="H11" s="134">
        <v>146.60000000000002</v>
      </c>
      <c r="I11" s="134">
        <v>24.300000000000004</v>
      </c>
      <c r="J11" s="134">
        <v>103.50000000000001</v>
      </c>
      <c r="K11" s="134">
        <v>43.2</v>
      </c>
      <c r="L11" s="134">
        <v>67.300000000000011</v>
      </c>
      <c r="M11" s="134">
        <v>68.999999999999986</v>
      </c>
      <c r="N11" s="134">
        <v>35.899999999999991</v>
      </c>
      <c r="O11" s="134">
        <v>99.59999999999998</v>
      </c>
      <c r="P11" s="134"/>
      <c r="Q11" s="134"/>
      <c r="R11" s="134"/>
      <c r="T11" s="132">
        <f t="shared" si="13"/>
        <v>2007</v>
      </c>
      <c r="U11" s="132">
        <f t="shared" ca="1" si="0"/>
        <v>685.59999999999991</v>
      </c>
      <c r="V11" s="132">
        <f t="shared" ca="1" si="1"/>
        <v>757.2</v>
      </c>
      <c r="W11" s="132">
        <f t="shared" ca="1" si="1"/>
        <v>583</v>
      </c>
      <c r="X11" s="132">
        <f t="shared" ca="1" si="1"/>
        <v>408.2</v>
      </c>
      <c r="Y11" s="132">
        <f t="shared" ca="1" si="1"/>
        <v>182.80000000000004</v>
      </c>
      <c r="Z11" s="132">
        <f t="shared" ca="1" si="1"/>
        <v>33.299999999999997</v>
      </c>
      <c r="AA11" s="132">
        <f t="shared" ca="1" si="1"/>
        <v>16.999999999999996</v>
      </c>
      <c r="AB11" s="132">
        <f t="shared" ca="1" si="1"/>
        <v>15.000000000000004</v>
      </c>
      <c r="AC11" s="132">
        <f t="shared" ca="1" si="1"/>
        <v>57.8</v>
      </c>
      <c r="AD11" s="132">
        <f t="shared" ca="1" si="1"/>
        <v>159.80000000000001</v>
      </c>
      <c r="AE11" s="132">
        <f t="shared" ca="1" si="1"/>
        <v>485.50000000000006</v>
      </c>
      <c r="AF11" s="132">
        <f t="shared" ca="1" si="1"/>
        <v>660.50000000000023</v>
      </c>
      <c r="AH11" s="132">
        <f t="shared" si="14"/>
        <v>2007</v>
      </c>
      <c r="AI11" s="132">
        <f t="shared" ca="1" si="2"/>
        <v>623.59999999999991</v>
      </c>
      <c r="AJ11" s="132">
        <f t="shared" ca="1" si="3"/>
        <v>701.2</v>
      </c>
      <c r="AK11" s="132">
        <f t="shared" ca="1" si="3"/>
        <v>521</v>
      </c>
      <c r="AL11" s="132">
        <f t="shared" ca="1" si="3"/>
        <v>348.20000000000005</v>
      </c>
      <c r="AM11" s="132">
        <f t="shared" ca="1" si="3"/>
        <v>132.20000000000002</v>
      </c>
      <c r="AN11" s="132">
        <f t="shared" ca="1" si="3"/>
        <v>14.000000000000004</v>
      </c>
      <c r="AO11" s="132">
        <f t="shared" ca="1" si="3"/>
        <v>2.3999999999999986</v>
      </c>
      <c r="AP11" s="132">
        <f t="shared" ca="1" si="3"/>
        <v>6.7000000000000028</v>
      </c>
      <c r="AQ11" s="132">
        <f t="shared" ca="1" si="3"/>
        <v>29.5</v>
      </c>
      <c r="AR11" s="132">
        <f t="shared" ca="1" si="3"/>
        <v>114.60000000000001</v>
      </c>
      <c r="AS11" s="132">
        <f t="shared" ca="1" si="3"/>
        <v>425.5</v>
      </c>
      <c r="AT11" s="132">
        <f t="shared" ca="1" si="3"/>
        <v>598.50000000000023</v>
      </c>
      <c r="AU11" s="295">
        <f t="shared" ca="1" si="12"/>
        <v>3517.3999999999996</v>
      </c>
      <c r="AV11" s="132">
        <f t="shared" si="15"/>
        <v>2007</v>
      </c>
      <c r="AW11" s="132">
        <f t="shared" ca="1" si="4"/>
        <v>561.59999999999991</v>
      </c>
      <c r="AX11" s="132">
        <f t="shared" ca="1" si="5"/>
        <v>645.19999999999993</v>
      </c>
      <c r="AY11" s="132">
        <f t="shared" ca="1" si="5"/>
        <v>458.99999999999994</v>
      </c>
      <c r="AZ11" s="132">
        <f t="shared" ca="1" si="5"/>
        <v>289.30000000000007</v>
      </c>
      <c r="BA11" s="132">
        <f t="shared" ca="1" si="5"/>
        <v>89.2</v>
      </c>
      <c r="BB11" s="132">
        <f t="shared" ca="1" si="5"/>
        <v>5.8000000000000007</v>
      </c>
      <c r="BC11" s="132">
        <f t="shared" ca="1" si="5"/>
        <v>0</v>
      </c>
      <c r="BD11" s="132">
        <f t="shared" ca="1" si="5"/>
        <v>0.19999999999999929</v>
      </c>
      <c r="BE11" s="132">
        <f t="shared" ca="1" si="5"/>
        <v>12.799999999999999</v>
      </c>
      <c r="BF11" s="132">
        <f t="shared" ca="1" si="5"/>
        <v>78.3</v>
      </c>
      <c r="BG11" s="132">
        <f t="shared" ca="1" si="5"/>
        <v>365.50000000000006</v>
      </c>
      <c r="BH11" s="132">
        <f t="shared" ca="1" si="5"/>
        <v>536.50000000000011</v>
      </c>
      <c r="BJ11" s="132">
        <f t="shared" si="16"/>
        <v>2007</v>
      </c>
      <c r="BK11" s="132">
        <f t="shared" ca="1" si="6"/>
        <v>499.59999999999997</v>
      </c>
      <c r="BL11" s="132">
        <f t="shared" ca="1" si="7"/>
        <v>589.19999999999982</v>
      </c>
      <c r="BM11" s="132">
        <f t="shared" ca="1" si="7"/>
        <v>396.99999999999989</v>
      </c>
      <c r="BN11" s="132">
        <f t="shared" ca="1" si="7"/>
        <v>232.4</v>
      </c>
      <c r="BO11" s="132">
        <f t="shared" ca="1" si="7"/>
        <v>53.199999999999996</v>
      </c>
      <c r="BP11" s="132">
        <f t="shared" ca="1" si="7"/>
        <v>1.4000000000000004</v>
      </c>
      <c r="BQ11" s="132">
        <f t="shared" ca="1" si="7"/>
        <v>0</v>
      </c>
      <c r="BR11" s="132">
        <f t="shared" ca="1" si="7"/>
        <v>0</v>
      </c>
      <c r="BS11" s="132">
        <f t="shared" ca="1" si="7"/>
        <v>5.0999999999999996</v>
      </c>
      <c r="BT11" s="132">
        <f t="shared" ca="1" si="7"/>
        <v>46.3</v>
      </c>
      <c r="BU11" s="132">
        <f t="shared" ca="1" si="7"/>
        <v>305.49999999999994</v>
      </c>
      <c r="BV11" s="132">
        <f t="shared" ca="1" si="7"/>
        <v>474.50000000000006</v>
      </c>
      <c r="BX11" s="132">
        <f t="shared" si="17"/>
        <v>2007</v>
      </c>
      <c r="BY11" s="132">
        <f t="shared" ca="1" si="8"/>
        <v>437.59999999999997</v>
      </c>
      <c r="BZ11" s="132">
        <f t="shared" ca="1" si="9"/>
        <v>533.19999999999993</v>
      </c>
      <c r="CA11" s="132">
        <f t="shared" ca="1" si="9"/>
        <v>336.2</v>
      </c>
      <c r="CB11" s="132">
        <f t="shared" ca="1" si="9"/>
        <v>182.8</v>
      </c>
      <c r="CC11" s="132">
        <f t="shared" ca="1" si="9"/>
        <v>23</v>
      </c>
      <c r="CD11" s="132">
        <f t="shared" ca="1" si="9"/>
        <v>0</v>
      </c>
      <c r="CE11" s="132">
        <f t="shared" ca="1" si="9"/>
        <v>0</v>
      </c>
      <c r="CF11" s="132">
        <f t="shared" ca="1" si="9"/>
        <v>0</v>
      </c>
      <c r="CG11" s="132">
        <f t="shared" ca="1" si="9"/>
        <v>1</v>
      </c>
      <c r="CH11" s="132">
        <f t="shared" ca="1" si="9"/>
        <v>21.6</v>
      </c>
      <c r="CI11" s="132">
        <f t="shared" ca="1" si="9"/>
        <v>245.49999999999997</v>
      </c>
      <c r="CJ11" s="132">
        <f t="shared" ca="1" si="9"/>
        <v>412.5</v>
      </c>
      <c r="CL11" s="132">
        <f t="shared" si="18"/>
        <v>2007</v>
      </c>
      <c r="CM11" s="132">
        <f t="shared" ca="1" si="10"/>
        <v>376</v>
      </c>
      <c r="CN11" s="132">
        <f t="shared" ca="1" si="11"/>
        <v>477.19999999999993</v>
      </c>
      <c r="CO11" s="132">
        <f t="shared" ca="1" si="11"/>
        <v>278.99999999999994</v>
      </c>
      <c r="CP11" s="132">
        <f t="shared" ca="1" si="11"/>
        <v>137.6</v>
      </c>
      <c r="CQ11" s="132">
        <f t="shared" ca="1" si="11"/>
        <v>5.9</v>
      </c>
      <c r="CR11" s="132">
        <f t="shared" ca="1" si="11"/>
        <v>0</v>
      </c>
      <c r="CS11" s="132">
        <f t="shared" ca="1" si="11"/>
        <v>0</v>
      </c>
      <c r="CT11" s="132">
        <f t="shared" ca="1" si="11"/>
        <v>0</v>
      </c>
      <c r="CU11" s="132">
        <f t="shared" ca="1" si="11"/>
        <v>0</v>
      </c>
      <c r="CV11" s="132">
        <f t="shared" ca="1" si="11"/>
        <v>8.4</v>
      </c>
      <c r="CW11" s="132">
        <f t="shared" ca="1" si="11"/>
        <v>187.19999999999996</v>
      </c>
      <c r="CX11" s="132">
        <f t="shared" ca="1" si="11"/>
        <v>350.49999999999994</v>
      </c>
    </row>
    <row r="12" spans="1:116" x14ac:dyDescent="0.2">
      <c r="A12" s="132">
        <v>2001</v>
      </c>
      <c r="B12" s="144">
        <v>11</v>
      </c>
      <c r="C12" s="144">
        <v>8.4600000000000026</v>
      </c>
      <c r="D12" s="134">
        <v>346.19999999999993</v>
      </c>
      <c r="E12" s="134">
        <v>0</v>
      </c>
      <c r="F12" s="134">
        <v>286.19999999999993</v>
      </c>
      <c r="G12" s="134">
        <v>0</v>
      </c>
      <c r="H12" s="134">
        <v>226.49999999999994</v>
      </c>
      <c r="I12" s="134">
        <v>0.30000000000000071</v>
      </c>
      <c r="J12" s="134">
        <v>169.5</v>
      </c>
      <c r="K12" s="134">
        <v>3.3000000000000007</v>
      </c>
      <c r="L12" s="134">
        <v>117.30000000000003</v>
      </c>
      <c r="M12" s="134">
        <v>11.100000000000001</v>
      </c>
      <c r="N12" s="134">
        <v>73.900000000000006</v>
      </c>
      <c r="O12" s="134">
        <v>27.700000000000003</v>
      </c>
      <c r="P12" s="134"/>
      <c r="Q12" s="134"/>
      <c r="R12" s="134"/>
      <c r="T12" s="132">
        <f t="shared" si="13"/>
        <v>2008</v>
      </c>
      <c r="U12" s="132">
        <f t="shared" ca="1" si="0"/>
        <v>659.1</v>
      </c>
      <c r="V12" s="132">
        <f t="shared" ca="1" si="1"/>
        <v>685</v>
      </c>
      <c r="W12" s="132">
        <f t="shared" ca="1" si="1"/>
        <v>623.1</v>
      </c>
      <c r="X12" s="132">
        <f t="shared" ca="1" si="1"/>
        <v>329.1</v>
      </c>
      <c r="Y12" s="132">
        <f t="shared" ca="1" si="1"/>
        <v>235.49999999999997</v>
      </c>
      <c r="Z12" s="132">
        <f t="shared" ca="1" si="1"/>
        <v>38.9</v>
      </c>
      <c r="AA12" s="132">
        <f t="shared" ca="1" si="1"/>
        <v>6.4999999999999964</v>
      </c>
      <c r="AB12" s="132">
        <f t="shared" ca="1" si="1"/>
        <v>26.299999999999994</v>
      </c>
      <c r="AC12" s="132">
        <f t="shared" ca="1" si="1"/>
        <v>83.600000000000009</v>
      </c>
      <c r="AD12" s="132">
        <f t="shared" ca="1" si="1"/>
        <v>308.39999999999998</v>
      </c>
      <c r="AE12" s="132">
        <f t="shared" ca="1" si="1"/>
        <v>480.90000000000003</v>
      </c>
      <c r="AF12" s="132">
        <f t="shared" ca="1" si="1"/>
        <v>682.1</v>
      </c>
      <c r="AH12" s="132">
        <f t="shared" si="14"/>
        <v>2008</v>
      </c>
      <c r="AI12" s="132">
        <f t="shared" ca="1" si="2"/>
        <v>597.1</v>
      </c>
      <c r="AJ12" s="132">
        <f t="shared" ca="1" si="3"/>
        <v>627</v>
      </c>
      <c r="AK12" s="132">
        <f t="shared" ca="1" si="3"/>
        <v>561.1</v>
      </c>
      <c r="AL12" s="132">
        <f t="shared" ca="1" si="3"/>
        <v>269.09999999999997</v>
      </c>
      <c r="AM12" s="132">
        <f t="shared" ca="1" si="3"/>
        <v>174.79999999999998</v>
      </c>
      <c r="AN12" s="132">
        <f t="shared" ca="1" si="3"/>
        <v>21.1</v>
      </c>
      <c r="AO12" s="132">
        <f t="shared" ca="1" si="3"/>
        <v>0.5</v>
      </c>
      <c r="AP12" s="132">
        <f t="shared" ca="1" si="3"/>
        <v>6.6999999999999975</v>
      </c>
      <c r="AQ12" s="132">
        <f t="shared" ca="1" si="3"/>
        <v>42.5</v>
      </c>
      <c r="AR12" s="132">
        <f t="shared" ca="1" si="3"/>
        <v>247</v>
      </c>
      <c r="AS12" s="132">
        <f t="shared" ca="1" si="3"/>
        <v>420.90000000000009</v>
      </c>
      <c r="AT12" s="132">
        <f t="shared" ca="1" si="3"/>
        <v>620.10000000000014</v>
      </c>
      <c r="AU12" s="295">
        <f t="shared" ca="1" si="12"/>
        <v>3587.8999999999996</v>
      </c>
      <c r="AV12" s="132">
        <f t="shared" si="15"/>
        <v>2008</v>
      </c>
      <c r="AW12" s="132">
        <f t="shared" ca="1" si="4"/>
        <v>535.09999999999991</v>
      </c>
      <c r="AX12" s="132">
        <f t="shared" ca="1" si="5"/>
        <v>569</v>
      </c>
      <c r="AY12" s="132">
        <f t="shared" ca="1" si="5"/>
        <v>499.1</v>
      </c>
      <c r="AZ12" s="132">
        <f t="shared" ca="1" si="5"/>
        <v>212.7</v>
      </c>
      <c r="BA12" s="132">
        <f t="shared" ca="1" si="5"/>
        <v>116.8</v>
      </c>
      <c r="BB12" s="132">
        <f t="shared" ca="1" si="5"/>
        <v>7.6999999999999993</v>
      </c>
      <c r="BC12" s="132">
        <f t="shared" ca="1" si="5"/>
        <v>0</v>
      </c>
      <c r="BD12" s="132">
        <f t="shared" ca="1" si="5"/>
        <v>1.5999999999999996</v>
      </c>
      <c r="BE12" s="132">
        <f t="shared" ca="1" si="5"/>
        <v>14.600000000000001</v>
      </c>
      <c r="BF12" s="132">
        <f t="shared" ca="1" si="5"/>
        <v>188.9</v>
      </c>
      <c r="BG12" s="132">
        <f t="shared" ca="1" si="5"/>
        <v>360.90000000000003</v>
      </c>
      <c r="BH12" s="132">
        <f t="shared" ca="1" si="5"/>
        <v>558.1</v>
      </c>
      <c r="BJ12" s="132">
        <f t="shared" si="16"/>
        <v>2008</v>
      </c>
      <c r="BK12" s="132">
        <f t="shared" ca="1" si="6"/>
        <v>473.09999999999997</v>
      </c>
      <c r="BL12" s="132">
        <f t="shared" ca="1" si="7"/>
        <v>511</v>
      </c>
      <c r="BM12" s="132">
        <f t="shared" ca="1" si="7"/>
        <v>437.1</v>
      </c>
      <c r="BN12" s="132">
        <f t="shared" ca="1" si="7"/>
        <v>159.89999999999998</v>
      </c>
      <c r="BO12" s="132">
        <f t="shared" ca="1" si="7"/>
        <v>64.900000000000006</v>
      </c>
      <c r="BP12" s="132">
        <f t="shared" ca="1" si="7"/>
        <v>1.0999999999999996</v>
      </c>
      <c r="BQ12" s="132">
        <f t="shared" ca="1" si="7"/>
        <v>0</v>
      </c>
      <c r="BR12" s="132">
        <f t="shared" ca="1" si="7"/>
        <v>0</v>
      </c>
      <c r="BS12" s="132">
        <f t="shared" ca="1" si="7"/>
        <v>1.0999999999999996</v>
      </c>
      <c r="BT12" s="132">
        <f t="shared" ca="1" si="7"/>
        <v>133.9</v>
      </c>
      <c r="BU12" s="132">
        <f t="shared" ca="1" si="7"/>
        <v>303.00000000000006</v>
      </c>
      <c r="BV12" s="132">
        <f t="shared" ca="1" si="7"/>
        <v>496.1</v>
      </c>
      <c r="BX12" s="132">
        <f t="shared" si="17"/>
        <v>2008</v>
      </c>
      <c r="BY12" s="132">
        <f t="shared" ca="1" si="8"/>
        <v>413.1</v>
      </c>
      <c r="BZ12" s="132">
        <f t="shared" ca="1" si="9"/>
        <v>453</v>
      </c>
      <c r="CA12" s="132">
        <f t="shared" ca="1" si="9"/>
        <v>375.1</v>
      </c>
      <c r="CB12" s="132">
        <f t="shared" ca="1" si="9"/>
        <v>112.80000000000001</v>
      </c>
      <c r="CC12" s="132">
        <f t="shared" ca="1" si="9"/>
        <v>31.2</v>
      </c>
      <c r="CD12" s="132">
        <f t="shared" ca="1" si="9"/>
        <v>0</v>
      </c>
      <c r="CE12" s="132">
        <f t="shared" ca="1" si="9"/>
        <v>0</v>
      </c>
      <c r="CF12" s="132">
        <f t="shared" ca="1" si="9"/>
        <v>0</v>
      </c>
      <c r="CG12" s="132">
        <f t="shared" ca="1" si="9"/>
        <v>0</v>
      </c>
      <c r="CH12" s="132">
        <f t="shared" ca="1" si="9"/>
        <v>87.2</v>
      </c>
      <c r="CI12" s="132">
        <f t="shared" ca="1" si="9"/>
        <v>248.90000000000003</v>
      </c>
      <c r="CJ12" s="132">
        <f t="shared" ca="1" si="9"/>
        <v>434.09999999999997</v>
      </c>
      <c r="CL12" s="132">
        <f t="shared" si="18"/>
        <v>2008</v>
      </c>
      <c r="CM12" s="132">
        <f t="shared" ca="1" si="10"/>
        <v>355.1</v>
      </c>
      <c r="CN12" s="132">
        <f t="shared" ca="1" si="11"/>
        <v>395.00000000000006</v>
      </c>
      <c r="CO12" s="132">
        <f t="shared" ca="1" si="11"/>
        <v>313.09999999999997</v>
      </c>
      <c r="CP12" s="132">
        <f t="shared" ca="1" si="11"/>
        <v>74.599999999999994</v>
      </c>
      <c r="CQ12" s="132">
        <f t="shared" ca="1" si="11"/>
        <v>11.7</v>
      </c>
      <c r="CR12" s="132">
        <f t="shared" ca="1" si="11"/>
        <v>0</v>
      </c>
      <c r="CS12" s="132">
        <f t="shared" ca="1" si="11"/>
        <v>0</v>
      </c>
      <c r="CT12" s="132">
        <f t="shared" ca="1" si="11"/>
        <v>0</v>
      </c>
      <c r="CU12" s="132">
        <f t="shared" ca="1" si="11"/>
        <v>0</v>
      </c>
      <c r="CV12" s="132">
        <f t="shared" ca="1" si="11"/>
        <v>49</v>
      </c>
      <c r="CW12" s="132">
        <f t="shared" ca="1" si="11"/>
        <v>195.70000000000002</v>
      </c>
      <c r="CX12" s="132">
        <f t="shared" ca="1" si="11"/>
        <v>372.1</v>
      </c>
    </row>
    <row r="13" spans="1:116" x14ac:dyDescent="0.2">
      <c r="A13" s="132">
        <v>2001</v>
      </c>
      <c r="B13" s="144">
        <v>12</v>
      </c>
      <c r="C13" s="144">
        <v>2.6516129032258053</v>
      </c>
      <c r="D13" s="134">
        <v>537.79999999999995</v>
      </c>
      <c r="E13" s="134">
        <v>0</v>
      </c>
      <c r="F13" s="134">
        <v>475.79999999999995</v>
      </c>
      <c r="G13" s="134">
        <v>0</v>
      </c>
      <c r="H13" s="134">
        <v>413.79999999999995</v>
      </c>
      <c r="I13" s="134">
        <v>0</v>
      </c>
      <c r="J13" s="134">
        <v>353.09999999999991</v>
      </c>
      <c r="K13" s="134">
        <v>1.3000000000000007</v>
      </c>
      <c r="L13" s="134">
        <v>293.10000000000002</v>
      </c>
      <c r="M13" s="134">
        <v>3.3000000000000007</v>
      </c>
      <c r="N13" s="134">
        <v>233.10000000000005</v>
      </c>
      <c r="O13" s="134">
        <v>5.3000000000000007</v>
      </c>
      <c r="P13" s="134"/>
      <c r="Q13" s="134"/>
      <c r="R13" s="134"/>
      <c r="T13" s="132">
        <f t="shared" si="13"/>
        <v>2009</v>
      </c>
      <c r="U13" s="132">
        <f t="shared" ca="1" si="0"/>
        <v>839.29999999999984</v>
      </c>
      <c r="V13" s="132">
        <f t="shared" ca="1" si="1"/>
        <v>623.79999999999995</v>
      </c>
      <c r="W13" s="132">
        <f t="shared" ca="1" si="1"/>
        <v>558.59999999999991</v>
      </c>
      <c r="X13" s="132">
        <f t="shared" ca="1" si="1"/>
        <v>369.20000000000005</v>
      </c>
      <c r="Y13" s="132">
        <f t="shared" ca="1" si="1"/>
        <v>197.30000000000004</v>
      </c>
      <c r="Z13" s="132">
        <f t="shared" ca="1" si="1"/>
        <v>81.400000000000006</v>
      </c>
      <c r="AA13" s="132">
        <f t="shared" ca="1" si="1"/>
        <v>35.700000000000003</v>
      </c>
      <c r="AB13" s="132">
        <f t="shared" ca="1" si="1"/>
        <v>20.399999999999999</v>
      </c>
      <c r="AC13" s="132">
        <f t="shared" ca="1" si="1"/>
        <v>82.600000000000009</v>
      </c>
      <c r="AD13" s="132">
        <f t="shared" ca="1" si="1"/>
        <v>325.5</v>
      </c>
      <c r="AE13" s="132">
        <f t="shared" ca="1" si="1"/>
        <v>395.59999999999997</v>
      </c>
      <c r="AF13" s="132">
        <f t="shared" ca="1" si="1"/>
        <v>666.6</v>
      </c>
      <c r="AH13" s="132">
        <f t="shared" si="14"/>
        <v>2009</v>
      </c>
      <c r="AI13" s="132">
        <f t="shared" ca="1" si="2"/>
        <v>777.3</v>
      </c>
      <c r="AJ13" s="132">
        <f t="shared" ca="1" si="3"/>
        <v>567.79999999999995</v>
      </c>
      <c r="AK13" s="132">
        <f t="shared" ca="1" si="3"/>
        <v>496.6</v>
      </c>
      <c r="AL13" s="132">
        <f t="shared" ca="1" si="3"/>
        <v>309.90000000000003</v>
      </c>
      <c r="AM13" s="132">
        <f t="shared" ca="1" si="3"/>
        <v>141.29999999999998</v>
      </c>
      <c r="AN13" s="132">
        <f t="shared" ca="1" si="3"/>
        <v>47.000000000000007</v>
      </c>
      <c r="AO13" s="132">
        <f t="shared" ca="1" si="3"/>
        <v>5.1999999999999993</v>
      </c>
      <c r="AP13" s="132">
        <f t="shared" ca="1" si="3"/>
        <v>5.4</v>
      </c>
      <c r="AQ13" s="132">
        <f t="shared" ca="1" si="3"/>
        <v>42</v>
      </c>
      <c r="AR13" s="132">
        <f t="shared" ca="1" si="3"/>
        <v>263.49999999999994</v>
      </c>
      <c r="AS13" s="132">
        <f t="shared" ca="1" si="3"/>
        <v>335.59999999999997</v>
      </c>
      <c r="AT13" s="132">
        <f t="shared" ca="1" si="3"/>
        <v>604.6</v>
      </c>
      <c r="AU13" s="295">
        <f t="shared" ca="1" si="12"/>
        <v>3596.2</v>
      </c>
      <c r="AV13" s="132">
        <f t="shared" si="15"/>
        <v>2009</v>
      </c>
      <c r="AW13" s="132">
        <f t="shared" ca="1" si="4"/>
        <v>715.29999999999984</v>
      </c>
      <c r="AX13" s="132">
        <f t="shared" ca="1" si="5"/>
        <v>511.79999999999995</v>
      </c>
      <c r="AY13" s="132">
        <f t="shared" ca="1" si="5"/>
        <v>434.6</v>
      </c>
      <c r="AZ13" s="132">
        <f t="shared" ca="1" si="5"/>
        <v>253.29999999999998</v>
      </c>
      <c r="BA13" s="132">
        <f t="shared" ca="1" si="5"/>
        <v>93.499999999999986</v>
      </c>
      <c r="BB13" s="132">
        <f t="shared" ca="1" si="5"/>
        <v>21.6</v>
      </c>
      <c r="BC13" s="132">
        <f t="shared" ca="1" si="5"/>
        <v>0</v>
      </c>
      <c r="BD13" s="132">
        <f t="shared" ca="1" si="5"/>
        <v>0.79999999999999893</v>
      </c>
      <c r="BE13" s="132">
        <f t="shared" ca="1" si="5"/>
        <v>17.599999999999998</v>
      </c>
      <c r="BF13" s="132">
        <f t="shared" ca="1" si="5"/>
        <v>201.49999999999997</v>
      </c>
      <c r="BG13" s="132">
        <f t="shared" ca="1" si="5"/>
        <v>275.60000000000002</v>
      </c>
      <c r="BH13" s="132">
        <f t="shared" ca="1" si="5"/>
        <v>542.59999999999991</v>
      </c>
      <c r="BJ13" s="132">
        <f t="shared" si="16"/>
        <v>2009</v>
      </c>
      <c r="BK13" s="132">
        <f t="shared" ca="1" si="6"/>
        <v>653.29999999999984</v>
      </c>
      <c r="BL13" s="132">
        <f t="shared" ca="1" si="7"/>
        <v>455.79999999999995</v>
      </c>
      <c r="BM13" s="132">
        <f t="shared" ca="1" si="7"/>
        <v>372.6</v>
      </c>
      <c r="BN13" s="132">
        <f t="shared" ca="1" si="7"/>
        <v>199.29999999999995</v>
      </c>
      <c r="BO13" s="132">
        <f t="shared" ca="1" si="7"/>
        <v>52.400000000000006</v>
      </c>
      <c r="BP13" s="132">
        <f t="shared" ca="1" si="7"/>
        <v>3.6000000000000014</v>
      </c>
      <c r="BQ13" s="132">
        <f t="shared" ca="1" si="7"/>
        <v>0</v>
      </c>
      <c r="BR13" s="132">
        <f t="shared" ca="1" si="7"/>
        <v>0</v>
      </c>
      <c r="BS13" s="132">
        <f t="shared" ca="1" si="7"/>
        <v>5.0999999999999996</v>
      </c>
      <c r="BT13" s="132">
        <f t="shared" ca="1" si="7"/>
        <v>140.69999999999996</v>
      </c>
      <c r="BU13" s="132">
        <f t="shared" ca="1" si="7"/>
        <v>215.60000000000002</v>
      </c>
      <c r="BV13" s="132">
        <f t="shared" ca="1" si="7"/>
        <v>480.59999999999997</v>
      </c>
      <c r="BX13" s="132">
        <f t="shared" si="17"/>
        <v>2009</v>
      </c>
      <c r="BY13" s="132">
        <f t="shared" ca="1" si="8"/>
        <v>591.29999999999995</v>
      </c>
      <c r="BZ13" s="132">
        <f t="shared" ca="1" si="9"/>
        <v>399.79999999999995</v>
      </c>
      <c r="CA13" s="132">
        <f t="shared" ca="1" si="9"/>
        <v>310.90000000000003</v>
      </c>
      <c r="CB13" s="132">
        <f t="shared" ca="1" si="9"/>
        <v>145.69999999999996</v>
      </c>
      <c r="CC13" s="132">
        <f t="shared" ca="1" si="9"/>
        <v>26.9</v>
      </c>
      <c r="CD13" s="132">
        <f t="shared" ca="1" si="9"/>
        <v>0</v>
      </c>
      <c r="CE13" s="132">
        <f t="shared" ca="1" si="9"/>
        <v>0</v>
      </c>
      <c r="CF13" s="132">
        <f t="shared" ca="1" si="9"/>
        <v>0</v>
      </c>
      <c r="CG13" s="132">
        <f t="shared" ca="1" si="9"/>
        <v>2.1999999999999993</v>
      </c>
      <c r="CH13" s="132">
        <f t="shared" ca="1" si="9"/>
        <v>85.300000000000011</v>
      </c>
      <c r="CI13" s="132">
        <f t="shared" ca="1" si="9"/>
        <v>156.1</v>
      </c>
      <c r="CJ13" s="132">
        <f t="shared" ca="1" si="9"/>
        <v>418.59999999999997</v>
      </c>
      <c r="CL13" s="132">
        <f t="shared" si="18"/>
        <v>2009</v>
      </c>
      <c r="CM13" s="132">
        <f t="shared" ca="1" si="10"/>
        <v>529.29999999999995</v>
      </c>
      <c r="CN13" s="132">
        <f t="shared" ca="1" si="11"/>
        <v>343.79999999999995</v>
      </c>
      <c r="CO13" s="132">
        <f t="shared" ca="1" si="11"/>
        <v>251.50000000000003</v>
      </c>
      <c r="CP13" s="132">
        <f t="shared" ca="1" si="11"/>
        <v>97.199999999999989</v>
      </c>
      <c r="CQ13" s="132">
        <f t="shared" ca="1" si="11"/>
        <v>9.1999999999999993</v>
      </c>
      <c r="CR13" s="132">
        <f t="shared" ca="1" si="11"/>
        <v>0</v>
      </c>
      <c r="CS13" s="132">
        <f t="shared" ca="1" si="11"/>
        <v>0</v>
      </c>
      <c r="CT13" s="132">
        <f t="shared" ca="1" si="11"/>
        <v>0</v>
      </c>
      <c r="CU13" s="132">
        <f t="shared" ca="1" si="11"/>
        <v>0.19999999999999929</v>
      </c>
      <c r="CV13" s="132">
        <f t="shared" ca="1" si="11"/>
        <v>45.100000000000009</v>
      </c>
      <c r="CW13" s="132">
        <f t="shared" ca="1" si="11"/>
        <v>99.3</v>
      </c>
      <c r="CX13" s="132">
        <f t="shared" ca="1" si="11"/>
        <v>356.59999999999997</v>
      </c>
    </row>
    <row r="14" spans="1:116" x14ac:dyDescent="0.2">
      <c r="A14" s="132">
        <v>2002</v>
      </c>
      <c r="B14" s="144">
        <v>1</v>
      </c>
      <c r="C14" s="144">
        <v>0.76129032258064522</v>
      </c>
      <c r="D14" s="134">
        <v>596.40000000000009</v>
      </c>
      <c r="E14" s="134">
        <v>0</v>
      </c>
      <c r="F14" s="134">
        <v>534.39999999999986</v>
      </c>
      <c r="G14" s="134">
        <v>0</v>
      </c>
      <c r="H14" s="134">
        <v>472.4</v>
      </c>
      <c r="I14" s="134">
        <v>0</v>
      </c>
      <c r="J14" s="134">
        <v>410.4</v>
      </c>
      <c r="K14" s="134">
        <v>0</v>
      </c>
      <c r="L14" s="134">
        <v>348.4</v>
      </c>
      <c r="M14" s="134">
        <v>0</v>
      </c>
      <c r="N14" s="134">
        <v>286.39999999999998</v>
      </c>
      <c r="O14" s="134">
        <v>0</v>
      </c>
      <c r="P14" s="134"/>
      <c r="Q14" s="134"/>
      <c r="R14" s="134"/>
      <c r="T14" s="132">
        <f t="shared" si="13"/>
        <v>2010</v>
      </c>
      <c r="U14" s="132">
        <f t="shared" ca="1" si="0"/>
        <v>751.2</v>
      </c>
      <c r="V14" s="132">
        <f t="shared" ca="1" si="1"/>
        <v>633.79999999999995</v>
      </c>
      <c r="W14" s="132">
        <f t="shared" ca="1" si="1"/>
        <v>484.7</v>
      </c>
      <c r="X14" s="132">
        <f t="shared" ca="1" si="1"/>
        <v>273.10000000000002</v>
      </c>
      <c r="Y14" s="132">
        <f t="shared" ca="1" si="1"/>
        <v>150.80000000000001</v>
      </c>
      <c r="Z14" s="132">
        <f t="shared" ca="1" si="1"/>
        <v>40.099999999999994</v>
      </c>
      <c r="AA14" s="132">
        <f t="shared" ca="1" si="1"/>
        <v>6.7999999999999972</v>
      </c>
      <c r="AB14" s="132">
        <f t="shared" ca="1" si="1"/>
        <v>9.8999999999999986</v>
      </c>
      <c r="AC14" s="132">
        <f t="shared" ca="1" si="1"/>
        <v>112.90000000000003</v>
      </c>
      <c r="AD14" s="132">
        <f t="shared" ca="1" si="1"/>
        <v>279.7</v>
      </c>
      <c r="AE14" s="132">
        <f t="shared" ca="1" si="1"/>
        <v>452.40000000000003</v>
      </c>
      <c r="AF14" s="132">
        <f t="shared" ca="1" si="1"/>
        <v>719</v>
      </c>
      <c r="AH14" s="132">
        <f t="shared" si="14"/>
        <v>2010</v>
      </c>
      <c r="AI14" s="132">
        <f t="shared" ca="1" si="2"/>
        <v>689.19999999999993</v>
      </c>
      <c r="AJ14" s="132">
        <f t="shared" ca="1" si="3"/>
        <v>577.79999999999995</v>
      </c>
      <c r="AK14" s="132">
        <f t="shared" ca="1" si="3"/>
        <v>422.7</v>
      </c>
      <c r="AL14" s="132">
        <f t="shared" ca="1" si="3"/>
        <v>214.10000000000002</v>
      </c>
      <c r="AM14" s="132">
        <f t="shared" ca="1" si="3"/>
        <v>110.89999999999998</v>
      </c>
      <c r="AN14" s="132">
        <f t="shared" ca="1" si="3"/>
        <v>17.899999999999999</v>
      </c>
      <c r="AO14" s="132">
        <f t="shared" ca="1" si="3"/>
        <v>1.8999999999999986</v>
      </c>
      <c r="AP14" s="132">
        <f t="shared" ca="1" si="3"/>
        <v>1.3999999999999986</v>
      </c>
      <c r="AQ14" s="132">
        <f t="shared" ca="1" si="3"/>
        <v>64.900000000000006</v>
      </c>
      <c r="AR14" s="132">
        <f t="shared" ca="1" si="3"/>
        <v>218.19999999999996</v>
      </c>
      <c r="AS14" s="132">
        <f t="shared" ca="1" si="3"/>
        <v>392.4</v>
      </c>
      <c r="AT14" s="132">
        <f t="shared" ca="1" si="3"/>
        <v>657.00000000000011</v>
      </c>
      <c r="AU14" s="295">
        <f t="shared" ca="1" si="12"/>
        <v>3368.4000000000005</v>
      </c>
      <c r="AV14" s="132">
        <f t="shared" si="15"/>
        <v>2010</v>
      </c>
      <c r="AW14" s="132">
        <f t="shared" ca="1" si="4"/>
        <v>627.19999999999993</v>
      </c>
      <c r="AX14" s="132">
        <f t="shared" ca="1" si="5"/>
        <v>521.79999999999995</v>
      </c>
      <c r="AY14" s="132">
        <f t="shared" ca="1" si="5"/>
        <v>360.7</v>
      </c>
      <c r="AZ14" s="132">
        <f t="shared" ca="1" si="5"/>
        <v>159.69999999999999</v>
      </c>
      <c r="BA14" s="132">
        <f t="shared" ca="1" si="5"/>
        <v>78.5</v>
      </c>
      <c r="BB14" s="132">
        <f t="shared" ca="1" si="5"/>
        <v>5.6999999999999993</v>
      </c>
      <c r="BC14" s="132">
        <f t="shared" ca="1" si="5"/>
        <v>0</v>
      </c>
      <c r="BD14" s="132">
        <f t="shared" ca="1" si="5"/>
        <v>0</v>
      </c>
      <c r="BE14" s="132">
        <f t="shared" ca="1" si="5"/>
        <v>26.9</v>
      </c>
      <c r="BF14" s="132">
        <f t="shared" ca="1" si="5"/>
        <v>158.19999999999999</v>
      </c>
      <c r="BG14" s="132">
        <f t="shared" ca="1" si="5"/>
        <v>332.40000000000003</v>
      </c>
      <c r="BH14" s="132">
        <f t="shared" ca="1" si="5"/>
        <v>595</v>
      </c>
      <c r="BJ14" s="132">
        <f t="shared" si="16"/>
        <v>2010</v>
      </c>
      <c r="BK14" s="132">
        <f t="shared" ca="1" si="6"/>
        <v>565.20000000000005</v>
      </c>
      <c r="BL14" s="132">
        <f t="shared" ca="1" si="7"/>
        <v>465.8</v>
      </c>
      <c r="BM14" s="132">
        <f t="shared" ca="1" si="7"/>
        <v>298.7</v>
      </c>
      <c r="BN14" s="132">
        <f t="shared" ca="1" si="7"/>
        <v>109.10000000000001</v>
      </c>
      <c r="BO14" s="132">
        <f t="shared" ca="1" si="7"/>
        <v>52</v>
      </c>
      <c r="BP14" s="132">
        <f t="shared" ca="1" si="7"/>
        <v>0</v>
      </c>
      <c r="BQ14" s="132">
        <f t="shared" ca="1" si="7"/>
        <v>0</v>
      </c>
      <c r="BR14" s="132">
        <f t="shared" ca="1" si="7"/>
        <v>0</v>
      </c>
      <c r="BS14" s="132">
        <f t="shared" ca="1" si="7"/>
        <v>6.1</v>
      </c>
      <c r="BT14" s="132">
        <f t="shared" ca="1" si="7"/>
        <v>103.19999999999996</v>
      </c>
      <c r="BU14" s="132">
        <f t="shared" ca="1" si="7"/>
        <v>272.39999999999998</v>
      </c>
      <c r="BV14" s="132">
        <f t="shared" ca="1" si="7"/>
        <v>533.00000000000011</v>
      </c>
      <c r="BX14" s="132">
        <f t="shared" si="17"/>
        <v>2010</v>
      </c>
      <c r="BY14" s="132">
        <f t="shared" ca="1" si="8"/>
        <v>503.2</v>
      </c>
      <c r="BZ14" s="132">
        <f t="shared" ca="1" si="9"/>
        <v>409.8</v>
      </c>
      <c r="CA14" s="132">
        <f t="shared" ca="1" si="9"/>
        <v>236.70000000000002</v>
      </c>
      <c r="CB14" s="132">
        <f t="shared" ca="1" si="9"/>
        <v>61.600000000000009</v>
      </c>
      <c r="CC14" s="132">
        <f t="shared" ca="1" si="9"/>
        <v>31.699999999999996</v>
      </c>
      <c r="CD14" s="132">
        <f t="shared" ca="1" si="9"/>
        <v>0</v>
      </c>
      <c r="CE14" s="132">
        <f t="shared" ca="1" si="9"/>
        <v>0</v>
      </c>
      <c r="CF14" s="132">
        <f t="shared" ca="1" si="9"/>
        <v>0</v>
      </c>
      <c r="CG14" s="132">
        <f t="shared" ca="1" si="9"/>
        <v>1.4000000000000004</v>
      </c>
      <c r="CH14" s="132">
        <f t="shared" ca="1" si="9"/>
        <v>57.70000000000001</v>
      </c>
      <c r="CI14" s="132">
        <f t="shared" ca="1" si="9"/>
        <v>212.4</v>
      </c>
      <c r="CJ14" s="132">
        <f t="shared" ca="1" si="9"/>
        <v>471</v>
      </c>
      <c r="CL14" s="132">
        <f t="shared" si="18"/>
        <v>2010</v>
      </c>
      <c r="CM14" s="132">
        <f t="shared" ca="1" si="10"/>
        <v>441.20000000000005</v>
      </c>
      <c r="CN14" s="132">
        <f t="shared" ca="1" si="11"/>
        <v>353.80000000000007</v>
      </c>
      <c r="CO14" s="132">
        <f t="shared" ca="1" si="11"/>
        <v>176.60000000000002</v>
      </c>
      <c r="CP14" s="132">
        <f t="shared" ca="1" si="11"/>
        <v>29.4</v>
      </c>
      <c r="CQ14" s="132">
        <f t="shared" ca="1" si="11"/>
        <v>16.899999999999999</v>
      </c>
      <c r="CR14" s="132">
        <f t="shared" ca="1" si="11"/>
        <v>0</v>
      </c>
      <c r="CS14" s="132">
        <f t="shared" ca="1" si="11"/>
        <v>0</v>
      </c>
      <c r="CT14" s="132">
        <f t="shared" ca="1" si="11"/>
        <v>0</v>
      </c>
      <c r="CU14" s="132">
        <f t="shared" ca="1" si="11"/>
        <v>0</v>
      </c>
      <c r="CV14" s="132">
        <f t="shared" ca="1" si="11"/>
        <v>20.5</v>
      </c>
      <c r="CW14" s="132">
        <f t="shared" ca="1" si="11"/>
        <v>152.9</v>
      </c>
      <c r="CX14" s="132">
        <f t="shared" ca="1" si="11"/>
        <v>409</v>
      </c>
    </row>
    <row r="15" spans="1:116" x14ac:dyDescent="0.2">
      <c r="A15" s="132">
        <v>2002</v>
      </c>
      <c r="B15" s="144">
        <v>2</v>
      </c>
      <c r="C15" s="144">
        <v>0.20714285714285721</v>
      </c>
      <c r="D15" s="134">
        <v>554.19999999999993</v>
      </c>
      <c r="E15" s="134">
        <v>0</v>
      </c>
      <c r="F15" s="134">
        <v>498.2</v>
      </c>
      <c r="G15" s="134">
        <v>0</v>
      </c>
      <c r="H15" s="134">
        <v>442.2</v>
      </c>
      <c r="I15" s="134">
        <v>0</v>
      </c>
      <c r="J15" s="134">
        <v>386.2</v>
      </c>
      <c r="K15" s="134">
        <v>0</v>
      </c>
      <c r="L15" s="134">
        <v>330.2</v>
      </c>
      <c r="M15" s="134">
        <v>0</v>
      </c>
      <c r="N15" s="134">
        <v>274.2</v>
      </c>
      <c r="O15" s="134">
        <v>0</v>
      </c>
      <c r="P15" s="134"/>
      <c r="Q15" s="134"/>
      <c r="R15" s="134"/>
      <c r="T15" s="132">
        <f t="shared" si="13"/>
        <v>2011</v>
      </c>
      <c r="U15" s="132">
        <f t="shared" ca="1" si="0"/>
        <v>805</v>
      </c>
      <c r="V15" s="132">
        <f t="shared" ca="1" si="1"/>
        <v>666.69999999999993</v>
      </c>
      <c r="W15" s="132">
        <f t="shared" ca="1" si="1"/>
        <v>610.60000000000014</v>
      </c>
      <c r="X15" s="132">
        <f t="shared" ca="1" si="1"/>
        <v>394.6</v>
      </c>
      <c r="Y15" s="132">
        <f t="shared" ca="1" si="1"/>
        <v>212.99999999999994</v>
      </c>
      <c r="Z15" s="132">
        <f t="shared" ca="1" si="1"/>
        <v>39.800000000000011</v>
      </c>
      <c r="AA15" s="132">
        <f t="shared" ca="1" si="1"/>
        <v>1</v>
      </c>
      <c r="AB15" s="132">
        <f t="shared" ca="1" si="1"/>
        <v>4.1000000000000014</v>
      </c>
      <c r="AC15" s="132">
        <f t="shared" ca="1" si="1"/>
        <v>80.499999999999986</v>
      </c>
      <c r="AD15" s="132">
        <f t="shared" ca="1" si="1"/>
        <v>267.70000000000005</v>
      </c>
      <c r="AE15" s="132">
        <f t="shared" ca="1" si="1"/>
        <v>366.60000000000008</v>
      </c>
      <c r="AF15" s="132">
        <f t="shared" ca="1" si="1"/>
        <v>567.70000000000016</v>
      </c>
      <c r="AH15" s="132">
        <f t="shared" si="14"/>
        <v>2011</v>
      </c>
      <c r="AI15" s="132">
        <f t="shared" ca="1" si="2"/>
        <v>743</v>
      </c>
      <c r="AJ15" s="132">
        <f t="shared" ca="1" si="3"/>
        <v>610.69999999999993</v>
      </c>
      <c r="AK15" s="132">
        <f t="shared" ca="1" si="3"/>
        <v>548.60000000000014</v>
      </c>
      <c r="AL15" s="132">
        <f t="shared" ca="1" si="3"/>
        <v>334.6</v>
      </c>
      <c r="AM15" s="132">
        <f t="shared" ca="1" si="3"/>
        <v>159.19999999999999</v>
      </c>
      <c r="AN15" s="132">
        <f t="shared" ca="1" si="3"/>
        <v>15.200000000000001</v>
      </c>
      <c r="AO15" s="132">
        <f t="shared" ca="1" si="3"/>
        <v>0</v>
      </c>
      <c r="AP15" s="132">
        <f t="shared" ca="1" si="3"/>
        <v>0</v>
      </c>
      <c r="AQ15" s="132">
        <f t="shared" ca="1" si="3"/>
        <v>44.3</v>
      </c>
      <c r="AR15" s="132">
        <f t="shared" ca="1" si="3"/>
        <v>210.8</v>
      </c>
      <c r="AS15" s="132">
        <f t="shared" ca="1" si="3"/>
        <v>306.60000000000008</v>
      </c>
      <c r="AT15" s="132">
        <f t="shared" ca="1" si="3"/>
        <v>505.70000000000016</v>
      </c>
      <c r="AU15" s="295">
        <f t="shared" ca="1" si="12"/>
        <v>3478.7000000000003</v>
      </c>
      <c r="AV15" s="132">
        <f t="shared" si="15"/>
        <v>2011</v>
      </c>
      <c r="AW15" s="132">
        <f t="shared" ca="1" si="4"/>
        <v>681</v>
      </c>
      <c r="AX15" s="132">
        <f t="shared" ca="1" si="5"/>
        <v>554.70000000000005</v>
      </c>
      <c r="AY15" s="132">
        <f t="shared" ca="1" si="5"/>
        <v>486.60000000000014</v>
      </c>
      <c r="AZ15" s="132">
        <f t="shared" ca="1" si="5"/>
        <v>274.59999999999997</v>
      </c>
      <c r="BA15" s="132">
        <f t="shared" ca="1" si="5"/>
        <v>113.3</v>
      </c>
      <c r="BB15" s="132">
        <f t="shared" ca="1" si="5"/>
        <v>1.0999999999999996</v>
      </c>
      <c r="BC15" s="132">
        <f t="shared" ca="1" si="5"/>
        <v>0</v>
      </c>
      <c r="BD15" s="132">
        <f t="shared" ca="1" si="5"/>
        <v>0</v>
      </c>
      <c r="BE15" s="132">
        <f t="shared" ca="1" si="5"/>
        <v>17.399999999999999</v>
      </c>
      <c r="BF15" s="132">
        <f t="shared" ca="1" si="5"/>
        <v>154.9</v>
      </c>
      <c r="BG15" s="132">
        <f t="shared" ca="1" si="5"/>
        <v>246.60000000000005</v>
      </c>
      <c r="BH15" s="132">
        <f t="shared" ca="1" si="5"/>
        <v>443.7000000000001</v>
      </c>
      <c r="BJ15" s="132">
        <f t="shared" si="16"/>
        <v>2011</v>
      </c>
      <c r="BK15" s="132">
        <f t="shared" ca="1" si="6"/>
        <v>619</v>
      </c>
      <c r="BL15" s="132">
        <f t="shared" ca="1" si="7"/>
        <v>498.7</v>
      </c>
      <c r="BM15" s="132">
        <f t="shared" ca="1" si="7"/>
        <v>424.60000000000014</v>
      </c>
      <c r="BN15" s="132">
        <f t="shared" ca="1" si="7"/>
        <v>215.29999999999995</v>
      </c>
      <c r="BO15" s="132">
        <f t="shared" ca="1" si="7"/>
        <v>73.2</v>
      </c>
      <c r="BP15" s="132">
        <f t="shared" ca="1" si="7"/>
        <v>0</v>
      </c>
      <c r="BQ15" s="132">
        <f t="shared" ca="1" si="7"/>
        <v>0</v>
      </c>
      <c r="BR15" s="132">
        <f t="shared" ca="1" si="7"/>
        <v>0</v>
      </c>
      <c r="BS15" s="132">
        <f t="shared" ca="1" si="7"/>
        <v>5.0999999999999996</v>
      </c>
      <c r="BT15" s="132">
        <f t="shared" ca="1" si="7"/>
        <v>108.3</v>
      </c>
      <c r="BU15" s="132">
        <f t="shared" ca="1" si="7"/>
        <v>186.60000000000002</v>
      </c>
      <c r="BV15" s="132">
        <f t="shared" ca="1" si="7"/>
        <v>381.7</v>
      </c>
      <c r="BX15" s="132">
        <f t="shared" si="17"/>
        <v>2011</v>
      </c>
      <c r="BY15" s="132">
        <f t="shared" ca="1" si="8"/>
        <v>557</v>
      </c>
      <c r="BZ15" s="132">
        <f t="shared" ca="1" si="9"/>
        <v>442.70000000000005</v>
      </c>
      <c r="CA15" s="132">
        <f t="shared" ca="1" si="9"/>
        <v>362.60000000000008</v>
      </c>
      <c r="CB15" s="132">
        <f t="shared" ca="1" si="9"/>
        <v>162.19999999999999</v>
      </c>
      <c r="CC15" s="132">
        <f t="shared" ca="1" si="9"/>
        <v>37.300000000000004</v>
      </c>
      <c r="CD15" s="132">
        <f t="shared" ca="1" si="9"/>
        <v>0</v>
      </c>
      <c r="CE15" s="132">
        <f t="shared" ca="1" si="9"/>
        <v>0</v>
      </c>
      <c r="CF15" s="132">
        <f t="shared" ca="1" si="9"/>
        <v>0</v>
      </c>
      <c r="CG15" s="132">
        <f t="shared" ca="1" si="9"/>
        <v>1.5999999999999996</v>
      </c>
      <c r="CH15" s="132">
        <f t="shared" ca="1" si="9"/>
        <v>66</v>
      </c>
      <c r="CI15" s="132">
        <f t="shared" ca="1" si="9"/>
        <v>130.69999999999999</v>
      </c>
      <c r="CJ15" s="132">
        <f t="shared" ca="1" si="9"/>
        <v>319.7</v>
      </c>
      <c r="CL15" s="132">
        <f t="shared" si="18"/>
        <v>2011</v>
      </c>
      <c r="CM15" s="132">
        <f t="shared" ca="1" si="10"/>
        <v>494.99999999999994</v>
      </c>
      <c r="CN15" s="132">
        <f t="shared" ca="1" si="11"/>
        <v>386.7000000000001</v>
      </c>
      <c r="CO15" s="132">
        <f t="shared" ca="1" si="11"/>
        <v>301.7000000000001</v>
      </c>
      <c r="CP15" s="132">
        <f t="shared" ca="1" si="11"/>
        <v>112.2</v>
      </c>
      <c r="CQ15" s="132">
        <f t="shared" ca="1" si="11"/>
        <v>15.6</v>
      </c>
      <c r="CR15" s="132">
        <f t="shared" ca="1" si="11"/>
        <v>0</v>
      </c>
      <c r="CS15" s="132">
        <f t="shared" ca="1" si="11"/>
        <v>0</v>
      </c>
      <c r="CT15" s="132">
        <f t="shared" ca="1" si="11"/>
        <v>0</v>
      </c>
      <c r="CU15" s="132">
        <f t="shared" ca="1" si="11"/>
        <v>0</v>
      </c>
      <c r="CV15" s="132">
        <f t="shared" ca="1" si="11"/>
        <v>34.200000000000003</v>
      </c>
      <c r="CW15" s="132">
        <f t="shared" ca="1" si="11"/>
        <v>86.199999999999989</v>
      </c>
      <c r="CX15" s="132">
        <f t="shared" ca="1" si="11"/>
        <v>257.70000000000005</v>
      </c>
    </row>
    <row r="16" spans="1:116" x14ac:dyDescent="0.2">
      <c r="A16" s="132">
        <v>2002</v>
      </c>
      <c r="B16" s="144">
        <v>3</v>
      </c>
      <c r="C16" s="144">
        <v>1.7999999999999998</v>
      </c>
      <c r="D16" s="134">
        <v>564.20000000000005</v>
      </c>
      <c r="E16" s="134">
        <v>0</v>
      </c>
      <c r="F16" s="134">
        <v>502.2</v>
      </c>
      <c r="G16" s="134">
        <v>0</v>
      </c>
      <c r="H16" s="134">
        <v>440.2</v>
      </c>
      <c r="I16" s="134">
        <v>0</v>
      </c>
      <c r="J16" s="134">
        <v>378.2</v>
      </c>
      <c r="K16" s="134">
        <v>0</v>
      </c>
      <c r="L16" s="134">
        <v>316.5</v>
      </c>
      <c r="M16" s="134">
        <v>0.30000000000000071</v>
      </c>
      <c r="N16" s="134">
        <v>256.5</v>
      </c>
      <c r="O16" s="134">
        <v>2.3000000000000007</v>
      </c>
      <c r="P16" s="134"/>
      <c r="Q16" s="134"/>
      <c r="R16" s="134"/>
      <c r="T16" s="132">
        <f t="shared" si="13"/>
        <v>2012</v>
      </c>
      <c r="U16" s="132">
        <f t="shared" ca="1" si="0"/>
        <v>644.6</v>
      </c>
      <c r="V16" s="132">
        <f t="shared" ca="1" si="1"/>
        <v>568.9</v>
      </c>
      <c r="W16" s="132">
        <f t="shared" ca="1" si="1"/>
        <v>403.20000000000005</v>
      </c>
      <c r="X16" s="132">
        <f t="shared" ca="1" si="1"/>
        <v>361.59999999999997</v>
      </c>
      <c r="Y16" s="132">
        <f t="shared" ca="1" si="1"/>
        <v>121.39999999999999</v>
      </c>
      <c r="Z16" s="132">
        <f t="shared" ca="1" si="1"/>
        <v>40.4</v>
      </c>
      <c r="AA16" s="132">
        <f t="shared" ca="1" si="1"/>
        <v>0</v>
      </c>
      <c r="AB16" s="132">
        <f t="shared" ca="1" si="1"/>
        <v>7.0000000000000036</v>
      </c>
      <c r="AC16" s="132">
        <f t="shared" ca="1" si="1"/>
        <v>103.20000000000002</v>
      </c>
      <c r="AD16" s="132">
        <f t="shared" ca="1" si="1"/>
        <v>281.60000000000002</v>
      </c>
      <c r="AE16" s="132">
        <f t="shared" ca="1" si="1"/>
        <v>469.40000000000009</v>
      </c>
      <c r="AF16" s="132">
        <f t="shared" ca="1" si="1"/>
        <v>555.60000000000014</v>
      </c>
      <c r="AH16" s="132">
        <f t="shared" si="14"/>
        <v>2012</v>
      </c>
      <c r="AI16" s="132">
        <f t="shared" ca="1" si="2"/>
        <v>582.6</v>
      </c>
      <c r="AJ16" s="132">
        <f t="shared" ca="1" si="3"/>
        <v>510.90000000000003</v>
      </c>
      <c r="AK16" s="132">
        <f t="shared" ca="1" si="3"/>
        <v>341.70000000000005</v>
      </c>
      <c r="AL16" s="132">
        <f t="shared" ca="1" si="3"/>
        <v>303.59999999999997</v>
      </c>
      <c r="AM16" s="132">
        <f t="shared" ca="1" si="3"/>
        <v>77.5</v>
      </c>
      <c r="AN16" s="132">
        <f t="shared" ca="1" si="3"/>
        <v>20.699999999999996</v>
      </c>
      <c r="AO16" s="132">
        <f t="shared" ca="1" si="3"/>
        <v>0</v>
      </c>
      <c r="AP16" s="132">
        <f t="shared" ca="1" si="3"/>
        <v>0.80000000000000071</v>
      </c>
      <c r="AQ16" s="132">
        <f t="shared" ca="1" si="3"/>
        <v>62.899999999999991</v>
      </c>
      <c r="AR16" s="132">
        <f t="shared" ca="1" si="3"/>
        <v>220.99999999999994</v>
      </c>
      <c r="AS16" s="132">
        <f t="shared" ca="1" si="3"/>
        <v>409.40000000000003</v>
      </c>
      <c r="AT16" s="132">
        <f t="shared" ca="1" si="3"/>
        <v>493.60000000000008</v>
      </c>
      <c r="AU16" s="295">
        <f t="shared" ca="1" si="12"/>
        <v>3024.7</v>
      </c>
      <c r="AV16" s="132">
        <f t="shared" si="15"/>
        <v>2012</v>
      </c>
      <c r="AW16" s="132">
        <f t="shared" ca="1" si="4"/>
        <v>520.59999999999991</v>
      </c>
      <c r="AX16" s="132">
        <f t="shared" ca="1" si="5"/>
        <v>452.90000000000003</v>
      </c>
      <c r="AY16" s="132">
        <f t="shared" ca="1" si="5"/>
        <v>281.8</v>
      </c>
      <c r="AZ16" s="132">
        <f t="shared" ca="1" si="5"/>
        <v>246.89999999999992</v>
      </c>
      <c r="BA16" s="132">
        <f t="shared" ca="1" si="5"/>
        <v>45</v>
      </c>
      <c r="BB16" s="132">
        <f t="shared" ca="1" si="5"/>
        <v>6.6999999999999993</v>
      </c>
      <c r="BC16" s="132">
        <f t="shared" ca="1" si="5"/>
        <v>0</v>
      </c>
      <c r="BD16" s="132">
        <f t="shared" ca="1" si="5"/>
        <v>0</v>
      </c>
      <c r="BE16" s="132">
        <f t="shared" ca="1" si="5"/>
        <v>29.5</v>
      </c>
      <c r="BF16" s="132">
        <f t="shared" ca="1" si="5"/>
        <v>163.89999999999995</v>
      </c>
      <c r="BG16" s="132">
        <f t="shared" ca="1" si="5"/>
        <v>349.40000000000003</v>
      </c>
      <c r="BH16" s="132">
        <f t="shared" ca="1" si="5"/>
        <v>431.60000000000008</v>
      </c>
      <c r="BJ16" s="132">
        <f t="shared" si="16"/>
        <v>2012</v>
      </c>
      <c r="BK16" s="132">
        <f t="shared" ca="1" si="6"/>
        <v>458.59999999999997</v>
      </c>
      <c r="BL16" s="132">
        <f t="shared" ca="1" si="7"/>
        <v>394.9</v>
      </c>
      <c r="BM16" s="132">
        <f t="shared" ca="1" si="7"/>
        <v>224.59999999999997</v>
      </c>
      <c r="BN16" s="132">
        <f t="shared" ca="1" si="7"/>
        <v>192.89999999999998</v>
      </c>
      <c r="BO16" s="132">
        <f t="shared" ca="1" si="7"/>
        <v>23.700000000000003</v>
      </c>
      <c r="BP16" s="132">
        <f t="shared" ca="1" si="7"/>
        <v>1.0999999999999996</v>
      </c>
      <c r="BQ16" s="132">
        <f t="shared" ca="1" si="7"/>
        <v>0</v>
      </c>
      <c r="BR16" s="132">
        <f t="shared" ca="1" si="7"/>
        <v>0</v>
      </c>
      <c r="BS16" s="132">
        <f t="shared" ca="1" si="7"/>
        <v>12.6</v>
      </c>
      <c r="BT16" s="132">
        <f t="shared" ca="1" si="7"/>
        <v>113.69999999999997</v>
      </c>
      <c r="BU16" s="132">
        <f t="shared" ca="1" si="7"/>
        <v>289.39999999999998</v>
      </c>
      <c r="BV16" s="132">
        <f t="shared" ca="1" si="7"/>
        <v>369.60000000000008</v>
      </c>
      <c r="BX16" s="132">
        <f t="shared" si="17"/>
        <v>2012</v>
      </c>
      <c r="BY16" s="132">
        <f t="shared" ca="1" si="8"/>
        <v>396.59999999999991</v>
      </c>
      <c r="BZ16" s="132">
        <f t="shared" ca="1" si="9"/>
        <v>336.90000000000003</v>
      </c>
      <c r="CA16" s="132">
        <f t="shared" ca="1" si="9"/>
        <v>170.89999999999998</v>
      </c>
      <c r="CB16" s="132">
        <f t="shared" ca="1" si="9"/>
        <v>140.00000000000003</v>
      </c>
      <c r="CC16" s="132">
        <f t="shared" ca="1" si="9"/>
        <v>8.8999999999999986</v>
      </c>
      <c r="CD16" s="132">
        <f t="shared" ca="1" si="9"/>
        <v>0</v>
      </c>
      <c r="CE16" s="132">
        <f t="shared" ca="1" si="9"/>
        <v>0</v>
      </c>
      <c r="CF16" s="132">
        <f t="shared" ca="1" si="9"/>
        <v>0</v>
      </c>
      <c r="CG16" s="132">
        <f t="shared" ca="1" si="9"/>
        <v>2.7000000000000011</v>
      </c>
      <c r="CH16" s="132">
        <f t="shared" ca="1" si="9"/>
        <v>71.3</v>
      </c>
      <c r="CI16" s="132">
        <f t="shared" ca="1" si="9"/>
        <v>232.29999999999998</v>
      </c>
      <c r="CJ16" s="132">
        <f t="shared" ca="1" si="9"/>
        <v>307.90000000000003</v>
      </c>
      <c r="CL16" s="132">
        <f t="shared" si="18"/>
        <v>2012</v>
      </c>
      <c r="CM16" s="132">
        <f t="shared" ca="1" si="10"/>
        <v>334.59999999999997</v>
      </c>
      <c r="CN16" s="132">
        <f t="shared" ca="1" si="11"/>
        <v>278.90000000000003</v>
      </c>
      <c r="CO16" s="132">
        <f t="shared" ca="1" si="11"/>
        <v>126.29999999999997</v>
      </c>
      <c r="CP16" s="132">
        <f t="shared" ca="1" si="11"/>
        <v>88.600000000000023</v>
      </c>
      <c r="CQ16" s="132">
        <f t="shared" ca="1" si="11"/>
        <v>0.80000000000000071</v>
      </c>
      <c r="CR16" s="132">
        <f t="shared" ca="1" si="11"/>
        <v>0</v>
      </c>
      <c r="CS16" s="132">
        <f t="shared" ca="1" si="11"/>
        <v>0</v>
      </c>
      <c r="CT16" s="132">
        <f t="shared" ca="1" si="11"/>
        <v>0</v>
      </c>
      <c r="CU16" s="132">
        <f t="shared" ca="1" si="11"/>
        <v>0</v>
      </c>
      <c r="CV16" s="132">
        <f t="shared" ca="1" si="11"/>
        <v>33.799999999999997</v>
      </c>
      <c r="CW16" s="132">
        <f t="shared" ca="1" si="11"/>
        <v>176.3</v>
      </c>
      <c r="CX16" s="132">
        <f t="shared" ca="1" si="11"/>
        <v>247.9</v>
      </c>
    </row>
    <row r="17" spans="1:116" x14ac:dyDescent="0.2">
      <c r="A17" s="132">
        <v>2002</v>
      </c>
      <c r="B17" s="144">
        <v>4</v>
      </c>
      <c r="C17" s="144">
        <v>8.5000000000000018</v>
      </c>
      <c r="D17" s="134">
        <v>350.49999999999989</v>
      </c>
      <c r="E17" s="134">
        <v>5.5</v>
      </c>
      <c r="F17" s="134">
        <v>298.29999999999995</v>
      </c>
      <c r="G17" s="134">
        <v>13.3</v>
      </c>
      <c r="H17" s="134">
        <v>246.29999999999995</v>
      </c>
      <c r="I17" s="134">
        <v>21.3</v>
      </c>
      <c r="J17" s="134">
        <v>194.79999999999995</v>
      </c>
      <c r="K17" s="134">
        <v>29.8</v>
      </c>
      <c r="L17" s="134">
        <v>145.6</v>
      </c>
      <c r="M17" s="134">
        <v>40.6</v>
      </c>
      <c r="N17" s="134">
        <v>102.4</v>
      </c>
      <c r="O17" s="134">
        <v>57.399999999999991</v>
      </c>
      <c r="P17" s="134"/>
      <c r="Q17" s="134"/>
      <c r="R17" s="134"/>
      <c r="T17" s="132">
        <f t="shared" si="13"/>
        <v>2013</v>
      </c>
      <c r="U17" s="132">
        <f t="shared" ca="1" si="0"/>
        <v>674.3</v>
      </c>
      <c r="V17" s="132">
        <f t="shared" ca="1" si="1"/>
        <v>646.5</v>
      </c>
      <c r="W17" s="132">
        <f t="shared" ca="1" si="1"/>
        <v>587.20000000000005</v>
      </c>
      <c r="X17" s="132">
        <f t="shared" ca="1" si="1"/>
        <v>400</v>
      </c>
      <c r="Y17" s="132">
        <f t="shared" ca="1" si="1"/>
        <v>164.50000000000003</v>
      </c>
      <c r="Z17" s="132">
        <f t="shared" ca="1" si="1"/>
        <v>64.8</v>
      </c>
      <c r="AA17" s="132">
        <f t="shared" ca="1" si="1"/>
        <v>12.699999999999996</v>
      </c>
      <c r="AB17" s="132">
        <f t="shared" ca="1" si="1"/>
        <v>18.499999999999996</v>
      </c>
      <c r="AC17" s="132">
        <f t="shared" ca="1" si="1"/>
        <v>119.50000000000001</v>
      </c>
      <c r="AD17" s="132">
        <f t="shared" ca="1" si="1"/>
        <v>251.89999999999998</v>
      </c>
      <c r="AE17" s="132">
        <f t="shared" ca="1" si="1"/>
        <v>502.2</v>
      </c>
      <c r="AF17" s="132">
        <f t="shared" ca="1" si="1"/>
        <v>701.70000000000016</v>
      </c>
      <c r="AH17" s="132">
        <f t="shared" si="14"/>
        <v>2013</v>
      </c>
      <c r="AI17" s="132">
        <f t="shared" ca="1" si="2"/>
        <v>612.29999999999995</v>
      </c>
      <c r="AJ17" s="132">
        <f t="shared" ca="1" si="3"/>
        <v>590.50000000000011</v>
      </c>
      <c r="AK17" s="132">
        <f t="shared" ca="1" si="3"/>
        <v>525.20000000000005</v>
      </c>
      <c r="AL17" s="132">
        <f t="shared" ca="1" si="3"/>
        <v>339.99999999999994</v>
      </c>
      <c r="AM17" s="132">
        <f t="shared" ca="1" si="3"/>
        <v>114.60000000000001</v>
      </c>
      <c r="AN17" s="132">
        <f t="shared" ca="1" si="3"/>
        <v>34.099999999999994</v>
      </c>
      <c r="AO17" s="132">
        <f t="shared" ca="1" si="3"/>
        <v>0.39999999999999858</v>
      </c>
      <c r="AP17" s="132">
        <f t="shared" ca="1" si="3"/>
        <v>2.8000000000000007</v>
      </c>
      <c r="AQ17" s="132">
        <f t="shared" ca="1" si="3"/>
        <v>75.600000000000009</v>
      </c>
      <c r="AR17" s="132">
        <f t="shared" ca="1" si="3"/>
        <v>193.39999999999998</v>
      </c>
      <c r="AS17" s="132">
        <f t="shared" ca="1" si="3"/>
        <v>442.19999999999993</v>
      </c>
      <c r="AT17" s="132">
        <f t="shared" ca="1" si="3"/>
        <v>639.70000000000016</v>
      </c>
      <c r="AU17" s="295">
        <f t="shared" ca="1" si="12"/>
        <v>3570.8</v>
      </c>
      <c r="AV17" s="132">
        <f t="shared" si="15"/>
        <v>2013</v>
      </c>
      <c r="AW17" s="132">
        <f t="shared" ca="1" si="4"/>
        <v>550.29999999999995</v>
      </c>
      <c r="AX17" s="132">
        <f t="shared" ca="1" si="5"/>
        <v>534.5</v>
      </c>
      <c r="AY17" s="132">
        <f t="shared" ca="1" si="5"/>
        <v>463.2000000000001</v>
      </c>
      <c r="AZ17" s="132">
        <f t="shared" ca="1" si="5"/>
        <v>280</v>
      </c>
      <c r="BA17" s="132">
        <f t="shared" ca="1" si="5"/>
        <v>72.2</v>
      </c>
      <c r="BB17" s="132">
        <f t="shared" ca="1" si="5"/>
        <v>15.099999999999998</v>
      </c>
      <c r="BC17" s="132">
        <f t="shared" ca="1" si="5"/>
        <v>0</v>
      </c>
      <c r="BD17" s="132">
        <f t="shared" ca="1" si="5"/>
        <v>0</v>
      </c>
      <c r="BE17" s="132">
        <f t="shared" ca="1" si="5"/>
        <v>40.6</v>
      </c>
      <c r="BF17" s="132">
        <f t="shared" ca="1" si="5"/>
        <v>139.4</v>
      </c>
      <c r="BG17" s="132">
        <f t="shared" ca="1" si="5"/>
        <v>382.2</v>
      </c>
      <c r="BH17" s="132">
        <f t="shared" ca="1" si="5"/>
        <v>577.70000000000016</v>
      </c>
      <c r="BJ17" s="132">
        <f t="shared" si="16"/>
        <v>2013</v>
      </c>
      <c r="BK17" s="132">
        <f t="shared" ca="1" si="6"/>
        <v>488.3</v>
      </c>
      <c r="BL17" s="132">
        <f t="shared" ca="1" si="7"/>
        <v>478.5</v>
      </c>
      <c r="BM17" s="132">
        <f t="shared" ca="1" si="7"/>
        <v>401.20000000000005</v>
      </c>
      <c r="BN17" s="132">
        <f t="shared" ca="1" si="7"/>
        <v>223.00000000000003</v>
      </c>
      <c r="BO17" s="132">
        <f t="shared" ca="1" si="7"/>
        <v>39</v>
      </c>
      <c r="BP17" s="132">
        <f t="shared" ca="1" si="7"/>
        <v>5.1999999999999993</v>
      </c>
      <c r="BQ17" s="132">
        <f t="shared" ca="1" si="7"/>
        <v>0</v>
      </c>
      <c r="BR17" s="132">
        <f t="shared" ca="1" si="7"/>
        <v>0</v>
      </c>
      <c r="BS17" s="132">
        <f t="shared" ca="1" si="7"/>
        <v>16.7</v>
      </c>
      <c r="BT17" s="132">
        <f t="shared" ca="1" si="7"/>
        <v>92.200000000000017</v>
      </c>
      <c r="BU17" s="132">
        <f t="shared" ca="1" si="7"/>
        <v>322.19999999999993</v>
      </c>
      <c r="BV17" s="132">
        <f t="shared" ca="1" si="7"/>
        <v>515.70000000000005</v>
      </c>
      <c r="BX17" s="132">
        <f t="shared" si="17"/>
        <v>2013</v>
      </c>
      <c r="BY17" s="132">
        <f t="shared" ca="1" si="8"/>
        <v>426.3</v>
      </c>
      <c r="BZ17" s="132">
        <f t="shared" ca="1" si="9"/>
        <v>422.50000000000006</v>
      </c>
      <c r="CA17" s="132">
        <f t="shared" ca="1" si="9"/>
        <v>339.20000000000005</v>
      </c>
      <c r="CB17" s="132">
        <f t="shared" ca="1" si="9"/>
        <v>169.7</v>
      </c>
      <c r="CC17" s="132">
        <f t="shared" ca="1" si="9"/>
        <v>22</v>
      </c>
      <c r="CD17" s="132">
        <f t="shared" ca="1" si="9"/>
        <v>0.80000000000000071</v>
      </c>
      <c r="CE17" s="132">
        <f t="shared" ca="1" si="9"/>
        <v>0</v>
      </c>
      <c r="CF17" s="132">
        <f t="shared" ca="1" si="9"/>
        <v>0</v>
      </c>
      <c r="CG17" s="132">
        <f t="shared" ca="1" si="9"/>
        <v>3.5999999999999996</v>
      </c>
      <c r="CH17" s="132">
        <f t="shared" ca="1" si="9"/>
        <v>61.400000000000006</v>
      </c>
      <c r="CI17" s="132">
        <f t="shared" ca="1" si="9"/>
        <v>264.59999999999997</v>
      </c>
      <c r="CJ17" s="132">
        <f t="shared" ca="1" si="9"/>
        <v>453.70000000000005</v>
      </c>
      <c r="CL17" s="132">
        <f t="shared" si="18"/>
        <v>2013</v>
      </c>
      <c r="CM17" s="132">
        <f t="shared" ca="1" si="10"/>
        <v>366.8</v>
      </c>
      <c r="CN17" s="132">
        <f t="shared" ca="1" si="11"/>
        <v>366.50000000000006</v>
      </c>
      <c r="CO17" s="132">
        <f t="shared" ca="1" si="11"/>
        <v>277.30000000000013</v>
      </c>
      <c r="CP17" s="132">
        <f t="shared" ca="1" si="11"/>
        <v>122.20000000000002</v>
      </c>
      <c r="CQ17" s="132">
        <f t="shared" ca="1" si="11"/>
        <v>11.6</v>
      </c>
      <c r="CR17" s="132">
        <f t="shared" ca="1" si="11"/>
        <v>0</v>
      </c>
      <c r="CS17" s="132">
        <f t="shared" ca="1" si="11"/>
        <v>0</v>
      </c>
      <c r="CT17" s="132">
        <f t="shared" ca="1" si="11"/>
        <v>0</v>
      </c>
      <c r="CU17" s="132">
        <f t="shared" ca="1" si="11"/>
        <v>0</v>
      </c>
      <c r="CV17" s="132">
        <f t="shared" ca="1" si="11"/>
        <v>38.600000000000009</v>
      </c>
      <c r="CW17" s="132">
        <f t="shared" ca="1" si="11"/>
        <v>210.29999999999998</v>
      </c>
      <c r="CX17" s="132">
        <f t="shared" ca="1" si="11"/>
        <v>391.7</v>
      </c>
    </row>
    <row r="18" spans="1:116" x14ac:dyDescent="0.2">
      <c r="A18" s="132">
        <v>2002</v>
      </c>
      <c r="B18" s="144">
        <v>5</v>
      </c>
      <c r="C18" s="144">
        <v>11.990322580645165</v>
      </c>
      <c r="D18" s="134">
        <v>254.09999999999991</v>
      </c>
      <c r="E18" s="134">
        <v>5.8000000000000007</v>
      </c>
      <c r="F18" s="134">
        <v>198.09999999999994</v>
      </c>
      <c r="G18" s="134">
        <v>11.8</v>
      </c>
      <c r="H18" s="134">
        <v>146.39999999999998</v>
      </c>
      <c r="I18" s="134">
        <v>22.1</v>
      </c>
      <c r="J18" s="134">
        <v>100.80000000000001</v>
      </c>
      <c r="K18" s="134">
        <v>38.5</v>
      </c>
      <c r="L18" s="134">
        <v>64.400000000000006</v>
      </c>
      <c r="M18" s="134">
        <v>64.099999999999994</v>
      </c>
      <c r="N18" s="134">
        <v>33.399999999999991</v>
      </c>
      <c r="O18" s="134">
        <v>95.1</v>
      </c>
      <c r="P18" s="134"/>
      <c r="Q18" s="134"/>
      <c r="R18" s="134"/>
      <c r="T18" s="132">
        <f t="shared" si="13"/>
        <v>2014</v>
      </c>
      <c r="U18" s="132">
        <f t="shared" ca="1" si="0"/>
        <v>841.50000000000034</v>
      </c>
      <c r="V18" s="132">
        <f t="shared" ca="1" si="1"/>
        <v>739.09999999999991</v>
      </c>
      <c r="W18" s="132">
        <f t="shared" ca="1" si="1"/>
        <v>709.9</v>
      </c>
      <c r="X18" s="132">
        <f t="shared" ca="1" si="1"/>
        <v>391.70000000000005</v>
      </c>
      <c r="Y18" s="132">
        <f t="shared" ca="1" si="1"/>
        <v>187.19999999999993</v>
      </c>
      <c r="Z18" s="132">
        <f t="shared" ca="1" si="1"/>
        <v>38.499999999999993</v>
      </c>
      <c r="AA18" s="132">
        <f t="shared" ca="1" si="1"/>
        <v>22.199999999999996</v>
      </c>
      <c r="AB18" s="132">
        <f t="shared" ca="1" si="1"/>
        <v>21</v>
      </c>
      <c r="AC18" s="132">
        <f t="shared" ca="1" si="1"/>
        <v>101</v>
      </c>
      <c r="AD18" s="132">
        <f t="shared" ca="1" si="1"/>
        <v>257.60000000000002</v>
      </c>
      <c r="AE18" s="132">
        <f t="shared" ca="1" si="1"/>
        <v>511.89999999999992</v>
      </c>
      <c r="AF18" s="132">
        <f t="shared" ca="1" si="1"/>
        <v>596.39999999999986</v>
      </c>
      <c r="AH18" s="132">
        <f t="shared" si="14"/>
        <v>2014</v>
      </c>
      <c r="AI18" s="132">
        <f t="shared" ca="1" si="2"/>
        <v>779.50000000000034</v>
      </c>
      <c r="AJ18" s="132">
        <f t="shared" ca="1" si="3"/>
        <v>683.09999999999991</v>
      </c>
      <c r="AK18" s="132">
        <f t="shared" ca="1" si="3"/>
        <v>647.89999999999986</v>
      </c>
      <c r="AL18" s="132">
        <f t="shared" ca="1" si="3"/>
        <v>331.7</v>
      </c>
      <c r="AM18" s="132">
        <f t="shared" ca="1" si="3"/>
        <v>129.60000000000002</v>
      </c>
      <c r="AN18" s="132">
        <f t="shared" ca="1" si="3"/>
        <v>13.499999999999998</v>
      </c>
      <c r="AO18" s="132">
        <f t="shared" ca="1" si="3"/>
        <v>1.6999999999999993</v>
      </c>
      <c r="AP18" s="132">
        <f t="shared" ca="1" si="3"/>
        <v>4.0999999999999996</v>
      </c>
      <c r="AQ18" s="132">
        <f t="shared" ca="1" si="3"/>
        <v>59.7</v>
      </c>
      <c r="AR18" s="132">
        <f t="shared" ca="1" si="3"/>
        <v>199.59999999999997</v>
      </c>
      <c r="AS18" s="132">
        <f t="shared" ca="1" si="3"/>
        <v>451.89999999999992</v>
      </c>
      <c r="AT18" s="132">
        <f t="shared" ca="1" si="3"/>
        <v>534.4</v>
      </c>
      <c r="AU18" s="295">
        <f t="shared" ca="1" si="12"/>
        <v>3836.6999999999994</v>
      </c>
      <c r="AV18" s="132">
        <f t="shared" si="15"/>
        <v>2014</v>
      </c>
      <c r="AW18" s="132">
        <f t="shared" ca="1" si="4"/>
        <v>717.50000000000023</v>
      </c>
      <c r="AX18" s="132">
        <f t="shared" ca="1" si="5"/>
        <v>627.09999999999991</v>
      </c>
      <c r="AY18" s="132">
        <f t="shared" ca="1" si="5"/>
        <v>585.9</v>
      </c>
      <c r="AZ18" s="132">
        <f t="shared" ca="1" si="5"/>
        <v>272.09999999999991</v>
      </c>
      <c r="BA18" s="132">
        <f t="shared" ca="1" si="5"/>
        <v>80.000000000000014</v>
      </c>
      <c r="BB18" s="132">
        <f t="shared" ca="1" si="5"/>
        <v>2.4999999999999982</v>
      </c>
      <c r="BC18" s="132">
        <f t="shared" ca="1" si="5"/>
        <v>0</v>
      </c>
      <c r="BD18" s="132">
        <f t="shared" ca="1" si="5"/>
        <v>9.9999999999999645E-2</v>
      </c>
      <c r="BE18" s="132">
        <f t="shared" ca="1" si="5"/>
        <v>28.4</v>
      </c>
      <c r="BF18" s="132">
        <f t="shared" ca="1" si="5"/>
        <v>142.9</v>
      </c>
      <c r="BG18" s="132">
        <f t="shared" ca="1" si="5"/>
        <v>391.89999999999992</v>
      </c>
      <c r="BH18" s="132">
        <f t="shared" ca="1" si="5"/>
        <v>472.4</v>
      </c>
      <c r="BJ18" s="132">
        <f t="shared" si="16"/>
        <v>2014</v>
      </c>
      <c r="BK18" s="132">
        <f t="shared" ca="1" si="6"/>
        <v>655.50000000000023</v>
      </c>
      <c r="BL18" s="132">
        <f t="shared" ca="1" si="7"/>
        <v>571.09999999999991</v>
      </c>
      <c r="BM18" s="132">
        <f t="shared" ca="1" si="7"/>
        <v>523.9</v>
      </c>
      <c r="BN18" s="132">
        <f t="shared" ca="1" si="7"/>
        <v>214.59999999999994</v>
      </c>
      <c r="BO18" s="132">
        <f t="shared" ca="1" si="7"/>
        <v>47</v>
      </c>
      <c r="BP18" s="132">
        <f t="shared" ca="1" si="7"/>
        <v>0</v>
      </c>
      <c r="BQ18" s="132">
        <f t="shared" ca="1" si="7"/>
        <v>0</v>
      </c>
      <c r="BR18" s="132">
        <f t="shared" ca="1" si="7"/>
        <v>0</v>
      </c>
      <c r="BS18" s="132">
        <f t="shared" ca="1" si="7"/>
        <v>11.2</v>
      </c>
      <c r="BT18" s="132">
        <f t="shared" ca="1" si="7"/>
        <v>95.7</v>
      </c>
      <c r="BU18" s="132">
        <f t="shared" ca="1" si="7"/>
        <v>331.89999999999992</v>
      </c>
      <c r="BV18" s="132">
        <f t="shared" ca="1" si="7"/>
        <v>410.4</v>
      </c>
      <c r="BX18" s="132">
        <f t="shared" si="17"/>
        <v>2014</v>
      </c>
      <c r="BY18" s="132">
        <f t="shared" ca="1" si="8"/>
        <v>593.50000000000023</v>
      </c>
      <c r="BZ18" s="132">
        <f t="shared" ca="1" si="9"/>
        <v>515.09999999999991</v>
      </c>
      <c r="CA18" s="132">
        <f t="shared" ca="1" si="9"/>
        <v>461.90000000000003</v>
      </c>
      <c r="CB18" s="132">
        <f t="shared" ca="1" si="9"/>
        <v>160.09999999999994</v>
      </c>
      <c r="CC18" s="132">
        <f t="shared" ca="1" si="9"/>
        <v>23.6</v>
      </c>
      <c r="CD18" s="132">
        <f t="shared" ca="1" si="9"/>
        <v>0</v>
      </c>
      <c r="CE18" s="132">
        <f t="shared" ca="1" si="9"/>
        <v>0</v>
      </c>
      <c r="CF18" s="132">
        <f t="shared" ca="1" si="9"/>
        <v>0</v>
      </c>
      <c r="CG18" s="132">
        <f t="shared" ca="1" si="9"/>
        <v>1.4000000000000004</v>
      </c>
      <c r="CH18" s="132">
        <f t="shared" ca="1" si="9"/>
        <v>56.20000000000001</v>
      </c>
      <c r="CI18" s="132">
        <f t="shared" ca="1" si="9"/>
        <v>273.2</v>
      </c>
      <c r="CJ18" s="132">
        <f t="shared" ca="1" si="9"/>
        <v>348.4</v>
      </c>
      <c r="CL18" s="132">
        <f t="shared" si="18"/>
        <v>2014</v>
      </c>
      <c r="CM18" s="132">
        <f t="shared" ca="1" si="10"/>
        <v>531.50000000000011</v>
      </c>
      <c r="CN18" s="132">
        <f t="shared" ca="1" si="11"/>
        <v>459.09999999999997</v>
      </c>
      <c r="CO18" s="132">
        <f t="shared" ca="1" si="11"/>
        <v>399.90000000000009</v>
      </c>
      <c r="CP18" s="132">
        <f t="shared" ca="1" si="11"/>
        <v>108.59999999999997</v>
      </c>
      <c r="CQ18" s="132">
        <f t="shared" ca="1" si="11"/>
        <v>6.8</v>
      </c>
      <c r="CR18" s="132">
        <f t="shared" ca="1" si="11"/>
        <v>0</v>
      </c>
      <c r="CS18" s="132">
        <f t="shared" ca="1" si="11"/>
        <v>0</v>
      </c>
      <c r="CT18" s="132">
        <f t="shared" ca="1" si="11"/>
        <v>0</v>
      </c>
      <c r="CU18" s="132">
        <f t="shared" ca="1" si="11"/>
        <v>0</v>
      </c>
      <c r="CV18" s="132">
        <f t="shared" ca="1" si="11"/>
        <v>23.6</v>
      </c>
      <c r="CW18" s="132">
        <f t="shared" ca="1" si="11"/>
        <v>218.80000000000004</v>
      </c>
      <c r="CX18" s="132">
        <f t="shared" ca="1" si="11"/>
        <v>286.39999999999998</v>
      </c>
    </row>
    <row r="19" spans="1:116" x14ac:dyDescent="0.2">
      <c r="A19" s="132">
        <v>2002</v>
      </c>
      <c r="B19" s="144">
        <v>6</v>
      </c>
      <c r="C19" s="144">
        <v>19.64</v>
      </c>
      <c r="D19" s="134">
        <v>60.7</v>
      </c>
      <c r="E19" s="134">
        <v>49.900000000000006</v>
      </c>
      <c r="F19" s="134">
        <v>31.999999999999996</v>
      </c>
      <c r="G19" s="134">
        <v>81.2</v>
      </c>
      <c r="H19" s="134">
        <v>11.099999999999998</v>
      </c>
      <c r="I19" s="134">
        <v>120.29999999999998</v>
      </c>
      <c r="J19" s="134">
        <v>3.1999999999999993</v>
      </c>
      <c r="K19" s="134">
        <v>172.4</v>
      </c>
      <c r="L19" s="134">
        <v>1.1999999999999993</v>
      </c>
      <c r="M19" s="134">
        <v>230.40000000000003</v>
      </c>
      <c r="N19" s="134">
        <v>0</v>
      </c>
      <c r="O19" s="134">
        <v>289.20000000000005</v>
      </c>
      <c r="P19" s="134"/>
      <c r="Q19" s="134"/>
      <c r="R19" s="134"/>
      <c r="T19" s="132">
        <f t="shared" si="13"/>
        <v>2015</v>
      </c>
      <c r="U19" s="132">
        <f t="shared" ca="1" si="0"/>
        <v>820.9</v>
      </c>
      <c r="V19" s="132">
        <f t="shared" ca="1" si="1"/>
        <v>871</v>
      </c>
      <c r="W19" s="132">
        <f t="shared" ca="1" si="1"/>
        <v>643.4</v>
      </c>
      <c r="X19" s="132">
        <f t="shared" ca="1" si="1"/>
        <v>359.8</v>
      </c>
      <c r="Y19" s="132">
        <f t="shared" ca="1" si="1"/>
        <v>127.1</v>
      </c>
      <c r="Z19" s="132">
        <f t="shared" ca="1" si="1"/>
        <v>75.999999999999986</v>
      </c>
      <c r="AA19" s="132">
        <f t="shared" ca="1" si="1"/>
        <v>15.700000000000003</v>
      </c>
      <c r="AB19" s="132">
        <f t="shared" ca="1" si="1"/>
        <v>16.799999999999994</v>
      </c>
      <c r="AC19" s="132">
        <f t="shared" ca="1" si="1"/>
        <v>50.400000000000006</v>
      </c>
      <c r="AD19" s="132">
        <f t="shared" ca="1" si="1"/>
        <v>268.49999999999994</v>
      </c>
      <c r="AE19" s="132">
        <f t="shared" ca="1" si="1"/>
        <v>363.7</v>
      </c>
      <c r="AF19" s="132">
        <f t="shared" ca="1" si="1"/>
        <v>462.8</v>
      </c>
      <c r="AH19" s="132">
        <f t="shared" si="14"/>
        <v>2015</v>
      </c>
      <c r="AI19" s="132">
        <f t="shared" ca="1" si="2"/>
        <v>758.9</v>
      </c>
      <c r="AJ19" s="132">
        <f t="shared" ca="1" si="3"/>
        <v>814.99999999999989</v>
      </c>
      <c r="AK19" s="132">
        <f t="shared" ca="1" si="3"/>
        <v>581.4</v>
      </c>
      <c r="AL19" s="132">
        <f t="shared" ca="1" si="3"/>
        <v>299.8</v>
      </c>
      <c r="AM19" s="132">
        <f t="shared" ca="1" si="3"/>
        <v>86.600000000000023</v>
      </c>
      <c r="AN19" s="132">
        <f t="shared" ca="1" si="3"/>
        <v>43.599999999999994</v>
      </c>
      <c r="AO19" s="132">
        <f t="shared" ca="1" si="3"/>
        <v>3.4000000000000021</v>
      </c>
      <c r="AP19" s="132">
        <f t="shared" ca="1" si="3"/>
        <v>1.3999999999999986</v>
      </c>
      <c r="AQ19" s="132">
        <f t="shared" ca="1" si="3"/>
        <v>24.200000000000006</v>
      </c>
      <c r="AR19" s="132">
        <f t="shared" ca="1" si="3"/>
        <v>207.39999999999995</v>
      </c>
      <c r="AS19" s="132">
        <f t="shared" ca="1" si="3"/>
        <v>303.70000000000005</v>
      </c>
      <c r="AT19" s="132">
        <f t="shared" ca="1" si="3"/>
        <v>400.79999999999995</v>
      </c>
      <c r="AU19" s="295">
        <f t="shared" ca="1" si="12"/>
        <v>3526.2</v>
      </c>
      <c r="AV19" s="132">
        <f t="shared" si="15"/>
        <v>2015</v>
      </c>
      <c r="AW19" s="132">
        <f t="shared" ca="1" si="4"/>
        <v>696.89999999999986</v>
      </c>
      <c r="AX19" s="132">
        <f t="shared" ca="1" si="5"/>
        <v>758.99999999999989</v>
      </c>
      <c r="AY19" s="132">
        <f t="shared" ca="1" si="5"/>
        <v>519.4</v>
      </c>
      <c r="AZ19" s="132">
        <f t="shared" ca="1" si="5"/>
        <v>240.10000000000002</v>
      </c>
      <c r="BA19" s="132">
        <f t="shared" ca="1" si="5"/>
        <v>54.4</v>
      </c>
      <c r="BB19" s="132">
        <f t="shared" ca="1" si="5"/>
        <v>21.500000000000004</v>
      </c>
      <c r="BC19" s="132">
        <f t="shared" ca="1" si="5"/>
        <v>0</v>
      </c>
      <c r="BD19" s="132">
        <f t="shared" ca="1" si="5"/>
        <v>0</v>
      </c>
      <c r="BE19" s="132">
        <f t="shared" ca="1" si="5"/>
        <v>7.5000000000000018</v>
      </c>
      <c r="BF19" s="132">
        <f t="shared" ca="1" si="5"/>
        <v>149.19999999999999</v>
      </c>
      <c r="BG19" s="132">
        <f t="shared" ca="1" si="5"/>
        <v>246.00000000000006</v>
      </c>
      <c r="BH19" s="132">
        <f t="shared" ca="1" si="5"/>
        <v>338.79999999999995</v>
      </c>
      <c r="BJ19" s="132">
        <f t="shared" si="16"/>
        <v>2015</v>
      </c>
      <c r="BK19" s="132">
        <f t="shared" ca="1" si="6"/>
        <v>634.9</v>
      </c>
      <c r="BL19" s="132">
        <f t="shared" ca="1" si="7"/>
        <v>703</v>
      </c>
      <c r="BM19" s="132">
        <f t="shared" ca="1" si="7"/>
        <v>457.4</v>
      </c>
      <c r="BN19" s="132">
        <f t="shared" ca="1" si="7"/>
        <v>184.5</v>
      </c>
      <c r="BO19" s="132">
        <f t="shared" ca="1" si="7"/>
        <v>28.699999999999996</v>
      </c>
      <c r="BP19" s="132">
        <f t="shared" ca="1" si="7"/>
        <v>7.7000000000000011</v>
      </c>
      <c r="BQ19" s="132">
        <f t="shared" ca="1" si="7"/>
        <v>0</v>
      </c>
      <c r="BR19" s="132">
        <f t="shared" ca="1" si="7"/>
        <v>0</v>
      </c>
      <c r="BS19" s="132">
        <f t="shared" ca="1" si="7"/>
        <v>0.90000000000000036</v>
      </c>
      <c r="BT19" s="132">
        <f t="shared" ca="1" si="7"/>
        <v>99.899999999999991</v>
      </c>
      <c r="BU19" s="132">
        <f t="shared" ca="1" si="7"/>
        <v>191.60000000000005</v>
      </c>
      <c r="BV19" s="132">
        <f t="shared" ca="1" si="7"/>
        <v>276.8</v>
      </c>
      <c r="BX19" s="132">
        <f t="shared" si="17"/>
        <v>2015</v>
      </c>
      <c r="BY19" s="132">
        <f t="shared" ca="1" si="8"/>
        <v>572.9</v>
      </c>
      <c r="BZ19" s="132">
        <f t="shared" ca="1" si="9"/>
        <v>647</v>
      </c>
      <c r="CA19" s="132">
        <f t="shared" ca="1" si="9"/>
        <v>395.4</v>
      </c>
      <c r="CB19" s="132">
        <f t="shared" ca="1" si="9"/>
        <v>131.79999999999998</v>
      </c>
      <c r="CC19" s="132">
        <f t="shared" ca="1" si="9"/>
        <v>11.5</v>
      </c>
      <c r="CD19" s="132">
        <f t="shared" ca="1" si="9"/>
        <v>1.4000000000000004</v>
      </c>
      <c r="CE19" s="132">
        <f t="shared" ca="1" si="9"/>
        <v>0</v>
      </c>
      <c r="CF19" s="132">
        <f t="shared" ca="1" si="9"/>
        <v>0</v>
      </c>
      <c r="CG19" s="132">
        <f t="shared" ca="1" si="9"/>
        <v>0</v>
      </c>
      <c r="CH19" s="132">
        <f t="shared" ca="1" si="9"/>
        <v>58.900000000000006</v>
      </c>
      <c r="CI19" s="132">
        <f t="shared" ca="1" si="9"/>
        <v>139.30000000000001</v>
      </c>
      <c r="CJ19" s="132">
        <f t="shared" ca="1" si="9"/>
        <v>214.79999999999998</v>
      </c>
      <c r="CL19" s="132">
        <f t="shared" si="18"/>
        <v>2015</v>
      </c>
      <c r="CM19" s="132">
        <f t="shared" ca="1" si="10"/>
        <v>510.90000000000003</v>
      </c>
      <c r="CN19" s="132">
        <f t="shared" ca="1" si="11"/>
        <v>590.99999999999989</v>
      </c>
      <c r="CO19" s="132">
        <f t="shared" ca="1" si="11"/>
        <v>333.4</v>
      </c>
      <c r="CP19" s="132">
        <f t="shared" ca="1" si="11"/>
        <v>85.899999999999977</v>
      </c>
      <c r="CQ19" s="132">
        <f t="shared" ca="1" si="11"/>
        <v>2.9000000000000004</v>
      </c>
      <c r="CR19" s="132">
        <f t="shared" ca="1" si="11"/>
        <v>0</v>
      </c>
      <c r="CS19" s="132">
        <f t="shared" ca="1" si="11"/>
        <v>0</v>
      </c>
      <c r="CT19" s="132">
        <f t="shared" ca="1" si="11"/>
        <v>0</v>
      </c>
      <c r="CU19" s="132">
        <f t="shared" ca="1" si="11"/>
        <v>0</v>
      </c>
      <c r="CV19" s="132">
        <f t="shared" ca="1" si="11"/>
        <v>32.599999999999994</v>
      </c>
      <c r="CW19" s="132">
        <f t="shared" ca="1" si="11"/>
        <v>94.999999999999986</v>
      </c>
      <c r="CX19" s="132">
        <f t="shared" ca="1" si="11"/>
        <v>156.19999999999999</v>
      </c>
    </row>
    <row r="20" spans="1:116" x14ac:dyDescent="0.2">
      <c r="A20" s="132">
        <v>2002</v>
      </c>
      <c r="B20" s="144">
        <v>7</v>
      </c>
      <c r="C20" s="144">
        <v>24.390322580645154</v>
      </c>
      <c r="D20" s="134">
        <v>3.5999999999999979</v>
      </c>
      <c r="E20" s="134">
        <v>139.69999999999999</v>
      </c>
      <c r="F20" s="134">
        <v>0</v>
      </c>
      <c r="G20" s="134">
        <v>198.10000000000008</v>
      </c>
      <c r="H20" s="134">
        <v>0</v>
      </c>
      <c r="I20" s="134">
        <v>260.10000000000008</v>
      </c>
      <c r="J20" s="134">
        <v>0</v>
      </c>
      <c r="K20" s="134">
        <v>322.10000000000008</v>
      </c>
      <c r="L20" s="134">
        <v>0</v>
      </c>
      <c r="M20" s="134">
        <v>384.10000000000014</v>
      </c>
      <c r="N20" s="134">
        <v>0</v>
      </c>
      <c r="O20" s="134">
        <v>446.10000000000014</v>
      </c>
      <c r="P20" s="134"/>
      <c r="Q20" s="134"/>
      <c r="R20" s="134"/>
      <c r="T20" s="132">
        <f t="shared" si="13"/>
        <v>2016</v>
      </c>
      <c r="U20" s="132">
        <f t="shared" ca="1" si="0"/>
        <v>699.5999999999998</v>
      </c>
      <c r="V20" s="132">
        <f t="shared" ca="1" si="1"/>
        <v>608.59999999999991</v>
      </c>
      <c r="W20" s="132">
        <f t="shared" ca="1" si="1"/>
        <v>495.59999999999997</v>
      </c>
      <c r="X20" s="132">
        <f t="shared" ca="1" si="1"/>
        <v>437.99999999999989</v>
      </c>
      <c r="Y20" s="132">
        <f t="shared" ca="1" si="1"/>
        <v>180.2</v>
      </c>
      <c r="Z20" s="132">
        <f t="shared" ca="1" si="1"/>
        <v>43.900000000000006</v>
      </c>
      <c r="AA20" s="132">
        <f t="shared" ca="1" si="1"/>
        <v>3.0999999999999979</v>
      </c>
      <c r="AB20" s="132">
        <f t="shared" ca="1" si="1"/>
        <v>0</v>
      </c>
      <c r="AC20" s="132">
        <f t="shared" ca="1" si="1"/>
        <v>49.100000000000009</v>
      </c>
      <c r="AD20" s="132">
        <f t="shared" ca="1" si="1"/>
        <v>223.5</v>
      </c>
      <c r="AE20" s="132">
        <f t="shared" ca="1" si="1"/>
        <v>371.99999999999989</v>
      </c>
      <c r="AF20" s="132">
        <f t="shared" ca="1" si="1"/>
        <v>653.00000000000011</v>
      </c>
      <c r="AH20" s="132">
        <f t="shared" si="14"/>
        <v>2016</v>
      </c>
      <c r="AI20" s="132">
        <f t="shared" ca="1" si="2"/>
        <v>637.5999999999998</v>
      </c>
      <c r="AJ20" s="132">
        <f t="shared" ca="1" si="3"/>
        <v>550.59999999999991</v>
      </c>
      <c r="AK20" s="132">
        <f t="shared" ca="1" si="3"/>
        <v>433.59999999999997</v>
      </c>
      <c r="AL20" s="132">
        <f t="shared" ca="1" si="3"/>
        <v>377.99999999999989</v>
      </c>
      <c r="AM20" s="132">
        <f t="shared" ca="1" si="3"/>
        <v>135.70000000000002</v>
      </c>
      <c r="AN20" s="132">
        <f t="shared" ca="1" si="3"/>
        <v>21.699999999999996</v>
      </c>
      <c r="AO20" s="132">
        <f t="shared" ca="1" si="3"/>
        <v>0</v>
      </c>
      <c r="AP20" s="132">
        <f t="shared" ca="1" si="3"/>
        <v>0</v>
      </c>
      <c r="AQ20" s="132">
        <f t="shared" ca="1" si="3"/>
        <v>22.199999999999996</v>
      </c>
      <c r="AR20" s="132">
        <f t="shared" ca="1" si="3"/>
        <v>171.3</v>
      </c>
      <c r="AS20" s="132">
        <f t="shared" ca="1" si="3"/>
        <v>311.99999999999994</v>
      </c>
      <c r="AT20" s="132">
        <f t="shared" ca="1" si="3"/>
        <v>591.00000000000011</v>
      </c>
      <c r="AU20" s="296">
        <f t="shared" ca="1" si="12"/>
        <v>3253.6999999999994</v>
      </c>
      <c r="AV20" s="132">
        <f t="shared" si="15"/>
        <v>2016</v>
      </c>
      <c r="AW20" s="132">
        <f t="shared" ca="1" si="4"/>
        <v>575.59999999999991</v>
      </c>
      <c r="AX20" s="132">
        <f t="shared" ca="1" si="5"/>
        <v>492.59999999999997</v>
      </c>
      <c r="AY20" s="132">
        <f t="shared" ca="1" si="5"/>
        <v>371.59999999999991</v>
      </c>
      <c r="AZ20" s="132">
        <f t="shared" ca="1" si="5"/>
        <v>318.49999999999989</v>
      </c>
      <c r="BA20" s="132">
        <f t="shared" ca="1" si="5"/>
        <v>96.200000000000017</v>
      </c>
      <c r="BB20" s="132">
        <f t="shared" ca="1" si="5"/>
        <v>6.8999999999999986</v>
      </c>
      <c r="BC20" s="132">
        <f t="shared" ca="1" si="5"/>
        <v>0</v>
      </c>
      <c r="BD20" s="132">
        <f t="shared" ca="1" si="5"/>
        <v>0</v>
      </c>
      <c r="BE20" s="132">
        <f t="shared" ca="1" si="5"/>
        <v>7.5999999999999979</v>
      </c>
      <c r="BF20" s="132">
        <f t="shared" ca="1" si="5"/>
        <v>124.30000000000001</v>
      </c>
      <c r="BG20" s="132">
        <f t="shared" ca="1" si="5"/>
        <v>251.99999999999994</v>
      </c>
      <c r="BH20" s="132">
        <f t="shared" ca="1" si="5"/>
        <v>529</v>
      </c>
      <c r="BJ20" s="132">
        <f t="shared" si="16"/>
        <v>2016</v>
      </c>
      <c r="BK20" s="132">
        <f t="shared" ca="1" si="6"/>
        <v>513.6</v>
      </c>
      <c r="BL20" s="132">
        <f t="shared" ca="1" si="7"/>
        <v>434.59999999999997</v>
      </c>
      <c r="BM20" s="132">
        <f t="shared" ca="1" si="7"/>
        <v>310.69999999999993</v>
      </c>
      <c r="BN20" s="132">
        <f t="shared" ca="1" si="7"/>
        <v>261.99999999999989</v>
      </c>
      <c r="BO20" s="132">
        <f t="shared" ca="1" si="7"/>
        <v>59.5</v>
      </c>
      <c r="BP20" s="132">
        <f t="shared" ca="1" si="7"/>
        <v>2</v>
      </c>
      <c r="BQ20" s="132">
        <f t="shared" ca="1" si="7"/>
        <v>0</v>
      </c>
      <c r="BR20" s="132">
        <f t="shared" ca="1" si="7"/>
        <v>0</v>
      </c>
      <c r="BS20" s="132">
        <f t="shared" ca="1" si="7"/>
        <v>0.5</v>
      </c>
      <c r="BT20" s="132">
        <f t="shared" ca="1" si="7"/>
        <v>86.600000000000009</v>
      </c>
      <c r="BU20" s="132">
        <f t="shared" ca="1" si="7"/>
        <v>192.99999999999997</v>
      </c>
      <c r="BV20" s="132">
        <f t="shared" ca="1" si="7"/>
        <v>467</v>
      </c>
      <c r="BX20" s="132">
        <f t="shared" si="17"/>
        <v>2016</v>
      </c>
      <c r="BY20" s="132">
        <f t="shared" ca="1" si="8"/>
        <v>451.6</v>
      </c>
      <c r="BZ20" s="132">
        <f t="shared" ca="1" si="9"/>
        <v>376.59999999999997</v>
      </c>
      <c r="CA20" s="132">
        <f t="shared" ca="1" si="9"/>
        <v>251.49999999999991</v>
      </c>
      <c r="CB20" s="132">
        <f t="shared" ca="1" si="9"/>
        <v>206.2999999999999</v>
      </c>
      <c r="CC20" s="132">
        <f t="shared" ca="1" si="9"/>
        <v>30.799999999999997</v>
      </c>
      <c r="CD20" s="132">
        <f t="shared" ca="1" si="9"/>
        <v>0</v>
      </c>
      <c r="CE20" s="132">
        <f t="shared" ca="1" si="9"/>
        <v>0</v>
      </c>
      <c r="CF20" s="132">
        <f t="shared" ca="1" si="9"/>
        <v>0</v>
      </c>
      <c r="CG20" s="132">
        <f t="shared" ca="1" si="9"/>
        <v>0</v>
      </c>
      <c r="CH20" s="132">
        <f t="shared" ca="1" si="9"/>
        <v>55.5</v>
      </c>
      <c r="CI20" s="132">
        <f t="shared" ca="1" si="9"/>
        <v>137.5</v>
      </c>
      <c r="CJ20" s="132">
        <f t="shared" ca="1" si="9"/>
        <v>405</v>
      </c>
      <c r="CL20" s="132">
        <f t="shared" si="18"/>
        <v>2016</v>
      </c>
      <c r="CM20" s="132">
        <f t="shared" ca="1" si="10"/>
        <v>389.6</v>
      </c>
      <c r="CN20" s="132">
        <f t="shared" ca="1" si="11"/>
        <v>318.60000000000008</v>
      </c>
      <c r="CO20" s="132">
        <f t="shared" ca="1" si="11"/>
        <v>194.59999999999994</v>
      </c>
      <c r="CP20" s="132">
        <f t="shared" ca="1" si="11"/>
        <v>153.59999999999997</v>
      </c>
      <c r="CQ20" s="132">
        <f t="shared" ca="1" si="11"/>
        <v>11.299999999999999</v>
      </c>
      <c r="CR20" s="132">
        <f t="shared" ca="1" si="11"/>
        <v>0</v>
      </c>
      <c r="CS20" s="132">
        <f t="shared" ca="1" si="11"/>
        <v>0</v>
      </c>
      <c r="CT20" s="132">
        <f t="shared" ca="1" si="11"/>
        <v>0</v>
      </c>
      <c r="CU20" s="132">
        <f t="shared" ca="1" si="11"/>
        <v>0</v>
      </c>
      <c r="CV20" s="132">
        <f t="shared" ca="1" si="11"/>
        <v>29.999999999999996</v>
      </c>
      <c r="CW20" s="132">
        <f t="shared" ca="1" si="11"/>
        <v>91.800000000000011</v>
      </c>
      <c r="CX20" s="132">
        <f t="shared" ca="1" si="11"/>
        <v>343</v>
      </c>
    </row>
    <row r="21" spans="1:116" x14ac:dyDescent="0.2">
      <c r="A21" s="132">
        <v>2002</v>
      </c>
      <c r="B21" s="144">
        <v>8</v>
      </c>
      <c r="C21" s="144">
        <v>23.309677419354834</v>
      </c>
      <c r="D21" s="134">
        <v>2.6999999999999993</v>
      </c>
      <c r="E21" s="134">
        <v>105.29999999999998</v>
      </c>
      <c r="F21" s="134">
        <v>0</v>
      </c>
      <c r="G21" s="134">
        <v>164.60000000000002</v>
      </c>
      <c r="H21" s="134">
        <v>0</v>
      </c>
      <c r="I21" s="134">
        <v>226.60000000000002</v>
      </c>
      <c r="J21" s="134">
        <v>0</v>
      </c>
      <c r="K21" s="134">
        <v>288.60000000000008</v>
      </c>
      <c r="L21" s="134">
        <v>0</v>
      </c>
      <c r="M21" s="134">
        <v>350.60000000000008</v>
      </c>
      <c r="N21" s="134">
        <v>0</v>
      </c>
      <c r="O21" s="134">
        <v>412.60000000000008</v>
      </c>
      <c r="P21" s="134"/>
      <c r="Q21" s="134"/>
      <c r="R21" s="134"/>
      <c r="T21" s="132">
        <f t="shared" si="13"/>
        <v>2017</v>
      </c>
      <c r="U21" s="132">
        <f t="shared" ca="1" si="0"/>
        <v>648.09999999999991</v>
      </c>
      <c r="V21" s="132">
        <f t="shared" ref="V21:AF24" ca="1" si="19">OFFSET($D$2,(ROW()-5)*12+COLUMN()-21,0)</f>
        <v>527.30000000000007</v>
      </c>
      <c r="W21" s="132">
        <f t="shared" ca="1" si="19"/>
        <v>602.60000000000014</v>
      </c>
      <c r="X21" s="132">
        <f t="shared" ca="1" si="19"/>
        <v>315.99999999999989</v>
      </c>
      <c r="Y21" s="132">
        <f t="shared" ca="1" si="19"/>
        <v>229.69999999999987</v>
      </c>
      <c r="Z21" s="132">
        <f t="shared" ca="1" si="19"/>
        <v>51.400000000000006</v>
      </c>
      <c r="AA21" s="132">
        <f t="shared" ca="1" si="19"/>
        <v>3.3999999999999986</v>
      </c>
      <c r="AB21" s="132">
        <f t="shared" ca="1" si="19"/>
        <v>18.499999999999993</v>
      </c>
      <c r="AC21" s="132">
        <f t="shared" ca="1" si="19"/>
        <v>72.300000000000011</v>
      </c>
      <c r="AD21" s="132">
        <f t="shared" ca="1" si="19"/>
        <v>179.29999999999998</v>
      </c>
      <c r="AE21" s="132">
        <f t="shared" ca="1" si="19"/>
        <v>470.7</v>
      </c>
      <c r="AF21" s="132">
        <f t="shared" ca="1" si="19"/>
        <v>737.29999999999973</v>
      </c>
      <c r="AH21" s="132">
        <f t="shared" si="14"/>
        <v>2017</v>
      </c>
      <c r="AI21" s="132">
        <f t="shared" ca="1" si="2"/>
        <v>586.0999999999998</v>
      </c>
      <c r="AJ21" s="132">
        <f t="shared" ref="AJ21:AT24" ca="1" si="20">OFFSET($F$2,(ROW()-5)*12+COLUMN()-35,0)</f>
        <v>471.3</v>
      </c>
      <c r="AK21" s="132">
        <f t="shared" ca="1" si="20"/>
        <v>540.6</v>
      </c>
      <c r="AL21" s="132">
        <f t="shared" ca="1" si="20"/>
        <v>257.2999999999999</v>
      </c>
      <c r="AM21" s="132">
        <f t="shared" ca="1" si="20"/>
        <v>174.89999999999998</v>
      </c>
      <c r="AN21" s="132">
        <f t="shared" ca="1" si="20"/>
        <v>21.199999999999996</v>
      </c>
      <c r="AO21" s="132">
        <f t="shared" ca="1" si="20"/>
        <v>0</v>
      </c>
      <c r="AP21" s="132">
        <f t="shared" ca="1" si="20"/>
        <v>4.7999999999999972</v>
      </c>
      <c r="AQ21" s="132">
        <f t="shared" ca="1" si="20"/>
        <v>42.3</v>
      </c>
      <c r="AR21" s="132">
        <f t="shared" ca="1" si="20"/>
        <v>126.9</v>
      </c>
      <c r="AS21" s="132">
        <f t="shared" ca="1" si="20"/>
        <v>410.7</v>
      </c>
      <c r="AT21" s="132">
        <f t="shared" ca="1" si="20"/>
        <v>675.29999999999984</v>
      </c>
      <c r="AU21" s="296">
        <f t="shared" ca="1" si="12"/>
        <v>3311.3999999999996</v>
      </c>
      <c r="AV21" s="132">
        <f t="shared" si="15"/>
        <v>2017</v>
      </c>
      <c r="AW21" s="132">
        <f t="shared" ca="1" si="4"/>
        <v>524.09999999999991</v>
      </c>
      <c r="AX21" s="132">
        <f t="shared" ref="AX21:BH24" ca="1" si="21">OFFSET($H$2,(ROW()-5)*12+COLUMN()-49,0)</f>
        <v>415.3</v>
      </c>
      <c r="AY21" s="132">
        <f t="shared" ca="1" si="21"/>
        <v>478.59999999999997</v>
      </c>
      <c r="AZ21" s="132">
        <f t="shared" ca="1" si="21"/>
        <v>201.29999999999995</v>
      </c>
      <c r="BA21" s="132">
        <f t="shared" ca="1" si="21"/>
        <v>124.90000000000002</v>
      </c>
      <c r="BB21" s="132">
        <f t="shared" ca="1" si="21"/>
        <v>5.5999999999999979</v>
      </c>
      <c r="BC21" s="132">
        <f t="shared" ca="1" si="21"/>
        <v>0</v>
      </c>
      <c r="BD21" s="132">
        <f t="shared" ca="1" si="21"/>
        <v>0</v>
      </c>
      <c r="BE21" s="132">
        <f t="shared" ca="1" si="21"/>
        <v>18.399999999999995</v>
      </c>
      <c r="BF21" s="132">
        <f t="shared" ca="1" si="21"/>
        <v>90.100000000000009</v>
      </c>
      <c r="BG21" s="132">
        <f t="shared" ca="1" si="21"/>
        <v>350.69999999999993</v>
      </c>
      <c r="BH21" s="132">
        <f t="shared" ca="1" si="21"/>
        <v>613.29999999999995</v>
      </c>
      <c r="BJ21" s="132">
        <f t="shared" si="16"/>
        <v>2017</v>
      </c>
      <c r="BK21" s="132">
        <f t="shared" ca="1" si="6"/>
        <v>462.09999999999991</v>
      </c>
      <c r="BL21" s="132">
        <f t="shared" ref="BL21:BV24" ca="1" si="22">OFFSET($J$2,(ROW()-5)*12+COLUMN()-63,0)</f>
        <v>359.6</v>
      </c>
      <c r="BM21" s="132">
        <f t="shared" ca="1" si="22"/>
        <v>416.59999999999997</v>
      </c>
      <c r="BN21" s="132">
        <f t="shared" ca="1" si="22"/>
        <v>147.1</v>
      </c>
      <c r="BO21" s="132">
        <f t="shared" ca="1" si="22"/>
        <v>79.300000000000011</v>
      </c>
      <c r="BP21" s="132">
        <f t="shared" ca="1" si="22"/>
        <v>0</v>
      </c>
      <c r="BQ21" s="132">
        <f t="shared" ca="1" si="22"/>
        <v>0</v>
      </c>
      <c r="BR21" s="132">
        <f t="shared" ca="1" si="22"/>
        <v>0</v>
      </c>
      <c r="BS21" s="132">
        <f t="shared" ca="1" si="22"/>
        <v>2.8999999999999986</v>
      </c>
      <c r="BT21" s="132">
        <f t="shared" ca="1" si="22"/>
        <v>60.600000000000009</v>
      </c>
      <c r="BU21" s="132">
        <f t="shared" ca="1" si="22"/>
        <v>290.69999999999993</v>
      </c>
      <c r="BV21" s="132">
        <f t="shared" ca="1" si="22"/>
        <v>551.30000000000007</v>
      </c>
      <c r="BX21" s="132">
        <f t="shared" si="17"/>
        <v>2017</v>
      </c>
      <c r="BY21" s="132">
        <f t="shared" ca="1" si="8"/>
        <v>400.09999999999997</v>
      </c>
      <c r="BZ21" s="132">
        <f t="shared" ref="BZ21:CJ24" ca="1" si="23">OFFSET($L$2,(ROW()-5)*12+COLUMN()-77,0)</f>
        <v>305.60000000000002</v>
      </c>
      <c r="CA21" s="132">
        <f t="shared" ca="1" si="23"/>
        <v>354.59999999999997</v>
      </c>
      <c r="CB21" s="132">
        <f t="shared" ca="1" si="23"/>
        <v>96.40000000000002</v>
      </c>
      <c r="CC21" s="132">
        <f t="shared" ca="1" si="23"/>
        <v>45.900000000000006</v>
      </c>
      <c r="CD21" s="132">
        <f t="shared" ca="1" si="23"/>
        <v>0</v>
      </c>
      <c r="CE21" s="132">
        <f t="shared" ca="1" si="23"/>
        <v>0</v>
      </c>
      <c r="CF21" s="132">
        <f t="shared" ca="1" si="23"/>
        <v>0</v>
      </c>
      <c r="CG21" s="132">
        <f t="shared" ca="1" si="23"/>
        <v>0.69999999999999929</v>
      </c>
      <c r="CH21" s="132">
        <f t="shared" ca="1" si="23"/>
        <v>36</v>
      </c>
      <c r="CI21" s="132">
        <f t="shared" ca="1" si="23"/>
        <v>230.69999999999996</v>
      </c>
      <c r="CJ21" s="132">
        <f t="shared" ca="1" si="23"/>
        <v>489.30000000000007</v>
      </c>
      <c r="CL21" s="132">
        <f t="shared" si="18"/>
        <v>2017</v>
      </c>
      <c r="CM21" s="132">
        <f t="shared" ca="1" si="10"/>
        <v>338.09999999999997</v>
      </c>
      <c r="CN21" s="132">
        <f t="shared" ref="CN21:CX24" ca="1" si="24">OFFSET($N$2,(ROW()-5)*12+COLUMN()-91,0)</f>
        <v>251.6</v>
      </c>
      <c r="CO21" s="132">
        <f t="shared" ca="1" si="24"/>
        <v>293.39999999999998</v>
      </c>
      <c r="CP21" s="132">
        <f t="shared" ca="1" si="24"/>
        <v>55.600000000000023</v>
      </c>
      <c r="CQ21" s="132">
        <f t="shared" ca="1" si="24"/>
        <v>20.7</v>
      </c>
      <c r="CR21" s="132">
        <f t="shared" ca="1" si="24"/>
        <v>0</v>
      </c>
      <c r="CS21" s="132">
        <f t="shared" ca="1" si="24"/>
        <v>0</v>
      </c>
      <c r="CT21" s="132">
        <f t="shared" ca="1" si="24"/>
        <v>0</v>
      </c>
      <c r="CU21" s="132">
        <f t="shared" ca="1" si="24"/>
        <v>0</v>
      </c>
      <c r="CV21" s="132">
        <f t="shared" ca="1" si="24"/>
        <v>16.600000000000001</v>
      </c>
      <c r="CW21" s="132">
        <f t="shared" ca="1" si="24"/>
        <v>173</v>
      </c>
      <c r="CX21" s="132">
        <f t="shared" ca="1" si="24"/>
        <v>427.30000000000007</v>
      </c>
    </row>
    <row r="22" spans="1:116" x14ac:dyDescent="0.2">
      <c r="A22" s="132">
        <v>2002</v>
      </c>
      <c r="B22" s="144">
        <v>9</v>
      </c>
      <c r="C22" s="144">
        <v>21.129999999999995</v>
      </c>
      <c r="D22" s="134">
        <v>30.999999999999996</v>
      </c>
      <c r="E22" s="134">
        <v>64.899999999999977</v>
      </c>
      <c r="F22" s="134">
        <v>13.499999999999996</v>
      </c>
      <c r="G22" s="134">
        <v>107.39999999999998</v>
      </c>
      <c r="H22" s="134">
        <v>2.8999999999999986</v>
      </c>
      <c r="I22" s="134">
        <v>156.80000000000004</v>
      </c>
      <c r="J22" s="134">
        <v>0</v>
      </c>
      <c r="K22" s="134">
        <v>213.90000000000009</v>
      </c>
      <c r="L22" s="134">
        <v>0</v>
      </c>
      <c r="M22" s="134">
        <v>273.90000000000009</v>
      </c>
      <c r="N22" s="134">
        <v>0</v>
      </c>
      <c r="O22" s="134">
        <v>333.90000000000015</v>
      </c>
      <c r="P22" s="134"/>
      <c r="Q22" s="134"/>
      <c r="R22" s="134"/>
      <c r="T22" s="132">
        <f t="shared" si="13"/>
        <v>2018</v>
      </c>
      <c r="U22" s="132">
        <f t="shared" ca="1" si="0"/>
        <v>760.60000000000014</v>
      </c>
      <c r="V22" s="132">
        <f t="shared" ca="1" si="19"/>
        <v>573.9000000000002</v>
      </c>
      <c r="W22" s="132">
        <f t="shared" ca="1" si="19"/>
        <v>608.10000000000014</v>
      </c>
      <c r="X22" s="132">
        <f t="shared" ca="1" si="19"/>
        <v>485.7</v>
      </c>
      <c r="Y22" s="132">
        <f t="shared" ca="1" si="19"/>
        <v>125.60000000000002</v>
      </c>
      <c r="Z22" s="132">
        <f t="shared" ca="1" si="19"/>
        <v>53.500000000000014</v>
      </c>
      <c r="AA22" s="132">
        <f t="shared" ca="1" si="19"/>
        <v>1</v>
      </c>
      <c r="AB22" s="132">
        <f t="shared" ca="1" si="19"/>
        <v>4.1999999999999993</v>
      </c>
      <c r="AC22" s="132">
        <f t="shared" ca="1" si="19"/>
        <v>70.800000000000011</v>
      </c>
      <c r="AD22" s="132">
        <f t="shared" ca="1" si="19"/>
        <v>298.89999999999992</v>
      </c>
      <c r="AE22" s="132">
        <f t="shared" ca="1" si="19"/>
        <v>534.40000000000009</v>
      </c>
      <c r="AF22" s="132">
        <f t="shared" ca="1" si="19"/>
        <v>602.09999999999991</v>
      </c>
      <c r="AH22" s="132">
        <f t="shared" si="14"/>
        <v>2018</v>
      </c>
      <c r="AI22" s="132">
        <f t="shared" ca="1" si="2"/>
        <v>698.6</v>
      </c>
      <c r="AJ22" s="132">
        <f t="shared" ca="1" si="20"/>
        <v>517.90000000000009</v>
      </c>
      <c r="AK22" s="132">
        <f t="shared" ca="1" si="20"/>
        <v>546.1</v>
      </c>
      <c r="AL22" s="132">
        <f t="shared" ca="1" si="20"/>
        <v>425.69999999999993</v>
      </c>
      <c r="AM22" s="132">
        <f t="shared" ca="1" si="20"/>
        <v>81.700000000000017</v>
      </c>
      <c r="AN22" s="132">
        <f t="shared" ca="1" si="20"/>
        <v>19.699999999999992</v>
      </c>
      <c r="AO22" s="132">
        <f t="shared" ca="1" si="20"/>
        <v>0</v>
      </c>
      <c r="AP22" s="132">
        <f t="shared" ca="1" si="20"/>
        <v>0.5</v>
      </c>
      <c r="AQ22" s="132">
        <f t="shared" ca="1" si="20"/>
        <v>41.2</v>
      </c>
      <c r="AR22" s="132">
        <f t="shared" ca="1" si="20"/>
        <v>241.39999999999992</v>
      </c>
      <c r="AS22" s="132">
        <f t="shared" ca="1" si="20"/>
        <v>474.4</v>
      </c>
      <c r="AT22" s="132">
        <f t="shared" ca="1" si="20"/>
        <v>540.1</v>
      </c>
      <c r="AU22" s="296">
        <f t="shared" ca="1" si="12"/>
        <v>3587.2999999999993</v>
      </c>
      <c r="AV22" s="132">
        <f t="shared" si="15"/>
        <v>2018</v>
      </c>
      <c r="AW22" s="132">
        <f t="shared" ca="1" si="4"/>
        <v>636.6</v>
      </c>
      <c r="AX22" s="132">
        <f t="shared" ca="1" si="21"/>
        <v>461.90000000000003</v>
      </c>
      <c r="AY22" s="132">
        <f t="shared" ca="1" si="21"/>
        <v>484.09999999999997</v>
      </c>
      <c r="AZ22" s="132">
        <f t="shared" ca="1" si="21"/>
        <v>365.69999999999993</v>
      </c>
      <c r="BA22" s="132">
        <f t="shared" ca="1" si="21"/>
        <v>48.800000000000011</v>
      </c>
      <c r="BB22" s="132">
        <f t="shared" ca="1" si="21"/>
        <v>5.0999999999999979</v>
      </c>
      <c r="BC22" s="132">
        <f t="shared" ca="1" si="21"/>
        <v>0</v>
      </c>
      <c r="BD22" s="132">
        <f t="shared" ca="1" si="21"/>
        <v>0</v>
      </c>
      <c r="BE22" s="132">
        <f t="shared" ca="1" si="21"/>
        <v>21.299999999999997</v>
      </c>
      <c r="BF22" s="132">
        <f t="shared" ca="1" si="21"/>
        <v>187.99999999999994</v>
      </c>
      <c r="BG22" s="132">
        <f t="shared" ca="1" si="21"/>
        <v>414.4</v>
      </c>
      <c r="BH22" s="132">
        <f t="shared" ca="1" si="21"/>
        <v>478.09999999999997</v>
      </c>
      <c r="BJ22" s="132">
        <f t="shared" si="16"/>
        <v>2018</v>
      </c>
      <c r="BK22" s="132">
        <f t="shared" ca="1" si="6"/>
        <v>574.59999999999991</v>
      </c>
      <c r="BL22" s="132">
        <f t="shared" ca="1" si="22"/>
        <v>405.90000000000003</v>
      </c>
      <c r="BM22" s="132">
        <f t="shared" ca="1" si="22"/>
        <v>422.09999999999997</v>
      </c>
      <c r="BN22" s="132">
        <f t="shared" ca="1" si="22"/>
        <v>305.69999999999993</v>
      </c>
      <c r="BO22" s="132">
        <f t="shared" ca="1" si="22"/>
        <v>25.199999999999996</v>
      </c>
      <c r="BP22" s="132">
        <f t="shared" ca="1" si="22"/>
        <v>0.69999999999999929</v>
      </c>
      <c r="BQ22" s="132">
        <f t="shared" ca="1" si="22"/>
        <v>0</v>
      </c>
      <c r="BR22" s="132">
        <f t="shared" ca="1" si="22"/>
        <v>0</v>
      </c>
      <c r="BS22" s="132">
        <f t="shared" ca="1" si="22"/>
        <v>6.5999999999999979</v>
      </c>
      <c r="BT22" s="132">
        <f t="shared" ca="1" si="22"/>
        <v>139.6</v>
      </c>
      <c r="BU22" s="132">
        <f t="shared" ca="1" si="22"/>
        <v>354.4</v>
      </c>
      <c r="BV22" s="132">
        <f t="shared" ca="1" si="22"/>
        <v>416.09999999999997</v>
      </c>
      <c r="BX22" s="132">
        <f t="shared" si="17"/>
        <v>2018</v>
      </c>
      <c r="BY22" s="132">
        <f t="shared" ca="1" si="8"/>
        <v>512.59999999999991</v>
      </c>
      <c r="BZ22" s="132">
        <f t="shared" ca="1" si="23"/>
        <v>349.9</v>
      </c>
      <c r="CA22" s="132">
        <f t="shared" ca="1" si="23"/>
        <v>360.09999999999997</v>
      </c>
      <c r="CB22" s="132">
        <f t="shared" ca="1" si="23"/>
        <v>245.69999999999993</v>
      </c>
      <c r="CC22" s="132">
        <f t="shared" ca="1" si="23"/>
        <v>9.8999999999999986</v>
      </c>
      <c r="CD22" s="132">
        <f t="shared" ca="1" si="23"/>
        <v>0</v>
      </c>
      <c r="CE22" s="132">
        <f t="shared" ca="1" si="23"/>
        <v>0</v>
      </c>
      <c r="CF22" s="132">
        <f t="shared" ca="1" si="23"/>
        <v>0</v>
      </c>
      <c r="CG22" s="132">
        <f t="shared" ca="1" si="23"/>
        <v>0.19999999999999929</v>
      </c>
      <c r="CH22" s="132">
        <f t="shared" ca="1" si="23"/>
        <v>95.100000000000009</v>
      </c>
      <c r="CI22" s="132">
        <f t="shared" ca="1" si="23"/>
        <v>295.7</v>
      </c>
      <c r="CJ22" s="132">
        <f t="shared" ca="1" si="23"/>
        <v>354.09999999999997</v>
      </c>
      <c r="CL22" s="132">
        <f t="shared" si="18"/>
        <v>2018</v>
      </c>
      <c r="CM22" s="132">
        <f t="shared" ca="1" si="10"/>
        <v>450.59999999999997</v>
      </c>
      <c r="CN22" s="132">
        <f t="shared" ca="1" si="24"/>
        <v>294.39999999999998</v>
      </c>
      <c r="CO22" s="132">
        <f t="shared" ca="1" si="24"/>
        <v>298.09999999999997</v>
      </c>
      <c r="CP22" s="132">
        <f t="shared" ca="1" si="24"/>
        <v>187.19999999999993</v>
      </c>
      <c r="CQ22" s="132">
        <f t="shared" ca="1" si="24"/>
        <v>3</v>
      </c>
      <c r="CR22" s="132">
        <f t="shared" ca="1" si="24"/>
        <v>0</v>
      </c>
      <c r="CS22" s="132">
        <f t="shared" ca="1" si="24"/>
        <v>0</v>
      </c>
      <c r="CT22" s="132">
        <f t="shared" ca="1" si="24"/>
        <v>0</v>
      </c>
      <c r="CU22" s="132">
        <f t="shared" ca="1" si="24"/>
        <v>0</v>
      </c>
      <c r="CV22" s="132">
        <f t="shared" ca="1" si="24"/>
        <v>54.800000000000011</v>
      </c>
      <c r="CW22" s="132">
        <f t="shared" ca="1" si="24"/>
        <v>237.7</v>
      </c>
      <c r="CX22" s="132">
        <f t="shared" ca="1" si="24"/>
        <v>292.09999999999997</v>
      </c>
    </row>
    <row r="23" spans="1:116" x14ac:dyDescent="0.2">
      <c r="A23" s="132">
        <v>2002</v>
      </c>
      <c r="B23" s="144">
        <v>10</v>
      </c>
      <c r="C23" s="144">
        <v>10.309677419354843</v>
      </c>
      <c r="D23" s="134">
        <v>307.89999999999998</v>
      </c>
      <c r="E23" s="134">
        <v>7.5</v>
      </c>
      <c r="F23" s="134">
        <v>251.89999999999995</v>
      </c>
      <c r="G23" s="134">
        <v>13.5</v>
      </c>
      <c r="H23" s="134">
        <v>196.7</v>
      </c>
      <c r="I23" s="134">
        <v>20.3</v>
      </c>
      <c r="J23" s="134">
        <v>146.69999999999999</v>
      </c>
      <c r="K23" s="134">
        <v>32.299999999999997</v>
      </c>
      <c r="L23" s="134">
        <v>104.30000000000001</v>
      </c>
      <c r="M23" s="134">
        <v>51.899999999999991</v>
      </c>
      <c r="N23" s="134">
        <v>67.100000000000009</v>
      </c>
      <c r="O23" s="134">
        <v>76.699999999999989</v>
      </c>
      <c r="P23" s="134"/>
      <c r="Q23" s="134"/>
      <c r="R23" s="134"/>
      <c r="T23" s="132">
        <f t="shared" si="13"/>
        <v>2019</v>
      </c>
      <c r="U23" s="132">
        <f t="shared" ca="1" si="0"/>
        <v>785.19999999999982</v>
      </c>
      <c r="V23" s="132">
        <f t="shared" ca="1" si="19"/>
        <v>638.79999999999995</v>
      </c>
      <c r="W23" s="132">
        <f t="shared" ca="1" si="19"/>
        <v>610</v>
      </c>
      <c r="X23" s="132">
        <f t="shared" ca="1" si="19"/>
        <v>400.79999999999984</v>
      </c>
      <c r="Y23" s="132">
        <f t="shared" ca="1" si="19"/>
        <v>240.7999999999999</v>
      </c>
      <c r="Z23" s="132">
        <f t="shared" ca="1" si="19"/>
        <v>76.300000000000011</v>
      </c>
      <c r="AA23" s="132">
        <f t="shared" ca="1" si="19"/>
        <v>1.1999999999999993</v>
      </c>
      <c r="AB23" s="132">
        <f t="shared" ca="1" si="19"/>
        <v>8.9999999999999964</v>
      </c>
      <c r="AC23" s="132">
        <f t="shared" ca="1" si="19"/>
        <v>58.2</v>
      </c>
      <c r="AD23" s="132">
        <f t="shared" ca="1" si="19"/>
        <v>267.5</v>
      </c>
      <c r="AE23" s="132">
        <f t="shared" ca="1" si="19"/>
        <v>545.19999999999993</v>
      </c>
      <c r="AF23" s="132">
        <f t="shared" ca="1" si="19"/>
        <v>617.70000000000016</v>
      </c>
      <c r="AH23" s="132">
        <f t="shared" si="14"/>
        <v>2019</v>
      </c>
      <c r="AI23" s="132">
        <f t="shared" ca="1" si="2"/>
        <v>723.19999999999982</v>
      </c>
      <c r="AJ23" s="132">
        <f t="shared" ca="1" si="20"/>
        <v>582.79999999999995</v>
      </c>
      <c r="AK23" s="132">
        <f t="shared" ca="1" si="20"/>
        <v>548</v>
      </c>
      <c r="AL23" s="132">
        <f t="shared" ca="1" si="20"/>
        <v>340.79999999999984</v>
      </c>
      <c r="AM23" s="132">
        <f t="shared" ca="1" si="20"/>
        <v>181.09999999999991</v>
      </c>
      <c r="AN23" s="132">
        <f t="shared" ca="1" si="20"/>
        <v>36.399999999999991</v>
      </c>
      <c r="AO23" s="132">
        <f t="shared" ca="1" si="20"/>
        <v>0</v>
      </c>
      <c r="AP23" s="132">
        <f t="shared" ca="1" si="20"/>
        <v>1.1999999999999993</v>
      </c>
      <c r="AQ23" s="132">
        <f t="shared" ca="1" si="20"/>
        <v>21.199999999999996</v>
      </c>
      <c r="AR23" s="132">
        <f t="shared" ca="1" si="20"/>
        <v>207.5</v>
      </c>
      <c r="AS23" s="132">
        <f t="shared" ca="1" si="20"/>
        <v>485.2</v>
      </c>
      <c r="AT23" s="132">
        <f t="shared" ca="1" si="20"/>
        <v>555.70000000000005</v>
      </c>
      <c r="AU23" s="296">
        <f t="shared" ca="1" si="12"/>
        <v>3683.0999999999995</v>
      </c>
      <c r="AV23" s="132">
        <f t="shared" si="15"/>
        <v>2019</v>
      </c>
      <c r="AW23" s="132">
        <f t="shared" ca="1" si="4"/>
        <v>661.19999999999982</v>
      </c>
      <c r="AX23" s="132">
        <f t="shared" ca="1" si="21"/>
        <v>526.80000000000007</v>
      </c>
      <c r="AY23" s="132">
        <f t="shared" ca="1" si="21"/>
        <v>485.99999999999994</v>
      </c>
      <c r="AZ23" s="132">
        <f t="shared" ca="1" si="21"/>
        <v>280.7999999999999</v>
      </c>
      <c r="BA23" s="132">
        <f t="shared" ca="1" si="21"/>
        <v>128.50000000000003</v>
      </c>
      <c r="BB23" s="132">
        <f t="shared" ca="1" si="21"/>
        <v>11.099999999999998</v>
      </c>
      <c r="BC23" s="132">
        <f t="shared" ca="1" si="21"/>
        <v>0</v>
      </c>
      <c r="BD23" s="132">
        <f t="shared" ca="1" si="21"/>
        <v>0</v>
      </c>
      <c r="BE23" s="132">
        <f t="shared" ca="1" si="21"/>
        <v>1.6999999999999993</v>
      </c>
      <c r="BF23" s="132">
        <f t="shared" ca="1" si="21"/>
        <v>147.5</v>
      </c>
      <c r="BG23" s="132">
        <f t="shared" ca="1" si="21"/>
        <v>425.2</v>
      </c>
      <c r="BH23" s="132">
        <f t="shared" ca="1" si="21"/>
        <v>493.69999999999987</v>
      </c>
      <c r="BJ23" s="132">
        <f t="shared" si="16"/>
        <v>2019</v>
      </c>
      <c r="BK23" s="132">
        <f t="shared" ca="1" si="6"/>
        <v>599.19999999999993</v>
      </c>
      <c r="BL23" s="132">
        <f t="shared" ca="1" si="22"/>
        <v>470.80000000000007</v>
      </c>
      <c r="BM23" s="132">
        <f t="shared" ca="1" si="22"/>
        <v>423.99999999999989</v>
      </c>
      <c r="BN23" s="132">
        <f t="shared" ca="1" si="22"/>
        <v>220.7999999999999</v>
      </c>
      <c r="BO23" s="132">
        <f t="shared" ca="1" si="22"/>
        <v>87.100000000000023</v>
      </c>
      <c r="BP23" s="132">
        <f t="shared" ca="1" si="22"/>
        <v>2.1999999999999993</v>
      </c>
      <c r="BQ23" s="132">
        <f t="shared" ca="1" si="22"/>
        <v>0</v>
      </c>
      <c r="BR23" s="132">
        <f t="shared" ca="1" si="22"/>
        <v>0</v>
      </c>
      <c r="BS23" s="132">
        <f t="shared" ca="1" si="22"/>
        <v>0</v>
      </c>
      <c r="BT23" s="132">
        <f t="shared" ca="1" si="22"/>
        <v>90.100000000000009</v>
      </c>
      <c r="BU23" s="132">
        <f t="shared" ca="1" si="22"/>
        <v>365.19999999999993</v>
      </c>
      <c r="BV23" s="132">
        <f t="shared" ca="1" si="22"/>
        <v>431.69999999999993</v>
      </c>
      <c r="BX23" s="132">
        <f t="shared" si="17"/>
        <v>2019</v>
      </c>
      <c r="BY23" s="132">
        <f t="shared" ca="1" si="8"/>
        <v>537.20000000000005</v>
      </c>
      <c r="BZ23" s="132">
        <f t="shared" ca="1" si="23"/>
        <v>414.80000000000007</v>
      </c>
      <c r="CA23" s="132">
        <f t="shared" ca="1" si="23"/>
        <v>361.99999999999994</v>
      </c>
      <c r="CB23" s="132">
        <f t="shared" ca="1" si="23"/>
        <v>164.6</v>
      </c>
      <c r="CC23" s="132">
        <f t="shared" ca="1" si="23"/>
        <v>50.900000000000006</v>
      </c>
      <c r="CD23" s="132">
        <f t="shared" ca="1" si="23"/>
        <v>0.19999999999999929</v>
      </c>
      <c r="CE23" s="132">
        <f t="shared" ca="1" si="23"/>
        <v>0</v>
      </c>
      <c r="CF23" s="132">
        <f t="shared" ca="1" si="23"/>
        <v>0</v>
      </c>
      <c r="CG23" s="132">
        <f t="shared" ca="1" si="23"/>
        <v>0</v>
      </c>
      <c r="CH23" s="132">
        <f t="shared" ca="1" si="23"/>
        <v>43.5</v>
      </c>
      <c r="CI23" s="132">
        <f t="shared" ca="1" si="23"/>
        <v>305.2</v>
      </c>
      <c r="CJ23" s="132">
        <f t="shared" ca="1" si="23"/>
        <v>369.69999999999993</v>
      </c>
      <c r="CL23" s="132">
        <f t="shared" si="18"/>
        <v>2019</v>
      </c>
      <c r="CM23" s="132">
        <f t="shared" ca="1" si="10"/>
        <v>475.2000000000001</v>
      </c>
      <c r="CN23" s="132">
        <f t="shared" ca="1" si="24"/>
        <v>358.80000000000007</v>
      </c>
      <c r="CO23" s="132">
        <f t="shared" ca="1" si="24"/>
        <v>299.99999999999989</v>
      </c>
      <c r="CP23" s="132">
        <f t="shared" ca="1" si="24"/>
        <v>110.70000000000003</v>
      </c>
      <c r="CQ23" s="132">
        <f t="shared" ca="1" si="24"/>
        <v>24.099999999999994</v>
      </c>
      <c r="CR23" s="132">
        <f t="shared" ca="1" si="24"/>
        <v>0</v>
      </c>
      <c r="CS23" s="132">
        <f t="shared" ca="1" si="24"/>
        <v>0</v>
      </c>
      <c r="CT23" s="132">
        <f t="shared" ca="1" si="24"/>
        <v>0</v>
      </c>
      <c r="CU23" s="132">
        <f t="shared" ca="1" si="24"/>
        <v>0</v>
      </c>
      <c r="CV23" s="132">
        <f t="shared" ca="1" si="24"/>
        <v>13.999999999999996</v>
      </c>
      <c r="CW23" s="132">
        <f t="shared" ca="1" si="24"/>
        <v>245.19999999999993</v>
      </c>
      <c r="CX23" s="132">
        <f t="shared" ca="1" si="24"/>
        <v>307.69999999999993</v>
      </c>
    </row>
    <row r="24" spans="1:116" x14ac:dyDescent="0.2">
      <c r="A24" s="132">
        <v>2002</v>
      </c>
      <c r="B24" s="144">
        <v>11</v>
      </c>
      <c r="C24" s="144">
        <v>4.7566666666666659</v>
      </c>
      <c r="D24" s="134">
        <v>457.2999999999999</v>
      </c>
      <c r="E24" s="134">
        <v>0</v>
      </c>
      <c r="F24" s="134">
        <v>397.29999999999995</v>
      </c>
      <c r="G24" s="134">
        <v>0</v>
      </c>
      <c r="H24" s="134">
        <v>337.29999999999995</v>
      </c>
      <c r="I24" s="134">
        <v>0</v>
      </c>
      <c r="J24" s="134">
        <v>279.39999999999998</v>
      </c>
      <c r="K24" s="134">
        <v>2.1000000000000014</v>
      </c>
      <c r="L24" s="134">
        <v>223.39999999999998</v>
      </c>
      <c r="M24" s="134">
        <v>6.1000000000000014</v>
      </c>
      <c r="N24" s="134">
        <v>168.20000000000002</v>
      </c>
      <c r="O24" s="134">
        <v>10.900000000000002</v>
      </c>
      <c r="P24" s="134"/>
      <c r="Q24" s="134"/>
      <c r="R24" s="134"/>
      <c r="T24" s="132">
        <f t="shared" si="13"/>
        <v>2020</v>
      </c>
      <c r="U24" s="132">
        <f t="shared" ca="1" si="0"/>
        <v>633.5</v>
      </c>
      <c r="V24" s="132">
        <f t="shared" ca="1" si="19"/>
        <v>622.19999999999993</v>
      </c>
      <c r="W24" s="132">
        <f t="shared" ca="1" si="19"/>
        <v>504.49999999999989</v>
      </c>
      <c r="X24" s="132">
        <f t="shared" ca="1" si="19"/>
        <v>409.29999999999984</v>
      </c>
      <c r="Y24" s="132">
        <f t="shared" ca="1" si="19"/>
        <v>250.79999999999993</v>
      </c>
      <c r="Z24" s="132">
        <f t="shared" ca="1" si="19"/>
        <v>39.5</v>
      </c>
      <c r="AA24" s="132">
        <f t="shared" ca="1" si="19"/>
        <v>0</v>
      </c>
      <c r="AB24" s="132">
        <f t="shared" ca="1" si="19"/>
        <v>5.1999999999999993</v>
      </c>
      <c r="AC24" s="132">
        <f t="shared" ca="1" si="19"/>
        <v>90.40000000000002</v>
      </c>
      <c r="AD24" s="132">
        <f t="shared" ca="1" si="19"/>
        <v>290.39999999999998</v>
      </c>
      <c r="AE24" s="132">
        <f t="shared" ca="1" si="19"/>
        <v>368.79999999999995</v>
      </c>
      <c r="AF24" s="132">
        <f t="shared" ca="1" si="19"/>
        <v>599.90000000000009</v>
      </c>
      <c r="AH24" s="132">
        <f t="shared" si="14"/>
        <v>2020</v>
      </c>
      <c r="AI24" s="132">
        <f t="shared" ca="1" si="2"/>
        <v>571.49999999999989</v>
      </c>
      <c r="AJ24" s="132">
        <f t="shared" ca="1" si="20"/>
        <v>564.19999999999993</v>
      </c>
      <c r="AK24" s="132">
        <f t="shared" ca="1" si="20"/>
        <v>442.49999999999989</v>
      </c>
      <c r="AL24" s="132">
        <f t="shared" ca="1" si="20"/>
        <v>349.2999999999999</v>
      </c>
      <c r="AM24" s="132">
        <f t="shared" ca="1" si="20"/>
        <v>202.59999999999994</v>
      </c>
      <c r="AN24" s="132">
        <f t="shared" ca="1" si="20"/>
        <v>20.199999999999996</v>
      </c>
      <c r="AO24" s="132">
        <f t="shared" ca="1" si="20"/>
        <v>0</v>
      </c>
      <c r="AP24" s="132">
        <f t="shared" ca="1" si="20"/>
        <v>0.19999999999999929</v>
      </c>
      <c r="AQ24" s="132">
        <f t="shared" ca="1" si="20"/>
        <v>52.3</v>
      </c>
      <c r="AR24" s="132">
        <f t="shared" ca="1" si="20"/>
        <v>229.89999999999998</v>
      </c>
      <c r="AS24" s="132">
        <f t="shared" ca="1" si="20"/>
        <v>309.59999999999997</v>
      </c>
      <c r="AT24" s="132">
        <f t="shared" ca="1" si="20"/>
        <v>537.9</v>
      </c>
      <c r="AU24" s="296">
        <f t="shared" ca="1" si="12"/>
        <v>3280.2</v>
      </c>
      <c r="AV24" s="132">
        <f t="shared" si="15"/>
        <v>2020</v>
      </c>
      <c r="AW24" s="132">
        <f t="shared" ca="1" si="4"/>
        <v>509.5</v>
      </c>
      <c r="AX24" s="132">
        <f t="shared" ca="1" si="21"/>
        <v>506.20000000000005</v>
      </c>
      <c r="AY24" s="132">
        <f t="shared" ca="1" si="21"/>
        <v>380.49999999999989</v>
      </c>
      <c r="AZ24" s="132">
        <f t="shared" ca="1" si="21"/>
        <v>289.2999999999999</v>
      </c>
      <c r="BA24" s="132">
        <f t="shared" ca="1" si="21"/>
        <v>154.59999999999997</v>
      </c>
      <c r="BB24" s="132">
        <f t="shared" ca="1" si="21"/>
        <v>7.5999999999999979</v>
      </c>
      <c r="BC24" s="132">
        <f t="shared" ca="1" si="21"/>
        <v>0</v>
      </c>
      <c r="BD24" s="132">
        <f t="shared" ca="1" si="21"/>
        <v>0</v>
      </c>
      <c r="BE24" s="132">
        <f t="shared" ca="1" si="21"/>
        <v>21.899999999999995</v>
      </c>
      <c r="BF24" s="132">
        <f t="shared" ca="1" si="21"/>
        <v>172.2</v>
      </c>
      <c r="BG24" s="132">
        <f t="shared" ca="1" si="21"/>
        <v>251.89999999999998</v>
      </c>
      <c r="BH24" s="132">
        <f t="shared" ca="1" si="21"/>
        <v>475.89999999999986</v>
      </c>
      <c r="BJ24" s="132">
        <f t="shared" si="16"/>
        <v>2020</v>
      </c>
      <c r="BK24" s="132">
        <f t="shared" ca="1" si="6"/>
        <v>447.5</v>
      </c>
      <c r="BL24" s="132">
        <f t="shared" ca="1" si="22"/>
        <v>448.20000000000005</v>
      </c>
      <c r="BM24" s="132">
        <f t="shared" ca="1" si="22"/>
        <v>318.49999999999994</v>
      </c>
      <c r="BN24" s="132">
        <f t="shared" ca="1" si="22"/>
        <v>229.2999999999999</v>
      </c>
      <c r="BO24" s="132">
        <f t="shared" ca="1" si="22"/>
        <v>113.70000000000002</v>
      </c>
      <c r="BP24" s="132">
        <f t="shared" ca="1" si="22"/>
        <v>0.89999999999999858</v>
      </c>
      <c r="BQ24" s="132">
        <f t="shared" ca="1" si="22"/>
        <v>0</v>
      </c>
      <c r="BR24" s="132">
        <f t="shared" ca="1" si="22"/>
        <v>0</v>
      </c>
      <c r="BS24" s="132">
        <f t="shared" ca="1" si="22"/>
        <v>5.0999999999999979</v>
      </c>
      <c r="BT24" s="132">
        <f t="shared" ca="1" si="22"/>
        <v>117.10000000000001</v>
      </c>
      <c r="BU24" s="132">
        <f t="shared" ca="1" si="22"/>
        <v>202.39999999999995</v>
      </c>
      <c r="BV24" s="132">
        <f t="shared" ca="1" si="22"/>
        <v>413.89999999999992</v>
      </c>
      <c r="BX24" s="132">
        <f t="shared" si="17"/>
        <v>2020</v>
      </c>
      <c r="BY24" s="132">
        <f t="shared" ca="1" si="8"/>
        <v>385.50000000000006</v>
      </c>
      <c r="BZ24" s="132">
        <f t="shared" ca="1" si="23"/>
        <v>390.20000000000005</v>
      </c>
      <c r="CA24" s="132">
        <f t="shared" ca="1" si="23"/>
        <v>257.49999999999994</v>
      </c>
      <c r="CB24" s="132">
        <f t="shared" ca="1" si="23"/>
        <v>170.79999999999995</v>
      </c>
      <c r="CC24" s="132">
        <f t="shared" ca="1" si="23"/>
        <v>75.8</v>
      </c>
      <c r="CD24" s="132">
        <f t="shared" ca="1" si="23"/>
        <v>0</v>
      </c>
      <c r="CE24" s="132">
        <f t="shared" ca="1" si="23"/>
        <v>0</v>
      </c>
      <c r="CF24" s="132">
        <f t="shared" ca="1" si="23"/>
        <v>0</v>
      </c>
      <c r="CG24" s="132">
        <f t="shared" ca="1" si="23"/>
        <v>0.19999999999999929</v>
      </c>
      <c r="CH24" s="132">
        <f t="shared" ca="1" si="23"/>
        <v>71.2</v>
      </c>
      <c r="CI24" s="132">
        <f t="shared" ca="1" si="23"/>
        <v>157.19999999999996</v>
      </c>
      <c r="CJ24" s="132">
        <f t="shared" ca="1" si="23"/>
        <v>351.89999999999992</v>
      </c>
      <c r="CL24" s="132">
        <f t="shared" si="18"/>
        <v>2020</v>
      </c>
      <c r="CM24" s="132">
        <f t="shared" ca="1" si="10"/>
        <v>323.50000000000006</v>
      </c>
      <c r="CN24" s="132">
        <f t="shared" ca="1" si="24"/>
        <v>332.20000000000005</v>
      </c>
      <c r="CO24" s="132">
        <f t="shared" ca="1" si="24"/>
        <v>199.49999999999994</v>
      </c>
      <c r="CP24" s="132">
        <f t="shared" ca="1" si="24"/>
        <v>115.20000000000002</v>
      </c>
      <c r="CQ24" s="132">
        <f t="shared" ca="1" si="24"/>
        <v>47.099999999999994</v>
      </c>
      <c r="CR24" s="132">
        <f t="shared" ca="1" si="24"/>
        <v>0</v>
      </c>
      <c r="CS24" s="132">
        <f t="shared" ca="1" si="24"/>
        <v>0</v>
      </c>
      <c r="CT24" s="132">
        <f t="shared" ca="1" si="24"/>
        <v>0</v>
      </c>
      <c r="CU24" s="132">
        <f t="shared" ca="1" si="24"/>
        <v>0</v>
      </c>
      <c r="CV24" s="132">
        <f t="shared" ca="1" si="24"/>
        <v>37.799999999999997</v>
      </c>
      <c r="CW24" s="132">
        <f t="shared" ca="1" si="24"/>
        <v>114.20000000000002</v>
      </c>
      <c r="CX24" s="132">
        <f t="shared" ca="1" si="24"/>
        <v>289.89999999999992</v>
      </c>
    </row>
    <row r="25" spans="1:116" ht="15" x14ac:dyDescent="0.25">
      <c r="A25" s="132">
        <v>2002</v>
      </c>
      <c r="B25" s="144">
        <v>12</v>
      </c>
      <c r="C25" s="144">
        <v>-1.1354838709677415</v>
      </c>
      <c r="D25" s="134">
        <v>655.20000000000005</v>
      </c>
      <c r="E25" s="134">
        <v>0</v>
      </c>
      <c r="F25" s="134">
        <v>593.20000000000005</v>
      </c>
      <c r="G25" s="134">
        <v>0</v>
      </c>
      <c r="H25" s="134">
        <v>531.20000000000005</v>
      </c>
      <c r="I25" s="134">
        <v>0</v>
      </c>
      <c r="J25" s="134">
        <v>469.20000000000005</v>
      </c>
      <c r="K25" s="134">
        <v>0</v>
      </c>
      <c r="L25" s="134">
        <v>407.20000000000005</v>
      </c>
      <c r="M25" s="134">
        <v>0</v>
      </c>
      <c r="N25" s="134">
        <v>345.20000000000005</v>
      </c>
      <c r="O25" s="134">
        <v>0</v>
      </c>
      <c r="P25" s="134"/>
      <c r="Q25" s="134"/>
      <c r="R25" s="134"/>
      <c r="T25" s="138">
        <f>1+T24</f>
        <v>2021</v>
      </c>
      <c r="U25" s="139">
        <f ca="1">MAX(TREND(U$5:U$24,T$5:T$24,T25),0)</f>
        <v>732.04263157894741</v>
      </c>
      <c r="V25" s="139">
        <f ca="1">MAX(TREND(V$5:V$24,T$5:T$24,T25),0)</f>
        <v>643.88315789473688</v>
      </c>
      <c r="W25" s="139">
        <f ca="1">MAX(TREND(W$5:W$24,T$5:T$24,T25),0)</f>
        <v>572.32105263157882</v>
      </c>
      <c r="X25" s="139">
        <f ca="1">MAX(TREND(X$5:X$24,T$5:T$24,T25),0)</f>
        <v>405.2763157894733</v>
      </c>
      <c r="Y25" s="139">
        <f ca="1">MAX(TREND(Y$5:Y$24,T$5:T$24,T25),0)</f>
        <v>183.91526315789474</v>
      </c>
      <c r="Z25" s="139">
        <f ca="1">MAX(TREND(Z$5:Z$24,T$5:T$24,T25),0)</f>
        <v>52.143157894736845</v>
      </c>
      <c r="AA25" s="139">
        <f ca="1">MAX(TREND(AA$5:AA$24,T$5:T$24,T25),0)</f>
        <v>4.5194736842105385</v>
      </c>
      <c r="AB25" s="139">
        <f ca="1">MAX(TREND(AB$5:AB$24,T$5:T$24,T25),0)</f>
        <v>11.281578947368416</v>
      </c>
      <c r="AC25" s="139">
        <f ca="1">MAX(TREND(AC$5:AC$24,T$5:T$24,T25),0)</f>
        <v>81.603684210526353</v>
      </c>
      <c r="AD25" s="139">
        <f ca="1">MAX(TREND(AD$5:AD$24,T$5:T$24,T25),0)</f>
        <v>254.03684210526308</v>
      </c>
      <c r="AE25" s="139">
        <f ca="1">MAX(TREND(AE$5:AE$24,T$5:T$24,T25),0)</f>
        <v>470.68736842105227</v>
      </c>
      <c r="AF25" s="139">
        <f ca="1">MAX(TREND(AF$5:AF$24,T$5:T$24,T25),0)</f>
        <v>623.80315789473684</v>
      </c>
      <c r="AH25" s="138">
        <f>1+AH24</f>
        <v>2021</v>
      </c>
      <c r="AI25" s="139">
        <f ca="1">MAX(TREND(AI$5:AI$24,AH$5:AH$24,AH25),0)</f>
        <v>670.04263157894741</v>
      </c>
      <c r="AJ25" s="139">
        <f ca="1">MAX(TREND(AJ$5:AJ$24,AH$5:AH$24,AH25),0)</f>
        <v>587.14631578947353</v>
      </c>
      <c r="AK25" s="139">
        <f ca="1">MAX(TREND(AK$5:AK$24,AH$5:AH$24,AH25),0)</f>
        <v>510.35789473684213</v>
      </c>
      <c r="AL25" s="139">
        <f ca="1">MAX(TREND(AL$5:AL$24,AH$5:AH$24,AH25),0)</f>
        <v>344.85000000000036</v>
      </c>
      <c r="AM25" s="139">
        <f ca="1">MAX(TREND(AM$5:AM$24,AH$5:AH$24,AH25),0)</f>
        <v>136.37736842105244</v>
      </c>
      <c r="AN25" s="139">
        <f ca="1">MAX(TREND(AN$5:AN$24,AH$5:AH$24,AH25),0)</f>
        <v>23.741578947368453</v>
      </c>
      <c r="AO25" s="139">
        <f ca="1">MAX(TREND(AO$5:AO$24,AH$5:AH$24,AH25),0)</f>
        <v>0.31578947368424792</v>
      </c>
      <c r="AP25" s="139">
        <f ca="1">MAX(TREND(AP$5:AP$24,AH$5:AH$24,AH25),0)</f>
        <v>1.8763157894736864</v>
      </c>
      <c r="AQ25" s="139">
        <f ca="1">MAX(TREND(AQ$5:AQ$24,AH$5:AH$24,AH25),0)</f>
        <v>45.647368421052647</v>
      </c>
      <c r="AR25" s="139">
        <f ca="1">MAX(TREND(AR$5:AR$24,AH$5:AH$24,AH25),0)</f>
        <v>195.62315789473678</v>
      </c>
      <c r="AS25" s="139">
        <f ca="1">MAX(TREND(AS$5:AS$24,AH$5:AH$24,AH25),0)</f>
        <v>410.84736842105303</v>
      </c>
      <c r="AT25" s="139">
        <f ca="1">MAX(TREND(AT$5:AT$24,AH$5:AH$24,AH25),0)</f>
        <v>561.80315789473696</v>
      </c>
      <c r="AU25" s="296">
        <f t="shared" ca="1" si="12"/>
        <v>3488.6289473684214</v>
      </c>
      <c r="AV25" s="138">
        <f>1+AV24</f>
        <v>2021</v>
      </c>
      <c r="AW25" s="139">
        <f ca="1">MAX(TREND(AW$5:AW$24,AV$5:AV$24,AV25),0)</f>
        <v>608.04263157894752</v>
      </c>
      <c r="AX25" s="139">
        <f ca="1">MAX(TREND(AX$5:AX$24,AV$5:AV$24,AV25),0)</f>
        <v>530.40947368421052</v>
      </c>
      <c r="AY25" s="139">
        <f ca="1">MAX(TREND(AY$5:AY$24,AV$5:AV$24,AV25),0)</f>
        <v>448.51263157894732</v>
      </c>
      <c r="AZ25" s="139">
        <f ca="1">MAX(TREND(AZ$5:AZ$24,AV$5:AV$24,AV25),0)</f>
        <v>284.96684210526382</v>
      </c>
      <c r="BA25" s="139">
        <f ca="1">MAX(TREND(BA$5:BA$24,AV$5:AV$24,AV25),0)</f>
        <v>96.057894736842115</v>
      </c>
      <c r="BB25" s="139">
        <f ca="1">MAX(TREND(BB$5:BB$24,AV$5:AV$24,AV25),0)</f>
        <v>7.7026315789473188</v>
      </c>
      <c r="BC25" s="139">
        <f ca="1">MAX(TREND(BC$5:BC$24,AV$5:AV$24,AV25),0)</f>
        <v>0</v>
      </c>
      <c r="BD25" s="139">
        <f ca="1">MAX(TREND(BD$5:BD$24,AV$5:AV$24,AV25),0)</f>
        <v>4.7368421052631504E-2</v>
      </c>
      <c r="BE25" s="139">
        <f ca="1">MAX(TREND(BE$5:BE$24,AV$5:AV$24,AV25),0)</f>
        <v>19.014210526315807</v>
      </c>
      <c r="BF25" s="139">
        <f ca="1">MAX(TREND(BF$5:BF$24,AV$5:AV$24,AV25),0)</f>
        <v>141.62263157894722</v>
      </c>
      <c r="BG25" s="139">
        <f ca="1">MAX(TREND(BG$5:BG$24,AV$5:AV$24,AV25),0)</f>
        <v>351.55578947368394</v>
      </c>
      <c r="BH25" s="139">
        <f ca="1">MAX(TREND(BH$5:BH$24,AV$5:AV$24,AV25),0)</f>
        <v>499.80315789473678</v>
      </c>
      <c r="BJ25" s="138">
        <f>1+BJ24</f>
        <v>2021</v>
      </c>
      <c r="BK25" s="139">
        <f ca="1">MAX(TREND(BK$5:BK$24,BJ$5:BJ$24,BJ25),0)</f>
        <v>546.04263157894752</v>
      </c>
      <c r="BL25" s="139">
        <f ca="1">MAX(TREND(BL$5:BL$24,BJ$5:BJ$24,BJ25),0)</f>
        <v>473.71842105263158</v>
      </c>
      <c r="BM25" s="139">
        <f ca="1">MAX(TREND(BM$5:BM$24,BJ$5:BJ$24,BJ25),0)</f>
        <v>387.01684210526309</v>
      </c>
      <c r="BN25" s="139">
        <f ca="1">MAX(TREND(BN$5:BN$24,BJ$5:BJ$24,BJ25),0)</f>
        <v>226.39000000000033</v>
      </c>
      <c r="BO25" s="139">
        <f ca="1">MAX(TREND(BO$5:BO$24,BJ$5:BJ$24,BJ25),0)</f>
        <v>63.594210526315919</v>
      </c>
      <c r="BP25" s="139">
        <f ca="1">MAX(TREND(BP$5:BP$24,BJ$5:BJ$24,BJ25),0)</f>
        <v>1.2615789473684345</v>
      </c>
      <c r="BQ25" s="139">
        <f ca="1">MAX(TREND(BQ$5:BQ$24,BJ$5:BJ$24,BJ25),0)</f>
        <v>0</v>
      </c>
      <c r="BR25" s="139">
        <f ca="1">MAX(TREND(BR$5:BR$24,BJ$5:BJ$24,BJ25),0)</f>
        <v>0</v>
      </c>
      <c r="BS25" s="139">
        <f ca="1">MAX(TREND(BS$5:BS$24,BJ$5:BJ$24,BJ25),0)</f>
        <v>4.7805263157894728</v>
      </c>
      <c r="BT25" s="139">
        <f ca="1">MAX(TREND(BT$5:BT$24,BJ$5:BJ$24,BJ25),0)</f>
        <v>94.266315789473538</v>
      </c>
      <c r="BU25" s="139">
        <f ca="1">MAX(TREND(BU$5:BU$24,BJ$5:BJ$24,BJ25),0)</f>
        <v>294.01578947368398</v>
      </c>
      <c r="BV25" s="139">
        <f ca="1">MAX(TREND(BV$5:BV$24,BJ$5:BJ$24,BJ25),0)</f>
        <v>437.67315789473685</v>
      </c>
      <c r="BX25" s="138">
        <f>1+BX24</f>
        <v>2021</v>
      </c>
      <c r="BY25" s="139">
        <f ca="1">MAX(TREND(BY$5:BY$24,BX$5:BX$24,BX25),0)</f>
        <v>484.06368421052639</v>
      </c>
      <c r="BZ25" s="139">
        <f ca="1">MAX(TREND(BZ$5:BZ$24,BX$5:BX$24,BX25),0)</f>
        <v>417.28684210526319</v>
      </c>
      <c r="CA25" s="139">
        <f ca="1">MAX(TREND(CA$5:CA$24,BX$5:BX$24,BX25),0)</f>
        <v>326.01684210526309</v>
      </c>
      <c r="CB25" s="139">
        <f ca="1">MAX(TREND(CB$5:CB$24,BX$5:BX$24,BX25),0)</f>
        <v>169.86894736842123</v>
      </c>
      <c r="CC25" s="139">
        <f ca="1">MAX(TREND(CC$5:CC$24,BX$5:BX$24,BX25),0)</f>
        <v>37.273684210526426</v>
      </c>
      <c r="CD25" s="139">
        <f ca="1">MAX(TREND(CD$5:CD$24,BX$5:BX$24,BX25),0)</f>
        <v>0.1084210526315772</v>
      </c>
      <c r="CE25" s="139">
        <f ca="1">MAX(TREND(CE$5:CE$24,BX$5:BX$24,BX25),0)</f>
        <v>0</v>
      </c>
      <c r="CF25" s="139">
        <f ca="1">MAX(TREND(CF$5:CF$24,BX$5:BX$24,BX25),0)</f>
        <v>0</v>
      </c>
      <c r="CG25" s="139">
        <f ca="1">MAX(TREND(CG$5:CG$24,BX$5:BX$24,BX25),0)</f>
        <v>0.35684210526318338</v>
      </c>
      <c r="CH25" s="139">
        <f ca="1">MAX(TREND(CH$5:CH$24,BX$5:BX$24,BX25),0)</f>
        <v>55.196315789473374</v>
      </c>
      <c r="CI25" s="139">
        <f ca="1">MAX(TREND(CI$5:CI$24,BX$5:BX$24,BX25),0)</f>
        <v>238.16842105263095</v>
      </c>
      <c r="CJ25" s="139">
        <f ca="1">MAX(TREND(CJ$5:CJ$24,BX$5:BX$24,BX25),0)</f>
        <v>375.49526315789467</v>
      </c>
      <c r="CL25" s="138">
        <f>1+CL24</f>
        <v>2021</v>
      </c>
      <c r="CM25" s="139">
        <f ca="1">MAX(TREND(CM$5:CM$24,CL$5:CL$24,CL25),0)</f>
        <v>422.24052631578951</v>
      </c>
      <c r="CN25" s="139">
        <f ca="1">MAX(TREND(CN$5:CN$24,CL$5:CL$24,CL25),0)</f>
        <v>360.9394736842105</v>
      </c>
      <c r="CO25" s="139">
        <f ca="1">MAX(TREND(CO$5:CO$24,CL$5:CL$24,CL25),0)</f>
        <v>266.47578947368413</v>
      </c>
      <c r="CP25" s="139">
        <f ca="1">MAX(TREND(CP$5:CP$24,CL$5:CL$24,CL25),0)</f>
        <v>117.43421052631584</v>
      </c>
      <c r="CQ25" s="139">
        <f ca="1">MAX(TREND(CQ$5:CQ$24,CL$5:CL$24,CL25),0)</f>
        <v>18.461052631578923</v>
      </c>
      <c r="CR25" s="139">
        <f ca="1">MAX(TREND(CR$5:CR$24,CL$5:CL$24,CL25),0)</f>
        <v>0</v>
      </c>
      <c r="CS25" s="139">
        <f ca="1">MAX(TREND(CS$5:CS$24,CL$5:CL$24,CL25),0)</f>
        <v>0</v>
      </c>
      <c r="CT25" s="139">
        <f ca="1">MAX(TREND(CT$5:CT$24,CL$5:CL$24,CL25),0)</f>
        <v>0</v>
      </c>
      <c r="CU25" s="139">
        <f ca="1">MAX(TREND(CU$5:CU$24,CL$5:CL$24,CL25),0)</f>
        <v>0</v>
      </c>
      <c r="CV25" s="139">
        <f ca="1">MAX(TREND(CV$5:CV$24,CL$5:CL$24,CL25),0)</f>
        <v>26.391578947368316</v>
      </c>
      <c r="CW25" s="139">
        <f ca="1">MAX(TREND(CW$5:CW$24,CL$5:CL$24,CL25),0)</f>
        <v>184.97789473684225</v>
      </c>
      <c r="CX25" s="139">
        <f ca="1">MAX(TREND(CX$5:CX$24,CL$5:CL$24,CL25),0)</f>
        <v>313.85421052631568</v>
      </c>
      <c r="CZ25" s="138"/>
      <c r="DA25" s="139"/>
      <c r="DB25" s="139"/>
      <c r="DC25" s="139"/>
      <c r="DD25" s="139"/>
      <c r="DE25" s="139"/>
      <c r="DF25" s="139"/>
      <c r="DG25" s="139"/>
      <c r="DH25" s="139"/>
      <c r="DI25" s="139"/>
      <c r="DJ25" s="139"/>
      <c r="DK25" s="139"/>
      <c r="DL25" s="139"/>
    </row>
    <row r="26" spans="1:116" ht="15" x14ac:dyDescent="0.25">
      <c r="A26" s="132">
        <v>2003</v>
      </c>
      <c r="B26" s="144">
        <v>1</v>
      </c>
      <c r="C26" s="144">
        <v>-6.3870967741935489</v>
      </c>
      <c r="D26" s="134">
        <v>817.99999999999977</v>
      </c>
      <c r="E26" s="134">
        <v>0</v>
      </c>
      <c r="F26" s="134">
        <v>755.99999999999977</v>
      </c>
      <c r="G26" s="134">
        <v>0</v>
      </c>
      <c r="H26" s="134">
        <v>693.99999999999989</v>
      </c>
      <c r="I26" s="134">
        <v>0</v>
      </c>
      <c r="J26" s="134">
        <v>631.99999999999989</v>
      </c>
      <c r="K26" s="134">
        <v>0</v>
      </c>
      <c r="L26" s="134">
        <v>570</v>
      </c>
      <c r="M26" s="134">
        <v>0</v>
      </c>
      <c r="N26" s="134">
        <v>508.00000000000011</v>
      </c>
      <c r="O26" s="134">
        <v>0</v>
      </c>
      <c r="P26" s="134"/>
      <c r="Q26" s="134"/>
      <c r="R26" s="134"/>
      <c r="T26" s="138">
        <f>1+T25</f>
        <v>2022</v>
      </c>
      <c r="U26" s="139">
        <f ca="1">MAX(TREND(U$5:U$24,T$5:T$24,T26),0)</f>
        <v>732.40383458646613</v>
      </c>
      <c r="V26" s="139">
        <f ca="1">MAX(TREND(V$5:V$24,T$5:T$24,T26),0)</f>
        <v>643.59345864661657</v>
      </c>
      <c r="W26" s="139">
        <f ca="1">MAX(TREND(W$5:W$24,T$5:T$24,T26),0)</f>
        <v>572.01924812030063</v>
      </c>
      <c r="X26" s="139">
        <f ca="1">MAX(TREND(X$5:X$24,T$5:T$24,T26),0)</f>
        <v>407.98263157894689</v>
      </c>
      <c r="Y26" s="139">
        <f ca="1">MAX(TREND(Y$5:Y$24,T$5:T$24,T26),0)</f>
        <v>183.02338345864655</v>
      </c>
      <c r="Z26" s="139">
        <f ca="1">MAX(TREND(Z$5:Z$24,T$5:T$24,T26),0)</f>
        <v>52.146315789473682</v>
      </c>
      <c r="AA26" s="139">
        <f ca="1">MAX(TREND(AA$5:AA$24,T$5:T$24,T26),0)</f>
        <v>4.1160902255638803</v>
      </c>
      <c r="AB26" s="139">
        <f ca="1">MAX(TREND(AB$5:AB$24,T$5:T$24,T26),0)</f>
        <v>11.243157894736839</v>
      </c>
      <c r="AC26" s="139">
        <f ca="1">MAX(TREND(AC$5:AC$24,T$5:T$24,T26),0)</f>
        <v>82.005939849624042</v>
      </c>
      <c r="AD26" s="139">
        <f ca="1">MAX(TREND(AD$5:AD$24,T$5:T$24,T26),0)</f>
        <v>252.60654135338336</v>
      </c>
      <c r="AE26" s="139">
        <f ca="1">MAX(TREND(AE$5:AE$24,T$5:T$24,T26),0)</f>
        <v>473.68902255639114</v>
      </c>
      <c r="AF26" s="139">
        <f ca="1">MAX(TREND(AF$5:AF$24,T$5:T$24,T26),0)</f>
        <v>623.7591729323309</v>
      </c>
      <c r="AH26" s="138">
        <f>1+AH25</f>
        <v>2022</v>
      </c>
      <c r="AI26" s="139">
        <f ca="1">MAX(TREND(AI$5:AI$24,AH$5:AH$24,AH26),0)</f>
        <v>670.40383458646625</v>
      </c>
      <c r="AJ26" s="139">
        <f ca="1">MAX(TREND(AJ$5:AJ$24,AH$5:AH$24,AH26),0)</f>
        <v>586.83406015037576</v>
      </c>
      <c r="AK26" s="139">
        <f ca="1">MAX(TREND(AK$5:AK$24,AH$5:AH$24,AH26),0)</f>
        <v>510.05721804511279</v>
      </c>
      <c r="AL26" s="139">
        <f ca="1">MAX(TREND(AL$5:AL$24,AH$5:AH$24,AH26),0)</f>
        <v>347.44142857142924</v>
      </c>
      <c r="AM26" s="139">
        <f ca="1">MAX(TREND(AM$5:AM$24,AH$5:AH$24,AH26),0)</f>
        <v>135.90902255639082</v>
      </c>
      <c r="AN26" s="139">
        <f ca="1">MAX(TREND(AN$5:AN$24,AH$5:AH$24,AH26),0)</f>
        <v>23.594586466165481</v>
      </c>
      <c r="AO26" s="139">
        <f ca="1">MAX(TREND(AO$5:AO$24,AH$5:AH$24,AH26),0)</f>
        <v>0.24300751879701465</v>
      </c>
      <c r="AP26" s="139">
        <f ca="1">MAX(TREND(AP$5:AP$24,AH$5:AH$24,AH26),0)</f>
        <v>1.8483458646616597</v>
      </c>
      <c r="AQ26" s="139">
        <f ca="1">MAX(TREND(AQ$5:AQ$24,AH$5:AH$24,AH26),0)</f>
        <v>45.98330827067673</v>
      </c>
      <c r="AR26" s="139">
        <f ca="1">MAX(TREND(AR$5:AR$24,AH$5:AH$24,AH26),0)</f>
        <v>194.12203007518792</v>
      </c>
      <c r="AS26" s="139">
        <f ca="1">MAX(TREND(AS$5:AS$24,AH$5:AH$24,AH26),0)</f>
        <v>413.86045112781994</v>
      </c>
      <c r="AT26" s="139">
        <f ca="1">MAX(TREND(AT$5:AT$24,AH$5:AH$24,AH26),0)</f>
        <v>561.7591729323309</v>
      </c>
      <c r="AU26" s="296">
        <f t="shared" ca="1" si="12"/>
        <v>3492.0564661654143</v>
      </c>
      <c r="AV26" s="138">
        <f>1+AV25</f>
        <v>2022</v>
      </c>
      <c r="AW26" s="139">
        <f ca="1">MAX(TREND(AW$5:AW$24,AV$5:AV$24,AV26),0)</f>
        <v>608.40383458646636</v>
      </c>
      <c r="AX26" s="139">
        <f ca="1">MAX(TREND(AX$5:AX$24,AV$5:AV$24,AV26),0)</f>
        <v>530.0746616541353</v>
      </c>
      <c r="AY26" s="139">
        <f ca="1">MAX(TREND(AY$5:AY$24,AV$5:AV$24,AV26),0)</f>
        <v>448.21669172932332</v>
      </c>
      <c r="AZ26" s="139">
        <f ca="1">MAX(TREND(AZ$5:AZ$24,AV$5:AV$24,AV26),0)</f>
        <v>287.38796992481275</v>
      </c>
      <c r="BA26" s="139">
        <f ca="1">MAX(TREND(BA$5:BA$24,AV$5:AV$24,AV26),0)</f>
        <v>96.100075187969935</v>
      </c>
      <c r="BB26" s="139">
        <f ca="1">MAX(TREND(BB$5:BB$24,AV$5:AV$24,AV26),0)</f>
        <v>7.5652631578947194</v>
      </c>
      <c r="BC26" s="139">
        <f ca="1">MAX(TREND(BC$5:BC$24,AV$5:AV$24,AV26),0)</f>
        <v>0</v>
      </c>
      <c r="BD26" s="139">
        <f ca="1">MAX(TREND(BD$5:BD$24,AV$5:AV$24,AV26),0)</f>
        <v>3.9022556390978735E-2</v>
      </c>
      <c r="BE26" s="139">
        <f ca="1">MAX(TREND(BE$5:BE$24,AV$5:AV$24,AV26),0)</f>
        <v>19.08556390977445</v>
      </c>
      <c r="BF26" s="139">
        <f ca="1">MAX(TREND(BF$5:BF$24,AV$5:AV$24,AV26),0)</f>
        <v>140.13097744360903</v>
      </c>
      <c r="BG26" s="139">
        <f ca="1">MAX(TREND(BG$5:BG$24,AV$5:AV$24,AV26),0)</f>
        <v>354.61300751879662</v>
      </c>
      <c r="BH26" s="139">
        <f ca="1">MAX(TREND(BH$5:BH$24,AV$5:AV$24,AV26),0)</f>
        <v>499.75917293233078</v>
      </c>
      <c r="BJ26" s="138">
        <f>1+BJ25</f>
        <v>2022</v>
      </c>
      <c r="BK26" s="139">
        <f ca="1">MAX(TREND(BK$5:BK$24,BJ$5:BJ$24,BJ26),0)</f>
        <v>546.40383458646636</v>
      </c>
      <c r="BL26" s="139">
        <f ca="1">MAX(TREND(BL$5:BL$24,BJ$5:BJ$24,BJ26),0)</f>
        <v>473.36398496240599</v>
      </c>
      <c r="BM26" s="139">
        <f ca="1">MAX(TREND(BM$5:BM$24,BJ$5:BJ$24,BJ26),0)</f>
        <v>386.7408270676691</v>
      </c>
      <c r="BN26" s="139">
        <f ca="1">MAX(TREND(BN$5:BN$24,BJ$5:BJ$24,BJ26),0)</f>
        <v>228.55714285714294</v>
      </c>
      <c r="BO26" s="139">
        <f ca="1">MAX(TREND(BO$5:BO$24,BJ$5:BJ$24,BJ26),0)</f>
        <v>64.114135338345932</v>
      </c>
      <c r="BP26" s="139">
        <f ca="1">MAX(TREND(BP$5:BP$24,BJ$5:BJ$24,BJ26),0)</f>
        <v>1.1745864661654366</v>
      </c>
      <c r="BQ26" s="139">
        <f ca="1">MAX(TREND(BQ$5:BQ$24,BJ$5:BJ$24,BJ26),0)</f>
        <v>0</v>
      </c>
      <c r="BR26" s="139">
        <f ca="1">MAX(TREND(BR$5:BR$24,BJ$5:BJ$24,BJ26),0)</f>
        <v>0</v>
      </c>
      <c r="BS26" s="139">
        <f ca="1">MAX(TREND(BS$5:BS$24,BJ$5:BJ$24,BJ26),0)</f>
        <v>4.6667669172932449</v>
      </c>
      <c r="BT26" s="139">
        <f ca="1">MAX(TREND(BT$5:BT$24,BJ$5:BJ$24,BJ26),0)</f>
        <v>92.905488721804431</v>
      </c>
      <c r="BU26" s="139">
        <f ca="1">MAX(TREND(BU$5:BU$24,BJ$5:BJ$24,BJ26),0)</f>
        <v>297.19157894736782</v>
      </c>
      <c r="BV26" s="139">
        <f ca="1">MAX(TREND(BV$5:BV$24,BJ$5:BJ$24,BJ26),0)</f>
        <v>437.61060150375943</v>
      </c>
      <c r="BX26" s="138">
        <f>1+BX25</f>
        <v>2022</v>
      </c>
      <c r="BY26" s="139">
        <f ca="1">MAX(TREND(BY$5:BY$24,BX$5:BX$24,BX26),0)</f>
        <v>484.41736842105263</v>
      </c>
      <c r="BZ26" s="139">
        <f ca="1">MAX(TREND(BZ$5:BZ$24,BX$5:BX$24,BX26),0)</f>
        <v>416.92939849624054</v>
      </c>
      <c r="CA26" s="139">
        <f ca="1">MAX(TREND(CA$5:CA$24,BX$5:BX$24,BX26),0)</f>
        <v>325.74939849624047</v>
      </c>
      <c r="CB26" s="139">
        <f ca="1">MAX(TREND(CB$5:CB$24,BX$5:BX$24,BX26),0)</f>
        <v>171.67789473684206</v>
      </c>
      <c r="CC26" s="139">
        <f ca="1">MAX(TREND(CC$5:CC$24,BX$5:BX$24,BX26),0)</f>
        <v>37.891654135338285</v>
      </c>
      <c r="CD26" s="139">
        <f ca="1">MAX(TREND(CD$5:CD$24,BX$5:BX$24,BX26),0)</f>
        <v>9.6842105263156952E-2</v>
      </c>
      <c r="CE26" s="139">
        <f ca="1">MAX(TREND(CE$5:CE$24,BX$5:BX$24,BX26),0)</f>
        <v>0</v>
      </c>
      <c r="CF26" s="139">
        <f ca="1">MAX(TREND(CF$5:CF$24,BX$5:BX$24,BX26),0)</f>
        <v>0</v>
      </c>
      <c r="CG26" s="139">
        <f ca="1">MAX(TREND(CG$5:CG$24,BX$5:BX$24,BX26),0)</f>
        <v>0.26082706766919728</v>
      </c>
      <c r="CH26" s="139">
        <f ca="1">MAX(TREND(CH$5:CH$24,BX$5:BX$24,BX26),0)</f>
        <v>54.015488721804104</v>
      </c>
      <c r="CI26" s="139">
        <f ca="1">MAX(TREND(CI$5:CI$24,BX$5:BX$24,BX26),0)</f>
        <v>241.43255639097697</v>
      </c>
      <c r="CJ26" s="139">
        <f ca="1">MAX(TREND(CJ$5:CJ$24,BX$5:BX$24,BX26),0)</f>
        <v>375.40481203007505</v>
      </c>
      <c r="CL26" s="138">
        <f>1+CL25</f>
        <v>2022</v>
      </c>
      <c r="CM26" s="139">
        <f ca="1">MAX(TREND(CM$5:CM$24,CL$5:CL$24,CL26),0)</f>
        <v>422.56962406015049</v>
      </c>
      <c r="CN26" s="139">
        <f ca="1">MAX(TREND(CN$5:CN$24,CL$5:CL$24,CL26),0)</f>
        <v>360.58466165413529</v>
      </c>
      <c r="CO26" s="139">
        <f ca="1">MAX(TREND(CO$5:CO$24,CL$5:CL$24,CL26),0)</f>
        <v>266.20729323308262</v>
      </c>
      <c r="CP26" s="139">
        <f ca="1">MAX(TREND(CP$5:CP$24,CL$5:CL$24,CL26),0)</f>
        <v>118.77984962406026</v>
      </c>
      <c r="CQ26" s="139">
        <f ca="1">MAX(TREND(CQ$5:CQ$24,CL$5:CL$24,CL26),0)</f>
        <v>18.953533834586437</v>
      </c>
      <c r="CR26" s="139">
        <f ca="1">MAX(TREND(CR$5:CR$24,CL$5:CL$24,CL26),0)</f>
        <v>0</v>
      </c>
      <c r="CS26" s="139">
        <f ca="1">MAX(TREND(CS$5:CS$24,CL$5:CL$24,CL26),0)</f>
        <v>0</v>
      </c>
      <c r="CT26" s="139">
        <f ca="1">MAX(TREND(CT$5:CT$24,CL$5:CL$24,CL26),0)</f>
        <v>0</v>
      </c>
      <c r="CU26" s="139">
        <f ca="1">MAX(TREND(CU$5:CU$24,CL$5:CL$24,CL26),0)</f>
        <v>0</v>
      </c>
      <c r="CV26" s="139">
        <f ca="1">MAX(TREND(CV$5:CV$24,CL$5:CL$24,CL26),0)</f>
        <v>25.511729323308145</v>
      </c>
      <c r="CW26" s="139">
        <f ca="1">MAX(TREND(CW$5:CW$24,CL$5:CL$24,CL26),0)</f>
        <v>188.18293233082659</v>
      </c>
      <c r="CX26" s="139">
        <f ca="1">MAX(TREND(CX$5:CX$24,CL$5:CL$24,CL26),0)</f>
        <v>313.76270676691718</v>
      </c>
      <c r="CZ26" s="138"/>
      <c r="DA26" s="139"/>
      <c r="DB26" s="139"/>
      <c r="DC26" s="139"/>
      <c r="DD26" s="139"/>
      <c r="DE26" s="139"/>
      <c r="DF26" s="139"/>
      <c r="DG26" s="139"/>
      <c r="DH26" s="139"/>
      <c r="DI26" s="139"/>
      <c r="DJ26" s="139"/>
      <c r="DK26" s="139"/>
      <c r="DL26" s="139"/>
    </row>
    <row r="27" spans="1:116" x14ac:dyDescent="0.2">
      <c r="A27" s="132">
        <v>2003</v>
      </c>
      <c r="B27" s="144">
        <v>2</v>
      </c>
      <c r="C27" s="144">
        <v>-5.6071428571428568</v>
      </c>
      <c r="D27" s="134">
        <v>716.99999999999989</v>
      </c>
      <c r="E27" s="134">
        <v>0</v>
      </c>
      <c r="F27" s="134">
        <v>660.99999999999989</v>
      </c>
      <c r="G27" s="134">
        <v>0</v>
      </c>
      <c r="H27" s="134">
        <v>605</v>
      </c>
      <c r="I27" s="134">
        <v>0</v>
      </c>
      <c r="J27" s="134">
        <v>549</v>
      </c>
      <c r="K27" s="134">
        <v>0</v>
      </c>
      <c r="L27" s="134">
        <v>493.00000000000011</v>
      </c>
      <c r="M27" s="134">
        <v>0</v>
      </c>
      <c r="N27" s="134">
        <v>437.00000000000011</v>
      </c>
      <c r="O27" s="134">
        <v>0</v>
      </c>
      <c r="P27" s="134"/>
      <c r="Q27" s="134"/>
      <c r="R27" s="134"/>
      <c r="AH27" s="133"/>
      <c r="AI27" s="133"/>
      <c r="AU27" s="295"/>
      <c r="AV27" s="133"/>
      <c r="AW27" s="133"/>
      <c r="BJ27" s="133"/>
      <c r="BK27" s="133"/>
      <c r="BX27" s="133"/>
      <c r="BY27" s="133"/>
      <c r="CL27" s="133"/>
      <c r="CM27" s="133"/>
      <c r="CZ27" s="133"/>
      <c r="DA27" s="133"/>
    </row>
    <row r="28" spans="1:116" x14ac:dyDescent="0.2">
      <c r="A28" s="132">
        <v>2003</v>
      </c>
      <c r="B28" s="144">
        <v>3</v>
      </c>
      <c r="C28" s="144">
        <v>0.74516129032258016</v>
      </c>
      <c r="D28" s="134">
        <v>596.9</v>
      </c>
      <c r="E28" s="134">
        <v>0</v>
      </c>
      <c r="F28" s="134">
        <v>534.89999999999986</v>
      </c>
      <c r="G28" s="134">
        <v>0</v>
      </c>
      <c r="H28" s="134">
        <v>472.89999999999986</v>
      </c>
      <c r="I28" s="134">
        <v>0</v>
      </c>
      <c r="J28" s="134">
        <v>410.89999999999986</v>
      </c>
      <c r="K28" s="134">
        <v>0</v>
      </c>
      <c r="L28" s="134">
        <v>349.39999999999986</v>
      </c>
      <c r="M28" s="134">
        <v>0.5</v>
      </c>
      <c r="N28" s="134">
        <v>289.69999999999993</v>
      </c>
      <c r="O28" s="134">
        <v>2.8000000000000007</v>
      </c>
      <c r="P28" s="134"/>
      <c r="Q28" s="134"/>
      <c r="R28" s="134"/>
      <c r="T28" s="140" t="s">
        <v>111</v>
      </c>
      <c r="U28" s="134">
        <f t="shared" ref="U28:AF28" ca="1" si="25">AVERAGE(U15:U24)</f>
        <v>731.33</v>
      </c>
      <c r="V28" s="134">
        <f t="shared" ca="1" si="25"/>
        <v>646.29999999999995</v>
      </c>
      <c r="W28" s="134">
        <f t="shared" ca="1" si="25"/>
        <v>577.51</v>
      </c>
      <c r="X28" s="134">
        <f t="shared" ca="1" si="25"/>
        <v>395.74999999999989</v>
      </c>
      <c r="Y28" s="134">
        <f t="shared" ca="1" si="25"/>
        <v>184.02999999999997</v>
      </c>
      <c r="Z28" s="134">
        <f t="shared" ca="1" si="25"/>
        <v>52.409999999999989</v>
      </c>
      <c r="AA28" s="134">
        <f t="shared" ca="1" si="25"/>
        <v>6.0299999999999985</v>
      </c>
      <c r="AB28" s="134">
        <f t="shared" ca="1" si="25"/>
        <v>10.429999999999998</v>
      </c>
      <c r="AC28" s="134">
        <f t="shared" ca="1" si="25"/>
        <v>79.539999999999992</v>
      </c>
      <c r="AD28" s="134">
        <f t="shared" ca="1" si="25"/>
        <v>258.69</v>
      </c>
      <c r="AE28" s="134">
        <f t="shared" ca="1" si="25"/>
        <v>450.49000000000007</v>
      </c>
      <c r="AF28" s="134">
        <f t="shared" ca="1" si="25"/>
        <v>609.42000000000007</v>
      </c>
      <c r="AH28" s="140" t="s">
        <v>111</v>
      </c>
      <c r="AI28" s="134">
        <f t="shared" ref="AI28:AT28" ca="1" si="26">AVERAGE(AI15:AI24)</f>
        <v>669.32999999999993</v>
      </c>
      <c r="AJ28" s="134">
        <f t="shared" ca="1" si="26"/>
        <v>589.70000000000005</v>
      </c>
      <c r="AK28" s="134">
        <f t="shared" ca="1" si="26"/>
        <v>515.56000000000006</v>
      </c>
      <c r="AL28" s="134">
        <f t="shared" ca="1" si="26"/>
        <v>336.07999999999987</v>
      </c>
      <c r="AM28" s="134">
        <f t="shared" ca="1" si="26"/>
        <v>134.35</v>
      </c>
      <c r="AN28" s="134">
        <f t="shared" ca="1" si="26"/>
        <v>24.629999999999995</v>
      </c>
      <c r="AO28" s="134">
        <f t="shared" ca="1" si="26"/>
        <v>0.55000000000000004</v>
      </c>
      <c r="AP28" s="134">
        <f t="shared" ca="1" si="26"/>
        <v>1.5799999999999996</v>
      </c>
      <c r="AQ28" s="134">
        <f t="shared" ca="1" si="26"/>
        <v>44.589999999999996</v>
      </c>
      <c r="AR28" s="134">
        <f t="shared" ca="1" si="26"/>
        <v>200.92</v>
      </c>
      <c r="AS28" s="134">
        <f t="shared" ca="1" si="26"/>
        <v>390.56999999999994</v>
      </c>
      <c r="AT28" s="134">
        <f t="shared" ca="1" si="26"/>
        <v>547.41999999999996</v>
      </c>
      <c r="AU28" s="295">
        <f t="shared" ca="1" si="12"/>
        <v>3455.2800000000007</v>
      </c>
      <c r="AV28" s="140" t="s">
        <v>111</v>
      </c>
      <c r="AW28" s="134">
        <f t="shared" ref="AW28:BH28" ca="1" si="27">AVERAGE(AW15:AW24)</f>
        <v>607.33000000000004</v>
      </c>
      <c r="AX28" s="134">
        <f t="shared" ca="1" si="27"/>
        <v>533.1</v>
      </c>
      <c r="AY28" s="134">
        <f t="shared" ca="1" si="27"/>
        <v>453.77</v>
      </c>
      <c r="AZ28" s="134">
        <f t="shared" ca="1" si="27"/>
        <v>276.92999999999995</v>
      </c>
      <c r="BA28" s="134">
        <f t="shared" ca="1" si="27"/>
        <v>91.789999999999992</v>
      </c>
      <c r="BB28" s="134">
        <f t="shared" ca="1" si="27"/>
        <v>8.3199999999999985</v>
      </c>
      <c r="BC28" s="134">
        <f t="shared" ca="1" si="27"/>
        <v>0</v>
      </c>
      <c r="BD28" s="134">
        <f t="shared" ca="1" si="27"/>
        <v>9.9999999999999638E-3</v>
      </c>
      <c r="BE28" s="134">
        <f t="shared" ca="1" si="27"/>
        <v>19.43</v>
      </c>
      <c r="BF28" s="134">
        <f t="shared" ca="1" si="27"/>
        <v>147.23999999999998</v>
      </c>
      <c r="BG28" s="134">
        <f t="shared" ca="1" si="27"/>
        <v>331.03</v>
      </c>
      <c r="BH28" s="134">
        <f t="shared" ca="1" si="27"/>
        <v>485.42000000000007</v>
      </c>
      <c r="BJ28" s="140" t="s">
        <v>111</v>
      </c>
      <c r="BK28" s="134">
        <f t="shared" ref="BK28:BV28" ca="1" si="28">AVERAGE(BK15:BK24)</f>
        <v>545.33000000000004</v>
      </c>
      <c r="BL28" s="134">
        <f t="shared" ca="1" si="28"/>
        <v>476.52999999999992</v>
      </c>
      <c r="BM28" s="134">
        <f t="shared" ca="1" si="28"/>
        <v>392.36</v>
      </c>
      <c r="BN28" s="134">
        <f t="shared" ca="1" si="28"/>
        <v>219.51999999999992</v>
      </c>
      <c r="BO28" s="134">
        <f t="shared" ca="1" si="28"/>
        <v>57.640000000000008</v>
      </c>
      <c r="BP28" s="134">
        <f t="shared" ca="1" si="28"/>
        <v>1.9799999999999998</v>
      </c>
      <c r="BQ28" s="134">
        <f t="shared" ca="1" si="28"/>
        <v>0</v>
      </c>
      <c r="BR28" s="134">
        <f t="shared" ca="1" si="28"/>
        <v>0</v>
      </c>
      <c r="BS28" s="134">
        <f t="shared" ca="1" si="28"/>
        <v>6.1599999999999984</v>
      </c>
      <c r="BT28" s="134">
        <f t="shared" ca="1" si="28"/>
        <v>100.38000000000001</v>
      </c>
      <c r="BU28" s="134">
        <f t="shared" ca="1" si="28"/>
        <v>272.74</v>
      </c>
      <c r="BV28" s="134">
        <f t="shared" ca="1" si="28"/>
        <v>423.41999999999996</v>
      </c>
      <c r="BX28" s="140" t="s">
        <v>111</v>
      </c>
      <c r="BY28" s="134">
        <f t="shared" ref="BY28:CJ28" ca="1" si="29">AVERAGE(BY15:BY24)</f>
        <v>483.33000000000004</v>
      </c>
      <c r="BZ28" s="134">
        <f t="shared" ca="1" si="29"/>
        <v>420.13</v>
      </c>
      <c r="CA28" s="134">
        <f t="shared" ca="1" si="29"/>
        <v>331.57</v>
      </c>
      <c r="CB28" s="134">
        <f t="shared" ca="1" si="29"/>
        <v>164.75999999999996</v>
      </c>
      <c r="CC28" s="134">
        <f t="shared" ca="1" si="29"/>
        <v>31.660000000000004</v>
      </c>
      <c r="CD28" s="134">
        <f t="shared" ca="1" si="29"/>
        <v>0.24000000000000005</v>
      </c>
      <c r="CE28" s="134">
        <f t="shared" ca="1" si="29"/>
        <v>0</v>
      </c>
      <c r="CF28" s="134">
        <f t="shared" ca="1" si="29"/>
        <v>0</v>
      </c>
      <c r="CG28" s="134">
        <f t="shared" ca="1" si="29"/>
        <v>1.0399999999999998</v>
      </c>
      <c r="CH28" s="134">
        <f t="shared" ca="1" si="29"/>
        <v>61.510000000000012</v>
      </c>
      <c r="CI28" s="134">
        <f t="shared" ca="1" si="29"/>
        <v>216.64000000000001</v>
      </c>
      <c r="CJ28" s="134">
        <f t="shared" ca="1" si="29"/>
        <v>361.45</v>
      </c>
      <c r="CL28" s="140" t="s">
        <v>111</v>
      </c>
      <c r="CM28" s="134">
        <f t="shared" ref="CM28:CX28" ca="1" si="30">AVERAGE(CM15:CM24)</f>
        <v>421.58000000000004</v>
      </c>
      <c r="CN28" s="134">
        <f t="shared" ca="1" si="30"/>
        <v>363.78000000000003</v>
      </c>
      <c r="CO28" s="134">
        <f t="shared" ca="1" si="30"/>
        <v>272.42</v>
      </c>
      <c r="CP28" s="134">
        <f t="shared" ca="1" si="30"/>
        <v>113.97999999999999</v>
      </c>
      <c r="CQ28" s="134">
        <f t="shared" ca="1" si="30"/>
        <v>14.389999999999997</v>
      </c>
      <c r="CR28" s="134">
        <f t="shared" ca="1" si="30"/>
        <v>0</v>
      </c>
      <c r="CS28" s="134">
        <f t="shared" ca="1" si="30"/>
        <v>0</v>
      </c>
      <c r="CT28" s="134">
        <f t="shared" ca="1" si="30"/>
        <v>0</v>
      </c>
      <c r="CU28" s="134">
        <f t="shared" ca="1" si="30"/>
        <v>0</v>
      </c>
      <c r="CV28" s="134">
        <f t="shared" ca="1" si="30"/>
        <v>31.600000000000005</v>
      </c>
      <c r="CW28" s="134">
        <f t="shared" ca="1" si="30"/>
        <v>164.85000000000002</v>
      </c>
      <c r="CX28" s="134">
        <f t="shared" ca="1" si="30"/>
        <v>299.98999999999995</v>
      </c>
      <c r="CZ28" s="140"/>
      <c r="DA28" s="134"/>
      <c r="DB28" s="134"/>
      <c r="DC28" s="134"/>
      <c r="DD28" s="134"/>
      <c r="DE28" s="134"/>
      <c r="DF28" s="134"/>
      <c r="DG28" s="134"/>
      <c r="DH28" s="134"/>
      <c r="DI28" s="134"/>
      <c r="DJ28" s="134"/>
      <c r="DK28" s="134"/>
      <c r="DL28" s="134"/>
    </row>
    <row r="29" spans="1:116" x14ac:dyDescent="0.2">
      <c r="A29" s="132">
        <v>2003</v>
      </c>
      <c r="B29" s="144">
        <v>4</v>
      </c>
      <c r="C29" s="144">
        <v>5.746666666666667</v>
      </c>
      <c r="D29" s="134">
        <v>427.59999999999991</v>
      </c>
      <c r="E29" s="134">
        <v>0</v>
      </c>
      <c r="F29" s="134">
        <v>369.39999999999992</v>
      </c>
      <c r="G29" s="134">
        <v>1.8000000000000007</v>
      </c>
      <c r="H29" s="134">
        <v>311.39999999999992</v>
      </c>
      <c r="I29" s="134">
        <v>3.8000000000000007</v>
      </c>
      <c r="J29" s="134">
        <v>256.39999999999992</v>
      </c>
      <c r="K29" s="134">
        <v>8.8000000000000007</v>
      </c>
      <c r="L29" s="134">
        <v>204.39999999999989</v>
      </c>
      <c r="M29" s="134">
        <v>16.8</v>
      </c>
      <c r="N29" s="134">
        <v>155.79999999999998</v>
      </c>
      <c r="O29" s="134">
        <v>28.200000000000003</v>
      </c>
      <c r="P29" s="134"/>
      <c r="Q29" s="134"/>
      <c r="R29" s="134"/>
    </row>
    <row r="30" spans="1:116" x14ac:dyDescent="0.2">
      <c r="A30" s="132">
        <v>2003</v>
      </c>
      <c r="B30" s="144">
        <v>5</v>
      </c>
      <c r="C30" s="144">
        <v>12.377419354838713</v>
      </c>
      <c r="D30" s="134">
        <v>236.29999999999993</v>
      </c>
      <c r="E30" s="134">
        <v>0</v>
      </c>
      <c r="F30" s="134">
        <v>174.29999999999998</v>
      </c>
      <c r="G30" s="134">
        <v>0</v>
      </c>
      <c r="H30" s="134">
        <v>114.10000000000004</v>
      </c>
      <c r="I30" s="134">
        <v>1.8000000000000007</v>
      </c>
      <c r="J30" s="134">
        <v>63.100000000000009</v>
      </c>
      <c r="K30" s="134">
        <v>12.800000000000004</v>
      </c>
      <c r="L30" s="134">
        <v>26.799999999999997</v>
      </c>
      <c r="M30" s="134">
        <v>38.5</v>
      </c>
      <c r="N30" s="134">
        <v>5</v>
      </c>
      <c r="O30" s="134">
        <v>78.699999999999989</v>
      </c>
      <c r="P30" s="134"/>
      <c r="Q30" s="134"/>
      <c r="R30" s="134"/>
      <c r="T30" s="132"/>
      <c r="U30" s="132"/>
    </row>
    <row r="31" spans="1:116" x14ac:dyDescent="0.2">
      <c r="A31" s="132">
        <v>2003</v>
      </c>
      <c r="B31" s="144">
        <v>6</v>
      </c>
      <c r="C31" s="144">
        <v>18.306666666666668</v>
      </c>
      <c r="D31" s="134">
        <v>77.800000000000026</v>
      </c>
      <c r="E31" s="134">
        <v>27.000000000000004</v>
      </c>
      <c r="F31" s="134">
        <v>41.400000000000006</v>
      </c>
      <c r="G31" s="134">
        <v>50.600000000000009</v>
      </c>
      <c r="H31" s="134">
        <v>17.7</v>
      </c>
      <c r="I31" s="134">
        <v>86.9</v>
      </c>
      <c r="J31" s="134">
        <v>7.1999999999999993</v>
      </c>
      <c r="K31" s="134">
        <v>136.39999999999998</v>
      </c>
      <c r="L31" s="134">
        <v>1</v>
      </c>
      <c r="M31" s="134">
        <v>190.2</v>
      </c>
      <c r="N31" s="134">
        <v>0</v>
      </c>
      <c r="O31" s="134">
        <v>249.20000000000005</v>
      </c>
      <c r="P31" s="134"/>
      <c r="Q31" s="134"/>
      <c r="R31" s="134"/>
      <c r="T31" s="135" t="str">
        <f>E1</f>
        <v>CDD20</v>
      </c>
      <c r="U31" s="136" t="s">
        <v>103</v>
      </c>
      <c r="V31" s="136" t="s">
        <v>104</v>
      </c>
      <c r="W31" s="136" t="s">
        <v>105</v>
      </c>
      <c r="X31" s="136" t="s">
        <v>106</v>
      </c>
      <c r="Y31" s="136" t="s">
        <v>38</v>
      </c>
      <c r="Z31" s="136" t="s">
        <v>48</v>
      </c>
      <c r="AA31" s="136" t="s">
        <v>49</v>
      </c>
      <c r="AB31" s="137" t="s">
        <v>50</v>
      </c>
      <c r="AC31" s="137" t="s">
        <v>107</v>
      </c>
      <c r="AD31" s="137" t="s">
        <v>108</v>
      </c>
      <c r="AE31" s="137" t="s">
        <v>109</v>
      </c>
      <c r="AF31" s="137" t="s">
        <v>110</v>
      </c>
      <c r="AH31" s="135" t="str">
        <f>G1</f>
        <v>CDD18</v>
      </c>
      <c r="AI31" s="136" t="s">
        <v>103</v>
      </c>
      <c r="AJ31" s="136" t="s">
        <v>104</v>
      </c>
      <c r="AK31" s="136" t="s">
        <v>105</v>
      </c>
      <c r="AL31" s="136" t="s">
        <v>106</v>
      </c>
      <c r="AM31" s="136" t="s">
        <v>38</v>
      </c>
      <c r="AN31" s="136" t="s">
        <v>48</v>
      </c>
      <c r="AO31" s="136" t="s">
        <v>49</v>
      </c>
      <c r="AP31" s="137" t="s">
        <v>50</v>
      </c>
      <c r="AQ31" s="137" t="s">
        <v>107</v>
      </c>
      <c r="AR31" s="137" t="s">
        <v>108</v>
      </c>
      <c r="AS31" s="137" t="s">
        <v>109</v>
      </c>
      <c r="AT31" s="137" t="s">
        <v>110</v>
      </c>
      <c r="AV31" s="135" t="str">
        <f>I1</f>
        <v>CDD16</v>
      </c>
      <c r="AW31" s="136" t="s">
        <v>103</v>
      </c>
      <c r="AX31" s="136" t="s">
        <v>104</v>
      </c>
      <c r="AY31" s="136" t="s">
        <v>105</v>
      </c>
      <c r="AZ31" s="136" t="s">
        <v>106</v>
      </c>
      <c r="BA31" s="136" t="s">
        <v>38</v>
      </c>
      <c r="BB31" s="136" t="s">
        <v>48</v>
      </c>
      <c r="BC31" s="136" t="s">
        <v>49</v>
      </c>
      <c r="BD31" s="137" t="s">
        <v>50</v>
      </c>
      <c r="BE31" s="137" t="s">
        <v>107</v>
      </c>
      <c r="BF31" s="137" t="s">
        <v>108</v>
      </c>
      <c r="BG31" s="137" t="s">
        <v>109</v>
      </c>
      <c r="BH31" s="137" t="s">
        <v>110</v>
      </c>
      <c r="BJ31" s="135" t="str">
        <f>K1</f>
        <v>CDD14</v>
      </c>
      <c r="BK31" s="136" t="s">
        <v>103</v>
      </c>
      <c r="BL31" s="136" t="s">
        <v>104</v>
      </c>
      <c r="BM31" s="136" t="s">
        <v>105</v>
      </c>
      <c r="BN31" s="136" t="s">
        <v>106</v>
      </c>
      <c r="BO31" s="136" t="s">
        <v>38</v>
      </c>
      <c r="BP31" s="136" t="s">
        <v>48</v>
      </c>
      <c r="BQ31" s="136" t="s">
        <v>49</v>
      </c>
      <c r="BR31" s="137" t="s">
        <v>50</v>
      </c>
      <c r="BS31" s="137" t="s">
        <v>107</v>
      </c>
      <c r="BT31" s="137" t="s">
        <v>108</v>
      </c>
      <c r="BU31" s="137" t="s">
        <v>109</v>
      </c>
      <c r="BV31" s="137" t="s">
        <v>110</v>
      </c>
      <c r="BX31" s="135" t="str">
        <f>M1</f>
        <v>CDD12</v>
      </c>
      <c r="BY31" s="136" t="s">
        <v>103</v>
      </c>
      <c r="BZ31" s="136" t="s">
        <v>104</v>
      </c>
      <c r="CA31" s="136" t="s">
        <v>105</v>
      </c>
      <c r="CB31" s="136" t="s">
        <v>106</v>
      </c>
      <c r="CC31" s="136" t="s">
        <v>38</v>
      </c>
      <c r="CD31" s="136" t="s">
        <v>48</v>
      </c>
      <c r="CE31" s="136" t="s">
        <v>49</v>
      </c>
      <c r="CF31" s="137" t="s">
        <v>50</v>
      </c>
      <c r="CG31" s="137" t="s">
        <v>107</v>
      </c>
      <c r="CH31" s="137" t="s">
        <v>108</v>
      </c>
      <c r="CI31" s="137" t="s">
        <v>109</v>
      </c>
      <c r="CJ31" s="137" t="s">
        <v>110</v>
      </c>
      <c r="CL31" s="135" t="str">
        <f>O1</f>
        <v>CDD10</v>
      </c>
      <c r="CM31" s="136" t="s">
        <v>103</v>
      </c>
      <c r="CN31" s="136" t="s">
        <v>104</v>
      </c>
      <c r="CO31" s="136" t="s">
        <v>105</v>
      </c>
      <c r="CP31" s="136" t="s">
        <v>106</v>
      </c>
      <c r="CQ31" s="136" t="s">
        <v>38</v>
      </c>
      <c r="CR31" s="136" t="s">
        <v>48</v>
      </c>
      <c r="CS31" s="136" t="s">
        <v>49</v>
      </c>
      <c r="CT31" s="137" t="s">
        <v>50</v>
      </c>
      <c r="CU31" s="137" t="s">
        <v>107</v>
      </c>
      <c r="CV31" s="137" t="s">
        <v>108</v>
      </c>
      <c r="CW31" s="137" t="s">
        <v>109</v>
      </c>
      <c r="CX31" s="137" t="s">
        <v>110</v>
      </c>
      <c r="CZ31" s="135"/>
      <c r="DA31" s="136"/>
      <c r="DB31" s="136"/>
      <c r="DC31" s="136"/>
      <c r="DD31" s="136"/>
      <c r="DE31" s="136"/>
      <c r="DF31" s="136"/>
      <c r="DG31" s="136"/>
      <c r="DH31" s="137"/>
      <c r="DI31" s="137"/>
      <c r="DJ31" s="137"/>
      <c r="DK31" s="137"/>
      <c r="DL31" s="137"/>
    </row>
    <row r="32" spans="1:116" x14ac:dyDescent="0.2">
      <c r="A32" s="132">
        <v>2003</v>
      </c>
      <c r="B32" s="144">
        <v>7</v>
      </c>
      <c r="C32" s="144">
        <v>22.212903225806457</v>
      </c>
      <c r="D32" s="134">
        <v>3.9999999999999964</v>
      </c>
      <c r="E32" s="134">
        <v>72.59999999999998</v>
      </c>
      <c r="F32" s="134">
        <v>0</v>
      </c>
      <c r="G32" s="134">
        <v>130.59999999999997</v>
      </c>
      <c r="H32" s="134">
        <v>0</v>
      </c>
      <c r="I32" s="134">
        <v>192.60000000000002</v>
      </c>
      <c r="J32" s="134">
        <v>0</v>
      </c>
      <c r="K32" s="134">
        <v>254.60000000000008</v>
      </c>
      <c r="L32" s="134">
        <v>0</v>
      </c>
      <c r="M32" s="134">
        <v>316.60000000000014</v>
      </c>
      <c r="N32" s="134">
        <v>0</v>
      </c>
      <c r="O32" s="134">
        <v>378.60000000000014</v>
      </c>
      <c r="P32" s="134"/>
      <c r="Q32" s="134"/>
      <c r="R32" s="134"/>
      <c r="T32" s="132">
        <v>2001</v>
      </c>
      <c r="U32" s="134">
        <f t="shared" ref="U32:U51" ca="1" si="31">OFFSET($E$2,(ROW()-32)*12+COLUMN()-21,0)</f>
        <v>0</v>
      </c>
      <c r="V32" s="134">
        <f t="shared" ref="V32:AF47" ca="1" si="32">OFFSET($E$2,(ROW()-32)*12+COLUMN()-21,0)</f>
        <v>0</v>
      </c>
      <c r="W32" s="134">
        <f t="shared" ca="1" si="32"/>
        <v>0</v>
      </c>
      <c r="X32" s="134">
        <f t="shared" ca="1" si="32"/>
        <v>0</v>
      </c>
      <c r="Y32" s="134">
        <f t="shared" ca="1" si="32"/>
        <v>7.7000000000000028</v>
      </c>
      <c r="Z32" s="134">
        <f t="shared" ca="1" si="32"/>
        <v>50.3</v>
      </c>
      <c r="AA32" s="134">
        <f t="shared" ca="1" si="32"/>
        <v>62.099999999999994</v>
      </c>
      <c r="AB32" s="134">
        <f t="shared" ca="1" si="32"/>
        <v>117.49999999999996</v>
      </c>
      <c r="AC32" s="134">
        <f t="shared" ca="1" si="32"/>
        <v>20.400000000000002</v>
      </c>
      <c r="AD32" s="134">
        <f t="shared" ca="1" si="32"/>
        <v>1.4000000000000021</v>
      </c>
      <c r="AE32" s="134">
        <f t="shared" ca="1" si="32"/>
        <v>0</v>
      </c>
      <c r="AF32" s="134">
        <f t="shared" ca="1" si="32"/>
        <v>0</v>
      </c>
      <c r="AH32" s="132">
        <v>2001</v>
      </c>
      <c r="AI32" s="134">
        <f t="shared" ref="AI32:AI51" ca="1" si="33">OFFSET($G$2,(ROW()-32)*12+COLUMN()-35,0)</f>
        <v>0</v>
      </c>
      <c r="AJ32" s="134">
        <f t="shared" ref="AJ32:AT47" ca="1" si="34">OFFSET($G$2,(ROW()-32)*12+COLUMN()-35,0)</f>
        <v>0</v>
      </c>
      <c r="AK32" s="134">
        <f t="shared" ca="1" si="34"/>
        <v>0</v>
      </c>
      <c r="AL32" s="134">
        <f t="shared" ca="1" si="34"/>
        <v>0</v>
      </c>
      <c r="AM32" s="134">
        <f t="shared" ca="1" si="34"/>
        <v>18.300000000000004</v>
      </c>
      <c r="AN32" s="134">
        <f t="shared" ca="1" si="34"/>
        <v>87.499999999999986</v>
      </c>
      <c r="AO32" s="134">
        <f t="shared" ca="1" si="34"/>
        <v>109.09999999999998</v>
      </c>
      <c r="AP32" s="134">
        <f t="shared" ca="1" si="34"/>
        <v>178.00000000000009</v>
      </c>
      <c r="AQ32" s="134">
        <f t="shared" ca="1" si="34"/>
        <v>39.799999999999997</v>
      </c>
      <c r="AR32" s="134">
        <f t="shared" ca="1" si="34"/>
        <v>9.8000000000000043</v>
      </c>
      <c r="AS32" s="134">
        <f t="shared" ca="1" si="34"/>
        <v>0</v>
      </c>
      <c r="AT32" s="134">
        <f t="shared" ca="1" si="34"/>
        <v>0</v>
      </c>
      <c r="AU32" s="295">
        <f ca="1">SUM(AI32:AT32)</f>
        <v>442.50000000000011</v>
      </c>
      <c r="AV32" s="132">
        <v>2001</v>
      </c>
      <c r="AW32" s="134">
        <f t="shared" ref="AW32:AW51" ca="1" si="35">OFFSET($I$2,(ROW()-32)*12+COLUMN()-49,0)</f>
        <v>0</v>
      </c>
      <c r="AX32" s="134">
        <f t="shared" ref="AX32:BH47" ca="1" si="36">OFFSET($I$2,(ROW()-32)*12+COLUMN()-49,0)</f>
        <v>0</v>
      </c>
      <c r="AY32" s="134">
        <f t="shared" ca="1" si="36"/>
        <v>0</v>
      </c>
      <c r="AZ32" s="134">
        <f t="shared" ca="1" si="36"/>
        <v>2.8000000000000007</v>
      </c>
      <c r="BA32" s="134">
        <f t="shared" ca="1" si="36"/>
        <v>35.400000000000006</v>
      </c>
      <c r="BB32" s="134">
        <f t="shared" ca="1" si="36"/>
        <v>131.49999999999997</v>
      </c>
      <c r="BC32" s="134">
        <f t="shared" ca="1" si="36"/>
        <v>167.70000000000005</v>
      </c>
      <c r="BD32" s="134">
        <f t="shared" ca="1" si="36"/>
        <v>240.00000000000011</v>
      </c>
      <c r="BE32" s="134">
        <f t="shared" ca="1" si="36"/>
        <v>73.199999999999989</v>
      </c>
      <c r="BF32" s="134">
        <f t="shared" ca="1" si="36"/>
        <v>24.300000000000004</v>
      </c>
      <c r="BG32" s="134">
        <f t="shared" ca="1" si="36"/>
        <v>0.30000000000000071</v>
      </c>
      <c r="BH32" s="134">
        <f t="shared" ca="1" si="36"/>
        <v>0</v>
      </c>
      <c r="BJ32" s="132">
        <v>2001</v>
      </c>
      <c r="BK32" s="134">
        <f t="shared" ref="BK32:BK51" ca="1" si="37">OFFSET($K$2,(ROW()-32)*12+COLUMN()-63,0)</f>
        <v>0</v>
      </c>
      <c r="BL32" s="134">
        <f t="shared" ref="BL32:BV47" ca="1" si="38">OFFSET($K$2,(ROW()-32)*12+COLUMN()-63,0)</f>
        <v>0</v>
      </c>
      <c r="BM32" s="134">
        <f t="shared" ca="1" si="38"/>
        <v>0</v>
      </c>
      <c r="BN32" s="134">
        <f t="shared" ca="1" si="38"/>
        <v>9.3000000000000007</v>
      </c>
      <c r="BO32" s="134">
        <f t="shared" ca="1" si="38"/>
        <v>60.899999999999977</v>
      </c>
      <c r="BP32" s="134">
        <f t="shared" ca="1" si="38"/>
        <v>183.10000000000002</v>
      </c>
      <c r="BQ32" s="134">
        <f t="shared" ca="1" si="38"/>
        <v>228.50000000000006</v>
      </c>
      <c r="BR32" s="134">
        <f t="shared" ca="1" si="38"/>
        <v>302.00000000000017</v>
      </c>
      <c r="BS32" s="134">
        <f t="shared" ca="1" si="38"/>
        <v>118.29999999999998</v>
      </c>
      <c r="BT32" s="134">
        <f t="shared" ca="1" si="38"/>
        <v>43.2</v>
      </c>
      <c r="BU32" s="134">
        <f t="shared" ca="1" si="38"/>
        <v>3.3000000000000007</v>
      </c>
      <c r="BV32" s="134">
        <f t="shared" ca="1" si="38"/>
        <v>1.3000000000000007</v>
      </c>
      <c r="BX32" s="132">
        <v>2001</v>
      </c>
      <c r="BY32" s="134">
        <f t="shared" ref="BY32:BY51" ca="1" si="39">OFFSET($M$2,(ROW()-32)*12+COLUMN()-77,0)</f>
        <v>0</v>
      </c>
      <c r="BZ32" s="134">
        <f t="shared" ref="BZ32:CJ47" ca="1" si="40">OFFSET($M$2,(ROW()-32)*12+COLUMN()-77,0)</f>
        <v>0</v>
      </c>
      <c r="CA32" s="134">
        <f t="shared" ca="1" si="40"/>
        <v>0</v>
      </c>
      <c r="CB32" s="134">
        <f t="shared" ca="1" si="40"/>
        <v>19.600000000000001</v>
      </c>
      <c r="CC32" s="134">
        <f t="shared" ca="1" si="40"/>
        <v>105.09999999999997</v>
      </c>
      <c r="CD32" s="134">
        <f t="shared" ca="1" si="40"/>
        <v>239.10000000000008</v>
      </c>
      <c r="CE32" s="134">
        <f t="shared" ca="1" si="40"/>
        <v>290.50000000000006</v>
      </c>
      <c r="CF32" s="134">
        <f t="shared" ca="1" si="40"/>
        <v>364.00000000000017</v>
      </c>
      <c r="CG32" s="134">
        <f t="shared" ca="1" si="40"/>
        <v>170.40000000000003</v>
      </c>
      <c r="CH32" s="134">
        <f t="shared" ca="1" si="40"/>
        <v>68.999999999999986</v>
      </c>
      <c r="CI32" s="134">
        <f t="shared" ca="1" si="40"/>
        <v>11.100000000000001</v>
      </c>
      <c r="CJ32" s="134">
        <f t="shared" ca="1" si="40"/>
        <v>3.3000000000000007</v>
      </c>
      <c r="CL32" s="132">
        <v>2001</v>
      </c>
      <c r="CM32" s="134">
        <f t="shared" ref="CM32:CM51" ca="1" si="41">OFFSET($O$2,(ROW()-32)*12+COLUMN()-91,0)</f>
        <v>0</v>
      </c>
      <c r="CN32" s="134">
        <f t="shared" ref="CN32:CX47" ca="1" si="42">OFFSET($O$2,(ROW()-32)*12+COLUMN()-91,0)</f>
        <v>0</v>
      </c>
      <c r="CO32" s="134">
        <f t="shared" ca="1" si="42"/>
        <v>0</v>
      </c>
      <c r="CP32" s="134">
        <f t="shared" ca="1" si="42"/>
        <v>35.400000000000006</v>
      </c>
      <c r="CQ32" s="134">
        <f t="shared" ca="1" si="42"/>
        <v>163.60000000000002</v>
      </c>
      <c r="CR32" s="134">
        <f t="shared" ca="1" si="42"/>
        <v>299.10000000000008</v>
      </c>
      <c r="CS32" s="134">
        <f t="shared" ca="1" si="42"/>
        <v>352.50000000000006</v>
      </c>
      <c r="CT32" s="134">
        <f t="shared" ca="1" si="42"/>
        <v>426.00000000000017</v>
      </c>
      <c r="CU32" s="134">
        <f t="shared" ca="1" si="42"/>
        <v>227.20000000000007</v>
      </c>
      <c r="CV32" s="134">
        <f t="shared" ca="1" si="42"/>
        <v>99.59999999999998</v>
      </c>
      <c r="CW32" s="134">
        <f t="shared" ca="1" si="42"/>
        <v>27.700000000000003</v>
      </c>
      <c r="CX32" s="134">
        <f t="shared" ca="1" si="42"/>
        <v>5.3000000000000007</v>
      </c>
      <c r="DA32" s="134"/>
      <c r="DB32" s="134"/>
      <c r="DC32" s="134"/>
      <c r="DD32" s="134"/>
      <c r="DE32" s="134"/>
      <c r="DF32" s="134"/>
      <c r="DG32" s="134"/>
      <c r="DH32" s="134"/>
      <c r="DI32" s="134"/>
      <c r="DJ32" s="134"/>
      <c r="DK32" s="134"/>
      <c r="DL32" s="134"/>
    </row>
    <row r="33" spans="1:116" x14ac:dyDescent="0.2">
      <c r="A33" s="132">
        <v>2003</v>
      </c>
      <c r="B33" s="144">
        <v>8</v>
      </c>
      <c r="C33" s="144">
        <v>22.435483870967733</v>
      </c>
      <c r="D33" s="134">
        <v>5.8999999999999986</v>
      </c>
      <c r="E33" s="134">
        <v>81.399999999999991</v>
      </c>
      <c r="F33" s="134">
        <v>0.19999999999999929</v>
      </c>
      <c r="G33" s="134">
        <v>137.70000000000002</v>
      </c>
      <c r="H33" s="134">
        <v>0</v>
      </c>
      <c r="I33" s="134">
        <v>199.50000000000006</v>
      </c>
      <c r="J33" s="134">
        <v>0</v>
      </c>
      <c r="K33" s="134">
        <v>261.50000000000006</v>
      </c>
      <c r="L33" s="134">
        <v>0</v>
      </c>
      <c r="M33" s="134">
        <v>323.50000000000006</v>
      </c>
      <c r="N33" s="134">
        <v>0</v>
      </c>
      <c r="O33" s="134">
        <v>385.50000000000006</v>
      </c>
      <c r="P33" s="134"/>
      <c r="Q33" s="134"/>
      <c r="R33" s="134"/>
      <c r="T33" s="132">
        <f>1+T32</f>
        <v>2002</v>
      </c>
      <c r="U33" s="134">
        <f t="shared" ca="1" si="31"/>
        <v>0</v>
      </c>
      <c r="V33" s="134">
        <f t="shared" ca="1" si="32"/>
        <v>0</v>
      </c>
      <c r="W33" s="134">
        <f t="shared" ca="1" si="32"/>
        <v>0</v>
      </c>
      <c r="X33" s="134">
        <f t="shared" ca="1" si="32"/>
        <v>5.5</v>
      </c>
      <c r="Y33" s="134">
        <f t="shared" ca="1" si="32"/>
        <v>5.8000000000000007</v>
      </c>
      <c r="Z33" s="134">
        <f t="shared" ca="1" si="32"/>
        <v>49.900000000000006</v>
      </c>
      <c r="AA33" s="134">
        <f t="shared" ca="1" si="32"/>
        <v>139.69999999999999</v>
      </c>
      <c r="AB33" s="134">
        <f t="shared" ca="1" si="32"/>
        <v>105.29999999999998</v>
      </c>
      <c r="AC33" s="134">
        <f t="shared" ca="1" si="32"/>
        <v>64.899999999999977</v>
      </c>
      <c r="AD33" s="134">
        <f t="shared" ca="1" si="32"/>
        <v>7.5</v>
      </c>
      <c r="AE33" s="134">
        <f t="shared" ca="1" si="32"/>
        <v>0</v>
      </c>
      <c r="AF33" s="134">
        <f t="shared" ca="1" si="32"/>
        <v>0</v>
      </c>
      <c r="AH33" s="132">
        <f>1+AH32</f>
        <v>2002</v>
      </c>
      <c r="AI33" s="134">
        <f t="shared" ca="1" si="33"/>
        <v>0</v>
      </c>
      <c r="AJ33" s="134">
        <f t="shared" ca="1" si="34"/>
        <v>0</v>
      </c>
      <c r="AK33" s="134">
        <f t="shared" ca="1" si="34"/>
        <v>0</v>
      </c>
      <c r="AL33" s="134">
        <f t="shared" ca="1" si="34"/>
        <v>13.3</v>
      </c>
      <c r="AM33" s="134">
        <f t="shared" ca="1" si="34"/>
        <v>11.8</v>
      </c>
      <c r="AN33" s="134">
        <f t="shared" ca="1" si="34"/>
        <v>81.2</v>
      </c>
      <c r="AO33" s="134">
        <f t="shared" ca="1" si="34"/>
        <v>198.10000000000008</v>
      </c>
      <c r="AP33" s="134">
        <f t="shared" ca="1" si="34"/>
        <v>164.60000000000002</v>
      </c>
      <c r="AQ33" s="134">
        <f t="shared" ca="1" si="34"/>
        <v>107.39999999999998</v>
      </c>
      <c r="AR33" s="134">
        <f t="shared" ca="1" si="34"/>
        <v>13.5</v>
      </c>
      <c r="AS33" s="134">
        <f t="shared" ca="1" si="34"/>
        <v>0</v>
      </c>
      <c r="AT33" s="134">
        <f t="shared" ca="1" si="34"/>
        <v>0</v>
      </c>
      <c r="AU33" s="295">
        <f t="shared" ref="AU33:AU55" ca="1" si="43">SUM(AI33:AT33)</f>
        <v>589.90000000000009</v>
      </c>
      <c r="AV33" s="132">
        <f>1+AV32</f>
        <v>2002</v>
      </c>
      <c r="AW33" s="134">
        <f t="shared" ca="1" si="35"/>
        <v>0</v>
      </c>
      <c r="AX33" s="134">
        <f t="shared" ca="1" si="36"/>
        <v>0</v>
      </c>
      <c r="AY33" s="134">
        <f t="shared" ca="1" si="36"/>
        <v>0</v>
      </c>
      <c r="AZ33" s="134">
        <f t="shared" ca="1" si="36"/>
        <v>21.3</v>
      </c>
      <c r="BA33" s="134">
        <f t="shared" ca="1" si="36"/>
        <v>22.1</v>
      </c>
      <c r="BB33" s="134">
        <f t="shared" ca="1" si="36"/>
        <v>120.29999999999998</v>
      </c>
      <c r="BC33" s="134">
        <f t="shared" ca="1" si="36"/>
        <v>260.10000000000008</v>
      </c>
      <c r="BD33" s="134">
        <f t="shared" ca="1" si="36"/>
        <v>226.60000000000002</v>
      </c>
      <c r="BE33" s="134">
        <f t="shared" ca="1" si="36"/>
        <v>156.80000000000004</v>
      </c>
      <c r="BF33" s="134">
        <f t="shared" ca="1" si="36"/>
        <v>20.3</v>
      </c>
      <c r="BG33" s="134">
        <f t="shared" ca="1" si="36"/>
        <v>0</v>
      </c>
      <c r="BH33" s="134">
        <f t="shared" ca="1" si="36"/>
        <v>0</v>
      </c>
      <c r="BJ33" s="132">
        <f>1+BJ32</f>
        <v>2002</v>
      </c>
      <c r="BK33" s="134">
        <f t="shared" ca="1" si="37"/>
        <v>0</v>
      </c>
      <c r="BL33" s="134">
        <f t="shared" ca="1" si="38"/>
        <v>0</v>
      </c>
      <c r="BM33" s="134">
        <f t="shared" ca="1" si="38"/>
        <v>0</v>
      </c>
      <c r="BN33" s="134">
        <f t="shared" ca="1" si="38"/>
        <v>29.8</v>
      </c>
      <c r="BO33" s="134">
        <f t="shared" ca="1" si="38"/>
        <v>38.5</v>
      </c>
      <c r="BP33" s="134">
        <f t="shared" ca="1" si="38"/>
        <v>172.4</v>
      </c>
      <c r="BQ33" s="134">
        <f t="shared" ca="1" si="38"/>
        <v>322.10000000000008</v>
      </c>
      <c r="BR33" s="134">
        <f t="shared" ca="1" si="38"/>
        <v>288.60000000000008</v>
      </c>
      <c r="BS33" s="134">
        <f t="shared" ca="1" si="38"/>
        <v>213.90000000000009</v>
      </c>
      <c r="BT33" s="134">
        <f t="shared" ca="1" si="38"/>
        <v>32.299999999999997</v>
      </c>
      <c r="BU33" s="134">
        <f t="shared" ca="1" si="38"/>
        <v>2.1000000000000014</v>
      </c>
      <c r="BV33" s="134">
        <f t="shared" ca="1" si="38"/>
        <v>0</v>
      </c>
      <c r="BX33" s="132">
        <f>1+BX32</f>
        <v>2002</v>
      </c>
      <c r="BY33" s="134">
        <f t="shared" ca="1" si="39"/>
        <v>0</v>
      </c>
      <c r="BZ33" s="134">
        <f t="shared" ca="1" si="40"/>
        <v>0</v>
      </c>
      <c r="CA33" s="134">
        <f t="shared" ca="1" si="40"/>
        <v>0.30000000000000071</v>
      </c>
      <c r="CB33" s="134">
        <f t="shared" ca="1" si="40"/>
        <v>40.6</v>
      </c>
      <c r="CC33" s="134">
        <f t="shared" ca="1" si="40"/>
        <v>64.099999999999994</v>
      </c>
      <c r="CD33" s="134">
        <f t="shared" ca="1" si="40"/>
        <v>230.40000000000003</v>
      </c>
      <c r="CE33" s="134">
        <f t="shared" ca="1" si="40"/>
        <v>384.10000000000014</v>
      </c>
      <c r="CF33" s="134">
        <f t="shared" ca="1" si="40"/>
        <v>350.60000000000008</v>
      </c>
      <c r="CG33" s="134">
        <f t="shared" ca="1" si="40"/>
        <v>273.90000000000009</v>
      </c>
      <c r="CH33" s="134">
        <f t="shared" ca="1" si="40"/>
        <v>51.899999999999991</v>
      </c>
      <c r="CI33" s="134">
        <f t="shared" ca="1" si="40"/>
        <v>6.1000000000000014</v>
      </c>
      <c r="CJ33" s="134">
        <f t="shared" ca="1" si="40"/>
        <v>0</v>
      </c>
      <c r="CL33" s="132">
        <f>1+CL32</f>
        <v>2002</v>
      </c>
      <c r="CM33" s="134">
        <f t="shared" ca="1" si="41"/>
        <v>0</v>
      </c>
      <c r="CN33" s="134">
        <f t="shared" ca="1" si="42"/>
        <v>0</v>
      </c>
      <c r="CO33" s="134">
        <f t="shared" ca="1" si="42"/>
        <v>2.3000000000000007</v>
      </c>
      <c r="CP33" s="134">
        <f t="shared" ca="1" si="42"/>
        <v>57.399999999999991</v>
      </c>
      <c r="CQ33" s="134">
        <f t="shared" ca="1" si="42"/>
        <v>95.1</v>
      </c>
      <c r="CR33" s="134">
        <f t="shared" ca="1" si="42"/>
        <v>289.20000000000005</v>
      </c>
      <c r="CS33" s="134">
        <f t="shared" ca="1" si="42"/>
        <v>446.10000000000014</v>
      </c>
      <c r="CT33" s="134">
        <f t="shared" ca="1" si="42"/>
        <v>412.60000000000008</v>
      </c>
      <c r="CU33" s="134">
        <f t="shared" ca="1" si="42"/>
        <v>333.90000000000015</v>
      </c>
      <c r="CV33" s="134">
        <f t="shared" ca="1" si="42"/>
        <v>76.699999999999989</v>
      </c>
      <c r="CW33" s="134">
        <f t="shared" ca="1" si="42"/>
        <v>10.900000000000002</v>
      </c>
      <c r="CX33" s="134">
        <f t="shared" ca="1" si="42"/>
        <v>0</v>
      </c>
      <c r="DA33" s="134"/>
      <c r="DB33" s="134"/>
      <c r="DC33" s="134"/>
      <c r="DD33" s="134"/>
      <c r="DE33" s="134"/>
      <c r="DF33" s="134"/>
      <c r="DG33" s="134"/>
      <c r="DH33" s="134"/>
      <c r="DI33" s="134"/>
      <c r="DJ33" s="134"/>
      <c r="DK33" s="134"/>
      <c r="DL33" s="134"/>
    </row>
    <row r="34" spans="1:116" x14ac:dyDescent="0.2">
      <c r="A34" s="132">
        <v>2003</v>
      </c>
      <c r="B34" s="144">
        <v>9</v>
      </c>
      <c r="C34" s="144">
        <v>17.623333333333338</v>
      </c>
      <c r="D34" s="134">
        <v>78.900000000000006</v>
      </c>
      <c r="E34" s="134">
        <v>7.6000000000000014</v>
      </c>
      <c r="F34" s="134">
        <v>37.899999999999991</v>
      </c>
      <c r="G34" s="134">
        <v>26.600000000000005</v>
      </c>
      <c r="H34" s="134">
        <v>15.599999999999998</v>
      </c>
      <c r="I34" s="134">
        <v>64.299999999999983</v>
      </c>
      <c r="J34" s="134">
        <v>6.6999999999999993</v>
      </c>
      <c r="K34" s="134">
        <v>115.39999999999998</v>
      </c>
      <c r="L34" s="134">
        <v>2.1999999999999993</v>
      </c>
      <c r="M34" s="134">
        <v>170.90000000000003</v>
      </c>
      <c r="N34" s="134">
        <v>0</v>
      </c>
      <c r="O34" s="134">
        <v>228.7000000000001</v>
      </c>
      <c r="P34" s="134"/>
      <c r="Q34" s="134"/>
      <c r="R34" s="134"/>
      <c r="T34" s="132">
        <f t="shared" ref="T34:T51" si="44">1+T33</f>
        <v>2003</v>
      </c>
      <c r="U34" s="134">
        <f t="shared" ca="1" si="31"/>
        <v>0</v>
      </c>
      <c r="V34" s="134">
        <f t="shared" ca="1" si="32"/>
        <v>0</v>
      </c>
      <c r="W34" s="134">
        <f t="shared" ca="1" si="32"/>
        <v>0</v>
      </c>
      <c r="X34" s="134">
        <f t="shared" ca="1" si="32"/>
        <v>0</v>
      </c>
      <c r="Y34" s="134">
        <f t="shared" ca="1" si="32"/>
        <v>0</v>
      </c>
      <c r="Z34" s="134">
        <f t="shared" ca="1" si="32"/>
        <v>27.000000000000004</v>
      </c>
      <c r="AA34" s="134">
        <f t="shared" ca="1" si="32"/>
        <v>72.59999999999998</v>
      </c>
      <c r="AB34" s="134">
        <f t="shared" ca="1" si="32"/>
        <v>81.399999999999991</v>
      </c>
      <c r="AC34" s="134">
        <f t="shared" ca="1" si="32"/>
        <v>7.6000000000000014</v>
      </c>
      <c r="AD34" s="134">
        <f t="shared" ca="1" si="32"/>
        <v>0</v>
      </c>
      <c r="AE34" s="134">
        <f t="shared" ca="1" si="32"/>
        <v>0</v>
      </c>
      <c r="AF34" s="134">
        <f t="shared" ca="1" si="32"/>
        <v>0</v>
      </c>
      <c r="AH34" s="132">
        <f t="shared" ref="AH34:AH51" si="45">1+AH33</f>
        <v>2003</v>
      </c>
      <c r="AI34" s="134">
        <f t="shared" ca="1" si="33"/>
        <v>0</v>
      </c>
      <c r="AJ34" s="134">
        <f t="shared" ca="1" si="34"/>
        <v>0</v>
      </c>
      <c r="AK34" s="134">
        <f t="shared" ca="1" si="34"/>
        <v>0</v>
      </c>
      <c r="AL34" s="134">
        <f t="shared" ca="1" si="34"/>
        <v>1.8000000000000007</v>
      </c>
      <c r="AM34" s="134">
        <f t="shared" ca="1" si="34"/>
        <v>0</v>
      </c>
      <c r="AN34" s="134">
        <f t="shared" ca="1" si="34"/>
        <v>50.600000000000009</v>
      </c>
      <c r="AO34" s="134">
        <f t="shared" ca="1" si="34"/>
        <v>130.59999999999997</v>
      </c>
      <c r="AP34" s="134">
        <f t="shared" ca="1" si="34"/>
        <v>137.70000000000002</v>
      </c>
      <c r="AQ34" s="134">
        <f t="shared" ca="1" si="34"/>
        <v>26.600000000000005</v>
      </c>
      <c r="AR34" s="134">
        <f t="shared" ca="1" si="34"/>
        <v>0</v>
      </c>
      <c r="AS34" s="134">
        <f t="shared" ca="1" si="34"/>
        <v>0</v>
      </c>
      <c r="AT34" s="134">
        <f t="shared" ca="1" si="34"/>
        <v>0</v>
      </c>
      <c r="AU34" s="295">
        <f t="shared" ca="1" si="43"/>
        <v>347.3</v>
      </c>
      <c r="AV34" s="132">
        <f t="shared" ref="AV34:AV51" si="46">1+AV33</f>
        <v>2003</v>
      </c>
      <c r="AW34" s="134">
        <f t="shared" ca="1" si="35"/>
        <v>0</v>
      </c>
      <c r="AX34" s="134">
        <f t="shared" ca="1" si="36"/>
        <v>0</v>
      </c>
      <c r="AY34" s="134">
        <f t="shared" ca="1" si="36"/>
        <v>0</v>
      </c>
      <c r="AZ34" s="134">
        <f t="shared" ca="1" si="36"/>
        <v>3.8000000000000007</v>
      </c>
      <c r="BA34" s="134">
        <f t="shared" ca="1" si="36"/>
        <v>1.8000000000000007</v>
      </c>
      <c r="BB34" s="134">
        <f t="shared" ca="1" si="36"/>
        <v>86.9</v>
      </c>
      <c r="BC34" s="134">
        <f t="shared" ca="1" si="36"/>
        <v>192.60000000000002</v>
      </c>
      <c r="BD34" s="134">
        <f t="shared" ca="1" si="36"/>
        <v>199.50000000000006</v>
      </c>
      <c r="BE34" s="134">
        <f t="shared" ca="1" si="36"/>
        <v>64.299999999999983</v>
      </c>
      <c r="BF34" s="134">
        <f t="shared" ca="1" si="36"/>
        <v>3.3000000000000007</v>
      </c>
      <c r="BG34" s="134">
        <f t="shared" ca="1" si="36"/>
        <v>0</v>
      </c>
      <c r="BH34" s="134">
        <f t="shared" ca="1" si="36"/>
        <v>0</v>
      </c>
      <c r="BJ34" s="132">
        <f t="shared" ref="BJ34:BJ51" si="47">1+BJ33</f>
        <v>2003</v>
      </c>
      <c r="BK34" s="134">
        <f t="shared" ca="1" si="37"/>
        <v>0</v>
      </c>
      <c r="BL34" s="134">
        <f t="shared" ca="1" si="38"/>
        <v>0</v>
      </c>
      <c r="BM34" s="134">
        <f t="shared" ca="1" si="38"/>
        <v>0</v>
      </c>
      <c r="BN34" s="134">
        <f t="shared" ca="1" si="38"/>
        <v>8.8000000000000007</v>
      </c>
      <c r="BO34" s="134">
        <f t="shared" ca="1" si="38"/>
        <v>12.800000000000004</v>
      </c>
      <c r="BP34" s="134">
        <f t="shared" ca="1" si="38"/>
        <v>136.39999999999998</v>
      </c>
      <c r="BQ34" s="134">
        <f t="shared" ca="1" si="38"/>
        <v>254.60000000000008</v>
      </c>
      <c r="BR34" s="134">
        <f t="shared" ca="1" si="38"/>
        <v>261.50000000000006</v>
      </c>
      <c r="BS34" s="134">
        <f t="shared" ca="1" si="38"/>
        <v>115.39999999999998</v>
      </c>
      <c r="BT34" s="134">
        <f t="shared" ca="1" si="38"/>
        <v>10.100000000000001</v>
      </c>
      <c r="BU34" s="134">
        <f t="shared" ca="1" si="38"/>
        <v>0</v>
      </c>
      <c r="BV34" s="134">
        <f t="shared" ca="1" si="38"/>
        <v>0</v>
      </c>
      <c r="BX34" s="132">
        <f t="shared" ref="BX34:BX51" si="48">1+BX33</f>
        <v>2003</v>
      </c>
      <c r="BY34" s="134">
        <f t="shared" ca="1" si="39"/>
        <v>0</v>
      </c>
      <c r="BZ34" s="134">
        <f t="shared" ca="1" si="40"/>
        <v>0</v>
      </c>
      <c r="CA34" s="134">
        <f t="shared" ca="1" si="40"/>
        <v>0.5</v>
      </c>
      <c r="CB34" s="134">
        <f t="shared" ca="1" si="40"/>
        <v>16.8</v>
      </c>
      <c r="CC34" s="134">
        <f t="shared" ca="1" si="40"/>
        <v>38.5</v>
      </c>
      <c r="CD34" s="134">
        <f t="shared" ca="1" si="40"/>
        <v>190.2</v>
      </c>
      <c r="CE34" s="134">
        <f t="shared" ca="1" si="40"/>
        <v>316.60000000000014</v>
      </c>
      <c r="CF34" s="134">
        <f t="shared" ca="1" si="40"/>
        <v>323.50000000000006</v>
      </c>
      <c r="CG34" s="134">
        <f t="shared" ca="1" si="40"/>
        <v>170.90000000000003</v>
      </c>
      <c r="CH34" s="134">
        <f t="shared" ca="1" si="40"/>
        <v>22.1</v>
      </c>
      <c r="CI34" s="134">
        <f t="shared" ca="1" si="40"/>
        <v>1.5</v>
      </c>
      <c r="CJ34" s="134">
        <f t="shared" ca="1" si="40"/>
        <v>0</v>
      </c>
      <c r="CL34" s="132">
        <f t="shared" ref="CL34:CL51" si="49">1+CL33</f>
        <v>2003</v>
      </c>
      <c r="CM34" s="134">
        <f t="shared" ca="1" si="41"/>
        <v>0</v>
      </c>
      <c r="CN34" s="134">
        <f t="shared" ca="1" si="42"/>
        <v>0</v>
      </c>
      <c r="CO34" s="134">
        <f t="shared" ca="1" si="42"/>
        <v>2.8000000000000007</v>
      </c>
      <c r="CP34" s="134">
        <f t="shared" ca="1" si="42"/>
        <v>28.200000000000003</v>
      </c>
      <c r="CQ34" s="134">
        <f t="shared" ca="1" si="42"/>
        <v>78.699999999999989</v>
      </c>
      <c r="CR34" s="134">
        <f t="shared" ca="1" si="42"/>
        <v>249.20000000000005</v>
      </c>
      <c r="CS34" s="134">
        <f t="shared" ca="1" si="42"/>
        <v>378.60000000000014</v>
      </c>
      <c r="CT34" s="134">
        <f t="shared" ca="1" si="42"/>
        <v>385.50000000000006</v>
      </c>
      <c r="CU34" s="134">
        <f t="shared" ca="1" si="42"/>
        <v>228.7000000000001</v>
      </c>
      <c r="CV34" s="134">
        <f t="shared" ca="1" si="42"/>
        <v>42</v>
      </c>
      <c r="CW34" s="134">
        <f t="shared" ca="1" si="42"/>
        <v>11.900000000000002</v>
      </c>
      <c r="CX34" s="134">
        <f t="shared" ca="1" si="42"/>
        <v>0</v>
      </c>
      <c r="DA34" s="134"/>
      <c r="DB34" s="134"/>
      <c r="DC34" s="134"/>
      <c r="DD34" s="134"/>
      <c r="DE34" s="134"/>
      <c r="DF34" s="134"/>
      <c r="DG34" s="134"/>
      <c r="DH34" s="134"/>
      <c r="DI34" s="134"/>
      <c r="DJ34" s="134"/>
      <c r="DK34" s="134"/>
      <c r="DL34" s="134"/>
    </row>
    <row r="35" spans="1:116" x14ac:dyDescent="0.2">
      <c r="A35" s="132">
        <v>2003</v>
      </c>
      <c r="B35" s="144">
        <v>10</v>
      </c>
      <c r="C35" s="144">
        <v>9.6774193548387117</v>
      </c>
      <c r="D35" s="134">
        <v>319.99999999999994</v>
      </c>
      <c r="E35" s="134">
        <v>0</v>
      </c>
      <c r="F35" s="134">
        <v>257.99999999999994</v>
      </c>
      <c r="G35" s="134">
        <v>0</v>
      </c>
      <c r="H35" s="134">
        <v>199.29999999999998</v>
      </c>
      <c r="I35" s="134">
        <v>3.3000000000000007</v>
      </c>
      <c r="J35" s="134">
        <v>144.10000000000002</v>
      </c>
      <c r="K35" s="134">
        <v>10.100000000000001</v>
      </c>
      <c r="L35" s="134">
        <v>94.100000000000009</v>
      </c>
      <c r="M35" s="134">
        <v>22.1</v>
      </c>
      <c r="N35" s="134">
        <v>52</v>
      </c>
      <c r="O35" s="134">
        <v>42</v>
      </c>
      <c r="P35" s="134"/>
      <c r="Q35" s="134"/>
      <c r="R35" s="134"/>
      <c r="T35" s="132">
        <f t="shared" si="44"/>
        <v>2004</v>
      </c>
      <c r="U35" s="134">
        <f t="shared" ca="1" si="31"/>
        <v>0</v>
      </c>
      <c r="V35" s="134">
        <f t="shared" ca="1" si="32"/>
        <v>0</v>
      </c>
      <c r="W35" s="134">
        <f t="shared" ca="1" si="32"/>
        <v>0</v>
      </c>
      <c r="X35" s="134">
        <f t="shared" ca="1" si="32"/>
        <v>0</v>
      </c>
      <c r="Y35" s="134">
        <f t="shared" ca="1" si="32"/>
        <v>5.5</v>
      </c>
      <c r="Z35" s="134">
        <f t="shared" ca="1" si="32"/>
        <v>22.1</v>
      </c>
      <c r="AA35" s="134">
        <f t="shared" ca="1" si="32"/>
        <v>49</v>
      </c>
      <c r="AB35" s="134">
        <f t="shared" ca="1" si="32"/>
        <v>38</v>
      </c>
      <c r="AC35" s="134">
        <f t="shared" ca="1" si="32"/>
        <v>23.300000000000004</v>
      </c>
      <c r="AD35" s="134">
        <f t="shared" ca="1" si="32"/>
        <v>0</v>
      </c>
      <c r="AE35" s="134">
        <f t="shared" ca="1" si="32"/>
        <v>0</v>
      </c>
      <c r="AF35" s="134">
        <f t="shared" ca="1" si="32"/>
        <v>0</v>
      </c>
      <c r="AH35" s="132">
        <f t="shared" si="45"/>
        <v>2004</v>
      </c>
      <c r="AI35" s="134">
        <f t="shared" ca="1" si="33"/>
        <v>0</v>
      </c>
      <c r="AJ35" s="134">
        <f t="shared" ca="1" si="34"/>
        <v>0</v>
      </c>
      <c r="AK35" s="134">
        <f t="shared" ca="1" si="34"/>
        <v>0</v>
      </c>
      <c r="AL35" s="134">
        <f t="shared" ca="1" si="34"/>
        <v>1</v>
      </c>
      <c r="AM35" s="134">
        <f t="shared" ca="1" si="34"/>
        <v>13.8</v>
      </c>
      <c r="AN35" s="134">
        <f t="shared" ca="1" si="34"/>
        <v>44.699999999999989</v>
      </c>
      <c r="AO35" s="134">
        <f t="shared" ca="1" si="34"/>
        <v>98.499999999999986</v>
      </c>
      <c r="AP35" s="134">
        <f t="shared" ca="1" si="34"/>
        <v>76.899999999999991</v>
      </c>
      <c r="AQ35" s="134">
        <f t="shared" ca="1" si="34"/>
        <v>57.8</v>
      </c>
      <c r="AR35" s="134">
        <f t="shared" ca="1" si="34"/>
        <v>3.3000000000000007</v>
      </c>
      <c r="AS35" s="134">
        <f t="shared" ca="1" si="34"/>
        <v>0</v>
      </c>
      <c r="AT35" s="134">
        <f t="shared" ca="1" si="34"/>
        <v>0</v>
      </c>
      <c r="AU35" s="295">
        <f t="shared" ca="1" si="43"/>
        <v>296</v>
      </c>
      <c r="AV35" s="132">
        <f t="shared" si="46"/>
        <v>2004</v>
      </c>
      <c r="AW35" s="134">
        <f t="shared" ca="1" si="35"/>
        <v>0</v>
      </c>
      <c r="AX35" s="134">
        <f t="shared" ca="1" si="36"/>
        <v>0</v>
      </c>
      <c r="AY35" s="134">
        <f t="shared" ca="1" si="36"/>
        <v>0</v>
      </c>
      <c r="AZ35" s="134">
        <f t="shared" ca="1" si="36"/>
        <v>3.3000000000000007</v>
      </c>
      <c r="BA35" s="134">
        <f t="shared" ca="1" si="36"/>
        <v>27.200000000000003</v>
      </c>
      <c r="BB35" s="134">
        <f t="shared" ca="1" si="36"/>
        <v>80.299999999999983</v>
      </c>
      <c r="BC35" s="134">
        <f t="shared" ca="1" si="36"/>
        <v>159.60000000000002</v>
      </c>
      <c r="BD35" s="134">
        <f t="shared" ca="1" si="36"/>
        <v>133.1</v>
      </c>
      <c r="BE35" s="134">
        <f t="shared" ca="1" si="36"/>
        <v>104.09999999999998</v>
      </c>
      <c r="BF35" s="134">
        <f t="shared" ca="1" si="36"/>
        <v>10.900000000000002</v>
      </c>
      <c r="BG35" s="134">
        <f t="shared" ca="1" si="36"/>
        <v>0</v>
      </c>
      <c r="BH35" s="134">
        <f t="shared" ca="1" si="36"/>
        <v>0</v>
      </c>
      <c r="BJ35" s="132">
        <f t="shared" si="47"/>
        <v>2004</v>
      </c>
      <c r="BK35" s="134">
        <f t="shared" ca="1" si="37"/>
        <v>0</v>
      </c>
      <c r="BL35" s="134">
        <f t="shared" ca="1" si="38"/>
        <v>0</v>
      </c>
      <c r="BM35" s="134">
        <f t="shared" ca="1" si="38"/>
        <v>0</v>
      </c>
      <c r="BN35" s="134">
        <f t="shared" ca="1" si="38"/>
        <v>7.3000000000000007</v>
      </c>
      <c r="BO35" s="134">
        <f t="shared" ca="1" si="38"/>
        <v>54.59999999999998</v>
      </c>
      <c r="BP35" s="134">
        <f t="shared" ca="1" si="38"/>
        <v>129.79999999999998</v>
      </c>
      <c r="BQ35" s="134">
        <f t="shared" ca="1" si="38"/>
        <v>221.60000000000002</v>
      </c>
      <c r="BR35" s="134">
        <f t="shared" ca="1" si="38"/>
        <v>195.10000000000002</v>
      </c>
      <c r="BS35" s="134">
        <f t="shared" ca="1" si="38"/>
        <v>159.00000000000003</v>
      </c>
      <c r="BT35" s="134">
        <f t="shared" ca="1" si="38"/>
        <v>22.900000000000002</v>
      </c>
      <c r="BU35" s="134">
        <f t="shared" ca="1" si="38"/>
        <v>0</v>
      </c>
      <c r="BV35" s="134">
        <f t="shared" ca="1" si="38"/>
        <v>0</v>
      </c>
      <c r="BX35" s="132">
        <f t="shared" si="48"/>
        <v>2004</v>
      </c>
      <c r="BY35" s="134">
        <f t="shared" ca="1" si="39"/>
        <v>0</v>
      </c>
      <c r="BZ35" s="134">
        <f t="shared" ca="1" si="40"/>
        <v>0</v>
      </c>
      <c r="CA35" s="134">
        <f t="shared" ca="1" si="40"/>
        <v>1.8000000000000007</v>
      </c>
      <c r="CB35" s="134">
        <f t="shared" ca="1" si="40"/>
        <v>14.900000000000002</v>
      </c>
      <c r="CC35" s="134">
        <f t="shared" ca="1" si="40"/>
        <v>92.199999999999974</v>
      </c>
      <c r="CD35" s="134">
        <f t="shared" ca="1" si="40"/>
        <v>187.80000000000007</v>
      </c>
      <c r="CE35" s="134">
        <f t="shared" ca="1" si="40"/>
        <v>283.60000000000008</v>
      </c>
      <c r="CF35" s="134">
        <f t="shared" ca="1" si="40"/>
        <v>257.10000000000002</v>
      </c>
      <c r="CG35" s="134">
        <f t="shared" ca="1" si="40"/>
        <v>217.00000000000006</v>
      </c>
      <c r="CH35" s="134">
        <f t="shared" ca="1" si="40"/>
        <v>41.8</v>
      </c>
      <c r="CI35" s="134">
        <f t="shared" ca="1" si="40"/>
        <v>1.3000000000000007</v>
      </c>
      <c r="CJ35" s="134">
        <f t="shared" ca="1" si="40"/>
        <v>0</v>
      </c>
      <c r="CL35" s="132">
        <f t="shared" si="49"/>
        <v>2004</v>
      </c>
      <c r="CM35" s="134">
        <f t="shared" ca="1" si="41"/>
        <v>1.3000000000000007</v>
      </c>
      <c r="CN35" s="134">
        <f t="shared" ca="1" si="42"/>
        <v>0</v>
      </c>
      <c r="CO35" s="134">
        <f t="shared" ca="1" si="42"/>
        <v>6.6000000000000014</v>
      </c>
      <c r="CP35" s="134">
        <f t="shared" ca="1" si="42"/>
        <v>29.300000000000004</v>
      </c>
      <c r="CQ35" s="134">
        <f t="shared" ca="1" si="42"/>
        <v>140.9</v>
      </c>
      <c r="CR35" s="134">
        <f t="shared" ca="1" si="42"/>
        <v>247.8000000000001</v>
      </c>
      <c r="CS35" s="134">
        <f t="shared" ca="1" si="42"/>
        <v>345.60000000000008</v>
      </c>
      <c r="CT35" s="134">
        <f t="shared" ca="1" si="42"/>
        <v>319.10000000000008</v>
      </c>
      <c r="CU35" s="134">
        <f t="shared" ca="1" si="42"/>
        <v>276.80000000000007</v>
      </c>
      <c r="CV35" s="134">
        <f t="shared" ca="1" si="42"/>
        <v>72.199999999999989</v>
      </c>
      <c r="CW35" s="134">
        <f t="shared" ca="1" si="42"/>
        <v>6.1000000000000014</v>
      </c>
      <c r="CX35" s="134">
        <f t="shared" ca="1" si="42"/>
        <v>0</v>
      </c>
      <c r="DA35" s="134"/>
      <c r="DB35" s="134"/>
      <c r="DC35" s="134"/>
      <c r="DD35" s="134"/>
      <c r="DE35" s="134"/>
      <c r="DF35" s="134"/>
      <c r="DG35" s="134"/>
      <c r="DH35" s="134"/>
      <c r="DI35" s="134"/>
      <c r="DJ35" s="134"/>
      <c r="DK35" s="134"/>
      <c r="DL35" s="134"/>
    </row>
    <row r="36" spans="1:116" x14ac:dyDescent="0.2">
      <c r="A36" s="132">
        <v>2003</v>
      </c>
      <c r="B36" s="144">
        <v>11</v>
      </c>
      <c r="C36" s="144">
        <v>6.4533333333333358</v>
      </c>
      <c r="D36" s="134">
        <v>406.39999999999986</v>
      </c>
      <c r="E36" s="134">
        <v>0</v>
      </c>
      <c r="F36" s="134">
        <v>346.39999999999992</v>
      </c>
      <c r="G36" s="134">
        <v>0</v>
      </c>
      <c r="H36" s="134">
        <v>286.39999999999992</v>
      </c>
      <c r="I36" s="134">
        <v>0</v>
      </c>
      <c r="J36" s="134">
        <v>226.39999999999992</v>
      </c>
      <c r="K36" s="134">
        <v>0</v>
      </c>
      <c r="L36" s="134">
        <v>167.89999999999998</v>
      </c>
      <c r="M36" s="134">
        <v>1.5</v>
      </c>
      <c r="N36" s="134">
        <v>118.30000000000003</v>
      </c>
      <c r="O36" s="134">
        <v>11.900000000000002</v>
      </c>
      <c r="P36" s="134"/>
      <c r="Q36" s="134"/>
      <c r="R36" s="134"/>
      <c r="T36" s="132">
        <f t="shared" si="44"/>
        <v>2005</v>
      </c>
      <c r="U36" s="134">
        <f t="shared" ca="1" si="31"/>
        <v>0</v>
      </c>
      <c r="V36" s="134">
        <f t="shared" ca="1" si="32"/>
        <v>0</v>
      </c>
      <c r="W36" s="134">
        <f t="shared" ca="1" si="32"/>
        <v>0</v>
      </c>
      <c r="X36" s="134">
        <f t="shared" ca="1" si="32"/>
        <v>0</v>
      </c>
      <c r="Y36" s="134">
        <f t="shared" ca="1" si="32"/>
        <v>0</v>
      </c>
      <c r="Z36" s="134">
        <f t="shared" ca="1" si="32"/>
        <v>104.29999999999998</v>
      </c>
      <c r="AA36" s="134">
        <f t="shared" ca="1" si="32"/>
        <v>144.30000000000001</v>
      </c>
      <c r="AB36" s="134">
        <f t="shared" ca="1" si="32"/>
        <v>111.79999999999997</v>
      </c>
      <c r="AC36" s="134">
        <f t="shared" ca="1" si="32"/>
        <v>20.800000000000004</v>
      </c>
      <c r="AD36" s="134">
        <f t="shared" ca="1" si="32"/>
        <v>5.5</v>
      </c>
      <c r="AE36" s="134">
        <f t="shared" ca="1" si="32"/>
        <v>0</v>
      </c>
      <c r="AF36" s="134">
        <f t="shared" ca="1" si="32"/>
        <v>0</v>
      </c>
      <c r="AH36" s="132">
        <f t="shared" si="45"/>
        <v>2005</v>
      </c>
      <c r="AI36" s="134">
        <f t="shared" ca="1" si="33"/>
        <v>0</v>
      </c>
      <c r="AJ36" s="134">
        <f t="shared" ca="1" si="34"/>
        <v>0</v>
      </c>
      <c r="AK36" s="134">
        <f t="shared" ca="1" si="34"/>
        <v>0</v>
      </c>
      <c r="AL36" s="134">
        <f t="shared" ca="1" si="34"/>
        <v>0</v>
      </c>
      <c r="AM36" s="134">
        <f t="shared" ca="1" si="34"/>
        <v>1.3000000000000007</v>
      </c>
      <c r="AN36" s="134">
        <f t="shared" ca="1" si="34"/>
        <v>147.89999999999998</v>
      </c>
      <c r="AO36" s="134">
        <f t="shared" ca="1" si="34"/>
        <v>204.10000000000008</v>
      </c>
      <c r="AP36" s="134">
        <f t="shared" ca="1" si="34"/>
        <v>170.40000000000003</v>
      </c>
      <c r="AQ36" s="134">
        <f t="shared" ca="1" si="34"/>
        <v>56.100000000000009</v>
      </c>
      <c r="AR36" s="134">
        <f t="shared" ca="1" si="34"/>
        <v>13.399999999999999</v>
      </c>
      <c r="AS36" s="134">
        <f t="shared" ca="1" si="34"/>
        <v>0</v>
      </c>
      <c r="AT36" s="134">
        <f t="shared" ca="1" si="34"/>
        <v>0</v>
      </c>
      <c r="AU36" s="295">
        <f t="shared" ca="1" si="43"/>
        <v>593.20000000000005</v>
      </c>
      <c r="AV36" s="132">
        <f t="shared" si="46"/>
        <v>2005</v>
      </c>
      <c r="AW36" s="134">
        <f t="shared" ca="1" si="35"/>
        <v>0</v>
      </c>
      <c r="AX36" s="134">
        <f t="shared" ca="1" si="36"/>
        <v>0</v>
      </c>
      <c r="AY36" s="134">
        <f t="shared" ca="1" si="36"/>
        <v>0</v>
      </c>
      <c r="AZ36" s="134">
        <f t="shared" ca="1" si="36"/>
        <v>0.80000000000000071</v>
      </c>
      <c r="BA36" s="134">
        <f t="shared" ca="1" si="36"/>
        <v>8.6000000000000014</v>
      </c>
      <c r="BB36" s="134">
        <f t="shared" ca="1" si="36"/>
        <v>203.10000000000005</v>
      </c>
      <c r="BC36" s="134">
        <f t="shared" ca="1" si="36"/>
        <v>266.10000000000008</v>
      </c>
      <c r="BD36" s="134">
        <f t="shared" ca="1" si="36"/>
        <v>232.40000000000009</v>
      </c>
      <c r="BE36" s="134">
        <f t="shared" ca="1" si="36"/>
        <v>103.6</v>
      </c>
      <c r="BF36" s="134">
        <f t="shared" ca="1" si="36"/>
        <v>21.9</v>
      </c>
      <c r="BG36" s="134">
        <f t="shared" ca="1" si="36"/>
        <v>0</v>
      </c>
      <c r="BH36" s="134">
        <f t="shared" ca="1" si="36"/>
        <v>0</v>
      </c>
      <c r="BJ36" s="132">
        <f t="shared" si="47"/>
        <v>2005</v>
      </c>
      <c r="BK36" s="134">
        <f t="shared" ca="1" si="37"/>
        <v>0</v>
      </c>
      <c r="BL36" s="134">
        <f t="shared" ca="1" si="38"/>
        <v>0</v>
      </c>
      <c r="BM36" s="134">
        <f t="shared" ca="1" si="38"/>
        <v>0</v>
      </c>
      <c r="BN36" s="134">
        <f t="shared" ca="1" si="38"/>
        <v>4.1000000000000014</v>
      </c>
      <c r="BO36" s="134">
        <f t="shared" ca="1" si="38"/>
        <v>25.500000000000004</v>
      </c>
      <c r="BP36" s="134">
        <f t="shared" ca="1" si="38"/>
        <v>263.10000000000014</v>
      </c>
      <c r="BQ36" s="134">
        <f t="shared" ca="1" si="38"/>
        <v>328.10000000000014</v>
      </c>
      <c r="BR36" s="134">
        <f t="shared" ca="1" si="38"/>
        <v>294.40000000000009</v>
      </c>
      <c r="BS36" s="134">
        <f t="shared" ca="1" si="38"/>
        <v>158</v>
      </c>
      <c r="BT36" s="134">
        <f t="shared" ca="1" si="38"/>
        <v>33.5</v>
      </c>
      <c r="BU36" s="134">
        <f t="shared" ca="1" si="38"/>
        <v>0</v>
      </c>
      <c r="BV36" s="134">
        <f t="shared" ca="1" si="38"/>
        <v>0</v>
      </c>
      <c r="BX36" s="132">
        <f t="shared" si="48"/>
        <v>2005</v>
      </c>
      <c r="BY36" s="134">
        <f t="shared" ca="1" si="39"/>
        <v>0</v>
      </c>
      <c r="BZ36" s="134">
        <f t="shared" ca="1" si="40"/>
        <v>0</v>
      </c>
      <c r="CA36" s="134">
        <f t="shared" ca="1" si="40"/>
        <v>0</v>
      </c>
      <c r="CB36" s="134">
        <f t="shared" ca="1" si="40"/>
        <v>11.600000000000001</v>
      </c>
      <c r="CC36" s="134">
        <f t="shared" ca="1" si="40"/>
        <v>52.3</v>
      </c>
      <c r="CD36" s="134">
        <f t="shared" ca="1" si="40"/>
        <v>323.10000000000014</v>
      </c>
      <c r="CE36" s="134">
        <f t="shared" ca="1" si="40"/>
        <v>390.10000000000014</v>
      </c>
      <c r="CF36" s="134">
        <f t="shared" ca="1" si="40"/>
        <v>356.40000000000009</v>
      </c>
      <c r="CG36" s="134">
        <f t="shared" ca="1" si="40"/>
        <v>214.6</v>
      </c>
      <c r="CH36" s="134">
        <f t="shared" ca="1" si="40"/>
        <v>52.199999999999989</v>
      </c>
      <c r="CI36" s="134">
        <f t="shared" ca="1" si="40"/>
        <v>4.4000000000000004</v>
      </c>
      <c r="CJ36" s="134">
        <f t="shared" ca="1" si="40"/>
        <v>0</v>
      </c>
      <c r="CL36" s="132">
        <f t="shared" si="49"/>
        <v>2005</v>
      </c>
      <c r="CM36" s="134">
        <f t="shared" ca="1" si="41"/>
        <v>0.5</v>
      </c>
      <c r="CN36" s="134">
        <f t="shared" ca="1" si="42"/>
        <v>0</v>
      </c>
      <c r="CO36" s="134">
        <f t="shared" ca="1" si="42"/>
        <v>0.5</v>
      </c>
      <c r="CP36" s="134">
        <f t="shared" ca="1" si="42"/>
        <v>23.000000000000004</v>
      </c>
      <c r="CQ36" s="134">
        <f t="shared" ca="1" si="42"/>
        <v>90.499999999999986</v>
      </c>
      <c r="CR36" s="134">
        <f t="shared" ca="1" si="42"/>
        <v>383.10000000000014</v>
      </c>
      <c r="CS36" s="134">
        <f t="shared" ca="1" si="42"/>
        <v>452.10000000000014</v>
      </c>
      <c r="CT36" s="134">
        <f t="shared" ca="1" si="42"/>
        <v>418.40000000000015</v>
      </c>
      <c r="CU36" s="134">
        <f t="shared" ca="1" si="42"/>
        <v>273.40000000000003</v>
      </c>
      <c r="CV36" s="134">
        <f t="shared" ca="1" si="42"/>
        <v>82.999999999999986</v>
      </c>
      <c r="CW36" s="134">
        <f t="shared" ca="1" si="42"/>
        <v>16.700000000000003</v>
      </c>
      <c r="CX36" s="134">
        <f t="shared" ca="1" si="42"/>
        <v>0</v>
      </c>
      <c r="DA36" s="134"/>
      <c r="DB36" s="134"/>
      <c r="DC36" s="134"/>
      <c r="DD36" s="134"/>
      <c r="DE36" s="134"/>
      <c r="DF36" s="134"/>
      <c r="DG36" s="134"/>
      <c r="DH36" s="134"/>
      <c r="DI36" s="134"/>
      <c r="DJ36" s="134"/>
      <c r="DK36" s="134"/>
      <c r="DL36" s="134"/>
    </row>
    <row r="37" spans="1:116" x14ac:dyDescent="0.2">
      <c r="A37" s="132">
        <v>2003</v>
      </c>
      <c r="B37" s="144">
        <v>12</v>
      </c>
      <c r="C37" s="144">
        <v>1.0870967741935484</v>
      </c>
      <c r="D37" s="134">
        <v>586.30000000000018</v>
      </c>
      <c r="E37" s="134">
        <v>0</v>
      </c>
      <c r="F37" s="134">
        <v>524.30000000000007</v>
      </c>
      <c r="G37" s="134">
        <v>0</v>
      </c>
      <c r="H37" s="134">
        <v>462.29999999999995</v>
      </c>
      <c r="I37" s="134">
        <v>0</v>
      </c>
      <c r="J37" s="134">
        <v>400.29999999999995</v>
      </c>
      <c r="K37" s="134">
        <v>0</v>
      </c>
      <c r="L37" s="134">
        <v>338.29999999999995</v>
      </c>
      <c r="M37" s="134">
        <v>0</v>
      </c>
      <c r="N37" s="134">
        <v>276.29999999999995</v>
      </c>
      <c r="O37" s="134">
        <v>0</v>
      </c>
      <c r="P37" s="134"/>
      <c r="Q37" s="134"/>
      <c r="R37" s="134"/>
      <c r="T37" s="132">
        <f t="shared" si="44"/>
        <v>2006</v>
      </c>
      <c r="U37" s="134">
        <f t="shared" ca="1" si="31"/>
        <v>0</v>
      </c>
      <c r="V37" s="134">
        <f t="shared" ca="1" si="32"/>
        <v>0</v>
      </c>
      <c r="W37" s="134">
        <f t="shared" ca="1" si="32"/>
        <v>0</v>
      </c>
      <c r="X37" s="134">
        <f t="shared" ca="1" si="32"/>
        <v>0</v>
      </c>
      <c r="Y37" s="134">
        <f t="shared" ca="1" si="32"/>
        <v>19.100000000000001</v>
      </c>
      <c r="Z37" s="134">
        <f t="shared" ca="1" si="32"/>
        <v>28.900000000000002</v>
      </c>
      <c r="AA37" s="134">
        <f t="shared" ca="1" si="32"/>
        <v>110.20000000000002</v>
      </c>
      <c r="AB37" s="134">
        <f t="shared" ca="1" si="32"/>
        <v>55.800000000000004</v>
      </c>
      <c r="AC37" s="134">
        <f t="shared" ca="1" si="32"/>
        <v>4.1000000000000014</v>
      </c>
      <c r="AD37" s="134">
        <f t="shared" ca="1" si="32"/>
        <v>0</v>
      </c>
      <c r="AE37" s="134">
        <f t="shared" ca="1" si="32"/>
        <v>0</v>
      </c>
      <c r="AF37" s="134">
        <f t="shared" ca="1" si="32"/>
        <v>0</v>
      </c>
      <c r="AH37" s="132">
        <f t="shared" si="45"/>
        <v>2006</v>
      </c>
      <c r="AI37" s="134">
        <f t="shared" ca="1" si="33"/>
        <v>0</v>
      </c>
      <c r="AJ37" s="134">
        <f t="shared" ca="1" si="34"/>
        <v>0</v>
      </c>
      <c r="AK37" s="134">
        <f t="shared" ca="1" si="34"/>
        <v>0</v>
      </c>
      <c r="AL37" s="134">
        <f t="shared" ca="1" si="34"/>
        <v>0</v>
      </c>
      <c r="AM37" s="134">
        <f t="shared" ca="1" si="34"/>
        <v>29.200000000000003</v>
      </c>
      <c r="AN37" s="134">
        <f t="shared" ca="1" si="34"/>
        <v>65.600000000000009</v>
      </c>
      <c r="AO37" s="134">
        <f t="shared" ca="1" si="34"/>
        <v>166.8</v>
      </c>
      <c r="AP37" s="134">
        <f t="shared" ca="1" si="34"/>
        <v>103.80000000000001</v>
      </c>
      <c r="AQ37" s="134">
        <f t="shared" ca="1" si="34"/>
        <v>15.7</v>
      </c>
      <c r="AR37" s="134">
        <f t="shared" ca="1" si="34"/>
        <v>0.80000000000000071</v>
      </c>
      <c r="AS37" s="134">
        <f t="shared" ca="1" si="34"/>
        <v>0</v>
      </c>
      <c r="AT37" s="134">
        <f t="shared" ca="1" si="34"/>
        <v>0</v>
      </c>
      <c r="AU37" s="295">
        <f t="shared" ca="1" si="43"/>
        <v>381.90000000000003</v>
      </c>
      <c r="AV37" s="132">
        <f t="shared" si="46"/>
        <v>2006</v>
      </c>
      <c r="AW37" s="134">
        <f t="shared" ca="1" si="35"/>
        <v>0</v>
      </c>
      <c r="AX37" s="134">
        <f t="shared" ca="1" si="36"/>
        <v>0</v>
      </c>
      <c r="AY37" s="134">
        <f t="shared" ca="1" si="36"/>
        <v>0</v>
      </c>
      <c r="AZ37" s="134">
        <f t="shared" ca="1" si="36"/>
        <v>0</v>
      </c>
      <c r="BA37" s="134">
        <f t="shared" ca="1" si="36"/>
        <v>44.500000000000007</v>
      </c>
      <c r="BB37" s="134">
        <f t="shared" ca="1" si="36"/>
        <v>114.89999999999999</v>
      </c>
      <c r="BC37" s="134">
        <f t="shared" ca="1" si="36"/>
        <v>228.19999999999996</v>
      </c>
      <c r="BD37" s="134">
        <f t="shared" ca="1" si="36"/>
        <v>164.39999999999998</v>
      </c>
      <c r="BE37" s="134">
        <f t="shared" ca="1" si="36"/>
        <v>42.9</v>
      </c>
      <c r="BF37" s="134">
        <f t="shared" ca="1" si="36"/>
        <v>3.3000000000000007</v>
      </c>
      <c r="BG37" s="134">
        <f t="shared" ca="1" si="36"/>
        <v>0</v>
      </c>
      <c r="BH37" s="134">
        <f t="shared" ca="1" si="36"/>
        <v>0</v>
      </c>
      <c r="BJ37" s="132">
        <f t="shared" si="47"/>
        <v>2006</v>
      </c>
      <c r="BK37" s="134">
        <f t="shared" ca="1" si="37"/>
        <v>0</v>
      </c>
      <c r="BL37" s="134">
        <f t="shared" ca="1" si="38"/>
        <v>0</v>
      </c>
      <c r="BM37" s="134">
        <f t="shared" ca="1" si="38"/>
        <v>0</v>
      </c>
      <c r="BN37" s="134">
        <f t="shared" ca="1" si="38"/>
        <v>2.9000000000000004</v>
      </c>
      <c r="BO37" s="134">
        <f t="shared" ca="1" si="38"/>
        <v>66.700000000000017</v>
      </c>
      <c r="BP37" s="134">
        <f t="shared" ca="1" si="38"/>
        <v>170.89999999999998</v>
      </c>
      <c r="BQ37" s="134">
        <f t="shared" ca="1" si="38"/>
        <v>290.2</v>
      </c>
      <c r="BR37" s="134">
        <f t="shared" ca="1" si="38"/>
        <v>226.39999999999992</v>
      </c>
      <c r="BS37" s="134">
        <f t="shared" ca="1" si="38"/>
        <v>81.699999999999989</v>
      </c>
      <c r="BT37" s="134">
        <f t="shared" ca="1" si="38"/>
        <v>10.800000000000002</v>
      </c>
      <c r="BU37" s="134">
        <f t="shared" ca="1" si="38"/>
        <v>0</v>
      </c>
      <c r="BV37" s="134">
        <f t="shared" ca="1" si="38"/>
        <v>0</v>
      </c>
      <c r="BX37" s="132">
        <f t="shared" si="48"/>
        <v>2006</v>
      </c>
      <c r="BY37" s="134">
        <f t="shared" ca="1" si="39"/>
        <v>0</v>
      </c>
      <c r="BZ37" s="134">
        <f t="shared" ca="1" si="40"/>
        <v>0</v>
      </c>
      <c r="CA37" s="134">
        <f t="shared" ca="1" si="40"/>
        <v>2</v>
      </c>
      <c r="CB37" s="134">
        <f t="shared" ca="1" si="40"/>
        <v>8.9</v>
      </c>
      <c r="CC37" s="134">
        <f t="shared" ca="1" si="40"/>
        <v>101.30000000000001</v>
      </c>
      <c r="CD37" s="134">
        <f t="shared" ca="1" si="40"/>
        <v>229.69999999999993</v>
      </c>
      <c r="CE37" s="134">
        <f t="shared" ca="1" si="40"/>
        <v>352.2</v>
      </c>
      <c r="CF37" s="134">
        <f t="shared" ca="1" si="40"/>
        <v>288.39999999999998</v>
      </c>
      <c r="CG37" s="134">
        <f t="shared" ca="1" si="40"/>
        <v>131.29999999999998</v>
      </c>
      <c r="CH37" s="134">
        <f t="shared" ca="1" si="40"/>
        <v>29.600000000000009</v>
      </c>
      <c r="CI37" s="134">
        <f t="shared" ca="1" si="40"/>
        <v>9.9999999999999645E-2</v>
      </c>
      <c r="CJ37" s="134">
        <f t="shared" ca="1" si="40"/>
        <v>0</v>
      </c>
      <c r="CL37" s="132">
        <f t="shared" si="49"/>
        <v>2006</v>
      </c>
      <c r="CM37" s="134">
        <f t="shared" ca="1" si="41"/>
        <v>0</v>
      </c>
      <c r="CN37" s="134">
        <f t="shared" ca="1" si="42"/>
        <v>0</v>
      </c>
      <c r="CO37" s="134">
        <f t="shared" ca="1" si="42"/>
        <v>4</v>
      </c>
      <c r="CP37" s="134">
        <f t="shared" ca="1" si="42"/>
        <v>19.600000000000001</v>
      </c>
      <c r="CQ37" s="134">
        <f t="shared" ca="1" si="42"/>
        <v>148.59999999999997</v>
      </c>
      <c r="CR37" s="134">
        <f t="shared" ca="1" si="42"/>
        <v>289.7</v>
      </c>
      <c r="CS37" s="134">
        <f t="shared" ca="1" si="42"/>
        <v>414.2</v>
      </c>
      <c r="CT37" s="134">
        <f t="shared" ca="1" si="42"/>
        <v>350.39999999999992</v>
      </c>
      <c r="CU37" s="134">
        <f t="shared" ca="1" si="42"/>
        <v>187.79999999999995</v>
      </c>
      <c r="CV37" s="134">
        <f t="shared" ca="1" si="42"/>
        <v>53.699999999999989</v>
      </c>
      <c r="CW37" s="134">
        <f t="shared" ca="1" si="42"/>
        <v>5.5</v>
      </c>
      <c r="CX37" s="134">
        <f t="shared" ca="1" si="42"/>
        <v>0</v>
      </c>
      <c r="DA37" s="134"/>
      <c r="DB37" s="134"/>
      <c r="DC37" s="134"/>
      <c r="DD37" s="134"/>
      <c r="DE37" s="134"/>
      <c r="DF37" s="134"/>
      <c r="DG37" s="134"/>
      <c r="DH37" s="134"/>
      <c r="DI37" s="134"/>
      <c r="DJ37" s="134"/>
      <c r="DK37" s="134"/>
      <c r="DL37" s="134"/>
    </row>
    <row r="38" spans="1:116" x14ac:dyDescent="0.2">
      <c r="A38" s="132">
        <v>2004</v>
      </c>
      <c r="B38" s="144">
        <v>1</v>
      </c>
      <c r="C38" s="144">
        <v>-7.3225806451612918</v>
      </c>
      <c r="D38" s="134">
        <v>846.99999999999977</v>
      </c>
      <c r="E38" s="134">
        <v>0</v>
      </c>
      <c r="F38" s="134">
        <v>784.99999999999977</v>
      </c>
      <c r="G38" s="134">
        <v>0</v>
      </c>
      <c r="H38" s="134">
        <v>722.99999999999989</v>
      </c>
      <c r="I38" s="134">
        <v>0</v>
      </c>
      <c r="J38" s="134">
        <v>661</v>
      </c>
      <c r="K38" s="134">
        <v>0</v>
      </c>
      <c r="L38" s="134">
        <v>599</v>
      </c>
      <c r="M38" s="134">
        <v>0</v>
      </c>
      <c r="N38" s="134">
        <v>538.30000000000007</v>
      </c>
      <c r="O38" s="134">
        <v>1.3000000000000007</v>
      </c>
      <c r="P38" s="134"/>
      <c r="Q38" s="134"/>
      <c r="R38" s="134"/>
      <c r="T38" s="132">
        <f t="shared" si="44"/>
        <v>2007</v>
      </c>
      <c r="U38" s="134">
        <f t="shared" ca="1" si="31"/>
        <v>0</v>
      </c>
      <c r="V38" s="134">
        <f t="shared" ca="1" si="32"/>
        <v>0</v>
      </c>
      <c r="W38" s="134">
        <f t="shared" ca="1" si="32"/>
        <v>0</v>
      </c>
      <c r="X38" s="134">
        <f t="shared" ca="1" si="32"/>
        <v>0</v>
      </c>
      <c r="Y38" s="134">
        <f t="shared" ca="1" si="32"/>
        <v>13</v>
      </c>
      <c r="Z38" s="134">
        <f t="shared" ca="1" si="32"/>
        <v>58.2</v>
      </c>
      <c r="AA38" s="134">
        <f t="shared" ca="1" si="32"/>
        <v>57.1</v>
      </c>
      <c r="AB38" s="134">
        <f t="shared" ca="1" si="32"/>
        <v>88.399999999999991</v>
      </c>
      <c r="AC38" s="134">
        <f t="shared" ca="1" si="32"/>
        <v>32.199999999999996</v>
      </c>
      <c r="AD38" s="134">
        <f t="shared" ca="1" si="32"/>
        <v>8.3000000000000043</v>
      </c>
      <c r="AE38" s="134">
        <f t="shared" ca="1" si="32"/>
        <v>0</v>
      </c>
      <c r="AF38" s="134">
        <f t="shared" ca="1" si="32"/>
        <v>0</v>
      </c>
      <c r="AH38" s="132">
        <f t="shared" si="45"/>
        <v>2007</v>
      </c>
      <c r="AI38" s="134">
        <f t="shared" ca="1" si="33"/>
        <v>0</v>
      </c>
      <c r="AJ38" s="134">
        <f t="shared" ca="1" si="34"/>
        <v>0</v>
      </c>
      <c r="AK38" s="134">
        <f t="shared" ca="1" si="34"/>
        <v>0</v>
      </c>
      <c r="AL38" s="134">
        <f t="shared" ca="1" si="34"/>
        <v>0</v>
      </c>
      <c r="AM38" s="134">
        <f t="shared" ca="1" si="34"/>
        <v>24.4</v>
      </c>
      <c r="AN38" s="134">
        <f t="shared" ca="1" si="34"/>
        <v>98.899999999999977</v>
      </c>
      <c r="AO38" s="134">
        <f t="shared" ca="1" si="34"/>
        <v>104.5</v>
      </c>
      <c r="AP38" s="134">
        <f t="shared" ca="1" si="34"/>
        <v>142.10000000000002</v>
      </c>
      <c r="AQ38" s="134">
        <f t="shared" ca="1" si="34"/>
        <v>63.9</v>
      </c>
      <c r="AR38" s="134">
        <f t="shared" ca="1" si="34"/>
        <v>25.100000000000009</v>
      </c>
      <c r="AS38" s="134">
        <f t="shared" ca="1" si="34"/>
        <v>0</v>
      </c>
      <c r="AT38" s="134">
        <f t="shared" ca="1" si="34"/>
        <v>0</v>
      </c>
      <c r="AU38" s="295">
        <f t="shared" ca="1" si="43"/>
        <v>458.9</v>
      </c>
      <c r="AV38" s="132">
        <f t="shared" si="46"/>
        <v>2007</v>
      </c>
      <c r="AW38" s="134">
        <f t="shared" ca="1" si="35"/>
        <v>0</v>
      </c>
      <c r="AX38" s="134">
        <f t="shared" ca="1" si="36"/>
        <v>0</v>
      </c>
      <c r="AY38" s="134">
        <f t="shared" ca="1" si="36"/>
        <v>0</v>
      </c>
      <c r="AZ38" s="134">
        <f t="shared" ca="1" si="36"/>
        <v>1.1000000000000014</v>
      </c>
      <c r="BA38" s="134">
        <f t="shared" ca="1" si="36"/>
        <v>43.4</v>
      </c>
      <c r="BB38" s="134">
        <f t="shared" ca="1" si="36"/>
        <v>150.70000000000002</v>
      </c>
      <c r="BC38" s="134">
        <f t="shared" ca="1" si="36"/>
        <v>164.09999999999997</v>
      </c>
      <c r="BD38" s="134">
        <f t="shared" ca="1" si="36"/>
        <v>197.60000000000005</v>
      </c>
      <c r="BE38" s="134">
        <f t="shared" ca="1" si="36"/>
        <v>107.2</v>
      </c>
      <c r="BF38" s="134">
        <f t="shared" ca="1" si="36"/>
        <v>50.8</v>
      </c>
      <c r="BG38" s="134">
        <f t="shared" ca="1" si="36"/>
        <v>0</v>
      </c>
      <c r="BH38" s="134">
        <f t="shared" ca="1" si="36"/>
        <v>0</v>
      </c>
      <c r="BJ38" s="132">
        <f t="shared" si="47"/>
        <v>2007</v>
      </c>
      <c r="BK38" s="134">
        <f t="shared" ca="1" si="37"/>
        <v>0</v>
      </c>
      <c r="BL38" s="134">
        <f t="shared" ca="1" si="38"/>
        <v>0</v>
      </c>
      <c r="BM38" s="134">
        <f t="shared" ca="1" si="38"/>
        <v>0</v>
      </c>
      <c r="BN38" s="134">
        <f t="shared" ca="1" si="38"/>
        <v>4.2000000000000011</v>
      </c>
      <c r="BO38" s="134">
        <f t="shared" ca="1" si="38"/>
        <v>69.399999999999991</v>
      </c>
      <c r="BP38" s="134">
        <f t="shared" ca="1" si="38"/>
        <v>206.29999999999998</v>
      </c>
      <c r="BQ38" s="134">
        <f t="shared" ca="1" si="38"/>
        <v>226.10000000000005</v>
      </c>
      <c r="BR38" s="134">
        <f t="shared" ca="1" si="38"/>
        <v>259.40000000000003</v>
      </c>
      <c r="BS38" s="134">
        <f t="shared" ca="1" si="38"/>
        <v>159.5</v>
      </c>
      <c r="BT38" s="134">
        <f t="shared" ca="1" si="38"/>
        <v>80.8</v>
      </c>
      <c r="BU38" s="134">
        <f t="shared" ca="1" si="38"/>
        <v>0</v>
      </c>
      <c r="BV38" s="134">
        <f t="shared" ca="1" si="38"/>
        <v>0</v>
      </c>
      <c r="BX38" s="132">
        <f t="shared" si="48"/>
        <v>2007</v>
      </c>
      <c r="BY38" s="134">
        <f t="shared" ca="1" si="39"/>
        <v>0</v>
      </c>
      <c r="BZ38" s="134">
        <f t="shared" ca="1" si="40"/>
        <v>0</v>
      </c>
      <c r="CA38" s="134">
        <f t="shared" ca="1" si="40"/>
        <v>1.1999999999999993</v>
      </c>
      <c r="CB38" s="134">
        <f t="shared" ca="1" si="40"/>
        <v>14.600000000000001</v>
      </c>
      <c r="CC38" s="134">
        <f t="shared" ca="1" si="40"/>
        <v>101.2</v>
      </c>
      <c r="CD38" s="134">
        <f t="shared" ca="1" si="40"/>
        <v>264.89999999999998</v>
      </c>
      <c r="CE38" s="134">
        <f t="shared" ca="1" si="40"/>
        <v>288.10000000000008</v>
      </c>
      <c r="CF38" s="134">
        <f t="shared" ca="1" si="40"/>
        <v>321.39999999999998</v>
      </c>
      <c r="CG38" s="134">
        <f t="shared" ca="1" si="40"/>
        <v>215.40000000000003</v>
      </c>
      <c r="CH38" s="134">
        <f t="shared" ca="1" si="40"/>
        <v>118.09999999999998</v>
      </c>
      <c r="CI38" s="134">
        <f t="shared" ca="1" si="40"/>
        <v>0</v>
      </c>
      <c r="CJ38" s="134">
        <f t="shared" ca="1" si="40"/>
        <v>0</v>
      </c>
      <c r="CL38" s="132">
        <f t="shared" si="49"/>
        <v>2007</v>
      </c>
      <c r="CM38" s="134">
        <f t="shared" ca="1" si="41"/>
        <v>0.40000000000000036</v>
      </c>
      <c r="CN38" s="134">
        <f t="shared" ca="1" si="42"/>
        <v>0</v>
      </c>
      <c r="CO38" s="134">
        <f t="shared" ca="1" si="42"/>
        <v>6</v>
      </c>
      <c r="CP38" s="134">
        <f t="shared" ca="1" si="42"/>
        <v>29.400000000000006</v>
      </c>
      <c r="CQ38" s="134">
        <f t="shared" ca="1" si="42"/>
        <v>146.10000000000002</v>
      </c>
      <c r="CR38" s="134">
        <f t="shared" ca="1" si="42"/>
        <v>324.89999999999998</v>
      </c>
      <c r="CS38" s="134">
        <f t="shared" ca="1" si="42"/>
        <v>350.1</v>
      </c>
      <c r="CT38" s="134">
        <f t="shared" ca="1" si="42"/>
        <v>383.39999999999992</v>
      </c>
      <c r="CU38" s="134">
        <f t="shared" ca="1" si="42"/>
        <v>274.40000000000003</v>
      </c>
      <c r="CV38" s="134">
        <f t="shared" ca="1" si="42"/>
        <v>166.9</v>
      </c>
      <c r="CW38" s="134">
        <f t="shared" ca="1" si="42"/>
        <v>1.6999999999999993</v>
      </c>
      <c r="CX38" s="134">
        <f t="shared" ca="1" si="42"/>
        <v>0</v>
      </c>
      <c r="DA38" s="134"/>
      <c r="DB38" s="134"/>
      <c r="DC38" s="134"/>
      <c r="DD38" s="134"/>
      <c r="DE38" s="134"/>
      <c r="DF38" s="134"/>
      <c r="DG38" s="134"/>
      <c r="DH38" s="134"/>
      <c r="DI38" s="134"/>
      <c r="DJ38" s="134"/>
      <c r="DK38" s="134"/>
      <c r="DL38" s="134"/>
    </row>
    <row r="39" spans="1:116" x14ac:dyDescent="0.2">
      <c r="A39" s="132">
        <v>2004</v>
      </c>
      <c r="B39" s="144">
        <v>2</v>
      </c>
      <c r="C39" s="144">
        <v>-2.5275862068965504</v>
      </c>
      <c r="D39" s="134">
        <v>653.29999999999984</v>
      </c>
      <c r="E39" s="134">
        <v>0</v>
      </c>
      <c r="F39" s="134">
        <v>595.29999999999995</v>
      </c>
      <c r="G39" s="134">
        <v>0</v>
      </c>
      <c r="H39" s="134">
        <v>537.30000000000018</v>
      </c>
      <c r="I39" s="134">
        <v>0</v>
      </c>
      <c r="J39" s="134">
        <v>479.30000000000013</v>
      </c>
      <c r="K39" s="134">
        <v>0</v>
      </c>
      <c r="L39" s="134">
        <v>421.30000000000013</v>
      </c>
      <c r="M39" s="134">
        <v>0</v>
      </c>
      <c r="N39" s="134">
        <v>363.30000000000013</v>
      </c>
      <c r="O39" s="134">
        <v>0</v>
      </c>
      <c r="P39" s="134"/>
      <c r="Q39" s="134"/>
      <c r="R39" s="134"/>
      <c r="T39" s="132">
        <f t="shared" si="44"/>
        <v>2008</v>
      </c>
      <c r="U39" s="134">
        <f t="shared" ca="1" si="31"/>
        <v>0</v>
      </c>
      <c r="V39" s="134">
        <f t="shared" ca="1" si="32"/>
        <v>0</v>
      </c>
      <c r="W39" s="134">
        <f t="shared" ca="1" si="32"/>
        <v>0</v>
      </c>
      <c r="X39" s="134">
        <f t="shared" ca="1" si="32"/>
        <v>0</v>
      </c>
      <c r="Y39" s="134">
        <f t="shared" ca="1" si="32"/>
        <v>0</v>
      </c>
      <c r="Z39" s="134">
        <f t="shared" ca="1" si="32"/>
        <v>58.5</v>
      </c>
      <c r="AA39" s="134">
        <f t="shared" ca="1" si="32"/>
        <v>76.200000000000017</v>
      </c>
      <c r="AB39" s="134">
        <f t="shared" ca="1" si="32"/>
        <v>38.899999999999991</v>
      </c>
      <c r="AC39" s="134">
        <f t="shared" ca="1" si="32"/>
        <v>17.199999999999996</v>
      </c>
      <c r="AD39" s="134">
        <f t="shared" ca="1" si="32"/>
        <v>0</v>
      </c>
      <c r="AE39" s="134">
        <f t="shared" ca="1" si="32"/>
        <v>0</v>
      </c>
      <c r="AF39" s="134">
        <f t="shared" ca="1" si="32"/>
        <v>0</v>
      </c>
      <c r="AH39" s="132">
        <f t="shared" si="45"/>
        <v>2008</v>
      </c>
      <c r="AI39" s="134">
        <f t="shared" ca="1" si="33"/>
        <v>0</v>
      </c>
      <c r="AJ39" s="134">
        <f t="shared" ca="1" si="34"/>
        <v>0</v>
      </c>
      <c r="AK39" s="134">
        <f t="shared" ca="1" si="34"/>
        <v>0</v>
      </c>
      <c r="AL39" s="134">
        <f t="shared" ca="1" si="34"/>
        <v>0</v>
      </c>
      <c r="AM39" s="134">
        <f t="shared" ca="1" si="34"/>
        <v>1.3000000000000007</v>
      </c>
      <c r="AN39" s="134">
        <f t="shared" ca="1" si="34"/>
        <v>100.7</v>
      </c>
      <c r="AO39" s="134">
        <f t="shared" ca="1" si="34"/>
        <v>132.20000000000002</v>
      </c>
      <c r="AP39" s="134">
        <f t="shared" ca="1" si="34"/>
        <v>81.300000000000011</v>
      </c>
      <c r="AQ39" s="134">
        <f t="shared" ca="1" si="34"/>
        <v>36.099999999999994</v>
      </c>
      <c r="AR39" s="134">
        <f t="shared" ca="1" si="34"/>
        <v>0.60000000000000142</v>
      </c>
      <c r="AS39" s="134">
        <f t="shared" ca="1" si="34"/>
        <v>0</v>
      </c>
      <c r="AT39" s="134">
        <f t="shared" ca="1" si="34"/>
        <v>0</v>
      </c>
      <c r="AU39" s="295">
        <f t="shared" ca="1" si="43"/>
        <v>352.20000000000005</v>
      </c>
      <c r="AV39" s="132">
        <f t="shared" si="46"/>
        <v>2008</v>
      </c>
      <c r="AW39" s="134">
        <f t="shared" ca="1" si="35"/>
        <v>0</v>
      </c>
      <c r="AX39" s="134">
        <f t="shared" ca="1" si="36"/>
        <v>0</v>
      </c>
      <c r="AY39" s="134">
        <f t="shared" ca="1" si="36"/>
        <v>0</v>
      </c>
      <c r="AZ39" s="134">
        <f t="shared" ca="1" si="36"/>
        <v>3.5999999999999979</v>
      </c>
      <c r="BA39" s="134">
        <f t="shared" ca="1" si="36"/>
        <v>5.3000000000000007</v>
      </c>
      <c r="BB39" s="134">
        <f t="shared" ca="1" si="36"/>
        <v>147.30000000000001</v>
      </c>
      <c r="BC39" s="134">
        <f t="shared" ca="1" si="36"/>
        <v>193.70000000000002</v>
      </c>
      <c r="BD39" s="134">
        <f t="shared" ca="1" si="36"/>
        <v>138.20000000000002</v>
      </c>
      <c r="BE39" s="134">
        <f t="shared" ca="1" si="36"/>
        <v>68.199999999999989</v>
      </c>
      <c r="BF39" s="134">
        <f t="shared" ca="1" si="36"/>
        <v>4.5</v>
      </c>
      <c r="BG39" s="134">
        <f t="shared" ca="1" si="36"/>
        <v>0</v>
      </c>
      <c r="BH39" s="134">
        <f t="shared" ca="1" si="36"/>
        <v>0</v>
      </c>
      <c r="BJ39" s="132">
        <f t="shared" si="47"/>
        <v>2008</v>
      </c>
      <c r="BK39" s="134">
        <f t="shared" ca="1" si="37"/>
        <v>0</v>
      </c>
      <c r="BL39" s="134">
        <f t="shared" ca="1" si="38"/>
        <v>0</v>
      </c>
      <c r="BM39" s="134">
        <f t="shared" ca="1" si="38"/>
        <v>0</v>
      </c>
      <c r="BN39" s="134">
        <f t="shared" ca="1" si="38"/>
        <v>10.799999999999997</v>
      </c>
      <c r="BO39" s="134">
        <f t="shared" ca="1" si="38"/>
        <v>15.4</v>
      </c>
      <c r="BP39" s="134">
        <f t="shared" ca="1" si="38"/>
        <v>200.70000000000002</v>
      </c>
      <c r="BQ39" s="134">
        <f t="shared" ca="1" si="38"/>
        <v>255.7</v>
      </c>
      <c r="BR39" s="134">
        <f t="shared" ca="1" si="38"/>
        <v>198.60000000000002</v>
      </c>
      <c r="BS39" s="134">
        <f t="shared" ca="1" si="38"/>
        <v>114.69999999999997</v>
      </c>
      <c r="BT39" s="134">
        <f t="shared" ca="1" si="38"/>
        <v>11.5</v>
      </c>
      <c r="BU39" s="134">
        <f t="shared" ca="1" si="38"/>
        <v>2.0999999999999996</v>
      </c>
      <c r="BV39" s="134">
        <f t="shared" ca="1" si="38"/>
        <v>0</v>
      </c>
      <c r="BX39" s="132">
        <f t="shared" si="48"/>
        <v>2008</v>
      </c>
      <c r="BY39" s="134">
        <f t="shared" ca="1" si="39"/>
        <v>2</v>
      </c>
      <c r="BZ39" s="134">
        <f t="shared" ca="1" si="40"/>
        <v>0</v>
      </c>
      <c r="CA39" s="134">
        <f t="shared" ca="1" si="40"/>
        <v>0</v>
      </c>
      <c r="CB39" s="134">
        <f t="shared" ca="1" si="40"/>
        <v>23.7</v>
      </c>
      <c r="CC39" s="134">
        <f t="shared" ca="1" si="40"/>
        <v>43.7</v>
      </c>
      <c r="CD39" s="134">
        <f t="shared" ca="1" si="40"/>
        <v>259.60000000000002</v>
      </c>
      <c r="CE39" s="134">
        <f t="shared" ca="1" si="40"/>
        <v>317.7</v>
      </c>
      <c r="CF39" s="134">
        <f t="shared" ca="1" si="40"/>
        <v>260.59999999999997</v>
      </c>
      <c r="CG39" s="134">
        <f t="shared" ca="1" si="40"/>
        <v>173.60000000000002</v>
      </c>
      <c r="CH39" s="134">
        <f t="shared" ca="1" si="40"/>
        <v>26.799999999999997</v>
      </c>
      <c r="CI39" s="134">
        <f t="shared" ca="1" si="40"/>
        <v>8</v>
      </c>
      <c r="CJ39" s="134">
        <f t="shared" ca="1" si="40"/>
        <v>0</v>
      </c>
      <c r="CL39" s="132">
        <f t="shared" si="49"/>
        <v>2008</v>
      </c>
      <c r="CM39" s="134">
        <f t="shared" ca="1" si="41"/>
        <v>6</v>
      </c>
      <c r="CN39" s="134">
        <f t="shared" ca="1" si="42"/>
        <v>0</v>
      </c>
      <c r="CO39" s="134">
        <f t="shared" ca="1" si="42"/>
        <v>0</v>
      </c>
      <c r="CP39" s="134">
        <f t="shared" ca="1" si="42"/>
        <v>45.5</v>
      </c>
      <c r="CQ39" s="134">
        <f t="shared" ca="1" si="42"/>
        <v>86.2</v>
      </c>
      <c r="CR39" s="134">
        <f t="shared" ca="1" si="42"/>
        <v>319.60000000000002</v>
      </c>
      <c r="CS39" s="134">
        <f t="shared" ca="1" si="42"/>
        <v>379.70000000000005</v>
      </c>
      <c r="CT39" s="134">
        <f t="shared" ca="1" si="42"/>
        <v>322.59999999999997</v>
      </c>
      <c r="CU39" s="134">
        <f t="shared" ca="1" si="42"/>
        <v>233.60000000000002</v>
      </c>
      <c r="CV39" s="134">
        <f t="shared" ca="1" si="42"/>
        <v>50.600000000000009</v>
      </c>
      <c r="CW39" s="134">
        <f t="shared" ca="1" si="42"/>
        <v>14.8</v>
      </c>
      <c r="CX39" s="134">
        <f t="shared" ca="1" si="42"/>
        <v>0</v>
      </c>
      <c r="DA39" s="134"/>
      <c r="DB39" s="134"/>
      <c r="DC39" s="134"/>
      <c r="DD39" s="134"/>
      <c r="DE39" s="134"/>
      <c r="DF39" s="134"/>
      <c r="DG39" s="134"/>
      <c r="DH39" s="134"/>
      <c r="DI39" s="134"/>
      <c r="DJ39" s="134"/>
      <c r="DK39" s="134"/>
      <c r="DL39" s="134"/>
    </row>
    <row r="40" spans="1:116" x14ac:dyDescent="0.2">
      <c r="A40" s="132">
        <v>2004</v>
      </c>
      <c r="B40" s="144">
        <v>3</v>
      </c>
      <c r="C40" s="144">
        <v>2.8193548387096765</v>
      </c>
      <c r="D40" s="134">
        <v>532.6</v>
      </c>
      <c r="E40" s="134">
        <v>0</v>
      </c>
      <c r="F40" s="134">
        <v>470.59999999999997</v>
      </c>
      <c r="G40" s="134">
        <v>0</v>
      </c>
      <c r="H40" s="134">
        <v>408.59999999999997</v>
      </c>
      <c r="I40" s="134">
        <v>0</v>
      </c>
      <c r="J40" s="134">
        <v>346.59999999999997</v>
      </c>
      <c r="K40" s="134">
        <v>0</v>
      </c>
      <c r="L40" s="134">
        <v>286.39999999999998</v>
      </c>
      <c r="M40" s="134">
        <v>1.8000000000000007</v>
      </c>
      <c r="N40" s="134">
        <v>229.2</v>
      </c>
      <c r="O40" s="134">
        <v>6.6000000000000014</v>
      </c>
      <c r="P40" s="134"/>
      <c r="Q40" s="134"/>
      <c r="R40" s="134"/>
      <c r="T40" s="132">
        <f t="shared" si="44"/>
        <v>2009</v>
      </c>
      <c r="U40" s="134">
        <f t="shared" ca="1" si="31"/>
        <v>0</v>
      </c>
      <c r="V40" s="134">
        <f t="shared" ca="1" si="32"/>
        <v>0</v>
      </c>
      <c r="W40" s="134">
        <f t="shared" ca="1" si="32"/>
        <v>0</v>
      </c>
      <c r="X40" s="134">
        <f t="shared" ca="1" si="32"/>
        <v>0</v>
      </c>
      <c r="Y40" s="134">
        <f t="shared" ca="1" si="32"/>
        <v>1.1999999999999993</v>
      </c>
      <c r="Z40" s="134">
        <f t="shared" ca="1" si="32"/>
        <v>21.900000000000002</v>
      </c>
      <c r="AA40" s="134">
        <f t="shared" ca="1" si="32"/>
        <v>21.9</v>
      </c>
      <c r="AB40" s="134">
        <f t="shared" ca="1" si="32"/>
        <v>65.500000000000014</v>
      </c>
      <c r="AC40" s="134">
        <f t="shared" ca="1" si="32"/>
        <v>6.3999999999999986</v>
      </c>
      <c r="AD40" s="134">
        <f t="shared" ca="1" si="32"/>
        <v>0</v>
      </c>
      <c r="AE40" s="134">
        <f t="shared" ca="1" si="32"/>
        <v>0</v>
      </c>
      <c r="AF40" s="134">
        <f t="shared" ca="1" si="32"/>
        <v>0</v>
      </c>
      <c r="AH40" s="132">
        <f t="shared" si="45"/>
        <v>2009</v>
      </c>
      <c r="AI40" s="134">
        <f t="shared" ca="1" si="33"/>
        <v>0</v>
      </c>
      <c r="AJ40" s="134">
        <f t="shared" ca="1" si="34"/>
        <v>0</v>
      </c>
      <c r="AK40" s="134">
        <f t="shared" ca="1" si="34"/>
        <v>0</v>
      </c>
      <c r="AL40" s="134">
        <f t="shared" ca="1" si="34"/>
        <v>0.69999999999999929</v>
      </c>
      <c r="AM40" s="134">
        <f t="shared" ca="1" si="34"/>
        <v>7.1999999999999957</v>
      </c>
      <c r="AN40" s="134">
        <f t="shared" ca="1" si="34"/>
        <v>47.5</v>
      </c>
      <c r="AO40" s="134">
        <f t="shared" ca="1" si="34"/>
        <v>53.4</v>
      </c>
      <c r="AP40" s="134">
        <f t="shared" ca="1" si="34"/>
        <v>112.5</v>
      </c>
      <c r="AQ40" s="134">
        <f t="shared" ca="1" si="34"/>
        <v>25.799999999999997</v>
      </c>
      <c r="AR40" s="134">
        <f t="shared" ca="1" si="34"/>
        <v>0</v>
      </c>
      <c r="AS40" s="134">
        <f t="shared" ca="1" si="34"/>
        <v>0</v>
      </c>
      <c r="AT40" s="134">
        <f t="shared" ca="1" si="34"/>
        <v>0</v>
      </c>
      <c r="AU40" s="295">
        <f t="shared" ca="1" si="43"/>
        <v>247.09999999999997</v>
      </c>
      <c r="AV40" s="132">
        <f t="shared" si="46"/>
        <v>2009</v>
      </c>
      <c r="AW40" s="134">
        <f t="shared" ca="1" si="35"/>
        <v>0</v>
      </c>
      <c r="AX40" s="134">
        <f t="shared" ca="1" si="36"/>
        <v>0</v>
      </c>
      <c r="AY40" s="134">
        <f t="shared" ca="1" si="36"/>
        <v>0</v>
      </c>
      <c r="AZ40" s="134">
        <f t="shared" ca="1" si="36"/>
        <v>4.1000000000000014</v>
      </c>
      <c r="BA40" s="134">
        <f t="shared" ca="1" si="36"/>
        <v>21.399999999999995</v>
      </c>
      <c r="BB40" s="134">
        <f t="shared" ca="1" si="36"/>
        <v>82.100000000000009</v>
      </c>
      <c r="BC40" s="134">
        <f t="shared" ca="1" si="36"/>
        <v>110.19999999999999</v>
      </c>
      <c r="BD40" s="134">
        <f t="shared" ca="1" si="36"/>
        <v>169.9</v>
      </c>
      <c r="BE40" s="134">
        <f t="shared" ca="1" si="36"/>
        <v>61.4</v>
      </c>
      <c r="BF40" s="134">
        <f t="shared" ca="1" si="36"/>
        <v>0</v>
      </c>
      <c r="BG40" s="134">
        <f t="shared" ca="1" si="36"/>
        <v>0</v>
      </c>
      <c r="BH40" s="134">
        <f t="shared" ca="1" si="36"/>
        <v>0</v>
      </c>
      <c r="BJ40" s="132">
        <f t="shared" si="47"/>
        <v>2009</v>
      </c>
      <c r="BK40" s="134">
        <f t="shared" ca="1" si="37"/>
        <v>0</v>
      </c>
      <c r="BL40" s="134">
        <f t="shared" ca="1" si="38"/>
        <v>0</v>
      </c>
      <c r="BM40" s="134">
        <f t="shared" ca="1" si="38"/>
        <v>0</v>
      </c>
      <c r="BN40" s="134">
        <f t="shared" ca="1" si="38"/>
        <v>10.100000000000001</v>
      </c>
      <c r="BO40" s="134">
        <f t="shared" ca="1" si="38"/>
        <v>42.3</v>
      </c>
      <c r="BP40" s="134">
        <f t="shared" ca="1" si="38"/>
        <v>124.10000000000001</v>
      </c>
      <c r="BQ40" s="134">
        <f t="shared" ca="1" si="38"/>
        <v>172.20000000000002</v>
      </c>
      <c r="BR40" s="134">
        <f t="shared" ca="1" si="38"/>
        <v>231.1</v>
      </c>
      <c r="BS40" s="134">
        <f t="shared" ca="1" si="38"/>
        <v>108.90000000000002</v>
      </c>
      <c r="BT40" s="134">
        <f t="shared" ca="1" si="38"/>
        <v>1.1999999999999993</v>
      </c>
      <c r="BU40" s="134">
        <f t="shared" ca="1" si="38"/>
        <v>0</v>
      </c>
      <c r="BV40" s="134">
        <f t="shared" ca="1" si="38"/>
        <v>0</v>
      </c>
      <c r="BX40" s="132">
        <f t="shared" si="48"/>
        <v>2009</v>
      </c>
      <c r="BY40" s="134">
        <f t="shared" ca="1" si="39"/>
        <v>0</v>
      </c>
      <c r="BZ40" s="134">
        <f t="shared" ca="1" si="40"/>
        <v>0</v>
      </c>
      <c r="CA40" s="134">
        <f t="shared" ca="1" si="40"/>
        <v>0.30000000000000071</v>
      </c>
      <c r="CB40" s="134">
        <f t="shared" ca="1" si="40"/>
        <v>16.5</v>
      </c>
      <c r="CC40" s="134">
        <f t="shared" ca="1" si="40"/>
        <v>78.8</v>
      </c>
      <c r="CD40" s="134">
        <f t="shared" ca="1" si="40"/>
        <v>180.5</v>
      </c>
      <c r="CE40" s="134">
        <f t="shared" ca="1" si="40"/>
        <v>234.20000000000002</v>
      </c>
      <c r="CF40" s="134">
        <f t="shared" ca="1" si="40"/>
        <v>293.09999999999997</v>
      </c>
      <c r="CG40" s="134">
        <f t="shared" ca="1" si="40"/>
        <v>166.00000000000003</v>
      </c>
      <c r="CH40" s="134">
        <f t="shared" ca="1" si="40"/>
        <v>7.7999999999999989</v>
      </c>
      <c r="CI40" s="134">
        <f t="shared" ca="1" si="40"/>
        <v>0.5</v>
      </c>
      <c r="CJ40" s="134">
        <f t="shared" ca="1" si="40"/>
        <v>0</v>
      </c>
      <c r="CL40" s="132">
        <f t="shared" si="49"/>
        <v>2009</v>
      </c>
      <c r="CM40" s="134">
        <f t="shared" ca="1" si="41"/>
        <v>0</v>
      </c>
      <c r="CN40" s="134">
        <f t="shared" ca="1" si="42"/>
        <v>0</v>
      </c>
      <c r="CO40" s="134">
        <f t="shared" ca="1" si="42"/>
        <v>2.9000000000000004</v>
      </c>
      <c r="CP40" s="134">
        <f t="shared" ca="1" si="42"/>
        <v>28.000000000000004</v>
      </c>
      <c r="CQ40" s="134">
        <f t="shared" ca="1" si="42"/>
        <v>123.10000000000001</v>
      </c>
      <c r="CR40" s="134">
        <f t="shared" ca="1" si="42"/>
        <v>240.5</v>
      </c>
      <c r="CS40" s="134">
        <f t="shared" ca="1" si="42"/>
        <v>296.2</v>
      </c>
      <c r="CT40" s="134">
        <f t="shared" ca="1" si="42"/>
        <v>355.09999999999997</v>
      </c>
      <c r="CU40" s="134">
        <f t="shared" ca="1" si="42"/>
        <v>224.00000000000003</v>
      </c>
      <c r="CV40" s="134">
        <f t="shared" ca="1" si="42"/>
        <v>29.600000000000005</v>
      </c>
      <c r="CW40" s="134">
        <f t="shared" ca="1" si="42"/>
        <v>3.6999999999999993</v>
      </c>
      <c r="CX40" s="134">
        <f t="shared" ca="1" si="42"/>
        <v>0</v>
      </c>
      <c r="DA40" s="134"/>
      <c r="DB40" s="134"/>
      <c r="DC40" s="134"/>
      <c r="DD40" s="134"/>
      <c r="DE40" s="134"/>
      <c r="DF40" s="134"/>
      <c r="DG40" s="134"/>
      <c r="DH40" s="134"/>
      <c r="DI40" s="134"/>
      <c r="DJ40" s="134"/>
      <c r="DK40" s="134"/>
      <c r="DL40" s="134"/>
    </row>
    <row r="41" spans="1:116" x14ac:dyDescent="0.2">
      <c r="A41" s="132">
        <v>2004</v>
      </c>
      <c r="B41" s="144">
        <v>4</v>
      </c>
      <c r="C41" s="144">
        <v>7.7666666666666666</v>
      </c>
      <c r="D41" s="134">
        <v>366.99999999999989</v>
      </c>
      <c r="E41" s="134">
        <v>0</v>
      </c>
      <c r="F41" s="134">
        <v>307.99999999999989</v>
      </c>
      <c r="G41" s="134">
        <v>1</v>
      </c>
      <c r="H41" s="134">
        <v>250.2999999999999</v>
      </c>
      <c r="I41" s="134">
        <v>3.3000000000000007</v>
      </c>
      <c r="J41" s="134">
        <v>194.29999999999993</v>
      </c>
      <c r="K41" s="134">
        <v>7.3000000000000007</v>
      </c>
      <c r="L41" s="134">
        <v>141.90000000000003</v>
      </c>
      <c r="M41" s="134">
        <v>14.900000000000002</v>
      </c>
      <c r="N41" s="134">
        <v>96.300000000000011</v>
      </c>
      <c r="O41" s="134">
        <v>29.300000000000004</v>
      </c>
      <c r="P41" s="134"/>
      <c r="Q41" s="134"/>
      <c r="R41" s="134"/>
      <c r="T41" s="132">
        <f t="shared" si="44"/>
        <v>2010</v>
      </c>
      <c r="U41" s="134">
        <f t="shared" ca="1" si="31"/>
        <v>0</v>
      </c>
      <c r="V41" s="134">
        <f t="shared" ca="1" si="32"/>
        <v>0</v>
      </c>
      <c r="W41" s="134">
        <f t="shared" ca="1" si="32"/>
        <v>0</v>
      </c>
      <c r="X41" s="134">
        <f t="shared" ca="1" si="32"/>
        <v>0</v>
      </c>
      <c r="Y41" s="134">
        <f t="shared" ca="1" si="32"/>
        <v>17.700000000000003</v>
      </c>
      <c r="Z41" s="134">
        <f t="shared" ca="1" si="32"/>
        <v>36.9</v>
      </c>
      <c r="AA41" s="134">
        <f t="shared" ca="1" si="32"/>
        <v>117.50000000000003</v>
      </c>
      <c r="AB41" s="134">
        <f t="shared" ca="1" si="32"/>
        <v>92.2</v>
      </c>
      <c r="AC41" s="134">
        <f t="shared" ca="1" si="32"/>
        <v>23.6</v>
      </c>
      <c r="AD41" s="134">
        <f t="shared" ca="1" si="32"/>
        <v>0</v>
      </c>
      <c r="AE41" s="134">
        <f t="shared" ca="1" si="32"/>
        <v>0</v>
      </c>
      <c r="AF41" s="134">
        <f t="shared" ca="1" si="32"/>
        <v>0</v>
      </c>
      <c r="AH41" s="132">
        <f t="shared" si="45"/>
        <v>2010</v>
      </c>
      <c r="AI41" s="134">
        <f t="shared" ca="1" si="33"/>
        <v>0</v>
      </c>
      <c r="AJ41" s="134">
        <f t="shared" ca="1" si="34"/>
        <v>0</v>
      </c>
      <c r="AK41" s="134">
        <f t="shared" ca="1" si="34"/>
        <v>0</v>
      </c>
      <c r="AL41" s="134">
        <f t="shared" ca="1" si="34"/>
        <v>1</v>
      </c>
      <c r="AM41" s="134">
        <f t="shared" ca="1" si="34"/>
        <v>39.800000000000004</v>
      </c>
      <c r="AN41" s="134">
        <f t="shared" ca="1" si="34"/>
        <v>74.699999999999989</v>
      </c>
      <c r="AO41" s="134">
        <f t="shared" ca="1" si="34"/>
        <v>174.59999999999997</v>
      </c>
      <c r="AP41" s="134">
        <f t="shared" ca="1" si="34"/>
        <v>145.69999999999999</v>
      </c>
      <c r="AQ41" s="134">
        <f t="shared" ca="1" si="34"/>
        <v>35.6</v>
      </c>
      <c r="AR41" s="134">
        <f t="shared" ca="1" si="34"/>
        <v>0.5</v>
      </c>
      <c r="AS41" s="134">
        <f t="shared" ca="1" si="34"/>
        <v>0</v>
      </c>
      <c r="AT41" s="134">
        <f t="shared" ca="1" si="34"/>
        <v>0</v>
      </c>
      <c r="AU41" s="295">
        <f t="shared" ca="1" si="43"/>
        <v>471.9</v>
      </c>
      <c r="AV41" s="132">
        <f t="shared" si="46"/>
        <v>2010</v>
      </c>
      <c r="AW41" s="134">
        <f t="shared" ca="1" si="35"/>
        <v>0</v>
      </c>
      <c r="AX41" s="134">
        <f t="shared" ca="1" si="36"/>
        <v>0</v>
      </c>
      <c r="AY41" s="134">
        <f t="shared" ca="1" si="36"/>
        <v>0</v>
      </c>
      <c r="AZ41" s="134">
        <f t="shared" ca="1" si="36"/>
        <v>6.6000000000000014</v>
      </c>
      <c r="BA41" s="134">
        <f t="shared" ca="1" si="36"/>
        <v>69.400000000000006</v>
      </c>
      <c r="BB41" s="134">
        <f t="shared" ca="1" si="36"/>
        <v>122.50000000000003</v>
      </c>
      <c r="BC41" s="134">
        <f t="shared" ca="1" si="36"/>
        <v>234.69999999999996</v>
      </c>
      <c r="BD41" s="134">
        <f t="shared" ca="1" si="36"/>
        <v>206.29999999999998</v>
      </c>
      <c r="BE41" s="134">
        <f t="shared" ca="1" si="36"/>
        <v>57.600000000000023</v>
      </c>
      <c r="BF41" s="134">
        <f t="shared" ca="1" si="36"/>
        <v>2.5</v>
      </c>
      <c r="BG41" s="134">
        <f t="shared" ca="1" si="36"/>
        <v>0</v>
      </c>
      <c r="BH41" s="134">
        <f t="shared" ca="1" si="36"/>
        <v>0</v>
      </c>
      <c r="BJ41" s="132">
        <f t="shared" si="47"/>
        <v>2010</v>
      </c>
      <c r="BK41" s="134">
        <f t="shared" ca="1" si="37"/>
        <v>0</v>
      </c>
      <c r="BL41" s="134">
        <f t="shared" ca="1" si="38"/>
        <v>0</v>
      </c>
      <c r="BM41" s="134">
        <f t="shared" ca="1" si="38"/>
        <v>0</v>
      </c>
      <c r="BN41" s="134">
        <f t="shared" ca="1" si="38"/>
        <v>16.000000000000004</v>
      </c>
      <c r="BO41" s="134">
        <f t="shared" ca="1" si="38"/>
        <v>104.9</v>
      </c>
      <c r="BP41" s="134">
        <f t="shared" ca="1" si="38"/>
        <v>176.8</v>
      </c>
      <c r="BQ41" s="134">
        <f t="shared" ca="1" si="38"/>
        <v>296.7</v>
      </c>
      <c r="BR41" s="134">
        <f t="shared" ca="1" si="38"/>
        <v>268.3</v>
      </c>
      <c r="BS41" s="134">
        <f t="shared" ca="1" si="38"/>
        <v>96.800000000000011</v>
      </c>
      <c r="BT41" s="134">
        <f t="shared" ca="1" si="38"/>
        <v>9.5</v>
      </c>
      <c r="BU41" s="134">
        <f t="shared" ca="1" si="38"/>
        <v>0</v>
      </c>
      <c r="BV41" s="134">
        <f t="shared" ca="1" si="38"/>
        <v>0</v>
      </c>
      <c r="BX41" s="132">
        <f t="shared" si="48"/>
        <v>2010</v>
      </c>
      <c r="BY41" s="134">
        <f t="shared" ca="1" si="39"/>
        <v>0</v>
      </c>
      <c r="BZ41" s="134">
        <f t="shared" ca="1" si="40"/>
        <v>0</v>
      </c>
      <c r="CA41" s="134">
        <f t="shared" ca="1" si="40"/>
        <v>0</v>
      </c>
      <c r="CB41" s="134">
        <f t="shared" ca="1" si="40"/>
        <v>28.500000000000004</v>
      </c>
      <c r="CC41" s="134">
        <f t="shared" ca="1" si="40"/>
        <v>146.6</v>
      </c>
      <c r="CD41" s="134">
        <f t="shared" ca="1" si="40"/>
        <v>236.79999999999998</v>
      </c>
      <c r="CE41" s="134">
        <f t="shared" ca="1" si="40"/>
        <v>358.7</v>
      </c>
      <c r="CF41" s="134">
        <f t="shared" ca="1" si="40"/>
        <v>330.29999999999995</v>
      </c>
      <c r="CG41" s="134">
        <f t="shared" ca="1" si="40"/>
        <v>152.10000000000002</v>
      </c>
      <c r="CH41" s="134">
        <f t="shared" ca="1" si="40"/>
        <v>26</v>
      </c>
      <c r="CI41" s="134">
        <f t="shared" ca="1" si="40"/>
        <v>0</v>
      </c>
      <c r="CJ41" s="134">
        <f t="shared" ca="1" si="40"/>
        <v>0</v>
      </c>
      <c r="CL41" s="132">
        <f t="shared" si="49"/>
        <v>2010</v>
      </c>
      <c r="CM41" s="134">
        <f t="shared" ca="1" si="41"/>
        <v>0</v>
      </c>
      <c r="CN41" s="134">
        <f t="shared" ca="1" si="42"/>
        <v>0</v>
      </c>
      <c r="CO41" s="134">
        <f t="shared" ca="1" si="42"/>
        <v>1.9000000000000004</v>
      </c>
      <c r="CP41" s="134">
        <f t="shared" ca="1" si="42"/>
        <v>56.3</v>
      </c>
      <c r="CQ41" s="134">
        <f t="shared" ca="1" si="42"/>
        <v>193.79999999999998</v>
      </c>
      <c r="CR41" s="134">
        <f t="shared" ca="1" si="42"/>
        <v>296.8</v>
      </c>
      <c r="CS41" s="134">
        <f t="shared" ca="1" si="42"/>
        <v>420.7</v>
      </c>
      <c r="CT41" s="134">
        <f t="shared" ca="1" si="42"/>
        <v>392.29999999999995</v>
      </c>
      <c r="CU41" s="134">
        <f t="shared" ca="1" si="42"/>
        <v>210.70000000000002</v>
      </c>
      <c r="CV41" s="134">
        <f t="shared" ca="1" si="42"/>
        <v>50.800000000000004</v>
      </c>
      <c r="CW41" s="134">
        <f t="shared" ca="1" si="42"/>
        <v>0.5</v>
      </c>
      <c r="CX41" s="134">
        <f t="shared" ca="1" si="42"/>
        <v>0</v>
      </c>
      <c r="DA41" s="134"/>
      <c r="DB41" s="134"/>
      <c r="DC41" s="134"/>
      <c r="DD41" s="134"/>
      <c r="DE41" s="134"/>
      <c r="DF41" s="134"/>
      <c r="DG41" s="134"/>
      <c r="DH41" s="134"/>
      <c r="DI41" s="134"/>
      <c r="DJ41" s="134"/>
      <c r="DK41" s="134"/>
      <c r="DL41" s="134"/>
    </row>
    <row r="42" spans="1:116" x14ac:dyDescent="0.2">
      <c r="A42" s="132">
        <v>2004</v>
      </c>
      <c r="B42" s="144">
        <v>5</v>
      </c>
      <c r="C42" s="144">
        <v>14.122580645161294</v>
      </c>
      <c r="D42" s="134">
        <v>187.69999999999996</v>
      </c>
      <c r="E42" s="134">
        <v>5.5</v>
      </c>
      <c r="F42" s="134">
        <v>134.00000000000003</v>
      </c>
      <c r="G42" s="134">
        <v>13.8</v>
      </c>
      <c r="H42" s="134">
        <v>85.40000000000002</v>
      </c>
      <c r="I42" s="134">
        <v>27.200000000000003</v>
      </c>
      <c r="J42" s="134">
        <v>50.800000000000011</v>
      </c>
      <c r="K42" s="134">
        <v>54.59999999999998</v>
      </c>
      <c r="L42" s="134">
        <v>26.399999999999995</v>
      </c>
      <c r="M42" s="134">
        <v>92.199999999999974</v>
      </c>
      <c r="N42" s="134">
        <v>13.100000000000001</v>
      </c>
      <c r="O42" s="134">
        <v>140.9</v>
      </c>
      <c r="P42" s="134"/>
      <c r="Q42" s="134"/>
      <c r="R42" s="134"/>
      <c r="T42" s="132">
        <f t="shared" si="44"/>
        <v>2011</v>
      </c>
      <c r="U42" s="134">
        <f t="shared" ca="1" si="31"/>
        <v>0</v>
      </c>
      <c r="V42" s="134">
        <f t="shared" ca="1" si="32"/>
        <v>0</v>
      </c>
      <c r="W42" s="134">
        <f t="shared" ca="1" si="32"/>
        <v>0</v>
      </c>
      <c r="X42" s="134">
        <f t="shared" ca="1" si="32"/>
        <v>0</v>
      </c>
      <c r="Y42" s="134">
        <f t="shared" ca="1" si="32"/>
        <v>3.8000000000000007</v>
      </c>
      <c r="Z42" s="134">
        <f t="shared" ca="1" si="32"/>
        <v>32.100000000000009</v>
      </c>
      <c r="AA42" s="134">
        <f t="shared" ca="1" si="32"/>
        <v>148.20000000000002</v>
      </c>
      <c r="AB42" s="134">
        <f t="shared" ca="1" si="32"/>
        <v>68.400000000000006</v>
      </c>
      <c r="AC42" s="134">
        <f t="shared" ca="1" si="32"/>
        <v>24.1</v>
      </c>
      <c r="AD42" s="134">
        <f t="shared" ca="1" si="32"/>
        <v>0.89999999999999858</v>
      </c>
      <c r="AE42" s="134">
        <f t="shared" ca="1" si="32"/>
        <v>0</v>
      </c>
      <c r="AF42" s="134">
        <f t="shared" ca="1" si="32"/>
        <v>0</v>
      </c>
      <c r="AH42" s="132">
        <f t="shared" si="45"/>
        <v>2011</v>
      </c>
      <c r="AI42" s="134">
        <f t="shared" ca="1" si="33"/>
        <v>0</v>
      </c>
      <c r="AJ42" s="134">
        <f t="shared" ca="1" si="34"/>
        <v>0</v>
      </c>
      <c r="AK42" s="134">
        <f t="shared" ca="1" si="34"/>
        <v>0</v>
      </c>
      <c r="AL42" s="134">
        <f t="shared" ca="1" si="34"/>
        <v>0</v>
      </c>
      <c r="AM42" s="134">
        <f t="shared" ca="1" si="34"/>
        <v>12</v>
      </c>
      <c r="AN42" s="134">
        <f t="shared" ca="1" si="34"/>
        <v>67.5</v>
      </c>
      <c r="AO42" s="134">
        <f t="shared" ca="1" si="34"/>
        <v>209.20000000000002</v>
      </c>
      <c r="AP42" s="134">
        <f t="shared" ca="1" si="34"/>
        <v>126.30000000000001</v>
      </c>
      <c r="AQ42" s="134">
        <f t="shared" ca="1" si="34"/>
        <v>47.9</v>
      </c>
      <c r="AR42" s="134">
        <f t="shared" ca="1" si="34"/>
        <v>5.9999999999999964</v>
      </c>
      <c r="AS42" s="134">
        <f t="shared" ca="1" si="34"/>
        <v>0</v>
      </c>
      <c r="AT42" s="134">
        <f t="shared" ca="1" si="34"/>
        <v>0</v>
      </c>
      <c r="AU42" s="295">
        <f t="shared" ca="1" si="43"/>
        <v>468.90000000000003</v>
      </c>
      <c r="AV42" s="132">
        <f t="shared" si="46"/>
        <v>2011</v>
      </c>
      <c r="AW42" s="134">
        <f t="shared" ca="1" si="35"/>
        <v>0</v>
      </c>
      <c r="AX42" s="134">
        <f t="shared" ca="1" si="36"/>
        <v>0</v>
      </c>
      <c r="AY42" s="134">
        <f t="shared" ca="1" si="36"/>
        <v>0</v>
      </c>
      <c r="AZ42" s="134">
        <f t="shared" ca="1" si="36"/>
        <v>0</v>
      </c>
      <c r="BA42" s="134">
        <f t="shared" ca="1" si="36"/>
        <v>28.099999999999998</v>
      </c>
      <c r="BB42" s="134">
        <f t="shared" ca="1" si="36"/>
        <v>113.39999999999999</v>
      </c>
      <c r="BC42" s="134">
        <f t="shared" ca="1" si="36"/>
        <v>271.2</v>
      </c>
      <c r="BD42" s="134">
        <f t="shared" ca="1" si="36"/>
        <v>188.29999999999995</v>
      </c>
      <c r="BE42" s="134">
        <f t="shared" ca="1" si="36"/>
        <v>81</v>
      </c>
      <c r="BF42" s="134">
        <f t="shared" ca="1" si="36"/>
        <v>12.099999999999998</v>
      </c>
      <c r="BG42" s="134">
        <f t="shared" ca="1" si="36"/>
        <v>0</v>
      </c>
      <c r="BH42" s="134">
        <f t="shared" ca="1" si="36"/>
        <v>0</v>
      </c>
      <c r="BJ42" s="132">
        <f t="shared" si="47"/>
        <v>2011</v>
      </c>
      <c r="BK42" s="134">
        <f t="shared" ca="1" si="37"/>
        <v>0</v>
      </c>
      <c r="BL42" s="134">
        <f t="shared" ca="1" si="38"/>
        <v>0</v>
      </c>
      <c r="BM42" s="134">
        <f t="shared" ca="1" si="38"/>
        <v>0</v>
      </c>
      <c r="BN42" s="134">
        <f t="shared" ca="1" si="38"/>
        <v>0.69999999999999929</v>
      </c>
      <c r="BO42" s="134">
        <f t="shared" ca="1" si="38"/>
        <v>49.999999999999993</v>
      </c>
      <c r="BP42" s="134">
        <f t="shared" ca="1" si="38"/>
        <v>172.3</v>
      </c>
      <c r="BQ42" s="134">
        <f t="shared" ca="1" si="38"/>
        <v>333.2</v>
      </c>
      <c r="BR42" s="134">
        <f t="shared" ca="1" si="38"/>
        <v>250.29999999999993</v>
      </c>
      <c r="BS42" s="134">
        <f t="shared" ca="1" si="38"/>
        <v>128.70000000000002</v>
      </c>
      <c r="BT42" s="134">
        <f t="shared" ca="1" si="38"/>
        <v>27.5</v>
      </c>
      <c r="BU42" s="134">
        <f t="shared" ca="1" si="38"/>
        <v>0</v>
      </c>
      <c r="BV42" s="134">
        <f t="shared" ca="1" si="38"/>
        <v>0</v>
      </c>
      <c r="BX42" s="132">
        <f t="shared" si="48"/>
        <v>2011</v>
      </c>
      <c r="BY42" s="134">
        <f t="shared" ca="1" si="39"/>
        <v>0</v>
      </c>
      <c r="BZ42" s="134">
        <f t="shared" ca="1" si="40"/>
        <v>0</v>
      </c>
      <c r="CA42" s="134">
        <f t="shared" ca="1" si="40"/>
        <v>0</v>
      </c>
      <c r="CB42" s="134">
        <f t="shared" ca="1" si="40"/>
        <v>7.6</v>
      </c>
      <c r="CC42" s="134">
        <f t="shared" ca="1" si="40"/>
        <v>76.099999999999994</v>
      </c>
      <c r="CD42" s="134">
        <f t="shared" ca="1" si="40"/>
        <v>232.29999999999998</v>
      </c>
      <c r="CE42" s="134">
        <f t="shared" ca="1" si="40"/>
        <v>395.19999999999993</v>
      </c>
      <c r="CF42" s="134">
        <f t="shared" ca="1" si="40"/>
        <v>312.30000000000013</v>
      </c>
      <c r="CG42" s="134">
        <f t="shared" ca="1" si="40"/>
        <v>185.19999999999996</v>
      </c>
      <c r="CH42" s="134">
        <f t="shared" ca="1" si="40"/>
        <v>47.2</v>
      </c>
      <c r="CI42" s="134">
        <f t="shared" ca="1" si="40"/>
        <v>4.1000000000000014</v>
      </c>
      <c r="CJ42" s="134">
        <f t="shared" ca="1" si="40"/>
        <v>0</v>
      </c>
      <c r="CL42" s="132">
        <f t="shared" si="49"/>
        <v>2011</v>
      </c>
      <c r="CM42" s="134">
        <f t="shared" ca="1" si="41"/>
        <v>0</v>
      </c>
      <c r="CN42" s="134">
        <f t="shared" ca="1" si="42"/>
        <v>0</v>
      </c>
      <c r="CO42" s="134">
        <f t="shared" ca="1" si="42"/>
        <v>1.0999999999999996</v>
      </c>
      <c r="CP42" s="134">
        <f t="shared" ca="1" si="42"/>
        <v>17.600000000000001</v>
      </c>
      <c r="CQ42" s="134">
        <f t="shared" ca="1" si="42"/>
        <v>116.4</v>
      </c>
      <c r="CR42" s="134">
        <f t="shared" ca="1" si="42"/>
        <v>292.3</v>
      </c>
      <c r="CS42" s="134">
        <f t="shared" ca="1" si="42"/>
        <v>457.2</v>
      </c>
      <c r="CT42" s="134">
        <f t="shared" ca="1" si="42"/>
        <v>374.30000000000007</v>
      </c>
      <c r="CU42" s="134">
        <f t="shared" ca="1" si="42"/>
        <v>243.59999999999997</v>
      </c>
      <c r="CV42" s="134">
        <f t="shared" ca="1" si="42"/>
        <v>77.399999999999991</v>
      </c>
      <c r="CW42" s="134">
        <f t="shared" ca="1" si="42"/>
        <v>19.600000000000001</v>
      </c>
      <c r="CX42" s="134">
        <f t="shared" ca="1" si="42"/>
        <v>0</v>
      </c>
      <c r="DA42" s="134"/>
      <c r="DB42" s="134"/>
      <c r="DC42" s="134"/>
      <c r="DD42" s="134"/>
      <c r="DE42" s="134"/>
      <c r="DF42" s="134"/>
      <c r="DG42" s="134"/>
      <c r="DH42" s="134"/>
      <c r="DI42" s="134"/>
      <c r="DJ42" s="134"/>
      <c r="DK42" s="134"/>
      <c r="DL42" s="134"/>
    </row>
    <row r="43" spans="1:116" x14ac:dyDescent="0.2">
      <c r="A43" s="132">
        <v>2004</v>
      </c>
      <c r="B43" s="144">
        <v>6</v>
      </c>
      <c r="C43" s="144">
        <v>18.260000000000002</v>
      </c>
      <c r="D43" s="134">
        <v>74.300000000000026</v>
      </c>
      <c r="E43" s="134">
        <v>22.1</v>
      </c>
      <c r="F43" s="134">
        <v>36.900000000000006</v>
      </c>
      <c r="G43" s="134">
        <v>44.699999999999989</v>
      </c>
      <c r="H43" s="134">
        <v>12.499999999999996</v>
      </c>
      <c r="I43" s="134">
        <v>80.299999999999983</v>
      </c>
      <c r="J43" s="134">
        <v>2</v>
      </c>
      <c r="K43" s="134">
        <v>129.79999999999998</v>
      </c>
      <c r="L43" s="134">
        <v>0</v>
      </c>
      <c r="M43" s="134">
        <v>187.80000000000007</v>
      </c>
      <c r="N43" s="134">
        <v>0</v>
      </c>
      <c r="O43" s="134">
        <v>247.8000000000001</v>
      </c>
      <c r="P43" s="134"/>
      <c r="Q43" s="134"/>
      <c r="R43" s="134"/>
      <c r="T43" s="132">
        <f t="shared" si="44"/>
        <v>2012</v>
      </c>
      <c r="U43" s="134">
        <f t="shared" ca="1" si="31"/>
        <v>0</v>
      </c>
      <c r="V43" s="134">
        <f t="shared" ca="1" si="32"/>
        <v>0</v>
      </c>
      <c r="W43" s="134">
        <f t="shared" ca="1" si="32"/>
        <v>0</v>
      </c>
      <c r="X43" s="134">
        <f t="shared" ca="1" si="32"/>
        <v>0.80000000000000071</v>
      </c>
      <c r="Y43" s="134">
        <f t="shared" ca="1" si="32"/>
        <v>18.400000000000002</v>
      </c>
      <c r="Z43" s="134">
        <f t="shared" ca="1" si="32"/>
        <v>71.699999999999989</v>
      </c>
      <c r="AA43" s="134">
        <f t="shared" ca="1" si="32"/>
        <v>143.10000000000002</v>
      </c>
      <c r="AB43" s="134">
        <f t="shared" ca="1" si="32"/>
        <v>76.699999999999989</v>
      </c>
      <c r="AC43" s="134">
        <f t="shared" ca="1" si="32"/>
        <v>19.600000000000001</v>
      </c>
      <c r="AD43" s="134">
        <f t="shared" ca="1" si="32"/>
        <v>0</v>
      </c>
      <c r="AE43" s="134">
        <f t="shared" ca="1" si="32"/>
        <v>0</v>
      </c>
      <c r="AF43" s="134">
        <f t="shared" ca="1" si="32"/>
        <v>0</v>
      </c>
      <c r="AH43" s="132">
        <f t="shared" si="45"/>
        <v>2012</v>
      </c>
      <c r="AI43" s="134">
        <f t="shared" ca="1" si="33"/>
        <v>0</v>
      </c>
      <c r="AJ43" s="134">
        <f t="shared" ca="1" si="34"/>
        <v>0</v>
      </c>
      <c r="AK43" s="134">
        <f t="shared" ca="1" si="34"/>
        <v>0.5</v>
      </c>
      <c r="AL43" s="134">
        <f t="shared" ca="1" si="34"/>
        <v>2.8000000000000007</v>
      </c>
      <c r="AM43" s="134">
        <f t="shared" ca="1" si="34"/>
        <v>36.500000000000014</v>
      </c>
      <c r="AN43" s="134">
        <f t="shared" ca="1" si="34"/>
        <v>112</v>
      </c>
      <c r="AO43" s="134">
        <f t="shared" ca="1" si="34"/>
        <v>205.10000000000008</v>
      </c>
      <c r="AP43" s="134">
        <f t="shared" ca="1" si="34"/>
        <v>132.50000000000003</v>
      </c>
      <c r="AQ43" s="134">
        <f t="shared" ca="1" si="34"/>
        <v>39.299999999999997</v>
      </c>
      <c r="AR43" s="134">
        <f t="shared" ca="1" si="34"/>
        <v>1.3999999999999986</v>
      </c>
      <c r="AS43" s="134">
        <f t="shared" ca="1" si="34"/>
        <v>0</v>
      </c>
      <c r="AT43" s="134">
        <f t="shared" ca="1" si="34"/>
        <v>0</v>
      </c>
      <c r="AU43" s="295">
        <f t="shared" ca="1" si="43"/>
        <v>530.1</v>
      </c>
      <c r="AV43" s="132">
        <f t="shared" si="46"/>
        <v>2012</v>
      </c>
      <c r="AW43" s="134">
        <f t="shared" ca="1" si="35"/>
        <v>0</v>
      </c>
      <c r="AX43" s="134">
        <f t="shared" ca="1" si="36"/>
        <v>0</v>
      </c>
      <c r="AY43" s="134">
        <f t="shared" ca="1" si="36"/>
        <v>2.6000000000000014</v>
      </c>
      <c r="AZ43" s="134">
        <f t="shared" ca="1" si="36"/>
        <v>6.1000000000000014</v>
      </c>
      <c r="BA43" s="134">
        <f t="shared" ca="1" si="36"/>
        <v>66.000000000000028</v>
      </c>
      <c r="BB43" s="134">
        <f t="shared" ca="1" si="36"/>
        <v>158</v>
      </c>
      <c r="BC43" s="134">
        <f t="shared" ca="1" si="36"/>
        <v>267.10000000000008</v>
      </c>
      <c r="BD43" s="134">
        <f t="shared" ca="1" si="36"/>
        <v>193.7</v>
      </c>
      <c r="BE43" s="134">
        <f t="shared" ca="1" si="36"/>
        <v>65.899999999999977</v>
      </c>
      <c r="BF43" s="134">
        <f t="shared" ca="1" si="36"/>
        <v>6.3000000000000007</v>
      </c>
      <c r="BG43" s="134">
        <f t="shared" ca="1" si="36"/>
        <v>0</v>
      </c>
      <c r="BH43" s="134">
        <f t="shared" ca="1" si="36"/>
        <v>0</v>
      </c>
      <c r="BJ43" s="132">
        <f t="shared" si="47"/>
        <v>2012</v>
      </c>
      <c r="BK43" s="134">
        <f t="shared" ca="1" si="37"/>
        <v>0</v>
      </c>
      <c r="BL43" s="134">
        <f t="shared" ca="1" si="38"/>
        <v>0</v>
      </c>
      <c r="BM43" s="134">
        <f t="shared" ca="1" si="38"/>
        <v>7.4000000000000021</v>
      </c>
      <c r="BN43" s="134">
        <f t="shared" ca="1" si="38"/>
        <v>12.100000000000001</v>
      </c>
      <c r="BO43" s="134">
        <f t="shared" ca="1" si="38"/>
        <v>106.7</v>
      </c>
      <c r="BP43" s="134">
        <f t="shared" ca="1" si="38"/>
        <v>212.39999999999998</v>
      </c>
      <c r="BQ43" s="134">
        <f t="shared" ca="1" si="38"/>
        <v>329.10000000000008</v>
      </c>
      <c r="BR43" s="134">
        <f t="shared" ca="1" si="38"/>
        <v>255.70000000000005</v>
      </c>
      <c r="BS43" s="134">
        <f t="shared" ca="1" si="38"/>
        <v>109</v>
      </c>
      <c r="BT43" s="134">
        <f t="shared" ca="1" si="38"/>
        <v>18.100000000000001</v>
      </c>
      <c r="BU43" s="134">
        <f t="shared" ca="1" si="38"/>
        <v>0</v>
      </c>
      <c r="BV43" s="134">
        <f t="shared" ca="1" si="38"/>
        <v>0</v>
      </c>
      <c r="BX43" s="132">
        <f t="shared" si="48"/>
        <v>2012</v>
      </c>
      <c r="BY43" s="134">
        <f t="shared" ca="1" si="39"/>
        <v>0</v>
      </c>
      <c r="BZ43" s="134">
        <f t="shared" ca="1" si="40"/>
        <v>0</v>
      </c>
      <c r="CA43" s="134">
        <f t="shared" ca="1" si="40"/>
        <v>15.700000000000003</v>
      </c>
      <c r="CB43" s="134">
        <f t="shared" ca="1" si="40"/>
        <v>19.200000000000003</v>
      </c>
      <c r="CC43" s="134">
        <f t="shared" ca="1" si="40"/>
        <v>153.9</v>
      </c>
      <c r="CD43" s="134">
        <f t="shared" ca="1" si="40"/>
        <v>271.3</v>
      </c>
      <c r="CE43" s="134">
        <f t="shared" ca="1" si="40"/>
        <v>391.10000000000008</v>
      </c>
      <c r="CF43" s="134">
        <f t="shared" ca="1" si="40"/>
        <v>317.7</v>
      </c>
      <c r="CG43" s="134">
        <f t="shared" ca="1" si="40"/>
        <v>159.1</v>
      </c>
      <c r="CH43" s="134">
        <f t="shared" ca="1" si="40"/>
        <v>37.70000000000001</v>
      </c>
      <c r="CI43" s="134">
        <f t="shared" ca="1" si="40"/>
        <v>2.9000000000000004</v>
      </c>
      <c r="CJ43" s="134">
        <f t="shared" ca="1" si="40"/>
        <v>0.30000000000000071</v>
      </c>
      <c r="CL43" s="132">
        <f t="shared" si="49"/>
        <v>2012</v>
      </c>
      <c r="CM43" s="134">
        <f t="shared" ca="1" si="41"/>
        <v>0</v>
      </c>
      <c r="CN43" s="134">
        <f t="shared" ca="1" si="42"/>
        <v>0</v>
      </c>
      <c r="CO43" s="134">
        <f t="shared" ca="1" si="42"/>
        <v>33.100000000000009</v>
      </c>
      <c r="CP43" s="134">
        <f t="shared" ca="1" si="42"/>
        <v>27.800000000000004</v>
      </c>
      <c r="CQ43" s="134">
        <f t="shared" ca="1" si="42"/>
        <v>207.79999999999995</v>
      </c>
      <c r="CR43" s="134">
        <f t="shared" ca="1" si="42"/>
        <v>331.30000000000007</v>
      </c>
      <c r="CS43" s="134">
        <f t="shared" ca="1" si="42"/>
        <v>453.1</v>
      </c>
      <c r="CT43" s="134">
        <f t="shared" ca="1" si="42"/>
        <v>379.7</v>
      </c>
      <c r="CU43" s="134">
        <f t="shared" ca="1" si="42"/>
        <v>216.39999999999998</v>
      </c>
      <c r="CV43" s="134">
        <f t="shared" ca="1" si="42"/>
        <v>62.20000000000001</v>
      </c>
      <c r="CW43" s="134">
        <f t="shared" ca="1" si="42"/>
        <v>6.9</v>
      </c>
      <c r="CX43" s="134">
        <f t="shared" ca="1" si="42"/>
        <v>2.3000000000000007</v>
      </c>
      <c r="DA43" s="134"/>
      <c r="DB43" s="134"/>
      <c r="DC43" s="134"/>
      <c r="DD43" s="134"/>
      <c r="DE43" s="134"/>
      <c r="DF43" s="134"/>
      <c r="DG43" s="134"/>
      <c r="DH43" s="134"/>
      <c r="DI43" s="134"/>
      <c r="DJ43" s="134"/>
      <c r="DK43" s="134"/>
      <c r="DL43" s="134"/>
    </row>
    <row r="44" spans="1:116" x14ac:dyDescent="0.2">
      <c r="A44" s="132">
        <v>2004</v>
      </c>
      <c r="B44" s="144">
        <v>7</v>
      </c>
      <c r="C44" s="144">
        <v>21.14838709677419</v>
      </c>
      <c r="D44" s="134">
        <v>13.399999999999995</v>
      </c>
      <c r="E44" s="134">
        <v>49</v>
      </c>
      <c r="F44" s="134">
        <v>0.89999999999999858</v>
      </c>
      <c r="G44" s="134">
        <v>98.499999999999986</v>
      </c>
      <c r="H44" s="134">
        <v>0</v>
      </c>
      <c r="I44" s="134">
        <v>159.60000000000002</v>
      </c>
      <c r="J44" s="134">
        <v>0</v>
      </c>
      <c r="K44" s="134">
        <v>221.60000000000002</v>
      </c>
      <c r="L44" s="134">
        <v>0</v>
      </c>
      <c r="M44" s="134">
        <v>283.60000000000008</v>
      </c>
      <c r="N44" s="134">
        <v>0</v>
      </c>
      <c r="O44" s="134">
        <v>345.60000000000008</v>
      </c>
      <c r="P44" s="134"/>
      <c r="Q44" s="134"/>
      <c r="R44" s="134"/>
      <c r="T44" s="132">
        <f t="shared" si="44"/>
        <v>2013</v>
      </c>
      <c r="U44" s="134">
        <f t="shared" ca="1" si="31"/>
        <v>0</v>
      </c>
      <c r="V44" s="134">
        <f t="shared" ca="1" si="32"/>
        <v>0</v>
      </c>
      <c r="W44" s="134">
        <f t="shared" ca="1" si="32"/>
        <v>0</v>
      </c>
      <c r="X44" s="134">
        <f t="shared" ca="1" si="32"/>
        <v>0</v>
      </c>
      <c r="Y44" s="134">
        <f t="shared" ca="1" si="32"/>
        <v>13.3</v>
      </c>
      <c r="Z44" s="134">
        <f t="shared" ca="1" si="32"/>
        <v>38.800000000000004</v>
      </c>
      <c r="AA44" s="134">
        <f t="shared" ca="1" si="32"/>
        <v>91.7</v>
      </c>
      <c r="AB44" s="134">
        <f t="shared" ca="1" si="32"/>
        <v>48.79999999999999</v>
      </c>
      <c r="AC44" s="134">
        <f t="shared" ca="1" si="32"/>
        <v>19.700000000000006</v>
      </c>
      <c r="AD44" s="134">
        <f t="shared" ca="1" si="32"/>
        <v>0.89999999999999858</v>
      </c>
      <c r="AE44" s="134">
        <f t="shared" ca="1" si="32"/>
        <v>0</v>
      </c>
      <c r="AF44" s="134">
        <f t="shared" ca="1" si="32"/>
        <v>0</v>
      </c>
      <c r="AH44" s="132">
        <f t="shared" si="45"/>
        <v>2013</v>
      </c>
      <c r="AI44" s="134">
        <f t="shared" ca="1" si="33"/>
        <v>0</v>
      </c>
      <c r="AJ44" s="134">
        <f t="shared" ca="1" si="34"/>
        <v>0</v>
      </c>
      <c r="AK44" s="134">
        <f t="shared" ca="1" si="34"/>
        <v>0</v>
      </c>
      <c r="AL44" s="134">
        <f t="shared" ca="1" si="34"/>
        <v>0</v>
      </c>
      <c r="AM44" s="134">
        <f t="shared" ca="1" si="34"/>
        <v>25.4</v>
      </c>
      <c r="AN44" s="134">
        <f t="shared" ca="1" si="34"/>
        <v>68.099999999999994</v>
      </c>
      <c r="AO44" s="134">
        <f t="shared" ca="1" si="34"/>
        <v>141.39999999999998</v>
      </c>
      <c r="AP44" s="134">
        <f t="shared" ca="1" si="34"/>
        <v>95.1</v>
      </c>
      <c r="AQ44" s="134">
        <f t="shared" ca="1" si="34"/>
        <v>35.800000000000011</v>
      </c>
      <c r="AR44" s="134">
        <f t="shared" ca="1" si="34"/>
        <v>4.3999999999999986</v>
      </c>
      <c r="AS44" s="134">
        <f t="shared" ca="1" si="34"/>
        <v>0</v>
      </c>
      <c r="AT44" s="134">
        <f t="shared" ca="1" si="34"/>
        <v>0</v>
      </c>
      <c r="AU44" s="295">
        <f t="shared" ca="1" si="43"/>
        <v>370.2</v>
      </c>
      <c r="AV44" s="132">
        <f t="shared" si="46"/>
        <v>2013</v>
      </c>
      <c r="AW44" s="134">
        <f t="shared" ca="1" si="35"/>
        <v>0</v>
      </c>
      <c r="AX44" s="134">
        <f t="shared" ca="1" si="36"/>
        <v>0</v>
      </c>
      <c r="AY44" s="134">
        <f t="shared" ca="1" si="36"/>
        <v>0</v>
      </c>
      <c r="AZ44" s="134">
        <f t="shared" ca="1" si="36"/>
        <v>0</v>
      </c>
      <c r="BA44" s="134">
        <f t="shared" ca="1" si="36"/>
        <v>45</v>
      </c>
      <c r="BB44" s="134">
        <f t="shared" ca="1" si="36"/>
        <v>109.1</v>
      </c>
      <c r="BC44" s="134">
        <f t="shared" ca="1" si="36"/>
        <v>202.99999999999994</v>
      </c>
      <c r="BD44" s="134">
        <f t="shared" ca="1" si="36"/>
        <v>154.30000000000004</v>
      </c>
      <c r="BE44" s="134">
        <f t="shared" ca="1" si="36"/>
        <v>60.800000000000011</v>
      </c>
      <c r="BF44" s="134">
        <f t="shared" ca="1" si="36"/>
        <v>12.399999999999999</v>
      </c>
      <c r="BG44" s="134">
        <f t="shared" ca="1" si="36"/>
        <v>0</v>
      </c>
      <c r="BH44" s="134">
        <f t="shared" ca="1" si="36"/>
        <v>0</v>
      </c>
      <c r="BJ44" s="132">
        <f t="shared" si="47"/>
        <v>2013</v>
      </c>
      <c r="BK44" s="134">
        <f t="shared" ca="1" si="37"/>
        <v>0</v>
      </c>
      <c r="BL44" s="134">
        <f t="shared" ca="1" si="38"/>
        <v>0</v>
      </c>
      <c r="BM44" s="134">
        <f t="shared" ca="1" si="38"/>
        <v>0</v>
      </c>
      <c r="BN44" s="134">
        <f t="shared" ca="1" si="38"/>
        <v>3</v>
      </c>
      <c r="BO44" s="134">
        <f t="shared" ca="1" si="38"/>
        <v>73.8</v>
      </c>
      <c r="BP44" s="134">
        <f t="shared" ca="1" si="38"/>
        <v>159.19999999999999</v>
      </c>
      <c r="BQ44" s="134">
        <f t="shared" ca="1" si="38"/>
        <v>264.99999999999994</v>
      </c>
      <c r="BR44" s="134">
        <f t="shared" ca="1" si="38"/>
        <v>216.30000000000004</v>
      </c>
      <c r="BS44" s="134">
        <f t="shared" ca="1" si="38"/>
        <v>96.9</v>
      </c>
      <c r="BT44" s="134">
        <f t="shared" ca="1" si="38"/>
        <v>27.2</v>
      </c>
      <c r="BU44" s="134">
        <f t="shared" ca="1" si="38"/>
        <v>0</v>
      </c>
      <c r="BV44" s="134">
        <f t="shared" ca="1" si="38"/>
        <v>0</v>
      </c>
      <c r="BX44" s="132">
        <f t="shared" si="48"/>
        <v>2013</v>
      </c>
      <c r="BY44" s="134">
        <f t="shared" ca="1" si="39"/>
        <v>0</v>
      </c>
      <c r="BZ44" s="134">
        <f t="shared" ca="1" si="40"/>
        <v>0</v>
      </c>
      <c r="CA44" s="134">
        <f t="shared" ca="1" si="40"/>
        <v>0</v>
      </c>
      <c r="CB44" s="134">
        <f t="shared" ca="1" si="40"/>
        <v>9.7000000000000011</v>
      </c>
      <c r="CC44" s="134">
        <f t="shared" ca="1" si="40"/>
        <v>118.80000000000003</v>
      </c>
      <c r="CD44" s="134">
        <f t="shared" ca="1" si="40"/>
        <v>214.79999999999998</v>
      </c>
      <c r="CE44" s="134">
        <f t="shared" ca="1" si="40"/>
        <v>327.00000000000006</v>
      </c>
      <c r="CF44" s="134">
        <f t="shared" ca="1" si="40"/>
        <v>278.29999999999995</v>
      </c>
      <c r="CG44" s="134">
        <f t="shared" ca="1" si="40"/>
        <v>143.80000000000004</v>
      </c>
      <c r="CH44" s="134">
        <f t="shared" ca="1" si="40"/>
        <v>58.4</v>
      </c>
      <c r="CI44" s="134">
        <f t="shared" ca="1" si="40"/>
        <v>2.4000000000000004</v>
      </c>
      <c r="CJ44" s="134">
        <f t="shared" ca="1" si="40"/>
        <v>0</v>
      </c>
      <c r="CL44" s="132">
        <f t="shared" si="49"/>
        <v>2013</v>
      </c>
      <c r="CM44" s="134">
        <f t="shared" ca="1" si="41"/>
        <v>2.5</v>
      </c>
      <c r="CN44" s="134">
        <f t="shared" ca="1" si="42"/>
        <v>0</v>
      </c>
      <c r="CO44" s="134">
        <f t="shared" ca="1" si="42"/>
        <v>9.9999999999999645E-2</v>
      </c>
      <c r="CP44" s="134">
        <f t="shared" ca="1" si="42"/>
        <v>22.200000000000003</v>
      </c>
      <c r="CQ44" s="134">
        <f t="shared" ca="1" si="42"/>
        <v>170.39999999999995</v>
      </c>
      <c r="CR44" s="134">
        <f t="shared" ca="1" si="42"/>
        <v>274.00000000000006</v>
      </c>
      <c r="CS44" s="134">
        <f t="shared" ca="1" si="42"/>
        <v>389.00000000000006</v>
      </c>
      <c r="CT44" s="134">
        <f t="shared" ca="1" si="42"/>
        <v>340.3</v>
      </c>
      <c r="CU44" s="134">
        <f t="shared" ca="1" si="42"/>
        <v>200.20000000000005</v>
      </c>
      <c r="CV44" s="134">
        <f t="shared" ca="1" si="42"/>
        <v>97.600000000000009</v>
      </c>
      <c r="CW44" s="134">
        <f t="shared" ca="1" si="42"/>
        <v>8.1</v>
      </c>
      <c r="CX44" s="134">
        <f t="shared" ca="1" si="42"/>
        <v>0</v>
      </c>
      <c r="DA44" s="134"/>
      <c r="DB44" s="134"/>
      <c r="DC44" s="134"/>
      <c r="DD44" s="134"/>
      <c r="DE44" s="134"/>
      <c r="DF44" s="134"/>
      <c r="DG44" s="134"/>
      <c r="DH44" s="134"/>
      <c r="DI44" s="134"/>
      <c r="DJ44" s="134"/>
      <c r="DK44" s="134"/>
      <c r="DL44" s="134"/>
    </row>
    <row r="45" spans="1:116" x14ac:dyDescent="0.2">
      <c r="A45" s="132">
        <v>2004</v>
      </c>
      <c r="B45" s="144">
        <v>8</v>
      </c>
      <c r="C45" s="144">
        <v>20.29354838709677</v>
      </c>
      <c r="D45" s="134">
        <v>28.899999999999995</v>
      </c>
      <c r="E45" s="134">
        <v>38</v>
      </c>
      <c r="F45" s="134">
        <v>5.7999999999999972</v>
      </c>
      <c r="G45" s="134">
        <v>76.899999999999991</v>
      </c>
      <c r="H45" s="134">
        <v>0</v>
      </c>
      <c r="I45" s="134">
        <v>133.1</v>
      </c>
      <c r="J45" s="134">
        <v>0</v>
      </c>
      <c r="K45" s="134">
        <v>195.10000000000002</v>
      </c>
      <c r="L45" s="134">
        <v>0</v>
      </c>
      <c r="M45" s="134">
        <v>257.10000000000002</v>
      </c>
      <c r="N45" s="134">
        <v>0</v>
      </c>
      <c r="O45" s="134">
        <v>319.10000000000008</v>
      </c>
      <c r="P45" s="134"/>
      <c r="Q45" s="134"/>
      <c r="R45" s="134"/>
      <c r="T45" s="132">
        <f t="shared" si="44"/>
        <v>2014</v>
      </c>
      <c r="U45" s="134">
        <f t="shared" ca="1" si="31"/>
        <v>0</v>
      </c>
      <c r="V45" s="134">
        <f t="shared" ca="1" si="32"/>
        <v>0</v>
      </c>
      <c r="W45" s="134">
        <f t="shared" ca="1" si="32"/>
        <v>0</v>
      </c>
      <c r="X45" s="134">
        <f t="shared" ca="1" si="32"/>
        <v>0</v>
      </c>
      <c r="Y45" s="134">
        <f t="shared" ca="1" si="32"/>
        <v>7.5</v>
      </c>
      <c r="Z45" s="134">
        <f t="shared" ca="1" si="32"/>
        <v>37.799999999999997</v>
      </c>
      <c r="AA45" s="134">
        <f t="shared" ca="1" si="32"/>
        <v>48.099999999999994</v>
      </c>
      <c r="AB45" s="134">
        <f t="shared" ca="1" si="32"/>
        <v>43.7</v>
      </c>
      <c r="AC45" s="134">
        <f t="shared" ca="1" si="32"/>
        <v>23.9</v>
      </c>
      <c r="AD45" s="134">
        <f t="shared" ca="1" si="32"/>
        <v>1.1000000000000014</v>
      </c>
      <c r="AE45" s="134">
        <f t="shared" ca="1" si="32"/>
        <v>0</v>
      </c>
      <c r="AF45" s="134">
        <f t="shared" ca="1" si="32"/>
        <v>0</v>
      </c>
      <c r="AH45" s="132">
        <f t="shared" si="45"/>
        <v>2014</v>
      </c>
      <c r="AI45" s="134">
        <f t="shared" ca="1" si="33"/>
        <v>0</v>
      </c>
      <c r="AJ45" s="134">
        <f t="shared" ca="1" si="34"/>
        <v>0</v>
      </c>
      <c r="AK45" s="134">
        <f t="shared" ca="1" si="34"/>
        <v>0</v>
      </c>
      <c r="AL45" s="134">
        <f t="shared" ca="1" si="34"/>
        <v>0</v>
      </c>
      <c r="AM45" s="134">
        <f t="shared" ca="1" si="34"/>
        <v>11.899999999999999</v>
      </c>
      <c r="AN45" s="134">
        <f t="shared" ca="1" si="34"/>
        <v>72.8</v>
      </c>
      <c r="AO45" s="134">
        <f t="shared" ca="1" si="34"/>
        <v>89.600000000000023</v>
      </c>
      <c r="AP45" s="134">
        <f t="shared" ca="1" si="34"/>
        <v>88.800000000000011</v>
      </c>
      <c r="AQ45" s="134">
        <f t="shared" ca="1" si="34"/>
        <v>42.599999999999994</v>
      </c>
      <c r="AR45" s="134">
        <f t="shared" ca="1" si="34"/>
        <v>5.1000000000000014</v>
      </c>
      <c r="AS45" s="134">
        <f t="shared" ca="1" si="34"/>
        <v>0</v>
      </c>
      <c r="AT45" s="134">
        <f t="shared" ca="1" si="34"/>
        <v>0</v>
      </c>
      <c r="AU45" s="295">
        <f t="shared" ca="1" si="43"/>
        <v>310.80000000000007</v>
      </c>
      <c r="AV45" s="132">
        <f t="shared" si="46"/>
        <v>2014</v>
      </c>
      <c r="AW45" s="134">
        <f t="shared" ca="1" si="35"/>
        <v>0</v>
      </c>
      <c r="AX45" s="134">
        <f t="shared" ca="1" si="36"/>
        <v>0</v>
      </c>
      <c r="AY45" s="134">
        <f t="shared" ca="1" si="36"/>
        <v>0</v>
      </c>
      <c r="AZ45" s="134">
        <f t="shared" ca="1" si="36"/>
        <v>0.39999999999999858</v>
      </c>
      <c r="BA45" s="134">
        <f t="shared" ca="1" si="36"/>
        <v>24.299999999999997</v>
      </c>
      <c r="BB45" s="134">
        <f t="shared" ca="1" si="36"/>
        <v>121.8</v>
      </c>
      <c r="BC45" s="134">
        <f t="shared" ca="1" si="36"/>
        <v>149.90000000000003</v>
      </c>
      <c r="BD45" s="134">
        <f t="shared" ca="1" si="36"/>
        <v>146.79999999999998</v>
      </c>
      <c r="BE45" s="134">
        <f t="shared" ca="1" si="36"/>
        <v>71.299999999999983</v>
      </c>
      <c r="BF45" s="134">
        <f t="shared" ca="1" si="36"/>
        <v>10.400000000000002</v>
      </c>
      <c r="BG45" s="134">
        <f t="shared" ca="1" si="36"/>
        <v>0</v>
      </c>
      <c r="BH45" s="134">
        <f t="shared" ca="1" si="36"/>
        <v>0</v>
      </c>
      <c r="BJ45" s="132">
        <f t="shared" si="47"/>
        <v>2014</v>
      </c>
      <c r="BK45" s="134">
        <f t="shared" ca="1" si="37"/>
        <v>0</v>
      </c>
      <c r="BL45" s="134">
        <f t="shared" ca="1" si="38"/>
        <v>0</v>
      </c>
      <c r="BM45" s="134">
        <f t="shared" ca="1" si="38"/>
        <v>0</v>
      </c>
      <c r="BN45" s="134">
        <f t="shared" ca="1" si="38"/>
        <v>2.8999999999999986</v>
      </c>
      <c r="BO45" s="134">
        <f t="shared" ca="1" si="38"/>
        <v>53.3</v>
      </c>
      <c r="BP45" s="134">
        <f t="shared" ca="1" si="38"/>
        <v>179.3</v>
      </c>
      <c r="BQ45" s="134">
        <f t="shared" ca="1" si="38"/>
        <v>211.89999999999998</v>
      </c>
      <c r="BR45" s="134">
        <f t="shared" ca="1" si="38"/>
        <v>208.7</v>
      </c>
      <c r="BS45" s="134">
        <f t="shared" ca="1" si="38"/>
        <v>114.09999999999997</v>
      </c>
      <c r="BT45" s="134">
        <f t="shared" ca="1" si="38"/>
        <v>25.200000000000006</v>
      </c>
      <c r="BU45" s="134">
        <f t="shared" ca="1" si="38"/>
        <v>0</v>
      </c>
      <c r="BV45" s="134">
        <f t="shared" ca="1" si="38"/>
        <v>0</v>
      </c>
      <c r="BX45" s="132">
        <f t="shared" si="48"/>
        <v>2014</v>
      </c>
      <c r="BY45" s="134">
        <f t="shared" ca="1" si="39"/>
        <v>0</v>
      </c>
      <c r="BZ45" s="134">
        <f t="shared" ca="1" si="40"/>
        <v>0</v>
      </c>
      <c r="CA45" s="134">
        <f t="shared" ca="1" si="40"/>
        <v>0</v>
      </c>
      <c r="CB45" s="134">
        <f t="shared" ca="1" si="40"/>
        <v>8.3999999999999986</v>
      </c>
      <c r="CC45" s="134">
        <f t="shared" ca="1" si="40"/>
        <v>91.899999999999991</v>
      </c>
      <c r="CD45" s="134">
        <f t="shared" ca="1" si="40"/>
        <v>239.3</v>
      </c>
      <c r="CE45" s="134">
        <f t="shared" ca="1" si="40"/>
        <v>273.89999999999998</v>
      </c>
      <c r="CF45" s="134">
        <f t="shared" ca="1" si="40"/>
        <v>270.70000000000005</v>
      </c>
      <c r="CG45" s="134">
        <f t="shared" ca="1" si="40"/>
        <v>164.29999999999998</v>
      </c>
      <c r="CH45" s="134">
        <f t="shared" ca="1" si="40"/>
        <v>47.7</v>
      </c>
      <c r="CI45" s="134">
        <f t="shared" ca="1" si="40"/>
        <v>1.3000000000000007</v>
      </c>
      <c r="CJ45" s="134">
        <f t="shared" ca="1" si="40"/>
        <v>0</v>
      </c>
      <c r="CL45" s="132">
        <f t="shared" si="49"/>
        <v>2014</v>
      </c>
      <c r="CM45" s="134">
        <f t="shared" ca="1" si="41"/>
        <v>0</v>
      </c>
      <c r="CN45" s="134">
        <f t="shared" ca="1" si="42"/>
        <v>0</v>
      </c>
      <c r="CO45" s="134">
        <f t="shared" ca="1" si="42"/>
        <v>0</v>
      </c>
      <c r="CP45" s="134">
        <f t="shared" ca="1" si="42"/>
        <v>16.899999999999999</v>
      </c>
      <c r="CQ45" s="134">
        <f t="shared" ca="1" si="42"/>
        <v>137.09999999999997</v>
      </c>
      <c r="CR45" s="134">
        <f t="shared" ca="1" si="42"/>
        <v>299.3</v>
      </c>
      <c r="CS45" s="134">
        <f t="shared" ca="1" si="42"/>
        <v>335.89999999999992</v>
      </c>
      <c r="CT45" s="134">
        <f t="shared" ca="1" si="42"/>
        <v>332.7</v>
      </c>
      <c r="CU45" s="134">
        <f t="shared" ca="1" si="42"/>
        <v>222.89999999999998</v>
      </c>
      <c r="CV45" s="134">
        <f t="shared" ca="1" si="42"/>
        <v>77.099999999999994</v>
      </c>
      <c r="CW45" s="134">
        <f t="shared" ca="1" si="42"/>
        <v>6.9</v>
      </c>
      <c r="CX45" s="134">
        <f t="shared" ca="1" si="42"/>
        <v>0</v>
      </c>
      <c r="DA45" s="134"/>
      <c r="DB45" s="134"/>
      <c r="DC45" s="134"/>
      <c r="DD45" s="134"/>
      <c r="DE45" s="134"/>
      <c r="DF45" s="134"/>
      <c r="DG45" s="134"/>
      <c r="DH45" s="134"/>
      <c r="DI45" s="134"/>
      <c r="DJ45" s="134"/>
      <c r="DK45" s="134"/>
      <c r="DL45" s="134"/>
    </row>
    <row r="46" spans="1:116" x14ac:dyDescent="0.2">
      <c r="A46" s="132">
        <v>2004</v>
      </c>
      <c r="B46" s="144">
        <v>9</v>
      </c>
      <c r="C46" s="144">
        <v>19.22666666666667</v>
      </c>
      <c r="D46" s="134">
        <v>46.5</v>
      </c>
      <c r="E46" s="134">
        <v>23.300000000000004</v>
      </c>
      <c r="F46" s="134">
        <v>20.999999999999996</v>
      </c>
      <c r="G46" s="134">
        <v>57.8</v>
      </c>
      <c r="H46" s="134">
        <v>7.2999999999999972</v>
      </c>
      <c r="I46" s="134">
        <v>104.09999999999998</v>
      </c>
      <c r="J46" s="134">
        <v>2.1999999999999993</v>
      </c>
      <c r="K46" s="134">
        <v>159.00000000000003</v>
      </c>
      <c r="L46" s="134">
        <v>0.19999999999999929</v>
      </c>
      <c r="M46" s="134">
        <v>217.00000000000006</v>
      </c>
      <c r="N46" s="134">
        <v>0</v>
      </c>
      <c r="O46" s="134">
        <v>276.80000000000007</v>
      </c>
      <c r="P46" s="134"/>
      <c r="Q46" s="134"/>
      <c r="R46" s="134"/>
      <c r="T46" s="132">
        <f t="shared" si="44"/>
        <v>2015</v>
      </c>
      <c r="U46" s="134">
        <f t="shared" ca="1" si="31"/>
        <v>0</v>
      </c>
      <c r="V46" s="134">
        <f t="shared" ca="1" si="32"/>
        <v>0</v>
      </c>
      <c r="W46" s="134">
        <f t="shared" ca="1" si="32"/>
        <v>0</v>
      </c>
      <c r="X46" s="134">
        <f t="shared" ca="1" si="32"/>
        <v>0</v>
      </c>
      <c r="Y46" s="134">
        <f t="shared" ca="1" si="32"/>
        <v>20.7</v>
      </c>
      <c r="Z46" s="134">
        <f t="shared" ca="1" si="32"/>
        <v>14.5</v>
      </c>
      <c r="AA46" s="134">
        <f t="shared" ca="1" si="32"/>
        <v>79.200000000000017</v>
      </c>
      <c r="AB46" s="134">
        <f t="shared" ca="1" si="32"/>
        <v>54.599999999999994</v>
      </c>
      <c r="AC46" s="134">
        <f t="shared" ca="1" si="32"/>
        <v>59.7</v>
      </c>
      <c r="AD46" s="134">
        <f t="shared" ca="1" si="32"/>
        <v>0</v>
      </c>
      <c r="AE46" s="134">
        <f t="shared" ca="1" si="32"/>
        <v>0</v>
      </c>
      <c r="AF46" s="134">
        <f t="shared" ca="1" si="32"/>
        <v>0</v>
      </c>
      <c r="AH46" s="132">
        <f t="shared" si="45"/>
        <v>2015</v>
      </c>
      <c r="AI46" s="134">
        <f t="shared" ca="1" si="33"/>
        <v>0</v>
      </c>
      <c r="AJ46" s="134">
        <f t="shared" ca="1" si="34"/>
        <v>0</v>
      </c>
      <c r="AK46" s="134">
        <f t="shared" ca="1" si="34"/>
        <v>0</v>
      </c>
      <c r="AL46" s="134">
        <f t="shared" ca="1" si="34"/>
        <v>0</v>
      </c>
      <c r="AM46" s="134">
        <f t="shared" ca="1" si="34"/>
        <v>42.199999999999996</v>
      </c>
      <c r="AN46" s="134">
        <f t="shared" ca="1" si="34"/>
        <v>42.099999999999994</v>
      </c>
      <c r="AO46" s="134">
        <f t="shared" ca="1" si="34"/>
        <v>128.9</v>
      </c>
      <c r="AP46" s="134">
        <f t="shared" ca="1" si="34"/>
        <v>101.19999999999999</v>
      </c>
      <c r="AQ46" s="134">
        <f t="shared" ca="1" si="34"/>
        <v>93.500000000000014</v>
      </c>
      <c r="AR46" s="134">
        <f t="shared" ca="1" si="34"/>
        <v>0.89999999999999858</v>
      </c>
      <c r="AS46" s="134">
        <f t="shared" ca="1" si="34"/>
        <v>0</v>
      </c>
      <c r="AT46" s="134">
        <f t="shared" ca="1" si="34"/>
        <v>0</v>
      </c>
      <c r="AU46" s="295">
        <f t="shared" ca="1" si="43"/>
        <v>408.79999999999995</v>
      </c>
      <c r="AV46" s="132">
        <f t="shared" si="46"/>
        <v>2015</v>
      </c>
      <c r="AW46" s="134">
        <f t="shared" ca="1" si="35"/>
        <v>0</v>
      </c>
      <c r="AX46" s="134">
        <f t="shared" ca="1" si="36"/>
        <v>0</v>
      </c>
      <c r="AY46" s="134">
        <f t="shared" ca="1" si="36"/>
        <v>0</v>
      </c>
      <c r="AZ46" s="134">
        <f t="shared" ca="1" si="36"/>
        <v>0.30000000000000071</v>
      </c>
      <c r="BA46" s="134">
        <f t="shared" ca="1" si="36"/>
        <v>72</v>
      </c>
      <c r="BB46" s="134">
        <f t="shared" ca="1" si="36"/>
        <v>80.000000000000014</v>
      </c>
      <c r="BC46" s="134">
        <f t="shared" ca="1" si="36"/>
        <v>187.49999999999997</v>
      </c>
      <c r="BD46" s="134">
        <f t="shared" ca="1" si="36"/>
        <v>161.79999999999998</v>
      </c>
      <c r="BE46" s="134">
        <f t="shared" ca="1" si="36"/>
        <v>136.80000000000004</v>
      </c>
      <c r="BF46" s="134">
        <f t="shared" ca="1" si="36"/>
        <v>4.6999999999999957</v>
      </c>
      <c r="BG46" s="134">
        <f t="shared" ca="1" si="36"/>
        <v>2.3000000000000007</v>
      </c>
      <c r="BH46" s="134">
        <f t="shared" ca="1" si="36"/>
        <v>0</v>
      </c>
      <c r="BJ46" s="132">
        <f t="shared" si="47"/>
        <v>2015</v>
      </c>
      <c r="BK46" s="134">
        <f t="shared" ca="1" si="37"/>
        <v>0</v>
      </c>
      <c r="BL46" s="134">
        <f t="shared" ca="1" si="38"/>
        <v>0</v>
      </c>
      <c r="BM46" s="134">
        <f t="shared" ca="1" si="38"/>
        <v>0</v>
      </c>
      <c r="BN46" s="134">
        <f t="shared" ca="1" si="38"/>
        <v>4.7000000000000011</v>
      </c>
      <c r="BO46" s="134">
        <f t="shared" ca="1" si="38"/>
        <v>108.30000000000001</v>
      </c>
      <c r="BP46" s="134">
        <f t="shared" ca="1" si="38"/>
        <v>126.20000000000003</v>
      </c>
      <c r="BQ46" s="134">
        <f t="shared" ca="1" si="38"/>
        <v>249.49999999999994</v>
      </c>
      <c r="BR46" s="134">
        <f t="shared" ca="1" si="38"/>
        <v>223.79999999999998</v>
      </c>
      <c r="BS46" s="134">
        <f t="shared" ca="1" si="38"/>
        <v>190.20000000000005</v>
      </c>
      <c r="BT46" s="134">
        <f t="shared" ca="1" si="38"/>
        <v>17.399999999999995</v>
      </c>
      <c r="BU46" s="134">
        <f t="shared" ca="1" si="38"/>
        <v>7.9</v>
      </c>
      <c r="BV46" s="134">
        <f t="shared" ca="1" si="38"/>
        <v>0</v>
      </c>
      <c r="BX46" s="132">
        <f t="shared" si="48"/>
        <v>2015</v>
      </c>
      <c r="BY46" s="134">
        <f t="shared" ca="1" si="39"/>
        <v>0</v>
      </c>
      <c r="BZ46" s="134">
        <f t="shared" ca="1" si="40"/>
        <v>0</v>
      </c>
      <c r="CA46" s="134">
        <f t="shared" ca="1" si="40"/>
        <v>0</v>
      </c>
      <c r="CB46" s="134">
        <f t="shared" ca="1" si="40"/>
        <v>12.000000000000002</v>
      </c>
      <c r="CC46" s="134">
        <f t="shared" ca="1" si="40"/>
        <v>153.1</v>
      </c>
      <c r="CD46" s="134">
        <f t="shared" ca="1" si="40"/>
        <v>179.89999999999992</v>
      </c>
      <c r="CE46" s="134">
        <f t="shared" ca="1" si="40"/>
        <v>311.49999999999994</v>
      </c>
      <c r="CF46" s="134">
        <f t="shared" ca="1" si="40"/>
        <v>285.8</v>
      </c>
      <c r="CG46" s="134">
        <f t="shared" ca="1" si="40"/>
        <v>249.29999999999998</v>
      </c>
      <c r="CH46" s="134">
        <f t="shared" ca="1" si="40"/>
        <v>38.399999999999991</v>
      </c>
      <c r="CI46" s="134">
        <f t="shared" ca="1" si="40"/>
        <v>15.6</v>
      </c>
      <c r="CJ46" s="134">
        <f t="shared" ca="1" si="40"/>
        <v>0</v>
      </c>
      <c r="CL46" s="132">
        <f t="shared" si="49"/>
        <v>2015</v>
      </c>
      <c r="CM46" s="134">
        <f t="shared" ca="1" si="41"/>
        <v>0</v>
      </c>
      <c r="CN46" s="134">
        <f t="shared" ca="1" si="42"/>
        <v>0</v>
      </c>
      <c r="CO46" s="134">
        <f t="shared" ca="1" si="42"/>
        <v>0</v>
      </c>
      <c r="CP46" s="134">
        <f t="shared" ca="1" si="42"/>
        <v>26.100000000000005</v>
      </c>
      <c r="CQ46" s="134">
        <f t="shared" ca="1" si="42"/>
        <v>206.49999999999997</v>
      </c>
      <c r="CR46" s="134">
        <f t="shared" ca="1" si="42"/>
        <v>238.49999999999997</v>
      </c>
      <c r="CS46" s="134">
        <f t="shared" ca="1" si="42"/>
        <v>373.5</v>
      </c>
      <c r="CT46" s="134">
        <f t="shared" ca="1" si="42"/>
        <v>347.80000000000013</v>
      </c>
      <c r="CU46" s="134">
        <f t="shared" ca="1" si="42"/>
        <v>309.3</v>
      </c>
      <c r="CV46" s="134">
        <f t="shared" ca="1" si="42"/>
        <v>74.100000000000009</v>
      </c>
      <c r="CW46" s="134">
        <f t="shared" ca="1" si="42"/>
        <v>31.299999999999997</v>
      </c>
      <c r="CX46" s="134">
        <f t="shared" ca="1" si="42"/>
        <v>3.4000000000000004</v>
      </c>
      <c r="DA46" s="134"/>
      <c r="DB46" s="134"/>
      <c r="DC46" s="134"/>
      <c r="DD46" s="134"/>
      <c r="DE46" s="134"/>
      <c r="DF46" s="134"/>
      <c r="DG46" s="134"/>
      <c r="DH46" s="134"/>
      <c r="DI46" s="134"/>
      <c r="DJ46" s="134"/>
      <c r="DK46" s="134"/>
      <c r="DL46" s="134"/>
    </row>
    <row r="47" spans="1:116" x14ac:dyDescent="0.2">
      <c r="A47" s="132">
        <v>2004</v>
      </c>
      <c r="B47" s="144">
        <v>10</v>
      </c>
      <c r="C47" s="144">
        <v>11.722580645161296</v>
      </c>
      <c r="D47" s="134">
        <v>256.59999999999991</v>
      </c>
      <c r="E47" s="134">
        <v>0</v>
      </c>
      <c r="F47" s="134">
        <v>197.89999999999992</v>
      </c>
      <c r="G47" s="134">
        <v>3.3000000000000007</v>
      </c>
      <c r="H47" s="134">
        <v>143.5</v>
      </c>
      <c r="I47" s="134">
        <v>10.900000000000002</v>
      </c>
      <c r="J47" s="134">
        <v>93.500000000000028</v>
      </c>
      <c r="K47" s="134">
        <v>22.900000000000002</v>
      </c>
      <c r="L47" s="134">
        <v>50.400000000000006</v>
      </c>
      <c r="M47" s="134">
        <v>41.8</v>
      </c>
      <c r="N47" s="134">
        <v>18.799999999999994</v>
      </c>
      <c r="O47" s="134">
        <v>72.199999999999989</v>
      </c>
      <c r="P47" s="134"/>
      <c r="Q47" s="134"/>
      <c r="R47" s="134"/>
      <c r="T47" s="132">
        <f t="shared" si="44"/>
        <v>2016</v>
      </c>
      <c r="U47" s="134">
        <f t="shared" ca="1" si="31"/>
        <v>0</v>
      </c>
      <c r="V47" s="134">
        <f t="shared" ca="1" si="32"/>
        <v>0</v>
      </c>
      <c r="W47" s="134">
        <f t="shared" ca="1" si="32"/>
        <v>0</v>
      </c>
      <c r="X47" s="134">
        <f t="shared" ca="1" si="32"/>
        <v>0</v>
      </c>
      <c r="Y47" s="134">
        <f t="shared" ca="1" si="32"/>
        <v>29.400000000000002</v>
      </c>
      <c r="Z47" s="134">
        <f t="shared" ca="1" si="32"/>
        <v>42.600000000000009</v>
      </c>
      <c r="AA47" s="134">
        <f t="shared" ca="1" si="32"/>
        <v>122.09999999999998</v>
      </c>
      <c r="AB47" s="134">
        <f t="shared" ca="1" si="32"/>
        <v>136.79999999999998</v>
      </c>
      <c r="AC47" s="134">
        <f t="shared" ca="1" si="32"/>
        <v>40.400000000000006</v>
      </c>
      <c r="AD47" s="134">
        <f t="shared" ca="1" si="32"/>
        <v>4.8000000000000007</v>
      </c>
      <c r="AE47" s="134">
        <f t="shared" ca="1" si="32"/>
        <v>0</v>
      </c>
      <c r="AF47" s="134">
        <f t="shared" ca="1" si="32"/>
        <v>0</v>
      </c>
      <c r="AH47" s="132">
        <f t="shared" si="45"/>
        <v>2016</v>
      </c>
      <c r="AI47" s="134">
        <f t="shared" ca="1" si="33"/>
        <v>0</v>
      </c>
      <c r="AJ47" s="134">
        <f t="shared" ca="1" si="34"/>
        <v>0</v>
      </c>
      <c r="AK47" s="134">
        <f t="shared" ca="1" si="34"/>
        <v>0</v>
      </c>
      <c r="AL47" s="134">
        <f t="shared" ca="1" si="34"/>
        <v>0</v>
      </c>
      <c r="AM47" s="134">
        <f t="shared" ca="1" si="34"/>
        <v>46.900000000000006</v>
      </c>
      <c r="AN47" s="134">
        <f t="shared" ca="1" si="34"/>
        <v>80.399999999999991</v>
      </c>
      <c r="AO47" s="134">
        <f t="shared" ca="1" si="34"/>
        <v>181.00000000000006</v>
      </c>
      <c r="AP47" s="134">
        <f t="shared" ca="1" si="34"/>
        <v>198.80000000000004</v>
      </c>
      <c r="AQ47" s="134">
        <f t="shared" ca="1" si="34"/>
        <v>73.499999999999986</v>
      </c>
      <c r="AR47" s="134">
        <f t="shared" ca="1" si="34"/>
        <v>14.600000000000001</v>
      </c>
      <c r="AS47" s="134">
        <f t="shared" ca="1" si="34"/>
        <v>0</v>
      </c>
      <c r="AT47" s="134">
        <f t="shared" ca="1" si="34"/>
        <v>0</v>
      </c>
      <c r="AU47" s="296">
        <f t="shared" ca="1" si="43"/>
        <v>595.20000000000016</v>
      </c>
      <c r="AV47" s="132">
        <f t="shared" si="46"/>
        <v>2016</v>
      </c>
      <c r="AW47" s="134">
        <f t="shared" ca="1" si="35"/>
        <v>0</v>
      </c>
      <c r="AX47" s="134">
        <f t="shared" ca="1" si="36"/>
        <v>0</v>
      </c>
      <c r="AY47" s="134">
        <f t="shared" ca="1" si="36"/>
        <v>0</v>
      </c>
      <c r="AZ47" s="134">
        <f t="shared" ca="1" si="36"/>
        <v>0.5</v>
      </c>
      <c r="BA47" s="134">
        <f t="shared" ca="1" si="36"/>
        <v>69.399999999999991</v>
      </c>
      <c r="BB47" s="134">
        <f t="shared" ca="1" si="36"/>
        <v>125.59999999999998</v>
      </c>
      <c r="BC47" s="134">
        <f t="shared" ca="1" si="36"/>
        <v>243.00000000000006</v>
      </c>
      <c r="BD47" s="134">
        <f t="shared" ca="1" si="36"/>
        <v>260.80000000000007</v>
      </c>
      <c r="BE47" s="134">
        <f t="shared" ca="1" si="36"/>
        <v>118.89999999999998</v>
      </c>
      <c r="BF47" s="134">
        <f t="shared" ca="1" si="36"/>
        <v>29.6</v>
      </c>
      <c r="BG47" s="134">
        <f t="shared" ca="1" si="36"/>
        <v>0</v>
      </c>
      <c r="BH47" s="134">
        <f t="shared" ca="1" si="36"/>
        <v>0</v>
      </c>
      <c r="BJ47" s="132">
        <f t="shared" si="47"/>
        <v>2016</v>
      </c>
      <c r="BK47" s="134">
        <f t="shared" ca="1" si="37"/>
        <v>0</v>
      </c>
      <c r="BL47" s="134">
        <f t="shared" ca="1" si="38"/>
        <v>0</v>
      </c>
      <c r="BM47" s="134">
        <f t="shared" ca="1" si="38"/>
        <v>1.0999999999999996</v>
      </c>
      <c r="BN47" s="134">
        <f t="shared" ca="1" si="38"/>
        <v>4</v>
      </c>
      <c r="BO47" s="134">
        <f t="shared" ca="1" si="38"/>
        <v>94.699999999999989</v>
      </c>
      <c r="BP47" s="134">
        <f t="shared" ca="1" si="38"/>
        <v>180.70000000000005</v>
      </c>
      <c r="BQ47" s="134">
        <f t="shared" ca="1" si="38"/>
        <v>305.00000000000006</v>
      </c>
      <c r="BR47" s="134">
        <f t="shared" ca="1" si="38"/>
        <v>322.80000000000013</v>
      </c>
      <c r="BS47" s="134">
        <f t="shared" ca="1" si="38"/>
        <v>171.80000000000004</v>
      </c>
      <c r="BT47" s="134">
        <f t="shared" ca="1" si="38"/>
        <v>53.899999999999991</v>
      </c>
      <c r="BU47" s="134">
        <f t="shared" ca="1" si="38"/>
        <v>1</v>
      </c>
      <c r="BV47" s="134">
        <f t="shared" ca="1" si="38"/>
        <v>0</v>
      </c>
      <c r="BX47" s="132">
        <f t="shared" si="48"/>
        <v>2016</v>
      </c>
      <c r="BY47" s="134">
        <f t="shared" ca="1" si="39"/>
        <v>0</v>
      </c>
      <c r="BZ47" s="134">
        <f t="shared" ca="1" si="40"/>
        <v>0</v>
      </c>
      <c r="CA47" s="134">
        <f t="shared" ca="1" si="40"/>
        <v>3.9000000000000004</v>
      </c>
      <c r="CB47" s="134">
        <f t="shared" ca="1" si="40"/>
        <v>8.3000000000000007</v>
      </c>
      <c r="CC47" s="134">
        <f t="shared" ca="1" si="40"/>
        <v>127.99999999999999</v>
      </c>
      <c r="CD47" s="134">
        <f t="shared" ca="1" si="40"/>
        <v>238.70000000000005</v>
      </c>
      <c r="CE47" s="134">
        <f t="shared" ca="1" si="40"/>
        <v>367.00000000000006</v>
      </c>
      <c r="CF47" s="134">
        <f t="shared" ca="1" si="40"/>
        <v>384.80000000000013</v>
      </c>
      <c r="CG47" s="134">
        <f t="shared" ca="1" si="40"/>
        <v>231.30000000000007</v>
      </c>
      <c r="CH47" s="134">
        <f t="shared" ca="1" si="40"/>
        <v>84.799999999999983</v>
      </c>
      <c r="CI47" s="134">
        <f t="shared" ca="1" si="40"/>
        <v>5.5</v>
      </c>
      <c r="CJ47" s="134">
        <f t="shared" ca="1" si="40"/>
        <v>0</v>
      </c>
      <c r="CL47" s="132">
        <f t="shared" si="49"/>
        <v>2016</v>
      </c>
      <c r="CM47" s="134">
        <f t="shared" ca="1" si="41"/>
        <v>0</v>
      </c>
      <c r="CN47" s="134">
        <f t="shared" ca="1" si="42"/>
        <v>0</v>
      </c>
      <c r="CO47" s="134">
        <f t="shared" ca="1" si="42"/>
        <v>9</v>
      </c>
      <c r="CP47" s="134">
        <f t="shared" ca="1" si="42"/>
        <v>15.600000000000001</v>
      </c>
      <c r="CQ47" s="134">
        <f t="shared" ca="1" si="42"/>
        <v>170.50000000000003</v>
      </c>
      <c r="CR47" s="134">
        <f t="shared" ca="1" si="42"/>
        <v>298.70000000000005</v>
      </c>
      <c r="CS47" s="134">
        <f t="shared" ca="1" si="42"/>
        <v>429.00000000000011</v>
      </c>
      <c r="CT47" s="134">
        <f t="shared" ca="1" si="42"/>
        <v>446.80000000000013</v>
      </c>
      <c r="CU47" s="134">
        <f t="shared" ca="1" si="42"/>
        <v>291.30000000000007</v>
      </c>
      <c r="CV47" s="134">
        <f t="shared" ca="1" si="42"/>
        <v>121.29999999999998</v>
      </c>
      <c r="CW47" s="134">
        <f t="shared" ca="1" si="42"/>
        <v>19.800000000000004</v>
      </c>
      <c r="CX47" s="134">
        <f t="shared" ca="1" si="42"/>
        <v>0</v>
      </c>
      <c r="DA47" s="134"/>
      <c r="DB47" s="134"/>
      <c r="DC47" s="134"/>
      <c r="DD47" s="134"/>
      <c r="DE47" s="134"/>
      <c r="DF47" s="134"/>
      <c r="DG47" s="134"/>
      <c r="DH47" s="134"/>
      <c r="DI47" s="134"/>
      <c r="DJ47" s="134"/>
      <c r="DK47" s="134"/>
      <c r="DL47" s="134"/>
    </row>
    <row r="48" spans="1:116" x14ac:dyDescent="0.2">
      <c r="A48" s="132">
        <v>2004</v>
      </c>
      <c r="B48" s="144">
        <v>11</v>
      </c>
      <c r="C48" s="144">
        <v>6.5300000000000011</v>
      </c>
      <c r="D48" s="134">
        <v>404.09999999999991</v>
      </c>
      <c r="E48" s="134">
        <v>0</v>
      </c>
      <c r="F48" s="134">
        <v>344.09999999999991</v>
      </c>
      <c r="G48" s="134">
        <v>0</v>
      </c>
      <c r="H48" s="134">
        <v>284.09999999999991</v>
      </c>
      <c r="I48" s="134">
        <v>0</v>
      </c>
      <c r="J48" s="134">
        <v>224.09999999999997</v>
      </c>
      <c r="K48" s="134">
        <v>0</v>
      </c>
      <c r="L48" s="134">
        <v>165.39999999999998</v>
      </c>
      <c r="M48" s="134">
        <v>1.3000000000000007</v>
      </c>
      <c r="N48" s="134">
        <v>110.20000000000002</v>
      </c>
      <c r="O48" s="134">
        <v>6.1000000000000014</v>
      </c>
      <c r="P48" s="134"/>
      <c r="Q48" s="134"/>
      <c r="R48" s="134"/>
      <c r="T48" s="132">
        <f t="shared" si="44"/>
        <v>2017</v>
      </c>
      <c r="U48" s="134">
        <f t="shared" ca="1" si="31"/>
        <v>0</v>
      </c>
      <c r="V48" s="134">
        <f t="shared" ref="V48:AF51" ca="1" si="50">OFFSET($E$2,(ROW()-32)*12+COLUMN()-21,0)</f>
        <v>0</v>
      </c>
      <c r="W48" s="134">
        <f t="shared" ca="1" si="50"/>
        <v>0</v>
      </c>
      <c r="X48" s="134">
        <f t="shared" ca="1" si="50"/>
        <v>0</v>
      </c>
      <c r="Y48" s="134">
        <f t="shared" ca="1" si="50"/>
        <v>4.8000000000000007</v>
      </c>
      <c r="Z48" s="134">
        <f t="shared" ca="1" si="50"/>
        <v>44.59999999999998</v>
      </c>
      <c r="AA48" s="134">
        <f t="shared" ca="1" si="50"/>
        <v>61.399999999999991</v>
      </c>
      <c r="AB48" s="134">
        <f t="shared" ca="1" si="50"/>
        <v>43.8</v>
      </c>
      <c r="AC48" s="134">
        <f t="shared" ca="1" si="50"/>
        <v>34.100000000000009</v>
      </c>
      <c r="AD48" s="134">
        <f t="shared" ca="1" si="50"/>
        <v>5.8000000000000007</v>
      </c>
      <c r="AE48" s="134">
        <f t="shared" ca="1" si="50"/>
        <v>0</v>
      </c>
      <c r="AF48" s="134">
        <f t="shared" ca="1" si="50"/>
        <v>0</v>
      </c>
      <c r="AH48" s="132">
        <f t="shared" si="45"/>
        <v>2017</v>
      </c>
      <c r="AI48" s="134">
        <f t="shared" ca="1" si="33"/>
        <v>0</v>
      </c>
      <c r="AJ48" s="134">
        <f t="shared" ref="AJ48:AT51" ca="1" si="51">OFFSET($G$2,(ROW()-32)*12+COLUMN()-35,0)</f>
        <v>0</v>
      </c>
      <c r="AK48" s="134">
        <f t="shared" ca="1" si="51"/>
        <v>0</v>
      </c>
      <c r="AL48" s="134">
        <f t="shared" ca="1" si="51"/>
        <v>1.3000000000000007</v>
      </c>
      <c r="AM48" s="134">
        <f t="shared" ca="1" si="51"/>
        <v>12.000000000000004</v>
      </c>
      <c r="AN48" s="134">
        <f t="shared" ca="1" si="51"/>
        <v>74.399999999999991</v>
      </c>
      <c r="AO48" s="134">
        <f t="shared" ca="1" si="51"/>
        <v>119.99999999999997</v>
      </c>
      <c r="AP48" s="134">
        <f t="shared" ca="1" si="51"/>
        <v>92.099999999999966</v>
      </c>
      <c r="AQ48" s="134">
        <f t="shared" ca="1" si="51"/>
        <v>64.099999999999994</v>
      </c>
      <c r="AR48" s="134">
        <f t="shared" ca="1" si="51"/>
        <v>15.400000000000002</v>
      </c>
      <c r="AS48" s="134">
        <f t="shared" ca="1" si="51"/>
        <v>0</v>
      </c>
      <c r="AT48" s="134">
        <f t="shared" ca="1" si="51"/>
        <v>0</v>
      </c>
      <c r="AU48" s="296">
        <f t="shared" ca="1" si="43"/>
        <v>379.29999999999995</v>
      </c>
      <c r="AV48" s="132">
        <f t="shared" si="46"/>
        <v>2017</v>
      </c>
      <c r="AW48" s="134">
        <f t="shared" ca="1" si="35"/>
        <v>0</v>
      </c>
      <c r="AX48" s="134">
        <f t="shared" ref="AX48:BH51" ca="1" si="52">OFFSET($I$2,(ROW()-32)*12+COLUMN()-49,0)</f>
        <v>0</v>
      </c>
      <c r="AY48" s="134">
        <f t="shared" ca="1" si="52"/>
        <v>0</v>
      </c>
      <c r="AZ48" s="134">
        <f t="shared" ca="1" si="52"/>
        <v>5.3000000000000007</v>
      </c>
      <c r="BA48" s="134">
        <f t="shared" ca="1" si="52"/>
        <v>24.000000000000004</v>
      </c>
      <c r="BB48" s="134">
        <f t="shared" ca="1" si="52"/>
        <v>118.79999999999998</v>
      </c>
      <c r="BC48" s="134">
        <f t="shared" ca="1" si="52"/>
        <v>182.00000000000006</v>
      </c>
      <c r="BD48" s="134">
        <f t="shared" ca="1" si="52"/>
        <v>149.30000000000007</v>
      </c>
      <c r="BE48" s="134">
        <f t="shared" ca="1" si="52"/>
        <v>100.2</v>
      </c>
      <c r="BF48" s="134">
        <f t="shared" ca="1" si="52"/>
        <v>40.600000000000009</v>
      </c>
      <c r="BG48" s="134">
        <f t="shared" ca="1" si="52"/>
        <v>0</v>
      </c>
      <c r="BH48" s="134">
        <f t="shared" ca="1" si="52"/>
        <v>0</v>
      </c>
      <c r="BJ48" s="132">
        <f t="shared" si="47"/>
        <v>2017</v>
      </c>
      <c r="BK48" s="134">
        <f t="shared" ca="1" si="37"/>
        <v>0</v>
      </c>
      <c r="BL48" s="134">
        <f t="shared" ref="BL48:BV51" ca="1" si="53">OFFSET($K$2,(ROW()-32)*12+COLUMN()-63,0)</f>
        <v>0.30000000000000071</v>
      </c>
      <c r="BM48" s="134">
        <f t="shared" ca="1" si="53"/>
        <v>0</v>
      </c>
      <c r="BN48" s="134">
        <f t="shared" ca="1" si="53"/>
        <v>11.100000000000001</v>
      </c>
      <c r="BO48" s="134">
        <f t="shared" ca="1" si="53"/>
        <v>40.400000000000006</v>
      </c>
      <c r="BP48" s="134">
        <f t="shared" ca="1" si="53"/>
        <v>173.20000000000005</v>
      </c>
      <c r="BQ48" s="134">
        <f t="shared" ca="1" si="53"/>
        <v>244.00000000000006</v>
      </c>
      <c r="BR48" s="134">
        <f t="shared" ca="1" si="53"/>
        <v>211.3000000000001</v>
      </c>
      <c r="BS48" s="134">
        <f t="shared" ca="1" si="53"/>
        <v>144.70000000000002</v>
      </c>
      <c r="BT48" s="134">
        <f t="shared" ca="1" si="53"/>
        <v>73.099999999999994</v>
      </c>
      <c r="BU48" s="134">
        <f t="shared" ca="1" si="53"/>
        <v>0</v>
      </c>
      <c r="BV48" s="134">
        <f t="shared" ca="1" si="53"/>
        <v>0</v>
      </c>
      <c r="BX48" s="132">
        <f t="shared" si="48"/>
        <v>2017</v>
      </c>
      <c r="BY48" s="134">
        <f t="shared" ca="1" si="39"/>
        <v>0</v>
      </c>
      <c r="BZ48" s="134">
        <f t="shared" ref="BZ48:CJ51" ca="1" si="54">OFFSET($M$2,(ROW()-32)*12+COLUMN()-77,0)</f>
        <v>2.3000000000000007</v>
      </c>
      <c r="CA48" s="134">
        <f t="shared" ca="1" si="54"/>
        <v>0</v>
      </c>
      <c r="CB48" s="134">
        <f t="shared" ca="1" si="54"/>
        <v>20.400000000000002</v>
      </c>
      <c r="CC48" s="134">
        <f t="shared" ca="1" si="54"/>
        <v>69</v>
      </c>
      <c r="CD48" s="134">
        <f t="shared" ca="1" si="54"/>
        <v>233.20000000000007</v>
      </c>
      <c r="CE48" s="134">
        <f t="shared" ca="1" si="54"/>
        <v>306.00000000000006</v>
      </c>
      <c r="CF48" s="134">
        <f t="shared" ca="1" si="54"/>
        <v>273.30000000000013</v>
      </c>
      <c r="CG48" s="134">
        <f t="shared" ca="1" si="54"/>
        <v>202.50000000000003</v>
      </c>
      <c r="CH48" s="134">
        <f t="shared" ca="1" si="54"/>
        <v>110.49999999999999</v>
      </c>
      <c r="CI48" s="134">
        <f t="shared" ca="1" si="54"/>
        <v>0</v>
      </c>
      <c r="CJ48" s="134">
        <f t="shared" ca="1" si="54"/>
        <v>0</v>
      </c>
      <c r="CL48" s="132">
        <f t="shared" si="49"/>
        <v>2017</v>
      </c>
      <c r="CM48" s="134">
        <f t="shared" ca="1" si="41"/>
        <v>0</v>
      </c>
      <c r="CN48" s="134">
        <f t="shared" ref="CN48:CX51" ca="1" si="55">OFFSET($O$2,(ROW()-32)*12+COLUMN()-91,0)</f>
        <v>4.3000000000000007</v>
      </c>
      <c r="CO48" s="134">
        <f t="shared" ca="1" si="55"/>
        <v>0.80000000000000071</v>
      </c>
      <c r="CP48" s="134">
        <f t="shared" ca="1" si="55"/>
        <v>39.600000000000009</v>
      </c>
      <c r="CQ48" s="134">
        <f t="shared" ca="1" si="55"/>
        <v>105.79999999999998</v>
      </c>
      <c r="CR48" s="134">
        <f t="shared" ca="1" si="55"/>
        <v>293.20000000000005</v>
      </c>
      <c r="CS48" s="134">
        <f t="shared" ca="1" si="55"/>
        <v>368.00000000000011</v>
      </c>
      <c r="CT48" s="134">
        <f t="shared" ca="1" si="55"/>
        <v>335.30000000000013</v>
      </c>
      <c r="CU48" s="134">
        <f t="shared" ca="1" si="55"/>
        <v>261.80000000000007</v>
      </c>
      <c r="CV48" s="134">
        <f t="shared" ca="1" si="55"/>
        <v>153.1</v>
      </c>
      <c r="CW48" s="134">
        <f t="shared" ca="1" si="55"/>
        <v>2.3000000000000007</v>
      </c>
      <c r="CX48" s="134">
        <f t="shared" ca="1" si="55"/>
        <v>0</v>
      </c>
      <c r="DA48" s="134"/>
      <c r="DB48" s="134"/>
      <c r="DC48" s="134"/>
      <c r="DD48" s="134"/>
      <c r="DE48" s="134"/>
      <c r="DF48" s="134"/>
      <c r="DG48" s="134"/>
      <c r="DH48" s="134"/>
      <c r="DI48" s="134"/>
      <c r="DJ48" s="134"/>
      <c r="DK48" s="134"/>
      <c r="DL48" s="134"/>
    </row>
    <row r="49" spans="1:116" x14ac:dyDescent="0.2">
      <c r="A49" s="132">
        <v>2004</v>
      </c>
      <c r="B49" s="144">
        <v>12</v>
      </c>
      <c r="C49" s="144">
        <v>-0.79032258064516125</v>
      </c>
      <c r="D49" s="134">
        <v>644.5</v>
      </c>
      <c r="E49" s="134">
        <v>0</v>
      </c>
      <c r="F49" s="134">
        <v>582.50000000000011</v>
      </c>
      <c r="G49" s="134">
        <v>0</v>
      </c>
      <c r="H49" s="134">
        <v>520.50000000000011</v>
      </c>
      <c r="I49" s="134">
        <v>0</v>
      </c>
      <c r="J49" s="134">
        <v>458.50000000000006</v>
      </c>
      <c r="K49" s="134">
        <v>0</v>
      </c>
      <c r="L49" s="134">
        <v>396.50000000000006</v>
      </c>
      <c r="M49" s="134">
        <v>0</v>
      </c>
      <c r="N49" s="134">
        <v>334.50000000000006</v>
      </c>
      <c r="O49" s="134">
        <v>0</v>
      </c>
      <c r="P49" s="134"/>
      <c r="Q49" s="134"/>
      <c r="R49" s="134"/>
      <c r="T49" s="132">
        <f t="shared" si="44"/>
        <v>2018</v>
      </c>
      <c r="U49" s="134">
        <f t="shared" ca="1" si="31"/>
        <v>0</v>
      </c>
      <c r="V49" s="134">
        <f t="shared" ca="1" si="50"/>
        <v>0</v>
      </c>
      <c r="W49" s="134">
        <f t="shared" ca="1" si="50"/>
        <v>0</v>
      </c>
      <c r="X49" s="134">
        <f t="shared" ca="1" si="50"/>
        <v>0</v>
      </c>
      <c r="Y49" s="134">
        <f t="shared" ca="1" si="50"/>
        <v>13.400000000000002</v>
      </c>
      <c r="Z49" s="134">
        <f t="shared" ca="1" si="50"/>
        <v>41.3</v>
      </c>
      <c r="AA49" s="134">
        <f t="shared" ca="1" si="50"/>
        <v>114.29999999999997</v>
      </c>
      <c r="AB49" s="134">
        <f t="shared" ca="1" si="50"/>
        <v>113.49999999999997</v>
      </c>
      <c r="AC49" s="134">
        <f t="shared" ca="1" si="50"/>
        <v>50.600000000000009</v>
      </c>
      <c r="AD49" s="134">
        <f t="shared" ca="1" si="50"/>
        <v>5.3000000000000007</v>
      </c>
      <c r="AE49" s="134">
        <f t="shared" ca="1" si="50"/>
        <v>0</v>
      </c>
      <c r="AF49" s="134">
        <f t="shared" ca="1" si="50"/>
        <v>0</v>
      </c>
      <c r="AH49" s="132">
        <f t="shared" si="45"/>
        <v>2018</v>
      </c>
      <c r="AI49" s="134">
        <f t="shared" ca="1" si="33"/>
        <v>0</v>
      </c>
      <c r="AJ49" s="134">
        <f t="shared" ca="1" si="51"/>
        <v>0</v>
      </c>
      <c r="AK49" s="134">
        <f t="shared" ca="1" si="51"/>
        <v>0</v>
      </c>
      <c r="AL49" s="134">
        <f t="shared" ca="1" si="51"/>
        <v>0</v>
      </c>
      <c r="AM49" s="134">
        <f t="shared" ca="1" si="51"/>
        <v>31.500000000000004</v>
      </c>
      <c r="AN49" s="134">
        <f t="shared" ca="1" si="51"/>
        <v>67.499999999999986</v>
      </c>
      <c r="AO49" s="134">
        <f t="shared" ca="1" si="51"/>
        <v>175.30000000000004</v>
      </c>
      <c r="AP49" s="134">
        <f t="shared" ca="1" si="51"/>
        <v>171.8</v>
      </c>
      <c r="AQ49" s="134">
        <f t="shared" ca="1" si="51"/>
        <v>80.999999999999986</v>
      </c>
      <c r="AR49" s="134">
        <f t="shared" ca="1" si="51"/>
        <v>9.8000000000000007</v>
      </c>
      <c r="AS49" s="134">
        <f t="shared" ca="1" si="51"/>
        <v>0</v>
      </c>
      <c r="AT49" s="134">
        <f t="shared" ca="1" si="51"/>
        <v>0</v>
      </c>
      <c r="AU49" s="296">
        <f t="shared" ca="1" si="43"/>
        <v>536.9</v>
      </c>
      <c r="AV49" s="132">
        <f t="shared" si="46"/>
        <v>2018</v>
      </c>
      <c r="AW49" s="134">
        <f t="shared" ca="1" si="35"/>
        <v>0</v>
      </c>
      <c r="AX49" s="134">
        <f t="shared" ca="1" si="52"/>
        <v>0</v>
      </c>
      <c r="AY49" s="134">
        <f t="shared" ca="1" si="52"/>
        <v>0</v>
      </c>
      <c r="AZ49" s="134">
        <f t="shared" ca="1" si="52"/>
        <v>0</v>
      </c>
      <c r="BA49" s="134">
        <f t="shared" ca="1" si="52"/>
        <v>60.599999999999994</v>
      </c>
      <c r="BB49" s="134">
        <f t="shared" ca="1" si="52"/>
        <v>112.89999999999998</v>
      </c>
      <c r="BC49" s="134">
        <f t="shared" ca="1" si="52"/>
        <v>237.30000000000007</v>
      </c>
      <c r="BD49" s="134">
        <f t="shared" ca="1" si="52"/>
        <v>233.3000000000001</v>
      </c>
      <c r="BE49" s="134">
        <f t="shared" ca="1" si="52"/>
        <v>121.09999999999998</v>
      </c>
      <c r="BF49" s="134">
        <f t="shared" ca="1" si="52"/>
        <v>18.400000000000002</v>
      </c>
      <c r="BG49" s="134">
        <f t="shared" ca="1" si="52"/>
        <v>0</v>
      </c>
      <c r="BH49" s="134">
        <f t="shared" ca="1" si="52"/>
        <v>0</v>
      </c>
      <c r="BJ49" s="132">
        <f t="shared" si="47"/>
        <v>2018</v>
      </c>
      <c r="BK49" s="134">
        <f t="shared" ca="1" si="37"/>
        <v>0</v>
      </c>
      <c r="BL49" s="134">
        <f t="shared" ca="1" si="53"/>
        <v>0</v>
      </c>
      <c r="BM49" s="134">
        <f t="shared" ca="1" si="53"/>
        <v>0</v>
      </c>
      <c r="BN49" s="134">
        <f t="shared" ca="1" si="53"/>
        <v>0</v>
      </c>
      <c r="BO49" s="134">
        <f t="shared" ca="1" si="53"/>
        <v>98.999999999999986</v>
      </c>
      <c r="BP49" s="134">
        <f t="shared" ca="1" si="53"/>
        <v>168.5</v>
      </c>
      <c r="BQ49" s="134">
        <f t="shared" ca="1" si="53"/>
        <v>299.30000000000007</v>
      </c>
      <c r="BR49" s="134">
        <f t="shared" ca="1" si="53"/>
        <v>295.30000000000013</v>
      </c>
      <c r="BS49" s="134">
        <f t="shared" ca="1" si="53"/>
        <v>166.40000000000003</v>
      </c>
      <c r="BT49" s="134">
        <f t="shared" ca="1" si="53"/>
        <v>32</v>
      </c>
      <c r="BU49" s="134">
        <f t="shared" ca="1" si="53"/>
        <v>0</v>
      </c>
      <c r="BV49" s="134">
        <f t="shared" ca="1" si="53"/>
        <v>0</v>
      </c>
      <c r="BX49" s="132">
        <f t="shared" si="48"/>
        <v>2018</v>
      </c>
      <c r="BY49" s="134">
        <f t="shared" ca="1" si="39"/>
        <v>0</v>
      </c>
      <c r="BZ49" s="134">
        <f t="shared" ca="1" si="54"/>
        <v>0</v>
      </c>
      <c r="CA49" s="134">
        <f t="shared" ca="1" si="54"/>
        <v>0</v>
      </c>
      <c r="CB49" s="134">
        <f t="shared" ca="1" si="54"/>
        <v>0</v>
      </c>
      <c r="CC49" s="134">
        <f t="shared" ca="1" si="54"/>
        <v>145.69999999999999</v>
      </c>
      <c r="CD49" s="134">
        <f t="shared" ca="1" si="54"/>
        <v>227.8000000000001</v>
      </c>
      <c r="CE49" s="134">
        <f t="shared" ca="1" si="54"/>
        <v>361.30000000000013</v>
      </c>
      <c r="CF49" s="134">
        <f t="shared" ca="1" si="54"/>
        <v>357.30000000000013</v>
      </c>
      <c r="CG49" s="134">
        <f t="shared" ca="1" si="54"/>
        <v>220.00000000000006</v>
      </c>
      <c r="CH49" s="134">
        <f t="shared" ca="1" si="54"/>
        <v>49.5</v>
      </c>
      <c r="CI49" s="134">
        <f t="shared" ca="1" si="54"/>
        <v>1.3000000000000007</v>
      </c>
      <c r="CJ49" s="134">
        <f t="shared" ca="1" si="54"/>
        <v>0</v>
      </c>
      <c r="CL49" s="132">
        <f t="shared" si="49"/>
        <v>2018</v>
      </c>
      <c r="CM49" s="134">
        <f t="shared" ca="1" si="41"/>
        <v>0</v>
      </c>
      <c r="CN49" s="134">
        <f t="shared" ca="1" si="55"/>
        <v>0.5</v>
      </c>
      <c r="CO49" s="134">
        <f t="shared" ca="1" si="55"/>
        <v>0</v>
      </c>
      <c r="CP49" s="134">
        <f t="shared" ca="1" si="55"/>
        <v>1.5</v>
      </c>
      <c r="CQ49" s="134">
        <f t="shared" ca="1" si="55"/>
        <v>200.8</v>
      </c>
      <c r="CR49" s="134">
        <f t="shared" ca="1" si="55"/>
        <v>287.80000000000007</v>
      </c>
      <c r="CS49" s="134">
        <f t="shared" ca="1" si="55"/>
        <v>423.30000000000013</v>
      </c>
      <c r="CT49" s="134">
        <f t="shared" ca="1" si="55"/>
        <v>419.30000000000013</v>
      </c>
      <c r="CU49" s="134">
        <f t="shared" ca="1" si="55"/>
        <v>279.80000000000007</v>
      </c>
      <c r="CV49" s="134">
        <f t="shared" ca="1" si="55"/>
        <v>71.199999999999989</v>
      </c>
      <c r="CW49" s="134">
        <f t="shared" ca="1" si="55"/>
        <v>3.3000000000000007</v>
      </c>
      <c r="CX49" s="134">
        <f t="shared" ca="1" si="55"/>
        <v>0</v>
      </c>
      <c r="DA49" s="134"/>
      <c r="DB49" s="134"/>
      <c r="DC49" s="134"/>
      <c r="DD49" s="134"/>
      <c r="DE49" s="134"/>
      <c r="DF49" s="134"/>
      <c r="DG49" s="134"/>
      <c r="DH49" s="134"/>
      <c r="DI49" s="134"/>
      <c r="DJ49" s="134"/>
      <c r="DK49" s="134"/>
      <c r="DL49" s="134"/>
    </row>
    <row r="50" spans="1:116" x14ac:dyDescent="0.2">
      <c r="A50" s="132">
        <v>2005</v>
      </c>
      <c r="B50" s="144">
        <v>1</v>
      </c>
      <c r="C50" s="144">
        <v>-4.9322580645161294</v>
      </c>
      <c r="D50" s="134">
        <v>772.89999999999975</v>
      </c>
      <c r="E50" s="134">
        <v>0</v>
      </c>
      <c r="F50" s="134">
        <v>710.89999999999975</v>
      </c>
      <c r="G50" s="134">
        <v>0</v>
      </c>
      <c r="H50" s="134">
        <v>648.89999999999986</v>
      </c>
      <c r="I50" s="134">
        <v>0</v>
      </c>
      <c r="J50" s="134">
        <v>586.9</v>
      </c>
      <c r="K50" s="134">
        <v>0</v>
      </c>
      <c r="L50" s="134">
        <v>524.90000000000009</v>
      </c>
      <c r="M50" s="134">
        <v>0</v>
      </c>
      <c r="N50" s="134">
        <v>463.40000000000009</v>
      </c>
      <c r="O50" s="134">
        <v>0.5</v>
      </c>
      <c r="P50" s="134"/>
      <c r="Q50" s="134"/>
      <c r="R50" s="134"/>
      <c r="T50" s="132">
        <f t="shared" si="44"/>
        <v>2019</v>
      </c>
      <c r="U50" s="134">
        <f t="shared" ca="1" si="31"/>
        <v>0</v>
      </c>
      <c r="V50" s="134">
        <f t="shared" ca="1" si="50"/>
        <v>0</v>
      </c>
      <c r="W50" s="134">
        <f t="shared" ca="1" si="50"/>
        <v>0</v>
      </c>
      <c r="X50" s="134">
        <f t="shared" ca="1" si="50"/>
        <v>0</v>
      </c>
      <c r="Y50" s="134">
        <f t="shared" ca="1" si="50"/>
        <v>0</v>
      </c>
      <c r="Z50" s="134">
        <f t="shared" ca="1" si="50"/>
        <v>19.8</v>
      </c>
      <c r="AA50" s="134">
        <f t="shared" ca="1" si="50"/>
        <v>107.29999999999998</v>
      </c>
      <c r="AB50" s="134">
        <f t="shared" ca="1" si="50"/>
        <v>52.899999999999991</v>
      </c>
      <c r="AC50" s="134">
        <f t="shared" ca="1" si="50"/>
        <v>15.200000000000003</v>
      </c>
      <c r="AD50" s="134">
        <f t="shared" ca="1" si="50"/>
        <v>2.8000000000000007</v>
      </c>
      <c r="AE50" s="134">
        <f t="shared" ca="1" si="50"/>
        <v>0</v>
      </c>
      <c r="AF50" s="134">
        <f t="shared" ca="1" si="50"/>
        <v>0</v>
      </c>
      <c r="AH50" s="132">
        <f t="shared" si="45"/>
        <v>2019</v>
      </c>
      <c r="AI50" s="134">
        <f t="shared" ca="1" si="33"/>
        <v>0</v>
      </c>
      <c r="AJ50" s="134">
        <f t="shared" ca="1" si="51"/>
        <v>0</v>
      </c>
      <c r="AK50" s="134">
        <f t="shared" ca="1" si="51"/>
        <v>0</v>
      </c>
      <c r="AL50" s="134">
        <f t="shared" ca="1" si="51"/>
        <v>0</v>
      </c>
      <c r="AM50" s="134">
        <f t="shared" ca="1" si="51"/>
        <v>2.3000000000000007</v>
      </c>
      <c r="AN50" s="134">
        <f t="shared" ca="1" si="51"/>
        <v>39.900000000000006</v>
      </c>
      <c r="AO50" s="134">
        <f t="shared" ca="1" si="51"/>
        <v>168.10000000000002</v>
      </c>
      <c r="AP50" s="134">
        <f t="shared" ca="1" si="51"/>
        <v>107.09999999999997</v>
      </c>
      <c r="AQ50" s="134">
        <f t="shared" ca="1" si="51"/>
        <v>38.200000000000003</v>
      </c>
      <c r="AR50" s="134">
        <f t="shared" ca="1" si="51"/>
        <v>4.8000000000000007</v>
      </c>
      <c r="AS50" s="134">
        <f t="shared" ca="1" si="51"/>
        <v>0</v>
      </c>
      <c r="AT50" s="134">
        <f t="shared" ca="1" si="51"/>
        <v>0</v>
      </c>
      <c r="AU50" s="296">
        <f t="shared" ca="1" si="43"/>
        <v>360.4</v>
      </c>
      <c r="AV50" s="132">
        <f t="shared" si="46"/>
        <v>2019</v>
      </c>
      <c r="AW50" s="134">
        <f t="shared" ca="1" si="35"/>
        <v>0</v>
      </c>
      <c r="AX50" s="134">
        <f t="shared" ca="1" si="52"/>
        <v>0</v>
      </c>
      <c r="AY50" s="134">
        <f t="shared" ca="1" si="52"/>
        <v>0</v>
      </c>
      <c r="AZ50" s="134">
        <f t="shared" ca="1" si="52"/>
        <v>0</v>
      </c>
      <c r="BA50" s="134">
        <f t="shared" ca="1" si="52"/>
        <v>11.700000000000003</v>
      </c>
      <c r="BB50" s="134">
        <f t="shared" ca="1" si="52"/>
        <v>74.600000000000009</v>
      </c>
      <c r="BC50" s="134">
        <f t="shared" ca="1" si="52"/>
        <v>230.10000000000005</v>
      </c>
      <c r="BD50" s="134">
        <f t="shared" ca="1" si="52"/>
        <v>167.90000000000006</v>
      </c>
      <c r="BE50" s="134">
        <f t="shared" ca="1" si="52"/>
        <v>78.699999999999989</v>
      </c>
      <c r="BF50" s="134">
        <f t="shared" ca="1" si="52"/>
        <v>6.8000000000000007</v>
      </c>
      <c r="BG50" s="134">
        <f t="shared" ca="1" si="52"/>
        <v>0</v>
      </c>
      <c r="BH50" s="134">
        <f t="shared" ca="1" si="52"/>
        <v>0</v>
      </c>
      <c r="BJ50" s="132">
        <f t="shared" si="47"/>
        <v>2019</v>
      </c>
      <c r="BK50" s="134">
        <f t="shared" ca="1" si="37"/>
        <v>0</v>
      </c>
      <c r="BL50" s="134">
        <f t="shared" ca="1" si="53"/>
        <v>0</v>
      </c>
      <c r="BM50" s="134">
        <f t="shared" ca="1" si="53"/>
        <v>0</v>
      </c>
      <c r="BN50" s="134">
        <f t="shared" ca="1" si="53"/>
        <v>0</v>
      </c>
      <c r="BO50" s="134">
        <f t="shared" ca="1" si="53"/>
        <v>32.300000000000004</v>
      </c>
      <c r="BP50" s="134">
        <f t="shared" ca="1" si="53"/>
        <v>125.69999999999999</v>
      </c>
      <c r="BQ50" s="134">
        <f t="shared" ca="1" si="53"/>
        <v>292.10000000000008</v>
      </c>
      <c r="BR50" s="134">
        <f t="shared" ca="1" si="53"/>
        <v>229.90000000000009</v>
      </c>
      <c r="BS50" s="134">
        <f t="shared" ca="1" si="53"/>
        <v>137</v>
      </c>
      <c r="BT50" s="134">
        <f t="shared" ca="1" si="53"/>
        <v>11.400000000000002</v>
      </c>
      <c r="BU50" s="134">
        <f t="shared" ca="1" si="53"/>
        <v>0</v>
      </c>
      <c r="BV50" s="134">
        <f t="shared" ca="1" si="53"/>
        <v>0</v>
      </c>
      <c r="BX50" s="132">
        <f t="shared" si="48"/>
        <v>2019</v>
      </c>
      <c r="BY50" s="134">
        <f t="shared" ca="1" si="39"/>
        <v>0</v>
      </c>
      <c r="BZ50" s="134">
        <f t="shared" ca="1" si="54"/>
        <v>0</v>
      </c>
      <c r="CA50" s="134">
        <f t="shared" ca="1" si="54"/>
        <v>0</v>
      </c>
      <c r="CB50" s="134">
        <f t="shared" ca="1" si="54"/>
        <v>3.8000000000000007</v>
      </c>
      <c r="CC50" s="134">
        <f t="shared" ca="1" si="54"/>
        <v>58.099999999999994</v>
      </c>
      <c r="CD50" s="134">
        <f t="shared" ca="1" si="54"/>
        <v>183.7</v>
      </c>
      <c r="CE50" s="134">
        <f t="shared" ca="1" si="54"/>
        <v>354.10000000000008</v>
      </c>
      <c r="CF50" s="134">
        <f t="shared" ca="1" si="54"/>
        <v>291.90000000000015</v>
      </c>
      <c r="CG50" s="134">
        <f t="shared" ca="1" si="54"/>
        <v>197.00000000000006</v>
      </c>
      <c r="CH50" s="134">
        <f t="shared" ca="1" si="54"/>
        <v>26.800000000000004</v>
      </c>
      <c r="CI50" s="134">
        <f t="shared" ca="1" si="54"/>
        <v>0</v>
      </c>
      <c r="CJ50" s="134">
        <f t="shared" ca="1" si="54"/>
        <v>0</v>
      </c>
      <c r="CL50" s="132">
        <f t="shared" si="49"/>
        <v>2019</v>
      </c>
      <c r="CM50" s="134">
        <f t="shared" ca="1" si="41"/>
        <v>0</v>
      </c>
      <c r="CN50" s="134">
        <f t="shared" ca="1" si="55"/>
        <v>0</v>
      </c>
      <c r="CO50" s="134">
        <f t="shared" ca="1" si="55"/>
        <v>0</v>
      </c>
      <c r="CP50" s="134">
        <f t="shared" ca="1" si="55"/>
        <v>9.9000000000000021</v>
      </c>
      <c r="CQ50" s="134">
        <f t="shared" ca="1" si="55"/>
        <v>93.299999999999983</v>
      </c>
      <c r="CR50" s="134">
        <f t="shared" ca="1" si="55"/>
        <v>243.50000000000003</v>
      </c>
      <c r="CS50" s="134">
        <f t="shared" ca="1" si="55"/>
        <v>416.1</v>
      </c>
      <c r="CT50" s="134">
        <f t="shared" ca="1" si="55"/>
        <v>353.90000000000015</v>
      </c>
      <c r="CU50" s="134">
        <f t="shared" ca="1" si="55"/>
        <v>257.00000000000006</v>
      </c>
      <c r="CV50" s="134">
        <f t="shared" ca="1" si="55"/>
        <v>59.299999999999983</v>
      </c>
      <c r="CW50" s="134">
        <f t="shared" ca="1" si="55"/>
        <v>0</v>
      </c>
      <c r="CX50" s="134">
        <f t="shared" ca="1" si="55"/>
        <v>0</v>
      </c>
      <c r="DA50" s="134"/>
      <c r="DB50" s="134"/>
      <c r="DC50" s="134"/>
      <c r="DD50" s="134"/>
      <c r="DE50" s="134"/>
      <c r="DF50" s="134"/>
      <c r="DG50" s="134"/>
      <c r="DH50" s="134"/>
      <c r="DI50" s="134"/>
      <c r="DJ50" s="134"/>
      <c r="DK50" s="134"/>
      <c r="DL50" s="134"/>
    </row>
    <row r="51" spans="1:116" x14ac:dyDescent="0.2">
      <c r="A51" s="132">
        <v>2005</v>
      </c>
      <c r="B51" s="144">
        <v>2</v>
      </c>
      <c r="C51" s="144">
        <v>-2.4214285714285708</v>
      </c>
      <c r="D51" s="134">
        <v>627.79999999999995</v>
      </c>
      <c r="E51" s="134">
        <v>0</v>
      </c>
      <c r="F51" s="134">
        <v>571.80000000000007</v>
      </c>
      <c r="G51" s="134">
        <v>0</v>
      </c>
      <c r="H51" s="134">
        <v>515.80000000000018</v>
      </c>
      <c r="I51" s="134">
        <v>0</v>
      </c>
      <c r="J51" s="134">
        <v>459.80000000000013</v>
      </c>
      <c r="K51" s="134">
        <v>0</v>
      </c>
      <c r="L51" s="134">
        <v>403.80000000000007</v>
      </c>
      <c r="M51" s="134">
        <v>0</v>
      </c>
      <c r="N51" s="134">
        <v>347.80000000000013</v>
      </c>
      <c r="O51" s="134">
        <v>0</v>
      </c>
      <c r="P51" s="134"/>
      <c r="Q51" s="134"/>
      <c r="R51" s="134"/>
      <c r="T51" s="132">
        <f t="shared" si="44"/>
        <v>2020</v>
      </c>
      <c r="U51" s="134">
        <f t="shared" ca="1" si="31"/>
        <v>0</v>
      </c>
      <c r="V51" s="134">
        <f t="shared" ca="1" si="50"/>
        <v>0</v>
      </c>
      <c r="W51" s="134">
        <f t="shared" ca="1" si="50"/>
        <v>0</v>
      </c>
      <c r="X51" s="134">
        <f t="shared" ca="1" si="50"/>
        <v>0</v>
      </c>
      <c r="Y51" s="134">
        <f t="shared" ca="1" si="50"/>
        <v>17.800000000000004</v>
      </c>
      <c r="Z51" s="134">
        <f t="shared" ca="1" si="50"/>
        <v>53.899999999999991</v>
      </c>
      <c r="AA51" s="134">
        <f t="shared" ca="1" si="50"/>
        <v>153.60000000000002</v>
      </c>
      <c r="AB51" s="134">
        <f t="shared" ca="1" si="50"/>
        <v>85.899999999999977</v>
      </c>
      <c r="AC51" s="134">
        <f t="shared" ca="1" si="50"/>
        <v>21.600000000000005</v>
      </c>
      <c r="AD51" s="134">
        <f t="shared" ca="1" si="50"/>
        <v>0</v>
      </c>
      <c r="AE51" s="134">
        <f t="shared" ca="1" si="50"/>
        <v>0</v>
      </c>
      <c r="AF51" s="134">
        <f t="shared" ca="1" si="50"/>
        <v>0</v>
      </c>
      <c r="AH51" s="132">
        <f t="shared" si="45"/>
        <v>2020</v>
      </c>
      <c r="AI51" s="134">
        <f t="shared" ca="1" si="33"/>
        <v>0</v>
      </c>
      <c r="AJ51" s="134">
        <f t="shared" ca="1" si="51"/>
        <v>0</v>
      </c>
      <c r="AK51" s="134">
        <f t="shared" ca="1" si="51"/>
        <v>0</v>
      </c>
      <c r="AL51" s="134">
        <f t="shared" ca="1" si="51"/>
        <v>0</v>
      </c>
      <c r="AM51" s="134">
        <f t="shared" ca="1" si="51"/>
        <v>31.600000000000005</v>
      </c>
      <c r="AN51" s="134">
        <f t="shared" ca="1" si="51"/>
        <v>94.59999999999998</v>
      </c>
      <c r="AO51" s="134">
        <f t="shared" ca="1" si="51"/>
        <v>215.60000000000002</v>
      </c>
      <c r="AP51" s="134">
        <f t="shared" ca="1" si="51"/>
        <v>142.9</v>
      </c>
      <c r="AQ51" s="134">
        <f t="shared" ca="1" si="51"/>
        <v>43.5</v>
      </c>
      <c r="AR51" s="134">
        <f t="shared" ca="1" si="51"/>
        <v>1.5</v>
      </c>
      <c r="AS51" s="134">
        <f t="shared" ca="1" si="51"/>
        <v>0.80000000000000071</v>
      </c>
      <c r="AT51" s="134">
        <f t="shared" ca="1" si="51"/>
        <v>0</v>
      </c>
      <c r="AU51" s="296">
        <f t="shared" ca="1" si="43"/>
        <v>530.5</v>
      </c>
      <c r="AV51" s="132">
        <f t="shared" si="46"/>
        <v>2020</v>
      </c>
      <c r="AW51" s="134">
        <f t="shared" ca="1" si="35"/>
        <v>0</v>
      </c>
      <c r="AX51" s="134">
        <f t="shared" ca="1" si="52"/>
        <v>0</v>
      </c>
      <c r="AY51" s="134">
        <f t="shared" ca="1" si="52"/>
        <v>0</v>
      </c>
      <c r="AZ51" s="134">
        <f t="shared" ca="1" si="52"/>
        <v>0</v>
      </c>
      <c r="BA51" s="134">
        <f t="shared" ca="1" si="52"/>
        <v>45.599999999999994</v>
      </c>
      <c r="BB51" s="134">
        <f t="shared" ca="1" si="52"/>
        <v>142</v>
      </c>
      <c r="BC51" s="134">
        <f t="shared" ca="1" si="52"/>
        <v>277.60000000000008</v>
      </c>
      <c r="BD51" s="134">
        <f t="shared" ca="1" si="52"/>
        <v>204.70000000000002</v>
      </c>
      <c r="BE51" s="134">
        <f t="shared" ca="1" si="52"/>
        <v>73.099999999999994</v>
      </c>
      <c r="BF51" s="134">
        <f t="shared" ca="1" si="52"/>
        <v>5.8000000000000007</v>
      </c>
      <c r="BG51" s="134">
        <f t="shared" ca="1" si="52"/>
        <v>3.1000000000000014</v>
      </c>
      <c r="BH51" s="134">
        <f t="shared" ca="1" si="52"/>
        <v>0</v>
      </c>
      <c r="BJ51" s="132">
        <f t="shared" si="47"/>
        <v>2020</v>
      </c>
      <c r="BK51" s="134">
        <f t="shared" ca="1" si="37"/>
        <v>0</v>
      </c>
      <c r="BL51" s="134">
        <f t="shared" ca="1" si="53"/>
        <v>0</v>
      </c>
      <c r="BM51" s="134">
        <f t="shared" ca="1" si="53"/>
        <v>0</v>
      </c>
      <c r="BN51" s="134">
        <f t="shared" ca="1" si="53"/>
        <v>0</v>
      </c>
      <c r="BO51" s="134">
        <f t="shared" ca="1" si="53"/>
        <v>66.699999999999989</v>
      </c>
      <c r="BP51" s="134">
        <f t="shared" ca="1" si="53"/>
        <v>195.3</v>
      </c>
      <c r="BQ51" s="134">
        <f t="shared" ca="1" si="53"/>
        <v>339.60000000000008</v>
      </c>
      <c r="BR51" s="134">
        <f t="shared" ca="1" si="53"/>
        <v>266.7000000000001</v>
      </c>
      <c r="BS51" s="134">
        <f t="shared" ca="1" si="53"/>
        <v>116.29999999999997</v>
      </c>
      <c r="BT51" s="134">
        <f t="shared" ca="1" si="53"/>
        <v>12.700000000000003</v>
      </c>
      <c r="BU51" s="134">
        <f t="shared" ca="1" si="53"/>
        <v>13.600000000000001</v>
      </c>
      <c r="BV51" s="134">
        <f t="shared" ca="1" si="53"/>
        <v>0</v>
      </c>
      <c r="BX51" s="132">
        <f t="shared" si="48"/>
        <v>2020</v>
      </c>
      <c r="BY51" s="134">
        <f t="shared" ca="1" si="39"/>
        <v>0</v>
      </c>
      <c r="BZ51" s="134">
        <f t="shared" ca="1" si="54"/>
        <v>0</v>
      </c>
      <c r="CA51" s="134">
        <f t="shared" ca="1" si="54"/>
        <v>1</v>
      </c>
      <c r="CB51" s="134">
        <f t="shared" ca="1" si="54"/>
        <v>1.5</v>
      </c>
      <c r="CC51" s="134">
        <f t="shared" ca="1" si="54"/>
        <v>90.8</v>
      </c>
      <c r="CD51" s="134">
        <f t="shared" ca="1" si="54"/>
        <v>254.40000000000003</v>
      </c>
      <c r="CE51" s="134">
        <f t="shared" ca="1" si="54"/>
        <v>401.60000000000008</v>
      </c>
      <c r="CF51" s="134">
        <f t="shared" ca="1" si="54"/>
        <v>328.7000000000001</v>
      </c>
      <c r="CG51" s="134">
        <f t="shared" ca="1" si="54"/>
        <v>171.4</v>
      </c>
      <c r="CH51" s="134">
        <f t="shared" ca="1" si="54"/>
        <v>28.800000000000004</v>
      </c>
      <c r="CI51" s="134">
        <f t="shared" ca="1" si="54"/>
        <v>28.400000000000002</v>
      </c>
      <c r="CJ51" s="134">
        <f t="shared" ca="1" si="54"/>
        <v>0</v>
      </c>
      <c r="CL51" s="132">
        <f t="shared" si="49"/>
        <v>2020</v>
      </c>
      <c r="CM51" s="134">
        <f t="shared" ca="1" si="41"/>
        <v>0</v>
      </c>
      <c r="CN51" s="134">
        <f t="shared" ca="1" si="55"/>
        <v>0</v>
      </c>
      <c r="CO51" s="134">
        <f t="shared" ca="1" si="55"/>
        <v>5</v>
      </c>
      <c r="CP51" s="134">
        <f t="shared" ca="1" si="55"/>
        <v>5.9000000000000021</v>
      </c>
      <c r="CQ51" s="134">
        <f t="shared" ca="1" si="55"/>
        <v>124.09999999999998</v>
      </c>
      <c r="CR51" s="134">
        <f t="shared" ca="1" si="55"/>
        <v>314.40000000000009</v>
      </c>
      <c r="CS51" s="134">
        <f t="shared" ca="1" si="55"/>
        <v>463.60000000000008</v>
      </c>
      <c r="CT51" s="134">
        <f t="shared" ca="1" si="55"/>
        <v>390.7000000000001</v>
      </c>
      <c r="CU51" s="134">
        <f t="shared" ca="1" si="55"/>
        <v>231.20000000000007</v>
      </c>
      <c r="CV51" s="134">
        <f t="shared" ca="1" si="55"/>
        <v>57.399999999999991</v>
      </c>
      <c r="CW51" s="134">
        <f t="shared" ca="1" si="55"/>
        <v>45.400000000000006</v>
      </c>
      <c r="CX51" s="134">
        <f t="shared" ca="1" si="55"/>
        <v>0</v>
      </c>
      <c r="DA51" s="134"/>
      <c r="DB51" s="134"/>
      <c r="DC51" s="134"/>
      <c r="DD51" s="134"/>
      <c r="DE51" s="134"/>
      <c r="DF51" s="134"/>
      <c r="DG51" s="134"/>
      <c r="DH51" s="134"/>
      <c r="DI51" s="134"/>
      <c r="DJ51" s="134"/>
      <c r="DK51" s="134"/>
      <c r="DL51" s="134"/>
    </row>
    <row r="52" spans="1:116" ht="15" x14ac:dyDescent="0.25">
      <c r="A52" s="132">
        <v>2005</v>
      </c>
      <c r="B52" s="144">
        <v>3</v>
      </c>
      <c r="C52" s="144">
        <v>-0.48064516129032275</v>
      </c>
      <c r="D52" s="134">
        <v>634.9000000000002</v>
      </c>
      <c r="E52" s="134">
        <v>0</v>
      </c>
      <c r="F52" s="134">
        <v>572.90000000000009</v>
      </c>
      <c r="G52" s="134">
        <v>0</v>
      </c>
      <c r="H52" s="134">
        <v>510.9</v>
      </c>
      <c r="I52" s="134">
        <v>0</v>
      </c>
      <c r="J52" s="134">
        <v>448.90000000000003</v>
      </c>
      <c r="K52" s="134">
        <v>0</v>
      </c>
      <c r="L52" s="134">
        <v>386.9</v>
      </c>
      <c r="M52" s="134">
        <v>0</v>
      </c>
      <c r="N52" s="134">
        <v>325.40000000000003</v>
      </c>
      <c r="O52" s="134">
        <v>0.5</v>
      </c>
      <c r="P52" s="134"/>
      <c r="Q52" s="134"/>
      <c r="R52" s="134"/>
      <c r="T52" s="138">
        <f>T51+1</f>
        <v>2021</v>
      </c>
      <c r="U52" s="156">
        <f ca="1">MAX(TREND(U$32:U$51,T$32:T$51,T52),0)</f>
        <v>0</v>
      </c>
      <c r="V52" s="156">
        <f ca="1">MAX(TREND(V$32:V$51,T$32:T$51,T52),0)</f>
        <v>0</v>
      </c>
      <c r="W52" s="156">
        <f ca="1">MAX(TREND(W$32:W$51,T$32:T$51,T52),0)</f>
        <v>0</v>
      </c>
      <c r="X52" s="156">
        <f ca="1">MAX(TREND(X$32:X$51,T$32:T$51,T52),0)</f>
        <v>0</v>
      </c>
      <c r="Y52" s="156">
        <f ca="1">MAX(TREND(Y$32:Y$51,T$32:T$51,T52),0)</f>
        <v>15.392105263157873</v>
      </c>
      <c r="Z52" s="156">
        <f ca="1">MAX(TREND(Z$32:Z$51,T$32:T$51,T52),0)</f>
        <v>36.113157894736787</v>
      </c>
      <c r="AA52" s="156">
        <f ca="1">MAX(TREND(AA$32:AA$51,T$32:T$51,T52),0)</f>
        <v>110.66421052631586</v>
      </c>
      <c r="AB52" s="156">
        <f ca="1">MAX(TREND(AB$32:AB$51,T$32:T$51,T52),0)</f>
        <v>68.702631578947148</v>
      </c>
      <c r="AC52" s="156">
        <f ca="1">MAX(TREND(AC$32:AC$51,T$32:T$51,T52),0)</f>
        <v>31.78947368421052</v>
      </c>
      <c r="AD52" s="156">
        <f ca="1">MAX(TREND(AD$32:AD$51,T$32:T$51,T52),0)</f>
        <v>2.1810526315789458</v>
      </c>
      <c r="AE52" s="156">
        <f ca="1">MAX(TREND(AE$32:AE$51,T$32:T$51,T52),0)</f>
        <v>0</v>
      </c>
      <c r="AF52" s="156">
        <f ca="1">MAX(TREND(AF$32:AF$51,T$32:T$51,T52),0)</f>
        <v>0</v>
      </c>
      <c r="AH52" s="138">
        <f>AH51+1</f>
        <v>2021</v>
      </c>
      <c r="AI52" s="156">
        <f ca="1">MAX(TREND(AI$32:AI$51,AH$32:AH$51,AH52),0)</f>
        <v>0</v>
      </c>
      <c r="AJ52" s="156">
        <f ca="1">MAX(TREND(AJ$32:AJ$51,AH$32:AH$51,AH52),0)</f>
        <v>0</v>
      </c>
      <c r="AK52" s="156">
        <f ca="1">MAX(TREND(AK$32:AK$51,AH$32:AH$51,AH52),0)</f>
        <v>3.6842105263157787E-2</v>
      </c>
      <c r="AL52" s="156">
        <f ca="1">MAX(TREND(AL$32:AL$51,AH$32:AH$51,AH52),0)</f>
        <v>0</v>
      </c>
      <c r="AM52" s="156">
        <f ca="1">MAX(TREND(AM$32:AM$51,AH$32:AH$51,AH52),0)</f>
        <v>29.854210526315683</v>
      </c>
      <c r="AN52" s="156">
        <f ca="1">MAX(TREND(AN$32:AN$51,AH$32:AH$51,AH52),0)</f>
        <v>67.71157894736848</v>
      </c>
      <c r="AO52" s="156">
        <f ca="1">MAX(TREND(AO$32:AO$51,AH$32:AH$51,AH52),0)</f>
        <v>168.46052631578914</v>
      </c>
      <c r="AP52" s="156">
        <f ca="1">MAX(TREND(AP$32:AP$51,AH$32:AH$51,AH52),0)</f>
        <v>121.29736842105262</v>
      </c>
      <c r="AQ52" s="156">
        <f ca="1">MAX(TREND(AQ$32:AQ$51,AH$32:AH$51,AH52),0)</f>
        <v>55.833157894736814</v>
      </c>
      <c r="AR52" s="156">
        <f ca="1">MAX(TREND(AR$32:AR$51,AH$32:AH$51,AH52),0)</f>
        <v>5.7673684210526233</v>
      </c>
      <c r="AS52" s="156">
        <f ca="1">MAX(TREND(AS$32:AS$51,AH$32:AH$51,AH52),0)</f>
        <v>0.16000000000000014</v>
      </c>
      <c r="AT52" s="156">
        <f ca="1">MAX(TREND(AT$32:AT$51,AH$32:AH$51,AH52),0)</f>
        <v>0</v>
      </c>
      <c r="AU52" s="295">
        <f t="shared" ca="1" si="43"/>
        <v>449.12105263157861</v>
      </c>
      <c r="AV52" s="138">
        <f>AV51+1</f>
        <v>2021</v>
      </c>
      <c r="AW52" s="156">
        <f ca="1">MAX(TREND(AW$32:AW$51,AV$32:AV$51,AV52),0)</f>
        <v>0</v>
      </c>
      <c r="AX52" s="156">
        <f ca="1">MAX(TREND(AX$32:AX$51,AV$32:AV$51,AV52),0)</f>
        <v>0</v>
      </c>
      <c r="AY52" s="156">
        <f ca="1">MAX(TREND(AY$32:AY$51,AV$32:AV$51,AV52),0)</f>
        <v>0.19157894736842174</v>
      </c>
      <c r="AZ52" s="156">
        <f t="array" aca="1" ref="AZ52" ca="1">TREND(AZ$32:AZ$51,AV$32:AV$51,AV52)</f>
        <v>-0.71368421052636677</v>
      </c>
      <c r="BA52" s="156">
        <f ca="1">MAX(TREND(BA$32:BA$51,AV$32:AV$51,AV52),0)</f>
        <v>51.534736842105303</v>
      </c>
      <c r="BB52" s="156">
        <f ca="1">MAX(TREND(BB$32:BB$51,AV$32:AV$51,AV52),0)</f>
        <v>111.6726315789474</v>
      </c>
      <c r="BC52" s="156">
        <f ca="1">MAX(TREND(BC$32:BC$51,AV$32:AV$51,AV52),0)</f>
        <v>230.02473684210509</v>
      </c>
      <c r="BD52" s="156">
        <f ca="1">MAX(TREND(BD$32:BD$51,AV$32:AV$51,AV52),0)</f>
        <v>181.46842105263158</v>
      </c>
      <c r="BE52" s="156">
        <f ca="1">MAX(TREND(BE$32:BE$51,AV$32:AV$51,AV52),0)</f>
        <v>89.200000000000045</v>
      </c>
      <c r="BF52" s="156">
        <f ca="1">MAX(TREND(BF$32:BF$51,AV$32:AV$51,AV52),0)</f>
        <v>13.766842105263152</v>
      </c>
      <c r="BG52" s="156">
        <f ca="1">MAX(TREND(BG$32:BG$51,AV$32:AV$51,AV52),0)</f>
        <v>0.86842105263157521</v>
      </c>
      <c r="BH52" s="156">
        <f ca="1">MAX(TREND(BH$32:BH$51,AV$32:AV$51,AV52),0)</f>
        <v>0</v>
      </c>
      <c r="BJ52" s="138">
        <f>BJ51+1</f>
        <v>2021</v>
      </c>
      <c r="BK52" s="156">
        <f ca="1">MAX(TREND(BK$32:BK$51,BJ$32:BJ$51,BJ52),0)</f>
        <v>0</v>
      </c>
      <c r="BL52" s="156">
        <f ca="1">MAX(TREND(BL$32:BL$51,BJ$32:BJ$51,BJ52),0)</f>
        <v>4.5789473684210158E-2</v>
      </c>
      <c r="BM52" s="156">
        <f ca="1">MAX(TREND(BM$32:BM$51,BJ$32:BJ$51,BJ52),0)</f>
        <v>0.69578947368420785</v>
      </c>
      <c r="BN52" s="156">
        <f ca="1">MAX(TREND(BN$32:BN$51,BJ$32:BJ$51,BJ52),0)</f>
        <v>0.70947368421047941</v>
      </c>
      <c r="BO52" s="156">
        <f ca="1">MAX(TREND(BO$32:BO$51,BJ$32:BJ$51,BJ52),0)</f>
        <v>81.071052631579278</v>
      </c>
      <c r="BP52" s="156">
        <f ca="1">MAX(TREND(BP$32:BP$51,BJ$32:BJ$51,BJ52),0)</f>
        <v>165.23157894736823</v>
      </c>
      <c r="BQ52" s="156">
        <f ca="1">MAX(TREND(BQ$32:BQ$51,BJ$32:BJ$51,BJ52),0)</f>
        <v>292.14473684210498</v>
      </c>
      <c r="BR52" s="156">
        <f ca="1">MAX(TREND(BR$32:BR$51,BJ$32:BJ$51,BJ52),0)</f>
        <v>243.42105263157919</v>
      </c>
      <c r="BS52" s="156">
        <f ca="1">MAX(TREND(BS$32:BS$51,BJ$32:BJ$51,BJ52),0)</f>
        <v>134.96631578947367</v>
      </c>
      <c r="BT52" s="156">
        <f ca="1">MAX(TREND(BT$32:BT$51,BJ$32:BJ$51,BJ52),0)</f>
        <v>28.410526315789497</v>
      </c>
      <c r="BU52" s="156">
        <f ca="1">MAX(TREND(BU$32:BU$51,BJ$32:BJ$51,BJ52),0)</f>
        <v>3.3284210526315974</v>
      </c>
      <c r="BV52" s="156">
        <f ca="1">MAX(TREND(BV$32:BV$51,BJ$32:BJ$51,BJ52),0)</f>
        <v>0</v>
      </c>
      <c r="BX52" s="138">
        <f>BX51+1</f>
        <v>2021</v>
      </c>
      <c r="BY52" s="156">
        <f ca="1">MAX(TREND(BY$32:BY$51,BX$32:BX$51,BX52),0)</f>
        <v>2.1052631578946546E-2</v>
      </c>
      <c r="BZ52" s="156">
        <f ca="1">MAX(TREND(BZ$32:BZ$51,BX$32:BX$51,BX52),0)</f>
        <v>0.35105263157895195</v>
      </c>
      <c r="CA52" s="156">
        <f ca="1">MAX(TREND(CA$32:CA$51,BX$32:BX$51,BX52),0)</f>
        <v>1.6957894736842007</v>
      </c>
      <c r="CB52" s="156">
        <f ca="1">MAX(TREND(CB$32:CB$51,BX$32:BX$51,BX52),0)</f>
        <v>4.188421052631611</v>
      </c>
      <c r="CC52" s="156">
        <f ca="1">MAX(TREND(CC$32:CC$51,BX$32:BX$51,BX52),0)</f>
        <v>116.75052631578956</v>
      </c>
      <c r="CD52" s="156">
        <f ca="1">MAX(TREND(CD$32:CD$51,BX$32:BX$51,BX52),0)</f>
        <v>224.07842105263148</v>
      </c>
      <c r="CE52" s="156">
        <f ca="1">MAX(TREND(CE$32:CE$51,BX$32:BX$51,BX52),0)</f>
        <v>354.14473684210498</v>
      </c>
      <c r="CF52" s="156">
        <f ca="1">MAX(TREND(CF$32:CF$51,BX$32:BX$51,BX52),0)</f>
        <v>305.42105263157919</v>
      </c>
      <c r="CG52" s="156">
        <f ca="1">MAX(TREND(CG$32:CG$51,BX$32:BX$51,BX52),0)</f>
        <v>190.54263157894741</v>
      </c>
      <c r="CH52" s="156">
        <f ca="1">MAX(TREND(CH$32:CH$51,BX$32:BX$51,BX52),0)</f>
        <v>51.340526315789475</v>
      </c>
      <c r="CI52" s="156">
        <f ca="1">MAX(TREND(CI$32:CI$51,BX$32:BX$51,BX52),0)</f>
        <v>7.4810526315790185</v>
      </c>
      <c r="CJ52" s="156">
        <f ca="1">MAX(TREND(CJ$32:CJ$51,BX$32:BX$51,BX52),0)</f>
        <v>0</v>
      </c>
      <c r="CL52" s="138">
        <f>CL51+1</f>
        <v>2021</v>
      </c>
      <c r="CM52" s="156">
        <f ca="1">MAX(TREND(CM$32:CM$51,CL$32:CL$51,CL52),0)</f>
        <v>0.19789473684210179</v>
      </c>
      <c r="CN52" s="156">
        <f ca="1">MAX(TREND(CN$32:CN$51,CL$32:CL$51,CL52),0)</f>
        <v>0.7405263157894808</v>
      </c>
      <c r="CO52" s="156">
        <f ca="1">MAX(TREND(CO$32:CO$51,CL$32:CL$51,CL52),0)</f>
        <v>4.1547368421052582</v>
      </c>
      <c r="CP52" s="156">
        <f ca="1">MAX(TREND(CP$32:CP$51,CL$32:CL$51,CL52),0)</f>
        <v>11.753684210526444</v>
      </c>
      <c r="CQ52" s="156">
        <f ca="1">MAX(TREND(CQ$32:CQ$51,CL$32:CL$51,CL52),0)</f>
        <v>159.93789473684228</v>
      </c>
      <c r="CR52" s="156">
        <f ca="1">MAX(TREND(CR$32:CR$51,CL$32:CL$51,CL52),0)</f>
        <v>283.97000000000003</v>
      </c>
      <c r="CS52" s="156">
        <f ca="1">MAX(TREND(CS$32:CS$51,CL$32:CL$51,CL52),0)</f>
        <v>416.14473684210498</v>
      </c>
      <c r="CT52" s="156">
        <f ca="1">MAX(TREND(CT$32:CT$51,CL$32:CL$51,CL52),0)</f>
        <v>367.42105263157896</v>
      </c>
      <c r="CU52" s="156">
        <f ca="1">MAX(TREND(CU$32:CU$51,CL$32:CL$51,CL52),0)</f>
        <v>250.09368421052636</v>
      </c>
      <c r="CV52" s="156">
        <f ca="1">MAX(TREND(CV$32:CV$51,CL$32:CL$51,CL52),0)</f>
        <v>84.53578947368419</v>
      </c>
      <c r="CW52" s="156">
        <f ca="1">MAX(TREND(CW$32:CW$51,CL$32:CL$51,CL52),0)</f>
        <v>14.290526315789464</v>
      </c>
      <c r="CX52" s="156">
        <f ca="1">MAX(TREND(CX$32:CX$51,CL$32:CL$51,CL52),0)</f>
        <v>5.1052631578940577E-2</v>
      </c>
      <c r="CZ52" s="138"/>
      <c r="DA52" s="138"/>
      <c r="DB52" s="138"/>
      <c r="DC52" s="138"/>
      <c r="DD52" s="138"/>
      <c r="DE52" s="138"/>
      <c r="DF52" s="138"/>
      <c r="DG52" s="138"/>
      <c r="DH52" s="138"/>
      <c r="DI52" s="138"/>
      <c r="DJ52" s="138"/>
      <c r="DK52" s="138"/>
      <c r="DL52" s="138"/>
    </row>
    <row r="53" spans="1:116" ht="15" x14ac:dyDescent="0.25">
      <c r="A53" s="132">
        <v>2005</v>
      </c>
      <c r="B53" s="144">
        <v>4</v>
      </c>
      <c r="C53" s="144">
        <v>8.153333333333336</v>
      </c>
      <c r="D53" s="134">
        <v>355.39999999999986</v>
      </c>
      <c r="E53" s="134">
        <v>0</v>
      </c>
      <c r="F53" s="134">
        <v>295.39999999999992</v>
      </c>
      <c r="G53" s="134">
        <v>0</v>
      </c>
      <c r="H53" s="134">
        <v>236.19999999999993</v>
      </c>
      <c r="I53" s="134">
        <v>0.80000000000000071</v>
      </c>
      <c r="J53" s="134">
        <v>179.49999999999997</v>
      </c>
      <c r="K53" s="134">
        <v>4.1000000000000014</v>
      </c>
      <c r="L53" s="134">
        <v>127.00000000000003</v>
      </c>
      <c r="M53" s="134">
        <v>11.600000000000001</v>
      </c>
      <c r="N53" s="134">
        <v>78.400000000000006</v>
      </c>
      <c r="O53" s="134">
        <v>23.000000000000004</v>
      </c>
      <c r="P53" s="134"/>
      <c r="Q53" s="134"/>
      <c r="R53" s="134"/>
      <c r="T53" s="138">
        <f>T52+1</f>
        <v>2022</v>
      </c>
      <c r="U53" s="156">
        <f ca="1">MAX(TREND(U$32:U$51,T$32:T$51,T53),0)</f>
        <v>0</v>
      </c>
      <c r="V53" s="156">
        <f ca="1">MAX(TREND(V$32:V$51,T$32:T$51,T53),0)</f>
        <v>0</v>
      </c>
      <c r="W53" s="156">
        <f ca="1">MAX(TREND(W$32:W$51,T$32:T$51,T53),0)</f>
        <v>0</v>
      </c>
      <c r="X53" s="156">
        <f ca="1">MAX(TREND(X$32:X$51,T$32:T$51,T53),0)</f>
        <v>0</v>
      </c>
      <c r="Y53" s="156">
        <f ca="1">MAX(TREND(Y$32:Y$51,T$32:T$51,T53),0)</f>
        <v>15.909924812030113</v>
      </c>
      <c r="Z53" s="156">
        <f ca="1">MAX(TREND(Z$32:Z$51,T$32:T$51,T53),0)</f>
        <v>35.480601503759317</v>
      </c>
      <c r="AA53" s="156">
        <f ca="1">MAX(TREND(AA$32:AA$51,T$32:T$51,T53),0)</f>
        <v>112.06270676691702</v>
      </c>
      <c r="AB53" s="156">
        <f ca="1">MAX(TREND(AB$32:AB$51,T$32:T$51,T53),0)</f>
        <v>68.008120300751671</v>
      </c>
      <c r="AC53" s="156">
        <f ca="1">MAX(TREND(AC$32:AC$51,T$32:T$51,T53),0)</f>
        <v>32.29609022556383</v>
      </c>
      <c r="AD53" s="156">
        <f ca="1">MAX(TREND(AD$32:AD$51,T$32:T$51,T53),0)</f>
        <v>2.1778195488721792</v>
      </c>
      <c r="AE53" s="156">
        <f ca="1">MAX(TREND(AE$32:AE$51,T$32:T$51,T53),0)</f>
        <v>0</v>
      </c>
      <c r="AF53" s="156">
        <f ca="1">MAX(TREND(AF$32:AF$51,T$32:T$51,T53),0)</f>
        <v>0</v>
      </c>
      <c r="AH53" s="138">
        <f>AH52+1</f>
        <v>2022</v>
      </c>
      <c r="AI53" s="156">
        <f ca="1">MAX(TREND(AI$32:AI$51,AH$32:AH$51,AH53),0)</f>
        <v>0</v>
      </c>
      <c r="AJ53" s="156">
        <f ca="1">MAX(TREND(AJ$32:AJ$51,AH$32:AH$51,AH53),0)</f>
        <v>0</v>
      </c>
      <c r="AK53" s="156">
        <f ca="1">MAX(TREND(AK$32:AK$51,AH$32:AH$51,AH53),0)</f>
        <v>3.7969924812029987E-2</v>
      </c>
      <c r="AL53" s="156">
        <f ca="1">MAX(TREND(AL$32:AL$51,AH$32:AH$51,AH53),0)</f>
        <v>0</v>
      </c>
      <c r="AM53" s="156">
        <f ca="1">MAX(TREND(AM$32:AM$51,AH$32:AH$51,AH53),0)</f>
        <v>30.795563909774501</v>
      </c>
      <c r="AN53" s="156">
        <f ca="1">MAX(TREND(AN$32:AN$51,AH$32:AH$51,AH53),0)</f>
        <v>66.928872180450981</v>
      </c>
      <c r="AO53" s="156">
        <f ca="1">MAX(TREND(AO$32:AO$51,AH$32:AH$51,AH53),0)</f>
        <v>170.18962406015044</v>
      </c>
      <c r="AP53" s="156">
        <f ca="1">MAX(TREND(AP$32:AP$51,AH$32:AH$51,AH53),0)</f>
        <v>120.61330827067673</v>
      </c>
      <c r="AQ53" s="156">
        <f ca="1">MAX(TREND(AQ$32:AQ$51,AH$32:AH$51,AH53),0)</f>
        <v>56.273458646616518</v>
      </c>
      <c r="AR53" s="156">
        <f ca="1">MAX(TREND(AR$32:AR$51,AH$32:AH$51,AH53),0)</f>
        <v>5.6933082706766811</v>
      </c>
      <c r="AS53" s="156">
        <f ca="1">MAX(TREND(AS$32:AS$51,AH$32:AH$51,AH53),0)</f>
        <v>0.17142857142857082</v>
      </c>
      <c r="AT53" s="156">
        <f ca="1">MAX(TREND(AT$32:AT$51,AH$32:AH$51,AH53),0)</f>
        <v>0</v>
      </c>
      <c r="AU53" s="295">
        <f t="shared" ca="1" si="43"/>
        <v>450.70353383458644</v>
      </c>
      <c r="AV53" s="138">
        <f>AV52+1</f>
        <v>2022</v>
      </c>
      <c r="AW53" s="156">
        <f ca="1">MAX(TREND(AW$32:AW$51,AV$32:AV$51,AV53),0)</f>
        <v>0</v>
      </c>
      <c r="AX53" s="156">
        <f ca="1">MAX(TREND(AX$32:AX$51,AV$32:AV$51,AV53),0)</f>
        <v>0</v>
      </c>
      <c r="AY53" s="156">
        <f ca="1">MAX(TREND(AY$32:AY$51,AV$32:AV$51,AV53),0)</f>
        <v>0.19744360902255842</v>
      </c>
      <c r="AZ53" s="156">
        <f ca="1">MAX(TREND(AZ$32:AZ$51,AV$32:AV$51,AV53),0)</f>
        <v>0</v>
      </c>
      <c r="BA53" s="156">
        <f ca="1">MAX(TREND(BA$32:BA$51,AV$32:AV$51,AV53),0)</f>
        <v>52.986616541353214</v>
      </c>
      <c r="BB53" s="156">
        <f ca="1">MAX(TREND(BB$32:BB$51,AV$32:AV$51,AV53),0)</f>
        <v>110.8995488721805</v>
      </c>
      <c r="BC53" s="156">
        <f ca="1">MAX(TREND(BC$32:BC$51,AV$32:AV$51,AV53),0)</f>
        <v>231.80947368421039</v>
      </c>
      <c r="BD53" s="156">
        <f ca="1">MAX(TREND(BD$32:BD$51,AV$32:AV$51,AV53),0)</f>
        <v>180.80398496240605</v>
      </c>
      <c r="BE53" s="156">
        <f ca="1">MAX(TREND(BE$32:BE$51,AV$32:AV$51,AV53),0)</f>
        <v>89.375714285714309</v>
      </c>
      <c r="BF53" s="156">
        <f ca="1">MAX(TREND(BF$32:BF$51,AV$32:AV$51,AV53),0)</f>
        <v>13.702255639097729</v>
      </c>
      <c r="BG53" s="156">
        <f ca="1">MAX(TREND(BG$32:BG$51,AV$32:AV$51,AV53),0)</f>
        <v>0.92398496240600991</v>
      </c>
      <c r="BH53" s="156">
        <f ca="1">MAX(TREND(BH$32:BH$51,AV$32:AV$51,AV53),0)</f>
        <v>0</v>
      </c>
      <c r="BJ53" s="138">
        <f>BJ52+1</f>
        <v>2022</v>
      </c>
      <c r="BK53" s="156">
        <f ca="1">MAX(TREND(BK$32:BK$51,BJ$32:BJ$51,BJ53),0)</f>
        <v>0</v>
      </c>
      <c r="BL53" s="156">
        <f ca="1">MAX(TREND(BL$32:BL$51,BJ$32:BJ$51,BJ53),0)</f>
        <v>4.8721804511277611E-2</v>
      </c>
      <c r="BM53" s="156">
        <f ca="1">MAX(TREND(BM$32:BM$51,BJ$32:BJ$51,BJ53),0)</f>
        <v>0.7215789473684211</v>
      </c>
      <c r="BN53" s="156">
        <f ca="1">MAX(TREND(BN$32:BN$51,BJ$32:BJ$51,BJ53),0)</f>
        <v>0.10180451127826018</v>
      </c>
      <c r="BO53" s="156">
        <f ca="1">MAX(TREND(BO$32:BO$51,BJ$32:BJ$51,BJ53),0)</f>
        <v>83.000676691729495</v>
      </c>
      <c r="BP53" s="156">
        <f ca="1">MAX(TREND(BP$32:BP$51,BJ$32:BJ$51,BJ53),0)</f>
        <v>164.50887218045091</v>
      </c>
      <c r="BQ53" s="156">
        <f ca="1">MAX(TREND(BQ$32:BQ$51,BJ$32:BJ$51,BJ53),0)</f>
        <v>293.94661654135325</v>
      </c>
      <c r="BR53" s="156">
        <f ca="1">MAX(TREND(BR$32:BR$51,BJ$32:BJ$51,BJ53),0)</f>
        <v>242.76496240601523</v>
      </c>
      <c r="BS53" s="156">
        <f ca="1">MAX(TREND(BS$32:BS$51,BJ$32:BJ$51,BJ53),0)</f>
        <v>134.95691729323306</v>
      </c>
      <c r="BT53" s="156">
        <f ca="1">MAX(TREND(BT$32:BT$51,BJ$32:BJ$51,BJ53),0)</f>
        <v>28.476766917293247</v>
      </c>
      <c r="BU53" s="156">
        <f ca="1">MAX(TREND(BU$32:BU$51,BJ$32:BJ$51,BJ53),0)</f>
        <v>3.5025563909774746</v>
      </c>
      <c r="BV53" s="156">
        <f ca="1">MAX(TREND(BV$32:BV$51,BJ$32:BJ$51,BJ53),0)</f>
        <v>0</v>
      </c>
      <c r="BX53" s="138">
        <f>BX52+1</f>
        <v>2022</v>
      </c>
      <c r="BY53" s="156">
        <f ca="1">MAX(TREND(BY$32:BY$51,BX$32:BX$51,BX53),0)</f>
        <v>1.3533834586464621E-2</v>
      </c>
      <c r="BZ53" s="156">
        <f ca="1">MAX(TREND(BZ$32:BZ$51,BX$32:BX$51,BX53),0)</f>
        <v>0.37353383458646761</v>
      </c>
      <c r="CA53" s="156">
        <f ca="1">MAX(TREND(CA$32:CA$51,BX$32:BX$51,BX53),0)</f>
        <v>1.7301503759398429</v>
      </c>
      <c r="CB53" s="156">
        <f ca="1">MAX(TREND(CB$32:CB$51,BX$32:BX$51,BX53),0)</f>
        <v>3.2225563909773882</v>
      </c>
      <c r="CC53" s="156">
        <f ca="1">MAX(TREND(CC$32:CC$51,BX$32:BX$51,BX53),0)</f>
        <v>118.77819548872185</v>
      </c>
      <c r="CD53" s="156">
        <f ca="1">MAX(TREND(CD$32:CD$51,BX$32:BX$51,BX53),0)</f>
        <v>223.43112781954869</v>
      </c>
      <c r="CE53" s="156">
        <f ca="1">MAX(TREND(CE$32:CE$51,BX$32:BX$51,BX53),0)</f>
        <v>355.94661654135325</v>
      </c>
      <c r="CF53" s="156">
        <f ca="1">MAX(TREND(CF$32:CF$51,BX$32:BX$51,BX53),0)</f>
        <v>304.76496240601523</v>
      </c>
      <c r="CG53" s="156">
        <f ca="1">MAX(TREND(CG$32:CG$51,BX$32:BX$51,BX53),0)</f>
        <v>190.55097744360904</v>
      </c>
      <c r="CH53" s="156">
        <f ca="1">MAX(TREND(CH$32:CH$51,BX$32:BX$51,BX53),0)</f>
        <v>51.586766917293232</v>
      </c>
      <c r="CI53" s="156">
        <f ca="1">MAX(TREND(CI$32:CI$51,BX$32:BX$51,BX53),0)</f>
        <v>7.7435338345865148</v>
      </c>
      <c r="CJ53" s="156">
        <f ca="1">MAX(TREND(CJ$32:CJ$51,BX$32:BX$51,BX53),0)</f>
        <v>0</v>
      </c>
      <c r="CL53" s="138">
        <f>CL52+1</f>
        <v>2022</v>
      </c>
      <c r="CM53" s="156">
        <f ca="1">MAX(TREND(CM$32:CM$51,CL$32:CL$51,CL53),0)</f>
        <v>0.16578947368419961</v>
      </c>
      <c r="CN53" s="156">
        <f ca="1">MAX(TREND(CN$32:CN$51,CL$32:CL$51,CL53),0)</f>
        <v>0.78819548872181144</v>
      </c>
      <c r="CO53" s="156">
        <f ca="1">MAX(TREND(CO$32:CO$51,CL$32:CL$51,CL53),0)</f>
        <v>4.1880451127819569</v>
      </c>
      <c r="CP53" s="156">
        <f ca="1">MAX(TREND(CP$32:CP$51,CL$32:CL$51,CL53),0)</f>
        <v>10.324511278195587</v>
      </c>
      <c r="CQ53" s="156">
        <f ca="1">MAX(TREND(CQ$32:CQ$51,CL$32:CL$51,CL53),0)</f>
        <v>161.84007518797034</v>
      </c>
      <c r="CR53" s="156">
        <f ca="1">MAX(TREND(CR$32:CR$51,CL$32:CL$51,CL53),0)</f>
        <v>283.33428571428567</v>
      </c>
      <c r="CS53" s="156">
        <f ca="1">MAX(TREND(CS$32:CS$51,CL$32:CL$51,CL53),0)</f>
        <v>417.94661654135325</v>
      </c>
      <c r="CT53" s="156">
        <f ca="1">MAX(TREND(CT$32:CT$51,CL$32:CL$51,CL53),0)</f>
        <v>366.764962406015</v>
      </c>
      <c r="CU53" s="156">
        <f ca="1">MAX(TREND(CU$32:CU$51,CL$32:CL$51,CL53),0)</f>
        <v>250.17879699248124</v>
      </c>
      <c r="CV53" s="156">
        <f ca="1">MAX(TREND(CV$32:CV$51,CL$32:CL$51,CL53),0)</f>
        <v>85.083007518796876</v>
      </c>
      <c r="CW53" s="156">
        <f ca="1">MAX(TREND(CW$32:CW$51,CL$32:CL$51,CL53),0)</f>
        <v>14.493909774436077</v>
      </c>
      <c r="CX53" s="156">
        <f ca="1">MAX(TREND(CX$32:CX$51,CL$32:CL$51,CL53),0)</f>
        <v>3.5338345864630583E-3</v>
      </c>
      <c r="CZ53" s="138"/>
      <c r="DA53" s="138"/>
      <c r="DB53" s="138"/>
      <c r="DC53" s="138"/>
      <c r="DD53" s="138"/>
      <c r="DE53" s="138"/>
      <c r="DF53" s="138"/>
      <c r="DG53" s="138"/>
      <c r="DH53" s="138"/>
      <c r="DI53" s="138"/>
      <c r="DJ53" s="138"/>
      <c r="DK53" s="138"/>
      <c r="DL53" s="138"/>
    </row>
    <row r="54" spans="1:116" x14ac:dyDescent="0.2">
      <c r="A54" s="132">
        <v>2005</v>
      </c>
      <c r="B54" s="144">
        <v>5</v>
      </c>
      <c r="C54" s="144">
        <v>12.274193548387098</v>
      </c>
      <c r="D54" s="134">
        <v>239.49999999999994</v>
      </c>
      <c r="E54" s="134">
        <v>0</v>
      </c>
      <c r="F54" s="134">
        <v>178.79999999999995</v>
      </c>
      <c r="G54" s="134">
        <v>1.3000000000000007</v>
      </c>
      <c r="H54" s="134">
        <v>124.10000000000002</v>
      </c>
      <c r="I54" s="134">
        <v>8.6000000000000014</v>
      </c>
      <c r="J54" s="134">
        <v>79.000000000000014</v>
      </c>
      <c r="K54" s="134">
        <v>25.500000000000004</v>
      </c>
      <c r="L54" s="134">
        <v>43.800000000000011</v>
      </c>
      <c r="M54" s="134">
        <v>52.3</v>
      </c>
      <c r="N54" s="134">
        <v>19.999999999999996</v>
      </c>
      <c r="O54" s="134">
        <v>90.499999999999986</v>
      </c>
      <c r="P54" s="134"/>
      <c r="Q54" s="134"/>
      <c r="R54" s="134"/>
      <c r="AH54" s="133"/>
      <c r="AI54" s="133"/>
      <c r="AU54" s="295"/>
      <c r="AV54" s="133"/>
      <c r="AW54" s="133"/>
      <c r="BJ54" s="133"/>
      <c r="BK54" s="133"/>
      <c r="BX54" s="133"/>
      <c r="BY54" s="133"/>
      <c r="CL54" s="133"/>
      <c r="CM54" s="133"/>
      <c r="CZ54" s="133"/>
      <c r="DA54" s="133"/>
    </row>
    <row r="55" spans="1:116" x14ac:dyDescent="0.2">
      <c r="A55" s="132">
        <v>2005</v>
      </c>
      <c r="B55" s="144">
        <v>6</v>
      </c>
      <c r="C55" s="144">
        <v>22.769999999999996</v>
      </c>
      <c r="D55" s="134">
        <v>21.199999999999996</v>
      </c>
      <c r="E55" s="134">
        <v>104.29999999999998</v>
      </c>
      <c r="F55" s="134">
        <v>4.7999999999999972</v>
      </c>
      <c r="G55" s="134">
        <v>147.89999999999998</v>
      </c>
      <c r="H55" s="134">
        <v>0</v>
      </c>
      <c r="I55" s="134">
        <v>203.10000000000005</v>
      </c>
      <c r="J55" s="134">
        <v>0</v>
      </c>
      <c r="K55" s="134">
        <v>263.10000000000014</v>
      </c>
      <c r="L55" s="134">
        <v>0</v>
      </c>
      <c r="M55" s="134">
        <v>323.10000000000014</v>
      </c>
      <c r="N55" s="134">
        <v>0</v>
      </c>
      <c r="O55" s="134">
        <v>383.10000000000014</v>
      </c>
      <c r="P55" s="134"/>
      <c r="Q55" s="134"/>
      <c r="R55" s="134"/>
      <c r="T55" s="140" t="s">
        <v>111</v>
      </c>
      <c r="U55" s="134">
        <f t="shared" ref="U55:AF55" ca="1" si="56">AVERAGE(U42:U51)</f>
        <v>0</v>
      </c>
      <c r="V55" s="134">
        <f t="shared" ca="1" si="56"/>
        <v>0</v>
      </c>
      <c r="W55" s="134">
        <f t="shared" ca="1" si="56"/>
        <v>0</v>
      </c>
      <c r="X55" s="134">
        <f t="shared" ca="1" si="56"/>
        <v>8.0000000000000071E-2</v>
      </c>
      <c r="Y55" s="134">
        <f t="shared" ca="1" si="56"/>
        <v>12.910000000000002</v>
      </c>
      <c r="Z55" s="134">
        <f t="shared" ca="1" si="56"/>
        <v>39.709999999999994</v>
      </c>
      <c r="AA55" s="134">
        <f t="shared" ca="1" si="56"/>
        <v>106.9</v>
      </c>
      <c r="AB55" s="134">
        <f t="shared" ca="1" si="56"/>
        <v>72.509999999999977</v>
      </c>
      <c r="AC55" s="134">
        <f t="shared" ca="1" si="56"/>
        <v>30.890000000000004</v>
      </c>
      <c r="AD55" s="134">
        <f t="shared" ca="1" si="56"/>
        <v>2.16</v>
      </c>
      <c r="AE55" s="134">
        <f t="shared" ca="1" si="56"/>
        <v>0</v>
      </c>
      <c r="AF55" s="134">
        <f t="shared" ca="1" si="56"/>
        <v>0</v>
      </c>
      <c r="AH55" s="140" t="s">
        <v>111</v>
      </c>
      <c r="AI55" s="134">
        <f t="shared" ref="AI55:AT55" ca="1" si="57">AVERAGE(AI42:AI51)</f>
        <v>0</v>
      </c>
      <c r="AJ55" s="134">
        <f t="shared" ca="1" si="57"/>
        <v>0</v>
      </c>
      <c r="AK55" s="134">
        <f t="shared" ca="1" si="57"/>
        <v>0.05</v>
      </c>
      <c r="AL55" s="134">
        <f t="shared" ca="1" si="57"/>
        <v>0.41000000000000014</v>
      </c>
      <c r="AM55" s="134">
        <f t="shared" ca="1" si="57"/>
        <v>25.23</v>
      </c>
      <c r="AN55" s="134">
        <f t="shared" ca="1" si="57"/>
        <v>71.929999999999993</v>
      </c>
      <c r="AO55" s="134">
        <f t="shared" ca="1" si="57"/>
        <v>163.41999999999999</v>
      </c>
      <c r="AP55" s="134">
        <f t="shared" ca="1" si="57"/>
        <v>125.66000000000001</v>
      </c>
      <c r="AQ55" s="134">
        <f t="shared" ca="1" si="57"/>
        <v>55.940000000000012</v>
      </c>
      <c r="AR55" s="134">
        <f t="shared" ca="1" si="57"/>
        <v>6.3899999999999988</v>
      </c>
      <c r="AS55" s="134">
        <f t="shared" ca="1" si="57"/>
        <v>8.0000000000000071E-2</v>
      </c>
      <c r="AT55" s="134">
        <f t="shared" ca="1" si="57"/>
        <v>0</v>
      </c>
      <c r="AU55" s="295">
        <f t="shared" ca="1" si="43"/>
        <v>449.10999999999996</v>
      </c>
      <c r="AV55" s="140" t="s">
        <v>111</v>
      </c>
      <c r="AW55" s="134">
        <f t="shared" ref="AW55:BH55" ca="1" si="58">AVERAGE(AW42:AW51)</f>
        <v>0</v>
      </c>
      <c r="AX55" s="134">
        <f t="shared" ca="1" si="58"/>
        <v>0</v>
      </c>
      <c r="AY55" s="134">
        <f t="shared" ca="1" si="58"/>
        <v>0.26000000000000012</v>
      </c>
      <c r="AZ55" s="134">
        <f t="shared" ca="1" si="58"/>
        <v>1.2600000000000002</v>
      </c>
      <c r="BA55" s="134">
        <f t="shared" ca="1" si="58"/>
        <v>44.669999999999995</v>
      </c>
      <c r="BB55" s="134">
        <f t="shared" ca="1" si="58"/>
        <v>115.62</v>
      </c>
      <c r="BC55" s="134">
        <f t="shared" ca="1" si="58"/>
        <v>224.87000000000003</v>
      </c>
      <c r="BD55" s="134">
        <f t="shared" ca="1" si="58"/>
        <v>186.09000000000003</v>
      </c>
      <c r="BE55" s="134">
        <f t="shared" ca="1" si="58"/>
        <v>90.78</v>
      </c>
      <c r="BF55" s="134">
        <f t="shared" ca="1" si="58"/>
        <v>14.710000000000003</v>
      </c>
      <c r="BG55" s="134">
        <f t="shared" ca="1" si="58"/>
        <v>0.54000000000000026</v>
      </c>
      <c r="BH55" s="134">
        <f t="shared" ca="1" si="58"/>
        <v>0</v>
      </c>
      <c r="BJ55" s="140" t="s">
        <v>111</v>
      </c>
      <c r="BK55" s="134">
        <f t="shared" ref="BK55:BV55" ca="1" si="59">AVERAGE(BK42:BK51)</f>
        <v>0</v>
      </c>
      <c r="BL55" s="134">
        <f t="shared" ca="1" si="59"/>
        <v>3.0000000000000072E-2</v>
      </c>
      <c r="BM55" s="134">
        <f t="shared" ca="1" si="59"/>
        <v>0.8500000000000002</v>
      </c>
      <c r="BN55" s="134">
        <f t="shared" ca="1" si="59"/>
        <v>3.85</v>
      </c>
      <c r="BO55" s="134">
        <f t="shared" ca="1" si="59"/>
        <v>72.52000000000001</v>
      </c>
      <c r="BP55" s="134">
        <f t="shared" ca="1" si="59"/>
        <v>169.28000000000003</v>
      </c>
      <c r="BQ55" s="134">
        <f t="shared" ca="1" si="59"/>
        <v>286.87</v>
      </c>
      <c r="BR55" s="134">
        <f t="shared" ca="1" si="59"/>
        <v>248.08000000000007</v>
      </c>
      <c r="BS55" s="134">
        <f t="shared" ca="1" si="59"/>
        <v>137.51000000000002</v>
      </c>
      <c r="BT55" s="134">
        <f t="shared" ca="1" si="59"/>
        <v>29.849999999999994</v>
      </c>
      <c r="BU55" s="134">
        <f t="shared" ca="1" si="59"/>
        <v>2.25</v>
      </c>
      <c r="BV55" s="134">
        <f t="shared" ca="1" si="59"/>
        <v>0</v>
      </c>
      <c r="BX55" s="140" t="s">
        <v>111</v>
      </c>
      <c r="BY55" s="134">
        <f t="shared" ref="BY55:CJ55" ca="1" si="60">AVERAGE(BY42:BY51)</f>
        <v>0</v>
      </c>
      <c r="BZ55" s="134">
        <f t="shared" ca="1" si="60"/>
        <v>0.23000000000000007</v>
      </c>
      <c r="CA55" s="134">
        <f t="shared" ca="1" si="60"/>
        <v>2.06</v>
      </c>
      <c r="CB55" s="134">
        <f t="shared" ca="1" si="60"/>
        <v>9.09</v>
      </c>
      <c r="CC55" s="134">
        <f t="shared" ca="1" si="60"/>
        <v>108.54</v>
      </c>
      <c r="CD55" s="134">
        <f t="shared" ca="1" si="60"/>
        <v>227.54000000000002</v>
      </c>
      <c r="CE55" s="134">
        <f t="shared" ca="1" si="60"/>
        <v>348.87</v>
      </c>
      <c r="CF55" s="134">
        <f t="shared" ca="1" si="60"/>
        <v>310.08000000000004</v>
      </c>
      <c r="CG55" s="134">
        <f t="shared" ca="1" si="60"/>
        <v>192.39000000000001</v>
      </c>
      <c r="CH55" s="134">
        <f t="shared" ca="1" si="60"/>
        <v>52.98</v>
      </c>
      <c r="CI55" s="134">
        <f t="shared" ca="1" si="60"/>
        <v>6.1500000000000012</v>
      </c>
      <c r="CJ55" s="134">
        <f t="shared" ca="1" si="60"/>
        <v>3.0000000000000072E-2</v>
      </c>
      <c r="CL55" s="140" t="s">
        <v>111</v>
      </c>
      <c r="CM55" s="134">
        <f t="shared" ref="CM55:CX55" ca="1" si="61">AVERAGE(CM42:CM51)</f>
        <v>0.25</v>
      </c>
      <c r="CN55" s="134">
        <f t="shared" ca="1" si="61"/>
        <v>0.48000000000000009</v>
      </c>
      <c r="CO55" s="134">
        <f t="shared" ca="1" si="61"/>
        <v>4.910000000000001</v>
      </c>
      <c r="CP55" s="134">
        <f t="shared" ca="1" si="61"/>
        <v>18.310000000000002</v>
      </c>
      <c r="CQ55" s="134">
        <f t="shared" ca="1" si="61"/>
        <v>153.26999999999995</v>
      </c>
      <c r="CR55" s="134">
        <f t="shared" ca="1" si="61"/>
        <v>287.30000000000007</v>
      </c>
      <c r="CS55" s="134">
        <f t="shared" ca="1" si="61"/>
        <v>410.87</v>
      </c>
      <c r="CT55" s="134">
        <f t="shared" ca="1" si="61"/>
        <v>372.0800000000001</v>
      </c>
      <c r="CU55" s="134">
        <f t="shared" ca="1" si="61"/>
        <v>251.35000000000008</v>
      </c>
      <c r="CV55" s="134">
        <f t="shared" ca="1" si="61"/>
        <v>85.07</v>
      </c>
      <c r="CW55" s="134">
        <f t="shared" ca="1" si="61"/>
        <v>14.36</v>
      </c>
      <c r="CX55" s="134">
        <f t="shared" ca="1" si="61"/>
        <v>0.57000000000000006</v>
      </c>
      <c r="CZ55" s="140"/>
      <c r="DA55" s="134"/>
      <c r="DB55" s="134"/>
      <c r="DC55" s="134"/>
      <c r="DD55" s="134"/>
      <c r="DE55" s="134"/>
      <c r="DF55" s="134"/>
      <c r="DG55" s="134"/>
      <c r="DH55" s="134"/>
      <c r="DI55" s="134"/>
      <c r="DJ55" s="134"/>
      <c r="DK55" s="134"/>
      <c r="DL55" s="134"/>
    </row>
    <row r="56" spans="1:116" x14ac:dyDescent="0.2">
      <c r="A56" s="132">
        <v>2005</v>
      </c>
      <c r="B56" s="144">
        <v>7</v>
      </c>
      <c r="C56" s="144">
        <v>24.583870967741934</v>
      </c>
      <c r="D56" s="134">
        <v>2.1999999999999993</v>
      </c>
      <c r="E56" s="134">
        <v>144.30000000000001</v>
      </c>
      <c r="F56" s="134">
        <v>0</v>
      </c>
      <c r="G56" s="134">
        <v>204.10000000000008</v>
      </c>
      <c r="H56" s="134">
        <v>0</v>
      </c>
      <c r="I56" s="134">
        <v>266.10000000000008</v>
      </c>
      <c r="J56" s="134">
        <v>0</v>
      </c>
      <c r="K56" s="134">
        <v>328.10000000000014</v>
      </c>
      <c r="L56" s="134">
        <v>0</v>
      </c>
      <c r="M56" s="134">
        <v>390.10000000000014</v>
      </c>
      <c r="N56" s="134">
        <v>0</v>
      </c>
      <c r="O56" s="134">
        <v>452.10000000000014</v>
      </c>
      <c r="P56" s="134"/>
      <c r="Q56" s="134"/>
      <c r="R56" s="134"/>
    </row>
    <row r="57" spans="1:116" x14ac:dyDescent="0.2">
      <c r="A57" s="132">
        <v>2005</v>
      </c>
      <c r="B57" s="144">
        <v>8</v>
      </c>
      <c r="C57" s="144">
        <v>23.496774193548383</v>
      </c>
      <c r="D57" s="134">
        <v>3.3999999999999986</v>
      </c>
      <c r="E57" s="134">
        <v>111.79999999999997</v>
      </c>
      <c r="F57" s="134">
        <v>0</v>
      </c>
      <c r="G57" s="134">
        <v>170.40000000000003</v>
      </c>
      <c r="H57" s="134">
        <v>0</v>
      </c>
      <c r="I57" s="134">
        <v>232.40000000000009</v>
      </c>
      <c r="J57" s="134">
        <v>0</v>
      </c>
      <c r="K57" s="134">
        <v>294.40000000000009</v>
      </c>
      <c r="L57" s="134">
        <v>0</v>
      </c>
      <c r="M57" s="134">
        <v>356.40000000000009</v>
      </c>
      <c r="N57" s="134">
        <v>0</v>
      </c>
      <c r="O57" s="134">
        <v>418.40000000000015</v>
      </c>
      <c r="P57" s="134"/>
      <c r="Q57" s="134"/>
      <c r="R57" s="134"/>
      <c r="T57" s="132"/>
      <c r="U57" s="132"/>
    </row>
    <row r="58" spans="1:116" x14ac:dyDescent="0.2">
      <c r="A58" s="132">
        <v>2005</v>
      </c>
      <c r="B58" s="144">
        <v>9</v>
      </c>
      <c r="C58" s="144">
        <v>19.113333333333333</v>
      </c>
      <c r="D58" s="134">
        <v>47.400000000000006</v>
      </c>
      <c r="E58" s="134">
        <v>20.800000000000004</v>
      </c>
      <c r="F58" s="134">
        <v>22.700000000000003</v>
      </c>
      <c r="G58" s="134">
        <v>56.100000000000009</v>
      </c>
      <c r="H58" s="134">
        <v>10.199999999999999</v>
      </c>
      <c r="I58" s="134">
        <v>103.6</v>
      </c>
      <c r="J58" s="134">
        <v>4.5999999999999996</v>
      </c>
      <c r="K58" s="134">
        <v>158</v>
      </c>
      <c r="L58" s="134">
        <v>1.1999999999999993</v>
      </c>
      <c r="M58" s="134">
        <v>214.6</v>
      </c>
      <c r="N58" s="134">
        <v>0</v>
      </c>
      <c r="O58" s="134">
        <v>273.40000000000003</v>
      </c>
      <c r="P58" s="134"/>
      <c r="Q58" s="134"/>
      <c r="R58" s="134"/>
      <c r="T58" s="132"/>
      <c r="U58" s="132"/>
    </row>
    <row r="59" spans="1:116" ht="15" x14ac:dyDescent="0.25">
      <c r="A59" s="132">
        <v>2005</v>
      </c>
      <c r="B59" s="144">
        <v>10</v>
      </c>
      <c r="C59" s="144">
        <v>11.445161290322579</v>
      </c>
      <c r="D59" s="134">
        <v>270.7</v>
      </c>
      <c r="E59" s="134">
        <v>5.5</v>
      </c>
      <c r="F59" s="134">
        <v>216.6</v>
      </c>
      <c r="G59" s="134">
        <v>13.399999999999999</v>
      </c>
      <c r="H59" s="134">
        <v>163.1</v>
      </c>
      <c r="I59" s="134">
        <v>21.9</v>
      </c>
      <c r="J59" s="134">
        <v>112.7</v>
      </c>
      <c r="K59" s="134">
        <v>33.5</v>
      </c>
      <c r="L59" s="134">
        <v>69.399999999999991</v>
      </c>
      <c r="M59" s="134">
        <v>52.199999999999989</v>
      </c>
      <c r="N59" s="134">
        <v>38.199999999999996</v>
      </c>
      <c r="O59" s="134">
        <v>82.999999999999986</v>
      </c>
      <c r="P59" s="134"/>
      <c r="Q59" s="134"/>
      <c r="R59" s="134"/>
      <c r="T59" s="141" t="s">
        <v>112</v>
      </c>
      <c r="U59" s="132"/>
      <c r="Y59" s="141" t="s">
        <v>113</v>
      </c>
      <c r="AH59" s="141" t="s">
        <v>112</v>
      </c>
      <c r="AM59" s="141" t="s">
        <v>113</v>
      </c>
      <c r="AV59" s="141" t="s">
        <v>112</v>
      </c>
      <c r="BA59" s="141" t="s">
        <v>113</v>
      </c>
      <c r="BJ59" s="141" t="s">
        <v>112</v>
      </c>
      <c r="BO59" s="141" t="s">
        <v>113</v>
      </c>
      <c r="BX59" s="141" t="s">
        <v>112</v>
      </c>
      <c r="CC59" s="141" t="s">
        <v>113</v>
      </c>
      <c r="CL59" s="141" t="s">
        <v>112</v>
      </c>
      <c r="CQ59" s="141" t="s">
        <v>113</v>
      </c>
      <c r="CZ59" s="141"/>
      <c r="DE59" s="141"/>
    </row>
    <row r="60" spans="1:116" x14ac:dyDescent="0.2">
      <c r="A60" s="132">
        <v>2005</v>
      </c>
      <c r="B60" s="144">
        <v>11</v>
      </c>
      <c r="C60" s="144">
        <v>5.6899999999999995</v>
      </c>
      <c r="D60" s="134">
        <v>429.3</v>
      </c>
      <c r="E60" s="134">
        <v>0</v>
      </c>
      <c r="F60" s="134">
        <v>369.3</v>
      </c>
      <c r="G60" s="134">
        <v>0</v>
      </c>
      <c r="H60" s="134">
        <v>309.3</v>
      </c>
      <c r="I60" s="134">
        <v>0</v>
      </c>
      <c r="J60" s="134">
        <v>249.3</v>
      </c>
      <c r="K60" s="134">
        <v>0</v>
      </c>
      <c r="L60" s="134">
        <v>193.70000000000002</v>
      </c>
      <c r="M60" s="134">
        <v>4.4000000000000004</v>
      </c>
      <c r="N60" s="134">
        <v>146.00000000000003</v>
      </c>
      <c r="O60" s="134">
        <v>16.700000000000003</v>
      </c>
      <c r="P60" s="134"/>
      <c r="Q60" s="134"/>
      <c r="R60" s="134"/>
      <c r="T60" s="132"/>
      <c r="U60" s="132"/>
      <c r="V60" s="142" t="str">
        <f>T4</f>
        <v>HDD20</v>
      </c>
      <c r="W60" s="142" t="str">
        <f>T31</f>
        <v>CDD20</v>
      </c>
      <c r="AA60" s="132" t="str">
        <f>V60</f>
        <v>HDD20</v>
      </c>
      <c r="AB60" s="132" t="str">
        <f>W60</f>
        <v>CDD20</v>
      </c>
      <c r="AJ60" s="142" t="str">
        <f>AH4</f>
        <v>HDD18</v>
      </c>
      <c r="AK60" s="142" t="str">
        <f>AH31</f>
        <v>CDD18</v>
      </c>
      <c r="AO60" s="132" t="str">
        <f>AJ60</f>
        <v>HDD18</v>
      </c>
      <c r="AP60" s="132" t="str">
        <f>AK60</f>
        <v>CDD18</v>
      </c>
      <c r="AX60" s="142" t="str">
        <f>AV4</f>
        <v>HDD16</v>
      </c>
      <c r="AY60" s="142" t="str">
        <f>AV31</f>
        <v>CDD16</v>
      </c>
      <c r="BC60" s="132" t="str">
        <f>AX60</f>
        <v>HDD16</v>
      </c>
      <c r="BD60" s="132" t="str">
        <f>AY60</f>
        <v>CDD16</v>
      </c>
      <c r="BL60" s="142" t="str">
        <f>BJ4</f>
        <v>HDD14</v>
      </c>
      <c r="BM60" s="142" t="str">
        <f>BJ31</f>
        <v>CDD14</v>
      </c>
      <c r="BQ60" s="132" t="str">
        <f>BL60</f>
        <v>HDD14</v>
      </c>
      <c r="BR60" s="132" t="str">
        <f>BM60</f>
        <v>CDD14</v>
      </c>
      <c r="BZ60" s="142" t="str">
        <f>BX4</f>
        <v>HDD12</v>
      </c>
      <c r="CA60" s="142" t="str">
        <f>BX31</f>
        <v>CDD12</v>
      </c>
      <c r="CE60" s="132" t="str">
        <f>BZ60</f>
        <v>HDD12</v>
      </c>
      <c r="CF60" s="132" t="str">
        <f>CA60</f>
        <v>CDD12</v>
      </c>
      <c r="CN60" s="142" t="str">
        <f>CL4</f>
        <v>HDD10</v>
      </c>
      <c r="CO60" s="142" t="str">
        <f>CL31</f>
        <v>CDD10</v>
      </c>
      <c r="CS60" s="132" t="str">
        <f>CN60</f>
        <v>HDD10</v>
      </c>
      <c r="CT60" s="132" t="str">
        <f>CO60</f>
        <v>CDD10</v>
      </c>
      <c r="DB60" s="142"/>
      <c r="DC60" s="142"/>
    </row>
    <row r="61" spans="1:116" x14ac:dyDescent="0.2">
      <c r="A61" s="132">
        <v>2005</v>
      </c>
      <c r="B61" s="144">
        <v>12</v>
      </c>
      <c r="C61" s="144">
        <v>-2.6709677419354843</v>
      </c>
      <c r="D61" s="134">
        <v>702.8</v>
      </c>
      <c r="E61" s="134">
        <v>0</v>
      </c>
      <c r="F61" s="134">
        <v>640.79999999999995</v>
      </c>
      <c r="G61" s="134">
        <v>0</v>
      </c>
      <c r="H61" s="134">
        <v>578.79999999999995</v>
      </c>
      <c r="I61" s="134">
        <v>0</v>
      </c>
      <c r="J61" s="134">
        <v>516.79999999999995</v>
      </c>
      <c r="K61" s="134">
        <v>0</v>
      </c>
      <c r="L61" s="134">
        <v>454.8</v>
      </c>
      <c r="M61" s="134">
        <v>0</v>
      </c>
      <c r="N61" s="134">
        <v>392.8</v>
      </c>
      <c r="O61" s="134">
        <v>0</v>
      </c>
      <c r="P61" s="134"/>
      <c r="Q61" s="134"/>
      <c r="R61" s="134"/>
      <c r="T61" s="132" t="s">
        <v>114</v>
      </c>
      <c r="U61" s="132" t="s">
        <v>44</v>
      </c>
      <c r="V61" s="143">
        <f t="shared" ref="V61:V72" ca="1" si="62">OFFSET($U$28,0,(ROW()-ROW(V$61)))</f>
        <v>731.33</v>
      </c>
      <c r="W61" s="143">
        <f t="shared" ref="W61:W72" ca="1" si="63">OFFSET($U$55,0,(ROW()-ROW(W$61)))</f>
        <v>0</v>
      </c>
      <c r="Y61" s="132" t="s">
        <v>114</v>
      </c>
      <c r="Z61" s="132" t="s">
        <v>44</v>
      </c>
      <c r="AA61" s="143">
        <f t="shared" ref="AA61:AA72" ca="1" si="64">OFFSET($U$26,0,(ROW()-ROW(AA$61)))</f>
        <v>732.40383458646613</v>
      </c>
      <c r="AB61" s="143">
        <f t="shared" ref="AB61:AB72" ca="1" si="65">OFFSET($U$53,0,(ROW()-ROW(AB$61)))</f>
        <v>0</v>
      </c>
      <c r="AH61" s="132" t="s">
        <v>114</v>
      </c>
      <c r="AI61" s="132" t="s">
        <v>44</v>
      </c>
      <c r="AJ61" s="143">
        <f t="shared" ref="AJ61:AJ72" ca="1" si="66">OFFSET(AI$28,0,(ROW()-ROW(AJ$61)))</f>
        <v>669.32999999999993</v>
      </c>
      <c r="AK61" s="143">
        <f t="shared" ref="AK61:AK72" ca="1" si="67">OFFSET(AI$55,0,(ROW()-ROW(AK$61)))</f>
        <v>0</v>
      </c>
      <c r="AM61" s="132" t="s">
        <v>114</v>
      </c>
      <c r="AN61" s="132" t="s">
        <v>44</v>
      </c>
      <c r="AO61" s="143">
        <f t="shared" ref="AO61:AO72" ca="1" si="68">OFFSET(AI$26,0,(ROW()-ROW(AO$61)))</f>
        <v>670.40383458646625</v>
      </c>
      <c r="AP61" s="143">
        <f t="shared" ref="AP61:AP72" ca="1" si="69">OFFSET(AI$53,0,(ROW()-ROW(AP$61)))</f>
        <v>0</v>
      </c>
      <c r="AV61" s="132" t="s">
        <v>114</v>
      </c>
      <c r="AW61" s="132" t="s">
        <v>44</v>
      </c>
      <c r="AX61" s="143">
        <f t="shared" ref="AX61:AX72" ca="1" si="70">OFFSET(AW$28,0,(ROW()-ROW(AX$61)))</f>
        <v>607.33000000000004</v>
      </c>
      <c r="AY61" s="143">
        <f t="shared" ref="AY61:AY72" ca="1" si="71">OFFSET(AW$55,0,(ROW()-ROW(AY$61)))</f>
        <v>0</v>
      </c>
      <c r="BA61" s="132" t="s">
        <v>114</v>
      </c>
      <c r="BB61" s="132" t="s">
        <v>44</v>
      </c>
      <c r="BC61" s="143">
        <f t="shared" ref="BC61:BC72" ca="1" si="72">OFFSET(AW$26,0,(ROW()-ROW(BC$61)))</f>
        <v>608.40383458646636</v>
      </c>
      <c r="BD61" s="143">
        <f t="shared" ref="BD61:BD72" ca="1" si="73">OFFSET(AW$53,0,(ROW()-ROW(BD$61)))</f>
        <v>0</v>
      </c>
      <c r="BJ61" s="132" t="s">
        <v>114</v>
      </c>
      <c r="BK61" s="132" t="s">
        <v>44</v>
      </c>
      <c r="BL61" s="143">
        <f t="shared" ref="BL61:BL72" ca="1" si="74">OFFSET(BK$28,0,(ROW()-ROW(BL$61)))</f>
        <v>545.33000000000004</v>
      </c>
      <c r="BM61" s="143">
        <f t="shared" ref="BM61:BM72" ca="1" si="75">OFFSET(BK$55,0,(ROW()-ROW(BM$61)))</f>
        <v>0</v>
      </c>
      <c r="BO61" s="132" t="s">
        <v>114</v>
      </c>
      <c r="BP61" s="132" t="s">
        <v>44</v>
      </c>
      <c r="BQ61" s="143">
        <f t="shared" ref="BQ61:BQ72" ca="1" si="76">OFFSET(BK$26,0,(ROW()-ROW(BQ$61)))</f>
        <v>546.40383458646636</v>
      </c>
      <c r="BR61" s="143">
        <f t="shared" ref="BR61:BR72" ca="1" si="77">OFFSET(BK$53,0,(ROW()-ROW(BR$61)))</f>
        <v>0</v>
      </c>
      <c r="BX61" s="132" t="s">
        <v>114</v>
      </c>
      <c r="BY61" s="132" t="s">
        <v>44</v>
      </c>
      <c r="BZ61" s="143">
        <f t="shared" ref="BZ61:BZ72" ca="1" si="78">OFFSET(BY$28,0,(ROW()-ROW(BZ$61)))</f>
        <v>483.33000000000004</v>
      </c>
      <c r="CA61" s="143">
        <f t="shared" ref="CA61:CA72" ca="1" si="79">OFFSET(BY$55,0,(ROW()-ROW(CA$61)))</f>
        <v>0</v>
      </c>
      <c r="CC61" s="132" t="s">
        <v>114</v>
      </c>
      <c r="CD61" s="132" t="s">
        <v>44</v>
      </c>
      <c r="CE61" s="143">
        <f t="shared" ref="CE61:CE72" ca="1" si="80">OFFSET(BY$26,0,(ROW()-ROW(CE$61)))</f>
        <v>484.41736842105263</v>
      </c>
      <c r="CF61" s="143">
        <f t="shared" ref="CF61:CF72" ca="1" si="81">OFFSET(BY$53,0,(ROW()-ROW(CF$61)))</f>
        <v>1.3533834586464621E-2</v>
      </c>
      <c r="CL61" s="132" t="s">
        <v>114</v>
      </c>
      <c r="CM61" s="132" t="s">
        <v>44</v>
      </c>
      <c r="CN61" s="143">
        <f t="shared" ref="CN61:CN72" ca="1" si="82">OFFSET(CM$28,0,(ROW()-ROW(CN$61)))</f>
        <v>421.58000000000004</v>
      </c>
      <c r="CO61" s="143">
        <f t="shared" ref="CO61:CO72" ca="1" si="83">OFFSET(CM$55,0,(ROW()-ROW(CO$61)))</f>
        <v>0.25</v>
      </c>
      <c r="CQ61" s="132" t="s">
        <v>114</v>
      </c>
      <c r="CR61" s="132" t="s">
        <v>44</v>
      </c>
      <c r="CS61" s="143">
        <f t="shared" ref="CS61:CS72" ca="1" si="84">OFFSET(CM$26,0,(ROW()-ROW(CS$61)))</f>
        <v>422.56962406015049</v>
      </c>
      <c r="CT61" s="143">
        <f t="shared" ref="CT61:CT72" ca="1" si="85">OFFSET(CM$53,0,(ROW()-ROW(CT$61)))</f>
        <v>0.16578947368419961</v>
      </c>
      <c r="DB61" s="143"/>
      <c r="DC61" s="143"/>
      <c r="DG61" s="143"/>
      <c r="DH61" s="143"/>
    </row>
    <row r="62" spans="1:116" x14ac:dyDescent="0.2">
      <c r="A62" s="132">
        <v>2006</v>
      </c>
      <c r="B62" s="144">
        <v>1</v>
      </c>
      <c r="C62" s="144">
        <v>1.2129032258064512</v>
      </c>
      <c r="D62" s="134">
        <v>582.4000000000002</v>
      </c>
      <c r="E62" s="134">
        <v>0</v>
      </c>
      <c r="F62" s="134">
        <v>520.4000000000002</v>
      </c>
      <c r="G62" s="134">
        <v>0</v>
      </c>
      <c r="H62" s="134">
        <v>458.40000000000009</v>
      </c>
      <c r="I62" s="134">
        <v>0</v>
      </c>
      <c r="J62" s="134">
        <v>396.40000000000003</v>
      </c>
      <c r="K62" s="134">
        <v>0</v>
      </c>
      <c r="L62" s="134">
        <v>334.4</v>
      </c>
      <c r="M62" s="134">
        <v>0</v>
      </c>
      <c r="N62" s="134">
        <v>272.39999999999998</v>
      </c>
      <c r="O62" s="134">
        <v>0</v>
      </c>
      <c r="P62" s="134"/>
      <c r="Q62" s="134"/>
      <c r="R62" s="134"/>
      <c r="T62" s="132" t="s">
        <v>114</v>
      </c>
      <c r="U62" s="132" t="s">
        <v>45</v>
      </c>
      <c r="V62" s="143">
        <f t="shared" ca="1" si="62"/>
        <v>646.29999999999995</v>
      </c>
      <c r="W62" s="143">
        <f t="shared" ca="1" si="63"/>
        <v>0</v>
      </c>
      <c r="Y62" s="132" t="s">
        <v>114</v>
      </c>
      <c r="Z62" s="132" t="s">
        <v>45</v>
      </c>
      <c r="AA62" s="143">
        <f t="shared" ca="1" si="64"/>
        <v>643.59345864661657</v>
      </c>
      <c r="AB62" s="143">
        <f t="shared" ca="1" si="65"/>
        <v>0</v>
      </c>
      <c r="AH62" s="132" t="s">
        <v>114</v>
      </c>
      <c r="AI62" s="132" t="s">
        <v>45</v>
      </c>
      <c r="AJ62" s="143">
        <f t="shared" ca="1" si="66"/>
        <v>589.70000000000005</v>
      </c>
      <c r="AK62" s="143">
        <f t="shared" ca="1" si="67"/>
        <v>0</v>
      </c>
      <c r="AM62" s="132" t="s">
        <v>114</v>
      </c>
      <c r="AN62" s="132" t="s">
        <v>45</v>
      </c>
      <c r="AO62" s="143">
        <f t="shared" ca="1" si="68"/>
        <v>586.83406015037576</v>
      </c>
      <c r="AP62" s="143">
        <f t="shared" ca="1" si="69"/>
        <v>0</v>
      </c>
      <c r="AV62" s="132" t="s">
        <v>114</v>
      </c>
      <c r="AW62" s="132" t="s">
        <v>45</v>
      </c>
      <c r="AX62" s="143">
        <f t="shared" ca="1" si="70"/>
        <v>533.1</v>
      </c>
      <c r="AY62" s="143">
        <f t="shared" ca="1" si="71"/>
        <v>0</v>
      </c>
      <c r="BA62" s="132" t="s">
        <v>114</v>
      </c>
      <c r="BB62" s="132" t="s">
        <v>45</v>
      </c>
      <c r="BC62" s="143">
        <f t="shared" ca="1" si="72"/>
        <v>530.0746616541353</v>
      </c>
      <c r="BD62" s="143">
        <f t="shared" ca="1" si="73"/>
        <v>0</v>
      </c>
      <c r="BJ62" s="132" t="s">
        <v>114</v>
      </c>
      <c r="BK62" s="132" t="s">
        <v>45</v>
      </c>
      <c r="BL62" s="143">
        <f t="shared" ca="1" si="74"/>
        <v>476.52999999999992</v>
      </c>
      <c r="BM62" s="143">
        <f t="shared" ca="1" si="75"/>
        <v>3.0000000000000072E-2</v>
      </c>
      <c r="BO62" s="132" t="s">
        <v>114</v>
      </c>
      <c r="BP62" s="132" t="s">
        <v>45</v>
      </c>
      <c r="BQ62" s="143">
        <f t="shared" ca="1" si="76"/>
        <v>473.36398496240599</v>
      </c>
      <c r="BR62" s="143">
        <f t="shared" ca="1" si="77"/>
        <v>4.8721804511277611E-2</v>
      </c>
      <c r="BX62" s="132" t="s">
        <v>114</v>
      </c>
      <c r="BY62" s="132" t="s">
        <v>45</v>
      </c>
      <c r="BZ62" s="143">
        <f t="shared" ca="1" si="78"/>
        <v>420.13</v>
      </c>
      <c r="CA62" s="143">
        <f t="shared" ca="1" si="79"/>
        <v>0.23000000000000007</v>
      </c>
      <c r="CC62" s="132" t="s">
        <v>114</v>
      </c>
      <c r="CD62" s="132" t="s">
        <v>45</v>
      </c>
      <c r="CE62" s="143">
        <f t="shared" ca="1" si="80"/>
        <v>416.92939849624054</v>
      </c>
      <c r="CF62" s="143">
        <f t="shared" ca="1" si="81"/>
        <v>0.37353383458646761</v>
      </c>
      <c r="CL62" s="132" t="s">
        <v>114</v>
      </c>
      <c r="CM62" s="132" t="s">
        <v>45</v>
      </c>
      <c r="CN62" s="143">
        <f t="shared" ca="1" si="82"/>
        <v>363.78000000000003</v>
      </c>
      <c r="CO62" s="143">
        <f t="shared" ca="1" si="83"/>
        <v>0.48000000000000009</v>
      </c>
      <c r="CQ62" s="132" t="s">
        <v>114</v>
      </c>
      <c r="CR62" s="132" t="s">
        <v>45</v>
      </c>
      <c r="CS62" s="143">
        <f t="shared" ca="1" si="84"/>
        <v>360.58466165413529</v>
      </c>
      <c r="CT62" s="143">
        <f t="shared" ca="1" si="85"/>
        <v>0.78819548872181144</v>
      </c>
      <c r="DB62" s="143"/>
      <c r="DC62" s="143"/>
      <c r="DG62" s="143"/>
      <c r="DH62" s="143"/>
    </row>
    <row r="63" spans="1:116" x14ac:dyDescent="0.2">
      <c r="A63" s="132">
        <v>2006</v>
      </c>
      <c r="B63" s="144">
        <v>2</v>
      </c>
      <c r="C63" s="144">
        <v>-2.1678571428571431</v>
      </c>
      <c r="D63" s="134">
        <v>620.70000000000005</v>
      </c>
      <c r="E63" s="134">
        <v>0</v>
      </c>
      <c r="F63" s="134">
        <v>564.69999999999993</v>
      </c>
      <c r="G63" s="134">
        <v>0</v>
      </c>
      <c r="H63" s="134">
        <v>508.7000000000001</v>
      </c>
      <c r="I63" s="134">
        <v>0</v>
      </c>
      <c r="J63" s="134">
        <v>452.7</v>
      </c>
      <c r="K63" s="134">
        <v>0</v>
      </c>
      <c r="L63" s="134">
        <v>396.7</v>
      </c>
      <c r="M63" s="134">
        <v>0</v>
      </c>
      <c r="N63" s="134">
        <v>340.7</v>
      </c>
      <c r="O63" s="134">
        <v>0</v>
      </c>
      <c r="P63" s="134"/>
      <c r="Q63" s="134"/>
      <c r="R63" s="134"/>
      <c r="T63" s="132" t="s">
        <v>114</v>
      </c>
      <c r="U63" s="132" t="s">
        <v>46</v>
      </c>
      <c r="V63" s="143">
        <f t="shared" ca="1" si="62"/>
        <v>577.51</v>
      </c>
      <c r="W63" s="143">
        <f t="shared" ca="1" si="63"/>
        <v>0</v>
      </c>
      <c r="Y63" s="132" t="s">
        <v>114</v>
      </c>
      <c r="Z63" s="132" t="s">
        <v>46</v>
      </c>
      <c r="AA63" s="143">
        <f t="shared" ca="1" si="64"/>
        <v>572.01924812030063</v>
      </c>
      <c r="AB63" s="143">
        <f t="shared" ca="1" si="65"/>
        <v>0</v>
      </c>
      <c r="AH63" s="132" t="s">
        <v>114</v>
      </c>
      <c r="AI63" s="132" t="s">
        <v>46</v>
      </c>
      <c r="AJ63" s="143">
        <f t="shared" ca="1" si="66"/>
        <v>515.56000000000006</v>
      </c>
      <c r="AK63" s="143">
        <f t="shared" ca="1" si="67"/>
        <v>0.05</v>
      </c>
      <c r="AM63" s="132" t="s">
        <v>114</v>
      </c>
      <c r="AN63" s="132" t="s">
        <v>46</v>
      </c>
      <c r="AO63" s="143">
        <f t="shared" ca="1" si="68"/>
        <v>510.05721804511279</v>
      </c>
      <c r="AP63" s="143">
        <f t="shared" ca="1" si="69"/>
        <v>3.7969924812029987E-2</v>
      </c>
      <c r="AV63" s="132" t="s">
        <v>114</v>
      </c>
      <c r="AW63" s="132" t="s">
        <v>46</v>
      </c>
      <c r="AX63" s="143">
        <f t="shared" ca="1" si="70"/>
        <v>453.77</v>
      </c>
      <c r="AY63" s="143">
        <f t="shared" ca="1" si="71"/>
        <v>0.26000000000000012</v>
      </c>
      <c r="BA63" s="132" t="s">
        <v>114</v>
      </c>
      <c r="BB63" s="132" t="s">
        <v>46</v>
      </c>
      <c r="BC63" s="143">
        <f t="shared" ca="1" si="72"/>
        <v>448.21669172932332</v>
      </c>
      <c r="BD63" s="143">
        <f t="shared" ca="1" si="73"/>
        <v>0.19744360902255842</v>
      </c>
      <c r="BJ63" s="132" t="s">
        <v>114</v>
      </c>
      <c r="BK63" s="132" t="s">
        <v>46</v>
      </c>
      <c r="BL63" s="143">
        <f t="shared" ca="1" si="74"/>
        <v>392.36</v>
      </c>
      <c r="BM63" s="143">
        <f t="shared" ca="1" si="75"/>
        <v>0.8500000000000002</v>
      </c>
      <c r="BO63" s="132" t="s">
        <v>114</v>
      </c>
      <c r="BP63" s="132" t="s">
        <v>46</v>
      </c>
      <c r="BQ63" s="143">
        <f t="shared" ca="1" si="76"/>
        <v>386.7408270676691</v>
      </c>
      <c r="BR63" s="143">
        <f t="shared" ca="1" si="77"/>
        <v>0.7215789473684211</v>
      </c>
      <c r="BX63" s="132" t="s">
        <v>114</v>
      </c>
      <c r="BY63" s="132" t="s">
        <v>46</v>
      </c>
      <c r="BZ63" s="143">
        <f t="shared" ca="1" si="78"/>
        <v>331.57</v>
      </c>
      <c r="CA63" s="143">
        <f t="shared" ca="1" si="79"/>
        <v>2.06</v>
      </c>
      <c r="CC63" s="132" t="s">
        <v>114</v>
      </c>
      <c r="CD63" s="132" t="s">
        <v>46</v>
      </c>
      <c r="CE63" s="143">
        <f t="shared" ca="1" si="80"/>
        <v>325.74939849624047</v>
      </c>
      <c r="CF63" s="143">
        <f t="shared" ca="1" si="81"/>
        <v>1.7301503759398429</v>
      </c>
      <c r="CL63" s="132" t="s">
        <v>114</v>
      </c>
      <c r="CM63" s="132" t="s">
        <v>46</v>
      </c>
      <c r="CN63" s="143">
        <f t="shared" ca="1" si="82"/>
        <v>272.42</v>
      </c>
      <c r="CO63" s="143">
        <f t="shared" ca="1" si="83"/>
        <v>4.910000000000001</v>
      </c>
      <c r="CQ63" s="132" t="s">
        <v>114</v>
      </c>
      <c r="CR63" s="132" t="s">
        <v>46</v>
      </c>
      <c r="CS63" s="143">
        <f t="shared" ca="1" si="84"/>
        <v>266.20729323308262</v>
      </c>
      <c r="CT63" s="143">
        <f t="shared" ca="1" si="85"/>
        <v>4.1880451127819569</v>
      </c>
      <c r="DB63" s="143"/>
      <c r="DC63" s="143"/>
      <c r="DG63" s="143"/>
      <c r="DH63" s="143"/>
    </row>
    <row r="64" spans="1:116" x14ac:dyDescent="0.2">
      <c r="A64" s="132">
        <v>2006</v>
      </c>
      <c r="B64" s="144">
        <v>3</v>
      </c>
      <c r="C64" s="144">
        <v>2.2354838709677418</v>
      </c>
      <c r="D64" s="134">
        <v>550.70000000000005</v>
      </c>
      <c r="E64" s="134">
        <v>0</v>
      </c>
      <c r="F64" s="134">
        <v>488.70000000000005</v>
      </c>
      <c r="G64" s="134">
        <v>0</v>
      </c>
      <c r="H64" s="134">
        <v>426.70000000000005</v>
      </c>
      <c r="I64" s="134">
        <v>0</v>
      </c>
      <c r="J64" s="134">
        <v>364.70000000000005</v>
      </c>
      <c r="K64" s="134">
        <v>0</v>
      </c>
      <c r="L64" s="134">
        <v>304.70000000000005</v>
      </c>
      <c r="M64" s="134">
        <v>2</v>
      </c>
      <c r="N64" s="134">
        <v>244.70000000000002</v>
      </c>
      <c r="O64" s="134">
        <v>4</v>
      </c>
      <c r="P64" s="134"/>
      <c r="Q64" s="134"/>
      <c r="R64" s="134"/>
      <c r="T64" s="132" t="s">
        <v>114</v>
      </c>
      <c r="U64" s="132" t="s">
        <v>47</v>
      </c>
      <c r="V64" s="143">
        <f t="shared" ca="1" si="62"/>
        <v>395.74999999999989</v>
      </c>
      <c r="W64" s="143">
        <f t="shared" ca="1" si="63"/>
        <v>8.0000000000000071E-2</v>
      </c>
      <c r="Y64" s="132" t="s">
        <v>114</v>
      </c>
      <c r="Z64" s="132" t="s">
        <v>47</v>
      </c>
      <c r="AA64" s="143">
        <f t="shared" ca="1" si="64"/>
        <v>407.98263157894689</v>
      </c>
      <c r="AB64" s="143">
        <f t="shared" ca="1" si="65"/>
        <v>0</v>
      </c>
      <c r="AH64" s="132" t="s">
        <v>114</v>
      </c>
      <c r="AI64" s="132" t="s">
        <v>47</v>
      </c>
      <c r="AJ64" s="143">
        <f t="shared" ca="1" si="66"/>
        <v>336.07999999999987</v>
      </c>
      <c r="AK64" s="143">
        <f t="shared" ca="1" si="67"/>
        <v>0.41000000000000014</v>
      </c>
      <c r="AM64" s="132" t="s">
        <v>114</v>
      </c>
      <c r="AN64" s="132" t="s">
        <v>47</v>
      </c>
      <c r="AO64" s="143">
        <f t="shared" ca="1" si="68"/>
        <v>347.44142857142924</v>
      </c>
      <c r="AP64" s="143">
        <f t="shared" ca="1" si="69"/>
        <v>0</v>
      </c>
      <c r="AV64" s="132" t="s">
        <v>114</v>
      </c>
      <c r="AW64" s="132" t="s">
        <v>47</v>
      </c>
      <c r="AX64" s="143">
        <f t="shared" ca="1" si="70"/>
        <v>276.92999999999995</v>
      </c>
      <c r="AY64" s="143">
        <f t="shared" ca="1" si="71"/>
        <v>1.2600000000000002</v>
      </c>
      <c r="BA64" s="132" t="s">
        <v>114</v>
      </c>
      <c r="BB64" s="132" t="s">
        <v>47</v>
      </c>
      <c r="BC64" s="143">
        <f t="shared" ca="1" si="72"/>
        <v>287.38796992481275</v>
      </c>
      <c r="BD64" s="143">
        <f t="shared" ca="1" si="73"/>
        <v>0</v>
      </c>
      <c r="BJ64" s="132" t="s">
        <v>114</v>
      </c>
      <c r="BK64" s="132" t="s">
        <v>47</v>
      </c>
      <c r="BL64" s="143">
        <f t="shared" ca="1" si="74"/>
        <v>219.51999999999992</v>
      </c>
      <c r="BM64" s="143">
        <f t="shared" ca="1" si="75"/>
        <v>3.85</v>
      </c>
      <c r="BO64" s="132" t="s">
        <v>114</v>
      </c>
      <c r="BP64" s="132" t="s">
        <v>47</v>
      </c>
      <c r="BQ64" s="143">
        <f t="shared" ca="1" si="76"/>
        <v>228.55714285714294</v>
      </c>
      <c r="BR64" s="143">
        <f t="shared" ca="1" si="77"/>
        <v>0.10180451127826018</v>
      </c>
      <c r="BX64" s="132" t="s">
        <v>114</v>
      </c>
      <c r="BY64" s="132" t="s">
        <v>47</v>
      </c>
      <c r="BZ64" s="143">
        <f t="shared" ca="1" si="78"/>
        <v>164.75999999999996</v>
      </c>
      <c r="CA64" s="143">
        <f t="shared" ca="1" si="79"/>
        <v>9.09</v>
      </c>
      <c r="CC64" s="132" t="s">
        <v>114</v>
      </c>
      <c r="CD64" s="132" t="s">
        <v>47</v>
      </c>
      <c r="CE64" s="143">
        <f t="shared" ca="1" si="80"/>
        <v>171.67789473684206</v>
      </c>
      <c r="CF64" s="143">
        <f t="shared" ca="1" si="81"/>
        <v>3.2225563909773882</v>
      </c>
      <c r="CL64" s="132" t="s">
        <v>114</v>
      </c>
      <c r="CM64" s="132" t="s">
        <v>47</v>
      </c>
      <c r="CN64" s="143">
        <f t="shared" ca="1" si="82"/>
        <v>113.97999999999999</v>
      </c>
      <c r="CO64" s="143">
        <f t="shared" ca="1" si="83"/>
        <v>18.310000000000002</v>
      </c>
      <c r="CQ64" s="132" t="s">
        <v>114</v>
      </c>
      <c r="CR64" s="132" t="s">
        <v>47</v>
      </c>
      <c r="CS64" s="143">
        <f t="shared" ca="1" si="84"/>
        <v>118.77984962406026</v>
      </c>
      <c r="CT64" s="143">
        <f t="shared" ca="1" si="85"/>
        <v>10.324511278195587</v>
      </c>
      <c r="DB64" s="143"/>
      <c r="DC64" s="143"/>
      <c r="DG64" s="143"/>
      <c r="DH64" s="143"/>
    </row>
    <row r="65" spans="1:112" x14ac:dyDescent="0.2">
      <c r="A65" s="132">
        <v>2006</v>
      </c>
      <c r="B65" s="144">
        <v>4</v>
      </c>
      <c r="C65" s="144">
        <v>8.1100000000000012</v>
      </c>
      <c r="D65" s="134">
        <v>356.69999999999993</v>
      </c>
      <c r="E65" s="134">
        <v>0</v>
      </c>
      <c r="F65" s="134">
        <v>296.7</v>
      </c>
      <c r="G65" s="134">
        <v>0</v>
      </c>
      <c r="H65" s="134">
        <v>236.7</v>
      </c>
      <c r="I65" s="134">
        <v>0</v>
      </c>
      <c r="J65" s="134">
        <v>179.6</v>
      </c>
      <c r="K65" s="134">
        <v>2.9000000000000004</v>
      </c>
      <c r="L65" s="134">
        <v>125.60000000000004</v>
      </c>
      <c r="M65" s="134">
        <v>8.9</v>
      </c>
      <c r="N65" s="134">
        <v>76.300000000000011</v>
      </c>
      <c r="O65" s="134">
        <v>19.600000000000001</v>
      </c>
      <c r="P65" s="134"/>
      <c r="Q65" s="134"/>
      <c r="R65" s="134"/>
      <c r="T65" s="132" t="s">
        <v>114</v>
      </c>
      <c r="U65" s="132" t="s">
        <v>38</v>
      </c>
      <c r="V65" s="143">
        <f t="shared" ca="1" si="62"/>
        <v>184.02999999999997</v>
      </c>
      <c r="W65" s="143">
        <f t="shared" ca="1" si="63"/>
        <v>12.910000000000002</v>
      </c>
      <c r="Y65" s="132" t="s">
        <v>114</v>
      </c>
      <c r="Z65" s="132" t="s">
        <v>38</v>
      </c>
      <c r="AA65" s="143">
        <f t="shared" ca="1" si="64"/>
        <v>183.02338345864655</v>
      </c>
      <c r="AB65" s="143">
        <f t="shared" ca="1" si="65"/>
        <v>15.909924812030113</v>
      </c>
      <c r="AH65" s="132" t="s">
        <v>114</v>
      </c>
      <c r="AI65" s="132" t="s">
        <v>38</v>
      </c>
      <c r="AJ65" s="143">
        <f t="shared" ca="1" si="66"/>
        <v>134.35</v>
      </c>
      <c r="AK65" s="143">
        <f t="shared" ca="1" si="67"/>
        <v>25.23</v>
      </c>
      <c r="AM65" s="132" t="s">
        <v>114</v>
      </c>
      <c r="AN65" s="132" t="s">
        <v>38</v>
      </c>
      <c r="AO65" s="143">
        <f t="shared" ca="1" si="68"/>
        <v>135.90902255639082</v>
      </c>
      <c r="AP65" s="143">
        <f t="shared" ca="1" si="69"/>
        <v>30.795563909774501</v>
      </c>
      <c r="AV65" s="132" t="s">
        <v>114</v>
      </c>
      <c r="AW65" s="132" t="s">
        <v>38</v>
      </c>
      <c r="AX65" s="143">
        <f t="shared" ca="1" si="70"/>
        <v>91.789999999999992</v>
      </c>
      <c r="AY65" s="143">
        <f t="shared" ca="1" si="71"/>
        <v>44.669999999999995</v>
      </c>
      <c r="BA65" s="132" t="s">
        <v>114</v>
      </c>
      <c r="BB65" s="132" t="s">
        <v>38</v>
      </c>
      <c r="BC65" s="143">
        <f t="shared" ca="1" si="72"/>
        <v>96.100075187969935</v>
      </c>
      <c r="BD65" s="143">
        <f t="shared" ca="1" si="73"/>
        <v>52.986616541353214</v>
      </c>
      <c r="BJ65" s="132" t="s">
        <v>114</v>
      </c>
      <c r="BK65" s="132" t="s">
        <v>38</v>
      </c>
      <c r="BL65" s="143">
        <f t="shared" ca="1" si="74"/>
        <v>57.640000000000008</v>
      </c>
      <c r="BM65" s="143">
        <f t="shared" ca="1" si="75"/>
        <v>72.52000000000001</v>
      </c>
      <c r="BO65" s="132" t="s">
        <v>114</v>
      </c>
      <c r="BP65" s="132" t="s">
        <v>38</v>
      </c>
      <c r="BQ65" s="143">
        <f t="shared" ca="1" si="76"/>
        <v>64.114135338345932</v>
      </c>
      <c r="BR65" s="143">
        <f t="shared" ca="1" si="77"/>
        <v>83.000676691729495</v>
      </c>
      <c r="BX65" s="132" t="s">
        <v>114</v>
      </c>
      <c r="BY65" s="132" t="s">
        <v>38</v>
      </c>
      <c r="BZ65" s="143">
        <f t="shared" ca="1" si="78"/>
        <v>31.660000000000004</v>
      </c>
      <c r="CA65" s="143">
        <f t="shared" ca="1" si="79"/>
        <v>108.54</v>
      </c>
      <c r="CC65" s="132" t="s">
        <v>114</v>
      </c>
      <c r="CD65" s="132" t="s">
        <v>38</v>
      </c>
      <c r="CE65" s="143">
        <f t="shared" ca="1" si="80"/>
        <v>37.891654135338285</v>
      </c>
      <c r="CF65" s="143">
        <f t="shared" ca="1" si="81"/>
        <v>118.77819548872185</v>
      </c>
      <c r="CL65" s="132" t="s">
        <v>114</v>
      </c>
      <c r="CM65" s="132" t="s">
        <v>38</v>
      </c>
      <c r="CN65" s="143">
        <f t="shared" ca="1" si="82"/>
        <v>14.389999999999997</v>
      </c>
      <c r="CO65" s="143">
        <f t="shared" ca="1" si="83"/>
        <v>153.26999999999995</v>
      </c>
      <c r="CQ65" s="132" t="s">
        <v>114</v>
      </c>
      <c r="CR65" s="132" t="s">
        <v>38</v>
      </c>
      <c r="CS65" s="143">
        <f t="shared" ca="1" si="84"/>
        <v>18.953533834586437</v>
      </c>
      <c r="CT65" s="143">
        <f t="shared" ca="1" si="85"/>
        <v>161.84007518797034</v>
      </c>
      <c r="DB65" s="143"/>
      <c r="DC65" s="143"/>
      <c r="DG65" s="143"/>
      <c r="DH65" s="143"/>
    </row>
    <row r="66" spans="1:112" x14ac:dyDescent="0.2">
      <c r="A66" s="132">
        <v>2006</v>
      </c>
      <c r="B66" s="144">
        <v>5</v>
      </c>
      <c r="C66" s="144">
        <v>14.57741935483871</v>
      </c>
      <c r="D66" s="134">
        <v>187.19999999999996</v>
      </c>
      <c r="E66" s="134">
        <v>19.100000000000001</v>
      </c>
      <c r="F66" s="134">
        <v>135.29999999999998</v>
      </c>
      <c r="G66" s="134">
        <v>29.200000000000003</v>
      </c>
      <c r="H66" s="134">
        <v>88.600000000000009</v>
      </c>
      <c r="I66" s="134">
        <v>44.500000000000007</v>
      </c>
      <c r="J66" s="134">
        <v>48.800000000000004</v>
      </c>
      <c r="K66" s="134">
        <v>66.700000000000017</v>
      </c>
      <c r="L66" s="134">
        <v>21.4</v>
      </c>
      <c r="M66" s="134">
        <v>101.30000000000001</v>
      </c>
      <c r="N66" s="134">
        <v>6.6999999999999993</v>
      </c>
      <c r="O66" s="134">
        <v>148.59999999999997</v>
      </c>
      <c r="P66" s="134"/>
      <c r="Q66" s="134"/>
      <c r="R66" s="134"/>
      <c r="T66" s="132" t="s">
        <v>114</v>
      </c>
      <c r="U66" s="132" t="s">
        <v>48</v>
      </c>
      <c r="V66" s="143">
        <f t="shared" ca="1" si="62"/>
        <v>52.409999999999989</v>
      </c>
      <c r="W66" s="143">
        <f t="shared" ca="1" si="63"/>
        <v>39.709999999999994</v>
      </c>
      <c r="Y66" s="132" t="s">
        <v>114</v>
      </c>
      <c r="Z66" s="132" t="s">
        <v>48</v>
      </c>
      <c r="AA66" s="143">
        <f t="shared" ca="1" si="64"/>
        <v>52.146315789473682</v>
      </c>
      <c r="AB66" s="143">
        <f t="shared" ca="1" si="65"/>
        <v>35.480601503759317</v>
      </c>
      <c r="AH66" s="132" t="s">
        <v>114</v>
      </c>
      <c r="AI66" s="132" t="s">
        <v>48</v>
      </c>
      <c r="AJ66" s="143">
        <f t="shared" ca="1" si="66"/>
        <v>24.629999999999995</v>
      </c>
      <c r="AK66" s="143">
        <f t="shared" ca="1" si="67"/>
        <v>71.929999999999993</v>
      </c>
      <c r="AM66" s="132" t="s">
        <v>114</v>
      </c>
      <c r="AN66" s="132" t="s">
        <v>48</v>
      </c>
      <c r="AO66" s="143">
        <f t="shared" ca="1" si="68"/>
        <v>23.594586466165481</v>
      </c>
      <c r="AP66" s="143">
        <f t="shared" ca="1" si="69"/>
        <v>66.928872180450981</v>
      </c>
      <c r="AV66" s="132" t="s">
        <v>114</v>
      </c>
      <c r="AW66" s="132" t="s">
        <v>48</v>
      </c>
      <c r="AX66" s="143">
        <f t="shared" ca="1" si="70"/>
        <v>8.3199999999999985</v>
      </c>
      <c r="AY66" s="143">
        <f t="shared" ca="1" si="71"/>
        <v>115.62</v>
      </c>
      <c r="BA66" s="132" t="s">
        <v>114</v>
      </c>
      <c r="BB66" s="132" t="s">
        <v>48</v>
      </c>
      <c r="BC66" s="143">
        <f t="shared" ca="1" si="72"/>
        <v>7.5652631578947194</v>
      </c>
      <c r="BD66" s="143">
        <f t="shared" ca="1" si="73"/>
        <v>110.8995488721805</v>
      </c>
      <c r="BJ66" s="132" t="s">
        <v>114</v>
      </c>
      <c r="BK66" s="132" t="s">
        <v>48</v>
      </c>
      <c r="BL66" s="143">
        <f t="shared" ca="1" si="74"/>
        <v>1.9799999999999998</v>
      </c>
      <c r="BM66" s="143">
        <f t="shared" ca="1" si="75"/>
        <v>169.28000000000003</v>
      </c>
      <c r="BO66" s="132" t="s">
        <v>114</v>
      </c>
      <c r="BP66" s="132" t="s">
        <v>48</v>
      </c>
      <c r="BQ66" s="143">
        <f t="shared" ca="1" si="76"/>
        <v>1.1745864661654366</v>
      </c>
      <c r="BR66" s="143">
        <f t="shared" ca="1" si="77"/>
        <v>164.50887218045091</v>
      </c>
      <c r="BX66" s="132" t="s">
        <v>114</v>
      </c>
      <c r="BY66" s="132" t="s">
        <v>48</v>
      </c>
      <c r="BZ66" s="143">
        <f t="shared" ca="1" si="78"/>
        <v>0.24000000000000005</v>
      </c>
      <c r="CA66" s="143">
        <f t="shared" ca="1" si="79"/>
        <v>227.54000000000002</v>
      </c>
      <c r="CC66" s="132" t="s">
        <v>114</v>
      </c>
      <c r="CD66" s="132" t="s">
        <v>48</v>
      </c>
      <c r="CE66" s="143">
        <f t="shared" ca="1" si="80"/>
        <v>9.6842105263156952E-2</v>
      </c>
      <c r="CF66" s="143">
        <f t="shared" ca="1" si="81"/>
        <v>223.43112781954869</v>
      </c>
      <c r="CL66" s="132" t="s">
        <v>114</v>
      </c>
      <c r="CM66" s="132" t="s">
        <v>48</v>
      </c>
      <c r="CN66" s="143">
        <f t="shared" ca="1" si="82"/>
        <v>0</v>
      </c>
      <c r="CO66" s="143">
        <f t="shared" ca="1" si="83"/>
        <v>287.30000000000007</v>
      </c>
      <c r="CQ66" s="132" t="s">
        <v>114</v>
      </c>
      <c r="CR66" s="132" t="s">
        <v>48</v>
      </c>
      <c r="CS66" s="143">
        <f t="shared" ca="1" si="84"/>
        <v>0</v>
      </c>
      <c r="CT66" s="143">
        <f t="shared" ca="1" si="85"/>
        <v>283.33428571428567</v>
      </c>
      <c r="DB66" s="143"/>
      <c r="DC66" s="143"/>
      <c r="DG66" s="143"/>
      <c r="DH66" s="143"/>
    </row>
    <row r="67" spans="1:112" x14ac:dyDescent="0.2">
      <c r="A67" s="132">
        <v>2006</v>
      </c>
      <c r="B67" s="144">
        <v>6</v>
      </c>
      <c r="C67" s="144">
        <v>19.656666666666677</v>
      </c>
      <c r="D67" s="134">
        <v>39.199999999999989</v>
      </c>
      <c r="E67" s="134">
        <v>28.900000000000002</v>
      </c>
      <c r="F67" s="134">
        <v>15.899999999999995</v>
      </c>
      <c r="G67" s="134">
        <v>65.600000000000009</v>
      </c>
      <c r="H67" s="134">
        <v>5.1999999999999993</v>
      </c>
      <c r="I67" s="134">
        <v>114.89999999999999</v>
      </c>
      <c r="J67" s="134">
        <v>1.1999999999999993</v>
      </c>
      <c r="K67" s="134">
        <v>170.89999999999998</v>
      </c>
      <c r="L67" s="134">
        <v>0</v>
      </c>
      <c r="M67" s="134">
        <v>229.69999999999993</v>
      </c>
      <c r="N67" s="134">
        <v>0</v>
      </c>
      <c r="O67" s="134">
        <v>289.7</v>
      </c>
      <c r="P67" s="134"/>
      <c r="Q67" s="134"/>
      <c r="R67" s="134"/>
      <c r="T67" s="132" t="s">
        <v>114</v>
      </c>
      <c r="U67" s="132" t="s">
        <v>49</v>
      </c>
      <c r="V67" s="143">
        <f t="shared" ca="1" si="62"/>
        <v>6.0299999999999985</v>
      </c>
      <c r="W67" s="143">
        <f t="shared" ca="1" si="63"/>
        <v>106.9</v>
      </c>
      <c r="Y67" s="132" t="s">
        <v>114</v>
      </c>
      <c r="Z67" s="132" t="s">
        <v>49</v>
      </c>
      <c r="AA67" s="143">
        <f t="shared" ca="1" si="64"/>
        <v>4.1160902255638803</v>
      </c>
      <c r="AB67" s="143">
        <f t="shared" ca="1" si="65"/>
        <v>112.06270676691702</v>
      </c>
      <c r="AH67" s="132" t="s">
        <v>114</v>
      </c>
      <c r="AI67" s="132" t="s">
        <v>49</v>
      </c>
      <c r="AJ67" s="143">
        <f t="shared" ca="1" si="66"/>
        <v>0.55000000000000004</v>
      </c>
      <c r="AK67" s="143">
        <f t="shared" ca="1" si="67"/>
        <v>163.41999999999999</v>
      </c>
      <c r="AM67" s="132" t="s">
        <v>114</v>
      </c>
      <c r="AN67" s="132" t="s">
        <v>49</v>
      </c>
      <c r="AO67" s="143">
        <f t="shared" ca="1" si="68"/>
        <v>0.24300751879701465</v>
      </c>
      <c r="AP67" s="143">
        <f t="shared" ca="1" si="69"/>
        <v>170.18962406015044</v>
      </c>
      <c r="AV67" s="132" t="s">
        <v>114</v>
      </c>
      <c r="AW67" s="132" t="s">
        <v>49</v>
      </c>
      <c r="AX67" s="143">
        <f t="shared" ca="1" si="70"/>
        <v>0</v>
      </c>
      <c r="AY67" s="143">
        <f t="shared" ca="1" si="71"/>
        <v>224.87000000000003</v>
      </c>
      <c r="BA67" s="132" t="s">
        <v>114</v>
      </c>
      <c r="BB67" s="132" t="s">
        <v>49</v>
      </c>
      <c r="BC67" s="143">
        <f t="shared" ca="1" si="72"/>
        <v>0</v>
      </c>
      <c r="BD67" s="143">
        <f t="shared" ca="1" si="73"/>
        <v>231.80947368421039</v>
      </c>
      <c r="BJ67" s="132" t="s">
        <v>114</v>
      </c>
      <c r="BK67" s="132" t="s">
        <v>49</v>
      </c>
      <c r="BL67" s="143">
        <f t="shared" ca="1" si="74"/>
        <v>0</v>
      </c>
      <c r="BM67" s="143">
        <f t="shared" ca="1" si="75"/>
        <v>286.87</v>
      </c>
      <c r="BO67" s="132" t="s">
        <v>114</v>
      </c>
      <c r="BP67" s="132" t="s">
        <v>49</v>
      </c>
      <c r="BQ67" s="143">
        <f t="shared" ca="1" si="76"/>
        <v>0</v>
      </c>
      <c r="BR67" s="143">
        <f t="shared" ca="1" si="77"/>
        <v>293.94661654135325</v>
      </c>
      <c r="BX67" s="132" t="s">
        <v>114</v>
      </c>
      <c r="BY67" s="132" t="s">
        <v>49</v>
      </c>
      <c r="BZ67" s="143">
        <f t="shared" ca="1" si="78"/>
        <v>0</v>
      </c>
      <c r="CA67" s="143">
        <f t="shared" ca="1" si="79"/>
        <v>348.87</v>
      </c>
      <c r="CC67" s="132" t="s">
        <v>114</v>
      </c>
      <c r="CD67" s="132" t="s">
        <v>49</v>
      </c>
      <c r="CE67" s="143">
        <f t="shared" ca="1" si="80"/>
        <v>0</v>
      </c>
      <c r="CF67" s="143">
        <f t="shared" ca="1" si="81"/>
        <v>355.94661654135325</v>
      </c>
      <c r="CL67" s="132" t="s">
        <v>114</v>
      </c>
      <c r="CM67" s="132" t="s">
        <v>49</v>
      </c>
      <c r="CN67" s="143">
        <f t="shared" ca="1" si="82"/>
        <v>0</v>
      </c>
      <c r="CO67" s="143">
        <f t="shared" ca="1" si="83"/>
        <v>410.87</v>
      </c>
      <c r="CQ67" s="132" t="s">
        <v>114</v>
      </c>
      <c r="CR67" s="132" t="s">
        <v>49</v>
      </c>
      <c r="CS67" s="143">
        <f t="shared" ca="1" si="84"/>
        <v>0</v>
      </c>
      <c r="CT67" s="143">
        <f t="shared" ca="1" si="85"/>
        <v>417.94661654135325</v>
      </c>
      <c r="DB67" s="143"/>
      <c r="DC67" s="143"/>
      <c r="DG67" s="143"/>
      <c r="DH67" s="143"/>
    </row>
    <row r="68" spans="1:112" x14ac:dyDescent="0.2">
      <c r="A68" s="132">
        <v>2006</v>
      </c>
      <c r="B68" s="144">
        <v>7</v>
      </c>
      <c r="C68" s="144">
        <v>23.361290322580647</v>
      </c>
      <c r="D68" s="134">
        <v>6</v>
      </c>
      <c r="E68" s="134">
        <v>110.20000000000002</v>
      </c>
      <c r="F68" s="134">
        <v>0.60000000000000142</v>
      </c>
      <c r="G68" s="134">
        <v>166.8</v>
      </c>
      <c r="H68" s="134">
        <v>0</v>
      </c>
      <c r="I68" s="134">
        <v>228.19999999999996</v>
      </c>
      <c r="J68" s="134">
        <v>0</v>
      </c>
      <c r="K68" s="134">
        <v>290.2</v>
      </c>
      <c r="L68" s="134">
        <v>0</v>
      </c>
      <c r="M68" s="134">
        <v>352.2</v>
      </c>
      <c r="N68" s="134">
        <v>0</v>
      </c>
      <c r="O68" s="134">
        <v>414.2</v>
      </c>
      <c r="P68" s="134"/>
      <c r="Q68" s="134"/>
      <c r="R68" s="134"/>
      <c r="T68" s="132" t="s">
        <v>114</v>
      </c>
      <c r="U68" s="132" t="s">
        <v>50</v>
      </c>
      <c r="V68" s="143">
        <f t="shared" ca="1" si="62"/>
        <v>10.429999999999998</v>
      </c>
      <c r="W68" s="143">
        <f t="shared" ca="1" si="63"/>
        <v>72.509999999999977</v>
      </c>
      <c r="Y68" s="132" t="s">
        <v>114</v>
      </c>
      <c r="Z68" s="132" t="s">
        <v>50</v>
      </c>
      <c r="AA68" s="143">
        <f t="shared" ca="1" si="64"/>
        <v>11.243157894736839</v>
      </c>
      <c r="AB68" s="143">
        <f t="shared" ca="1" si="65"/>
        <v>68.008120300751671</v>
      </c>
      <c r="AH68" s="132" t="s">
        <v>114</v>
      </c>
      <c r="AI68" s="132" t="s">
        <v>50</v>
      </c>
      <c r="AJ68" s="143">
        <f t="shared" ca="1" si="66"/>
        <v>1.5799999999999996</v>
      </c>
      <c r="AK68" s="143">
        <f t="shared" ca="1" si="67"/>
        <v>125.66000000000001</v>
      </c>
      <c r="AM68" s="132" t="s">
        <v>114</v>
      </c>
      <c r="AN68" s="132" t="s">
        <v>50</v>
      </c>
      <c r="AO68" s="143">
        <f t="shared" ca="1" si="68"/>
        <v>1.8483458646616597</v>
      </c>
      <c r="AP68" s="143">
        <f t="shared" ca="1" si="69"/>
        <v>120.61330827067673</v>
      </c>
      <c r="AV68" s="132" t="s">
        <v>114</v>
      </c>
      <c r="AW68" s="132" t="s">
        <v>50</v>
      </c>
      <c r="AX68" s="143">
        <f t="shared" ca="1" si="70"/>
        <v>9.9999999999999638E-3</v>
      </c>
      <c r="AY68" s="143">
        <f t="shared" ca="1" si="71"/>
        <v>186.09000000000003</v>
      </c>
      <c r="BA68" s="132" t="s">
        <v>114</v>
      </c>
      <c r="BB68" s="132" t="s">
        <v>50</v>
      </c>
      <c r="BC68" s="143">
        <f t="shared" ca="1" si="72"/>
        <v>3.9022556390978735E-2</v>
      </c>
      <c r="BD68" s="143">
        <f t="shared" ca="1" si="73"/>
        <v>180.80398496240605</v>
      </c>
      <c r="BJ68" s="132" t="s">
        <v>114</v>
      </c>
      <c r="BK68" s="132" t="s">
        <v>50</v>
      </c>
      <c r="BL68" s="143">
        <f t="shared" ca="1" si="74"/>
        <v>0</v>
      </c>
      <c r="BM68" s="143">
        <f t="shared" ca="1" si="75"/>
        <v>248.08000000000007</v>
      </c>
      <c r="BO68" s="132" t="s">
        <v>114</v>
      </c>
      <c r="BP68" s="132" t="s">
        <v>50</v>
      </c>
      <c r="BQ68" s="143">
        <f t="shared" ca="1" si="76"/>
        <v>0</v>
      </c>
      <c r="BR68" s="143">
        <f t="shared" ca="1" si="77"/>
        <v>242.76496240601523</v>
      </c>
      <c r="BX68" s="132" t="s">
        <v>114</v>
      </c>
      <c r="BY68" s="132" t="s">
        <v>50</v>
      </c>
      <c r="BZ68" s="143">
        <f t="shared" ca="1" si="78"/>
        <v>0</v>
      </c>
      <c r="CA68" s="143">
        <f t="shared" ca="1" si="79"/>
        <v>310.08000000000004</v>
      </c>
      <c r="CC68" s="132" t="s">
        <v>114</v>
      </c>
      <c r="CD68" s="132" t="s">
        <v>50</v>
      </c>
      <c r="CE68" s="143">
        <f t="shared" ca="1" si="80"/>
        <v>0</v>
      </c>
      <c r="CF68" s="143">
        <f t="shared" ca="1" si="81"/>
        <v>304.76496240601523</v>
      </c>
      <c r="CL68" s="132" t="s">
        <v>114</v>
      </c>
      <c r="CM68" s="132" t="s">
        <v>50</v>
      </c>
      <c r="CN68" s="143">
        <f t="shared" ca="1" si="82"/>
        <v>0</v>
      </c>
      <c r="CO68" s="143">
        <f t="shared" ca="1" si="83"/>
        <v>372.0800000000001</v>
      </c>
      <c r="CQ68" s="132" t="s">
        <v>114</v>
      </c>
      <c r="CR68" s="132" t="s">
        <v>50</v>
      </c>
      <c r="CS68" s="143">
        <f t="shared" ca="1" si="84"/>
        <v>0</v>
      </c>
      <c r="CT68" s="143">
        <f t="shared" ca="1" si="85"/>
        <v>366.764962406015</v>
      </c>
      <c r="DB68" s="143"/>
      <c r="DC68" s="143"/>
      <c r="DG68" s="143"/>
      <c r="DH68" s="143"/>
    </row>
    <row r="69" spans="1:112" x14ac:dyDescent="0.2">
      <c r="A69" s="132">
        <v>2006</v>
      </c>
      <c r="B69" s="144">
        <v>8</v>
      </c>
      <c r="C69" s="144">
        <v>21.303225806451618</v>
      </c>
      <c r="D69" s="134">
        <v>15.399999999999999</v>
      </c>
      <c r="E69" s="134">
        <v>55.800000000000004</v>
      </c>
      <c r="F69" s="134">
        <v>1.3999999999999986</v>
      </c>
      <c r="G69" s="134">
        <v>103.80000000000001</v>
      </c>
      <c r="H69" s="134">
        <v>0</v>
      </c>
      <c r="I69" s="134">
        <v>164.39999999999998</v>
      </c>
      <c r="J69" s="134">
        <v>0</v>
      </c>
      <c r="K69" s="134">
        <v>226.39999999999992</v>
      </c>
      <c r="L69" s="134">
        <v>0</v>
      </c>
      <c r="M69" s="134">
        <v>288.39999999999998</v>
      </c>
      <c r="N69" s="134">
        <v>0</v>
      </c>
      <c r="O69" s="134">
        <v>350.39999999999992</v>
      </c>
      <c r="P69" s="134"/>
      <c r="Q69" s="134"/>
      <c r="R69" s="134"/>
      <c r="T69" s="132" t="s">
        <v>114</v>
      </c>
      <c r="U69" s="132" t="s">
        <v>51</v>
      </c>
      <c r="V69" s="143">
        <f t="shared" ca="1" si="62"/>
        <v>79.539999999999992</v>
      </c>
      <c r="W69" s="143">
        <f t="shared" ca="1" si="63"/>
        <v>30.890000000000004</v>
      </c>
      <c r="Y69" s="132" t="s">
        <v>114</v>
      </c>
      <c r="Z69" s="132" t="s">
        <v>51</v>
      </c>
      <c r="AA69" s="143">
        <f t="shared" ca="1" si="64"/>
        <v>82.005939849624042</v>
      </c>
      <c r="AB69" s="143">
        <f t="shared" ca="1" si="65"/>
        <v>32.29609022556383</v>
      </c>
      <c r="AH69" s="132" t="s">
        <v>114</v>
      </c>
      <c r="AI69" s="132" t="s">
        <v>51</v>
      </c>
      <c r="AJ69" s="143">
        <f t="shared" ca="1" si="66"/>
        <v>44.589999999999996</v>
      </c>
      <c r="AK69" s="143">
        <f t="shared" ca="1" si="67"/>
        <v>55.940000000000012</v>
      </c>
      <c r="AM69" s="132" t="s">
        <v>114</v>
      </c>
      <c r="AN69" s="132" t="s">
        <v>51</v>
      </c>
      <c r="AO69" s="143">
        <f t="shared" ca="1" si="68"/>
        <v>45.98330827067673</v>
      </c>
      <c r="AP69" s="143">
        <f t="shared" ca="1" si="69"/>
        <v>56.273458646616518</v>
      </c>
      <c r="AV69" s="132" t="s">
        <v>114</v>
      </c>
      <c r="AW69" s="132" t="s">
        <v>51</v>
      </c>
      <c r="AX69" s="143">
        <f t="shared" ca="1" si="70"/>
        <v>19.43</v>
      </c>
      <c r="AY69" s="143">
        <f t="shared" ca="1" si="71"/>
        <v>90.78</v>
      </c>
      <c r="BA69" s="132" t="s">
        <v>114</v>
      </c>
      <c r="BB69" s="132" t="s">
        <v>51</v>
      </c>
      <c r="BC69" s="143">
        <f t="shared" ca="1" si="72"/>
        <v>19.08556390977445</v>
      </c>
      <c r="BD69" s="143">
        <f t="shared" ca="1" si="73"/>
        <v>89.375714285714309</v>
      </c>
      <c r="BJ69" s="132" t="s">
        <v>114</v>
      </c>
      <c r="BK69" s="132" t="s">
        <v>51</v>
      </c>
      <c r="BL69" s="143">
        <f t="shared" ca="1" si="74"/>
        <v>6.1599999999999984</v>
      </c>
      <c r="BM69" s="143">
        <f t="shared" ca="1" si="75"/>
        <v>137.51000000000002</v>
      </c>
      <c r="BO69" s="132" t="s">
        <v>114</v>
      </c>
      <c r="BP69" s="132" t="s">
        <v>51</v>
      </c>
      <c r="BQ69" s="143">
        <f t="shared" ca="1" si="76"/>
        <v>4.6667669172932449</v>
      </c>
      <c r="BR69" s="143">
        <f t="shared" ca="1" si="77"/>
        <v>134.95691729323306</v>
      </c>
      <c r="BX69" s="132" t="s">
        <v>114</v>
      </c>
      <c r="BY69" s="132" t="s">
        <v>51</v>
      </c>
      <c r="BZ69" s="143">
        <f t="shared" ca="1" si="78"/>
        <v>1.0399999999999998</v>
      </c>
      <c r="CA69" s="143">
        <f t="shared" ca="1" si="79"/>
        <v>192.39000000000001</v>
      </c>
      <c r="CC69" s="132" t="s">
        <v>114</v>
      </c>
      <c r="CD69" s="132" t="s">
        <v>51</v>
      </c>
      <c r="CE69" s="143">
        <f t="shared" ca="1" si="80"/>
        <v>0.26082706766919728</v>
      </c>
      <c r="CF69" s="143">
        <f t="shared" ca="1" si="81"/>
        <v>190.55097744360904</v>
      </c>
      <c r="CL69" s="132" t="s">
        <v>114</v>
      </c>
      <c r="CM69" s="132" t="s">
        <v>51</v>
      </c>
      <c r="CN69" s="143">
        <f t="shared" ca="1" si="82"/>
        <v>0</v>
      </c>
      <c r="CO69" s="143">
        <f t="shared" ca="1" si="83"/>
        <v>251.35000000000008</v>
      </c>
      <c r="CQ69" s="132" t="s">
        <v>114</v>
      </c>
      <c r="CR69" s="132" t="s">
        <v>51</v>
      </c>
      <c r="CS69" s="143">
        <f t="shared" ca="1" si="84"/>
        <v>0</v>
      </c>
      <c r="CT69" s="143">
        <f t="shared" ca="1" si="85"/>
        <v>250.17879699248124</v>
      </c>
      <c r="DB69" s="143"/>
      <c r="DC69" s="143"/>
      <c r="DG69" s="143"/>
      <c r="DH69" s="143"/>
    </row>
    <row r="70" spans="1:112" x14ac:dyDescent="0.2">
      <c r="A70" s="132">
        <v>2006</v>
      </c>
      <c r="B70" s="144">
        <v>9</v>
      </c>
      <c r="C70" s="144">
        <v>16.216666666666669</v>
      </c>
      <c r="D70" s="134">
        <v>117.60000000000001</v>
      </c>
      <c r="E70" s="134">
        <v>4.1000000000000014</v>
      </c>
      <c r="F70" s="134">
        <v>69.2</v>
      </c>
      <c r="G70" s="134">
        <v>15.7</v>
      </c>
      <c r="H70" s="134">
        <v>36.400000000000006</v>
      </c>
      <c r="I70" s="134">
        <v>42.9</v>
      </c>
      <c r="J70" s="134">
        <v>15.200000000000003</v>
      </c>
      <c r="K70" s="134">
        <v>81.699999999999989</v>
      </c>
      <c r="L70" s="134">
        <v>4.8000000000000007</v>
      </c>
      <c r="M70" s="134">
        <v>131.29999999999998</v>
      </c>
      <c r="N70" s="134">
        <v>1.3000000000000007</v>
      </c>
      <c r="O70" s="134">
        <v>187.79999999999995</v>
      </c>
      <c r="P70" s="134"/>
      <c r="Q70" s="134"/>
      <c r="R70" s="134"/>
      <c r="T70" s="132" t="s">
        <v>114</v>
      </c>
      <c r="U70" s="132" t="s">
        <v>52</v>
      </c>
      <c r="V70" s="143">
        <f t="shared" ca="1" si="62"/>
        <v>258.69</v>
      </c>
      <c r="W70" s="143">
        <f t="shared" ca="1" si="63"/>
        <v>2.16</v>
      </c>
      <c r="Y70" s="132" t="s">
        <v>114</v>
      </c>
      <c r="Z70" s="132" t="s">
        <v>52</v>
      </c>
      <c r="AA70" s="143">
        <f t="shared" ca="1" si="64"/>
        <v>252.60654135338336</v>
      </c>
      <c r="AB70" s="143">
        <f t="shared" ca="1" si="65"/>
        <v>2.1778195488721792</v>
      </c>
      <c r="AH70" s="132" t="s">
        <v>114</v>
      </c>
      <c r="AI70" s="132" t="s">
        <v>52</v>
      </c>
      <c r="AJ70" s="143">
        <f t="shared" ca="1" si="66"/>
        <v>200.92</v>
      </c>
      <c r="AK70" s="143">
        <f t="shared" ca="1" si="67"/>
        <v>6.3899999999999988</v>
      </c>
      <c r="AM70" s="132" t="s">
        <v>114</v>
      </c>
      <c r="AN70" s="132" t="s">
        <v>52</v>
      </c>
      <c r="AO70" s="143">
        <f t="shared" ca="1" si="68"/>
        <v>194.12203007518792</v>
      </c>
      <c r="AP70" s="143">
        <f t="shared" ca="1" si="69"/>
        <v>5.6933082706766811</v>
      </c>
      <c r="AV70" s="132" t="s">
        <v>114</v>
      </c>
      <c r="AW70" s="132" t="s">
        <v>52</v>
      </c>
      <c r="AX70" s="143">
        <f t="shared" ca="1" si="70"/>
        <v>147.23999999999998</v>
      </c>
      <c r="AY70" s="143">
        <f t="shared" ca="1" si="71"/>
        <v>14.710000000000003</v>
      </c>
      <c r="BA70" s="132" t="s">
        <v>114</v>
      </c>
      <c r="BB70" s="132" t="s">
        <v>52</v>
      </c>
      <c r="BC70" s="143">
        <f t="shared" ca="1" si="72"/>
        <v>140.13097744360903</v>
      </c>
      <c r="BD70" s="143">
        <f t="shared" ca="1" si="73"/>
        <v>13.702255639097729</v>
      </c>
      <c r="BJ70" s="132" t="s">
        <v>114</v>
      </c>
      <c r="BK70" s="132" t="s">
        <v>52</v>
      </c>
      <c r="BL70" s="143">
        <f t="shared" ca="1" si="74"/>
        <v>100.38000000000001</v>
      </c>
      <c r="BM70" s="143">
        <f t="shared" ca="1" si="75"/>
        <v>29.849999999999994</v>
      </c>
      <c r="BO70" s="132" t="s">
        <v>114</v>
      </c>
      <c r="BP70" s="132" t="s">
        <v>52</v>
      </c>
      <c r="BQ70" s="143">
        <f t="shared" ca="1" si="76"/>
        <v>92.905488721804431</v>
      </c>
      <c r="BR70" s="143">
        <f t="shared" ca="1" si="77"/>
        <v>28.476766917293247</v>
      </c>
      <c r="BX70" s="132" t="s">
        <v>114</v>
      </c>
      <c r="BY70" s="132" t="s">
        <v>52</v>
      </c>
      <c r="BZ70" s="143">
        <f t="shared" ca="1" si="78"/>
        <v>61.510000000000012</v>
      </c>
      <c r="CA70" s="143">
        <f t="shared" ca="1" si="79"/>
        <v>52.98</v>
      </c>
      <c r="CC70" s="132" t="s">
        <v>114</v>
      </c>
      <c r="CD70" s="132" t="s">
        <v>52</v>
      </c>
      <c r="CE70" s="143">
        <f t="shared" ca="1" si="80"/>
        <v>54.015488721804104</v>
      </c>
      <c r="CF70" s="143">
        <f t="shared" ca="1" si="81"/>
        <v>51.586766917293232</v>
      </c>
      <c r="CL70" s="132" t="s">
        <v>114</v>
      </c>
      <c r="CM70" s="132" t="s">
        <v>52</v>
      </c>
      <c r="CN70" s="143">
        <f t="shared" ca="1" si="82"/>
        <v>31.600000000000005</v>
      </c>
      <c r="CO70" s="143">
        <f t="shared" ca="1" si="83"/>
        <v>85.07</v>
      </c>
      <c r="CQ70" s="132" t="s">
        <v>114</v>
      </c>
      <c r="CR70" s="132" t="s">
        <v>52</v>
      </c>
      <c r="CS70" s="143">
        <f t="shared" ca="1" si="84"/>
        <v>25.511729323308145</v>
      </c>
      <c r="CT70" s="143">
        <f t="shared" ca="1" si="85"/>
        <v>85.083007518796876</v>
      </c>
      <c r="DB70" s="143"/>
      <c r="DC70" s="143"/>
      <c r="DG70" s="143"/>
      <c r="DH70" s="143"/>
    </row>
    <row r="71" spans="1:112" x14ac:dyDescent="0.2">
      <c r="A71" s="132">
        <v>2006</v>
      </c>
      <c r="B71" s="144">
        <v>10</v>
      </c>
      <c r="C71" s="144">
        <v>9.7451612903225797</v>
      </c>
      <c r="D71" s="134">
        <v>317.90000000000003</v>
      </c>
      <c r="E71" s="134">
        <v>0</v>
      </c>
      <c r="F71" s="134">
        <v>256.7</v>
      </c>
      <c r="G71" s="134">
        <v>0.80000000000000071</v>
      </c>
      <c r="H71" s="134">
        <v>197.2</v>
      </c>
      <c r="I71" s="134">
        <v>3.3000000000000007</v>
      </c>
      <c r="J71" s="134">
        <v>142.70000000000002</v>
      </c>
      <c r="K71" s="134">
        <v>10.800000000000002</v>
      </c>
      <c r="L71" s="134">
        <v>99.499999999999986</v>
      </c>
      <c r="M71" s="134">
        <v>29.600000000000009</v>
      </c>
      <c r="N71" s="134">
        <v>61.600000000000009</v>
      </c>
      <c r="O71" s="134">
        <v>53.699999999999989</v>
      </c>
      <c r="P71" s="134"/>
      <c r="Q71" s="134"/>
      <c r="R71" s="134"/>
      <c r="T71" s="132" t="s">
        <v>114</v>
      </c>
      <c r="U71" s="132" t="s">
        <v>53</v>
      </c>
      <c r="V71" s="143">
        <f t="shared" ca="1" si="62"/>
        <v>450.49000000000007</v>
      </c>
      <c r="W71" s="143">
        <f t="shared" ca="1" si="63"/>
        <v>0</v>
      </c>
      <c r="Y71" s="132" t="s">
        <v>114</v>
      </c>
      <c r="Z71" s="132" t="s">
        <v>53</v>
      </c>
      <c r="AA71" s="143">
        <f t="shared" ca="1" si="64"/>
        <v>473.68902255639114</v>
      </c>
      <c r="AB71" s="143">
        <f t="shared" ca="1" si="65"/>
        <v>0</v>
      </c>
      <c r="AH71" s="132" t="s">
        <v>114</v>
      </c>
      <c r="AI71" s="132" t="s">
        <v>53</v>
      </c>
      <c r="AJ71" s="143">
        <f t="shared" ca="1" si="66"/>
        <v>390.56999999999994</v>
      </c>
      <c r="AK71" s="143">
        <f t="shared" ca="1" si="67"/>
        <v>8.0000000000000071E-2</v>
      </c>
      <c r="AM71" s="132" t="s">
        <v>114</v>
      </c>
      <c r="AN71" s="132" t="s">
        <v>53</v>
      </c>
      <c r="AO71" s="143">
        <f t="shared" ca="1" si="68"/>
        <v>413.86045112781994</v>
      </c>
      <c r="AP71" s="143">
        <f t="shared" ca="1" si="69"/>
        <v>0.17142857142857082</v>
      </c>
      <c r="AV71" s="132" t="s">
        <v>114</v>
      </c>
      <c r="AW71" s="132" t="s">
        <v>53</v>
      </c>
      <c r="AX71" s="143">
        <f t="shared" ca="1" si="70"/>
        <v>331.03</v>
      </c>
      <c r="AY71" s="143">
        <f t="shared" ca="1" si="71"/>
        <v>0.54000000000000026</v>
      </c>
      <c r="BA71" s="132" t="s">
        <v>114</v>
      </c>
      <c r="BB71" s="132" t="s">
        <v>53</v>
      </c>
      <c r="BC71" s="143">
        <f t="shared" ca="1" si="72"/>
        <v>354.61300751879662</v>
      </c>
      <c r="BD71" s="143">
        <f t="shared" ca="1" si="73"/>
        <v>0.92398496240600991</v>
      </c>
      <c r="BJ71" s="132" t="s">
        <v>114</v>
      </c>
      <c r="BK71" s="132" t="s">
        <v>53</v>
      </c>
      <c r="BL71" s="143">
        <f t="shared" ca="1" si="74"/>
        <v>272.74</v>
      </c>
      <c r="BM71" s="143">
        <f t="shared" ca="1" si="75"/>
        <v>2.25</v>
      </c>
      <c r="BO71" s="132" t="s">
        <v>114</v>
      </c>
      <c r="BP71" s="132" t="s">
        <v>53</v>
      </c>
      <c r="BQ71" s="143">
        <f t="shared" ca="1" si="76"/>
        <v>297.19157894736782</v>
      </c>
      <c r="BR71" s="143">
        <f t="shared" ca="1" si="77"/>
        <v>3.5025563909774746</v>
      </c>
      <c r="BX71" s="132" t="s">
        <v>114</v>
      </c>
      <c r="BY71" s="132" t="s">
        <v>53</v>
      </c>
      <c r="BZ71" s="143">
        <f t="shared" ca="1" si="78"/>
        <v>216.64000000000001</v>
      </c>
      <c r="CA71" s="143">
        <f t="shared" ca="1" si="79"/>
        <v>6.1500000000000012</v>
      </c>
      <c r="CC71" s="132" t="s">
        <v>114</v>
      </c>
      <c r="CD71" s="132" t="s">
        <v>53</v>
      </c>
      <c r="CE71" s="143">
        <f t="shared" ca="1" si="80"/>
        <v>241.43255639097697</v>
      </c>
      <c r="CF71" s="143">
        <f t="shared" ca="1" si="81"/>
        <v>7.7435338345865148</v>
      </c>
      <c r="CL71" s="132" t="s">
        <v>114</v>
      </c>
      <c r="CM71" s="132" t="s">
        <v>53</v>
      </c>
      <c r="CN71" s="143">
        <f t="shared" ca="1" si="82"/>
        <v>164.85000000000002</v>
      </c>
      <c r="CO71" s="143">
        <f t="shared" ca="1" si="83"/>
        <v>14.36</v>
      </c>
      <c r="CQ71" s="132" t="s">
        <v>114</v>
      </c>
      <c r="CR71" s="132" t="s">
        <v>53</v>
      </c>
      <c r="CS71" s="143">
        <f t="shared" ca="1" si="84"/>
        <v>188.18293233082659</v>
      </c>
      <c r="CT71" s="143">
        <f t="shared" ca="1" si="85"/>
        <v>14.493909774436077</v>
      </c>
      <c r="DB71" s="143"/>
      <c r="DC71" s="143"/>
      <c r="DG71" s="143"/>
      <c r="DH71" s="143"/>
    </row>
    <row r="72" spans="1:112" x14ac:dyDescent="0.2">
      <c r="A72" s="132">
        <v>2006</v>
      </c>
      <c r="B72" s="144">
        <v>11</v>
      </c>
      <c r="C72" s="144">
        <v>5.9733333333333336</v>
      </c>
      <c r="D72" s="134">
        <v>420.8</v>
      </c>
      <c r="E72" s="134">
        <v>0</v>
      </c>
      <c r="F72" s="134">
        <v>360.79999999999995</v>
      </c>
      <c r="G72" s="134">
        <v>0</v>
      </c>
      <c r="H72" s="134">
        <v>300.79999999999995</v>
      </c>
      <c r="I72" s="134">
        <v>0</v>
      </c>
      <c r="J72" s="134">
        <v>240.8</v>
      </c>
      <c r="K72" s="134">
        <v>0</v>
      </c>
      <c r="L72" s="134">
        <v>180.9</v>
      </c>
      <c r="M72" s="134">
        <v>9.9999999999999645E-2</v>
      </c>
      <c r="N72" s="134">
        <v>126.29999999999998</v>
      </c>
      <c r="O72" s="134">
        <v>5.5</v>
      </c>
      <c r="P72" s="134"/>
      <c r="Q72" s="134"/>
      <c r="R72" s="134"/>
      <c r="T72" s="132" t="s">
        <v>114</v>
      </c>
      <c r="U72" s="132" t="s">
        <v>54</v>
      </c>
      <c r="V72" s="143">
        <f t="shared" ca="1" si="62"/>
        <v>609.42000000000007</v>
      </c>
      <c r="W72" s="143">
        <f t="shared" ca="1" si="63"/>
        <v>0</v>
      </c>
      <c r="Y72" s="132" t="s">
        <v>114</v>
      </c>
      <c r="Z72" s="132" t="s">
        <v>54</v>
      </c>
      <c r="AA72" s="143">
        <f t="shared" ca="1" si="64"/>
        <v>623.7591729323309</v>
      </c>
      <c r="AB72" s="143">
        <f t="shared" ca="1" si="65"/>
        <v>0</v>
      </c>
      <c r="AH72" s="132" t="s">
        <v>114</v>
      </c>
      <c r="AI72" s="132" t="s">
        <v>54</v>
      </c>
      <c r="AJ72" s="143">
        <f t="shared" ca="1" si="66"/>
        <v>547.41999999999996</v>
      </c>
      <c r="AK72" s="143">
        <f t="shared" ca="1" si="67"/>
        <v>0</v>
      </c>
      <c r="AM72" s="132" t="s">
        <v>114</v>
      </c>
      <c r="AN72" s="132" t="s">
        <v>54</v>
      </c>
      <c r="AO72" s="143">
        <f t="shared" ca="1" si="68"/>
        <v>561.7591729323309</v>
      </c>
      <c r="AP72" s="143">
        <f t="shared" ca="1" si="69"/>
        <v>0</v>
      </c>
      <c r="AV72" s="132" t="s">
        <v>114</v>
      </c>
      <c r="AW72" s="132" t="s">
        <v>54</v>
      </c>
      <c r="AX72" s="143">
        <f t="shared" ca="1" si="70"/>
        <v>485.42000000000007</v>
      </c>
      <c r="AY72" s="143">
        <f t="shared" ca="1" si="71"/>
        <v>0</v>
      </c>
      <c r="BA72" s="132" t="s">
        <v>114</v>
      </c>
      <c r="BB72" s="132" t="s">
        <v>54</v>
      </c>
      <c r="BC72" s="143">
        <f t="shared" ca="1" si="72"/>
        <v>499.75917293233078</v>
      </c>
      <c r="BD72" s="143">
        <f t="shared" ca="1" si="73"/>
        <v>0</v>
      </c>
      <c r="BJ72" s="132" t="s">
        <v>114</v>
      </c>
      <c r="BK72" s="132" t="s">
        <v>54</v>
      </c>
      <c r="BL72" s="143">
        <f t="shared" ca="1" si="74"/>
        <v>423.41999999999996</v>
      </c>
      <c r="BM72" s="143">
        <f t="shared" ca="1" si="75"/>
        <v>0</v>
      </c>
      <c r="BO72" s="132" t="s">
        <v>114</v>
      </c>
      <c r="BP72" s="132" t="s">
        <v>54</v>
      </c>
      <c r="BQ72" s="143">
        <f t="shared" ca="1" si="76"/>
        <v>437.61060150375943</v>
      </c>
      <c r="BR72" s="143">
        <f t="shared" ca="1" si="77"/>
        <v>0</v>
      </c>
      <c r="BX72" s="132" t="s">
        <v>114</v>
      </c>
      <c r="BY72" s="132" t="s">
        <v>54</v>
      </c>
      <c r="BZ72" s="143">
        <f t="shared" ca="1" si="78"/>
        <v>361.45</v>
      </c>
      <c r="CA72" s="143">
        <f t="shared" ca="1" si="79"/>
        <v>3.0000000000000072E-2</v>
      </c>
      <c r="CC72" s="132" t="s">
        <v>114</v>
      </c>
      <c r="CD72" s="132" t="s">
        <v>54</v>
      </c>
      <c r="CE72" s="143">
        <f t="shared" ca="1" si="80"/>
        <v>375.40481203007505</v>
      </c>
      <c r="CF72" s="143">
        <f t="shared" ca="1" si="81"/>
        <v>0</v>
      </c>
      <c r="CL72" s="132" t="s">
        <v>114</v>
      </c>
      <c r="CM72" s="132" t="s">
        <v>54</v>
      </c>
      <c r="CN72" s="143">
        <f t="shared" ca="1" si="82"/>
        <v>299.98999999999995</v>
      </c>
      <c r="CO72" s="143">
        <f t="shared" ca="1" si="83"/>
        <v>0.57000000000000006</v>
      </c>
      <c r="CQ72" s="132" t="s">
        <v>114</v>
      </c>
      <c r="CR72" s="132" t="s">
        <v>54</v>
      </c>
      <c r="CS72" s="143">
        <f t="shared" ca="1" si="84"/>
        <v>313.76270676691718</v>
      </c>
      <c r="CT72" s="143">
        <f t="shared" ca="1" si="85"/>
        <v>3.5338345864630583E-3</v>
      </c>
      <c r="DB72" s="143"/>
      <c r="DC72" s="143"/>
      <c r="DG72" s="143"/>
      <c r="DH72" s="143"/>
    </row>
    <row r="73" spans="1:112" x14ac:dyDescent="0.2">
      <c r="A73" s="132">
        <v>2006</v>
      </c>
      <c r="B73" s="144">
        <v>12</v>
      </c>
      <c r="C73" s="144">
        <v>2.7000000000000006</v>
      </c>
      <c r="D73" s="134">
        <v>536.30000000000007</v>
      </c>
      <c r="E73" s="134">
        <v>0</v>
      </c>
      <c r="F73" s="134">
        <v>474.30000000000007</v>
      </c>
      <c r="G73" s="134">
        <v>0</v>
      </c>
      <c r="H73" s="134">
        <v>412.30000000000007</v>
      </c>
      <c r="I73" s="134">
        <v>0</v>
      </c>
      <c r="J73" s="134">
        <v>350.30000000000007</v>
      </c>
      <c r="K73" s="134">
        <v>0</v>
      </c>
      <c r="L73" s="134">
        <v>288.30000000000007</v>
      </c>
      <c r="M73" s="134">
        <v>0</v>
      </c>
      <c r="N73" s="134">
        <v>226.30000000000004</v>
      </c>
      <c r="O73" s="134">
        <v>0</v>
      </c>
      <c r="P73" s="134"/>
      <c r="Q73" s="134"/>
      <c r="R73" s="134"/>
    </row>
    <row r="74" spans="1:112" x14ac:dyDescent="0.2">
      <c r="A74" s="132">
        <v>2007</v>
      </c>
      <c r="B74" s="144">
        <v>1</v>
      </c>
      <c r="C74" s="144">
        <v>-2.1161290322580641</v>
      </c>
      <c r="D74" s="134">
        <v>685.59999999999991</v>
      </c>
      <c r="E74" s="134">
        <v>0</v>
      </c>
      <c r="F74" s="134">
        <v>623.59999999999991</v>
      </c>
      <c r="G74" s="134">
        <v>0</v>
      </c>
      <c r="H74" s="134">
        <v>561.59999999999991</v>
      </c>
      <c r="I74" s="134">
        <v>0</v>
      </c>
      <c r="J74" s="134">
        <v>499.59999999999997</v>
      </c>
      <c r="K74" s="134">
        <v>0</v>
      </c>
      <c r="L74" s="134">
        <v>437.59999999999997</v>
      </c>
      <c r="M74" s="134">
        <v>0</v>
      </c>
      <c r="N74" s="134">
        <v>376</v>
      </c>
      <c r="O74" s="134">
        <v>0.40000000000000036</v>
      </c>
      <c r="P74" s="134"/>
      <c r="Q74" s="134"/>
      <c r="R74" s="134"/>
      <c r="X74" s="144"/>
    </row>
    <row r="75" spans="1:112" x14ac:dyDescent="0.2">
      <c r="A75" s="132">
        <v>2007</v>
      </c>
      <c r="B75" s="144">
        <v>2</v>
      </c>
      <c r="C75" s="144">
        <v>-7.0428571428571427</v>
      </c>
      <c r="D75" s="134">
        <v>757.2</v>
      </c>
      <c r="E75" s="134">
        <v>0</v>
      </c>
      <c r="F75" s="134">
        <v>701.2</v>
      </c>
      <c r="G75" s="134">
        <v>0</v>
      </c>
      <c r="H75" s="134">
        <v>645.19999999999993</v>
      </c>
      <c r="I75" s="134">
        <v>0</v>
      </c>
      <c r="J75" s="134">
        <v>589.19999999999982</v>
      </c>
      <c r="K75" s="134">
        <v>0</v>
      </c>
      <c r="L75" s="134">
        <v>533.19999999999993</v>
      </c>
      <c r="M75" s="134">
        <v>0</v>
      </c>
      <c r="N75" s="134">
        <v>477.19999999999993</v>
      </c>
      <c r="O75" s="134">
        <v>0</v>
      </c>
      <c r="P75" s="134"/>
      <c r="Q75" s="134"/>
      <c r="R75" s="134"/>
      <c r="X75" s="144"/>
    </row>
    <row r="76" spans="1:112" x14ac:dyDescent="0.2">
      <c r="A76" s="132">
        <v>2007</v>
      </c>
      <c r="B76" s="144">
        <v>3</v>
      </c>
      <c r="C76" s="144">
        <v>1.1935483870967747</v>
      </c>
      <c r="D76" s="134">
        <v>583</v>
      </c>
      <c r="E76" s="134">
        <v>0</v>
      </c>
      <c r="F76" s="134">
        <v>521</v>
      </c>
      <c r="G76" s="134">
        <v>0</v>
      </c>
      <c r="H76" s="134">
        <v>458.99999999999994</v>
      </c>
      <c r="I76" s="134">
        <v>0</v>
      </c>
      <c r="J76" s="134">
        <v>396.99999999999989</v>
      </c>
      <c r="K76" s="134">
        <v>0</v>
      </c>
      <c r="L76" s="134">
        <v>336.2</v>
      </c>
      <c r="M76" s="134">
        <v>1.1999999999999993</v>
      </c>
      <c r="N76" s="134">
        <v>278.99999999999994</v>
      </c>
      <c r="O76" s="134">
        <v>6</v>
      </c>
      <c r="P76" s="134"/>
      <c r="Q76" s="134"/>
      <c r="R76" s="134"/>
      <c r="X76" s="144"/>
      <c r="CN76" s="143"/>
      <c r="CO76" s="143"/>
      <c r="CX76" s="143"/>
      <c r="CY76" s="143"/>
    </row>
    <row r="77" spans="1:112" x14ac:dyDescent="0.2">
      <c r="A77" s="132">
        <v>2007</v>
      </c>
      <c r="B77" s="144">
        <v>4</v>
      </c>
      <c r="C77" s="144">
        <v>6.3933333333333335</v>
      </c>
      <c r="D77" s="134">
        <v>408.2</v>
      </c>
      <c r="E77" s="134">
        <v>0</v>
      </c>
      <c r="F77" s="134">
        <v>348.20000000000005</v>
      </c>
      <c r="G77" s="134">
        <v>0</v>
      </c>
      <c r="H77" s="134">
        <v>289.30000000000007</v>
      </c>
      <c r="I77" s="134">
        <v>1.1000000000000014</v>
      </c>
      <c r="J77" s="134">
        <v>232.4</v>
      </c>
      <c r="K77" s="134">
        <v>4.2000000000000011</v>
      </c>
      <c r="L77" s="134">
        <v>182.8</v>
      </c>
      <c r="M77" s="134">
        <v>14.600000000000001</v>
      </c>
      <c r="N77" s="134">
        <v>137.6</v>
      </c>
      <c r="O77" s="134">
        <v>29.400000000000006</v>
      </c>
      <c r="P77" s="134"/>
      <c r="Q77" s="134"/>
      <c r="R77" s="134"/>
      <c r="X77" s="144"/>
      <c r="CM77" s="143"/>
      <c r="CN77" s="144"/>
      <c r="CO77" s="144"/>
      <c r="CP77" s="144"/>
      <c r="CQ77" s="144"/>
      <c r="CR77" s="144"/>
      <c r="CS77" s="144"/>
      <c r="CT77" s="144"/>
      <c r="CU77" s="144"/>
      <c r="CV77" s="144"/>
      <c r="CW77" s="144"/>
      <c r="CX77" s="144"/>
      <c r="CY77" s="144"/>
      <c r="CZ77" s="144"/>
      <c r="DA77" s="144"/>
    </row>
    <row r="78" spans="1:112" x14ac:dyDescent="0.2">
      <c r="A78" s="132">
        <v>2007</v>
      </c>
      <c r="B78" s="144">
        <v>5</v>
      </c>
      <c r="C78" s="144">
        <v>14.522580645161288</v>
      </c>
      <c r="D78" s="134">
        <v>182.80000000000004</v>
      </c>
      <c r="E78" s="134">
        <v>13</v>
      </c>
      <c r="F78" s="134">
        <v>132.20000000000002</v>
      </c>
      <c r="G78" s="134">
        <v>24.4</v>
      </c>
      <c r="H78" s="134">
        <v>89.2</v>
      </c>
      <c r="I78" s="134">
        <v>43.4</v>
      </c>
      <c r="J78" s="134">
        <v>53.199999999999996</v>
      </c>
      <c r="K78" s="134">
        <v>69.399999999999991</v>
      </c>
      <c r="L78" s="134">
        <v>23</v>
      </c>
      <c r="M78" s="134">
        <v>101.2</v>
      </c>
      <c r="N78" s="134">
        <v>5.9</v>
      </c>
      <c r="O78" s="134">
        <v>146.10000000000002</v>
      </c>
      <c r="P78" s="134"/>
      <c r="Q78" s="134"/>
      <c r="R78" s="134"/>
      <c r="X78" s="144"/>
      <c r="CM78" s="143"/>
      <c r="CN78" s="144"/>
      <c r="CO78" s="144"/>
      <c r="CP78" s="144"/>
      <c r="CQ78" s="144"/>
      <c r="CR78" s="144"/>
      <c r="CS78" s="144"/>
      <c r="CT78" s="144"/>
      <c r="CU78" s="144"/>
      <c r="CV78" s="144"/>
      <c r="CW78" s="144"/>
      <c r="CX78" s="144"/>
      <c r="CY78" s="144"/>
      <c r="CZ78" s="144"/>
      <c r="DA78" s="144"/>
    </row>
    <row r="79" spans="1:112" x14ac:dyDescent="0.2">
      <c r="A79" s="132">
        <v>2007</v>
      </c>
      <c r="B79" s="144">
        <v>6</v>
      </c>
      <c r="C79" s="144">
        <v>20.83</v>
      </c>
      <c r="D79" s="134">
        <v>33.299999999999997</v>
      </c>
      <c r="E79" s="134">
        <v>58.2</v>
      </c>
      <c r="F79" s="134">
        <v>14.000000000000004</v>
      </c>
      <c r="G79" s="134">
        <v>98.899999999999977</v>
      </c>
      <c r="H79" s="134">
        <v>5.8000000000000007</v>
      </c>
      <c r="I79" s="134">
        <v>150.70000000000002</v>
      </c>
      <c r="J79" s="134">
        <v>1.4000000000000004</v>
      </c>
      <c r="K79" s="134">
        <v>206.29999999999998</v>
      </c>
      <c r="L79" s="134">
        <v>0</v>
      </c>
      <c r="M79" s="134">
        <v>264.89999999999998</v>
      </c>
      <c r="N79" s="134">
        <v>0</v>
      </c>
      <c r="O79" s="134">
        <v>324.89999999999998</v>
      </c>
      <c r="P79" s="134"/>
      <c r="Q79" s="134"/>
      <c r="R79" s="134"/>
      <c r="X79" s="144"/>
      <c r="CM79" s="143"/>
      <c r="CN79" s="144"/>
      <c r="CO79" s="144"/>
      <c r="CP79" s="144"/>
      <c r="CQ79" s="144"/>
      <c r="CR79" s="144"/>
      <c r="CS79" s="144"/>
      <c r="CT79" s="144"/>
      <c r="CU79" s="144"/>
      <c r="CV79" s="144"/>
      <c r="CW79" s="144"/>
      <c r="CX79" s="144"/>
      <c r="CY79" s="144"/>
      <c r="CZ79" s="144"/>
      <c r="DA79" s="144"/>
    </row>
    <row r="80" spans="1:112" x14ac:dyDescent="0.2">
      <c r="A80" s="132">
        <v>2007</v>
      </c>
      <c r="B80" s="144">
        <v>7</v>
      </c>
      <c r="C80" s="144">
        <v>21.29354838709677</v>
      </c>
      <c r="D80" s="134">
        <v>16.999999999999996</v>
      </c>
      <c r="E80" s="134">
        <v>57.1</v>
      </c>
      <c r="F80" s="134">
        <v>2.3999999999999986</v>
      </c>
      <c r="G80" s="134">
        <v>104.5</v>
      </c>
      <c r="H80" s="134">
        <v>0</v>
      </c>
      <c r="I80" s="134">
        <v>164.09999999999997</v>
      </c>
      <c r="J80" s="134">
        <v>0</v>
      </c>
      <c r="K80" s="134">
        <v>226.10000000000005</v>
      </c>
      <c r="L80" s="134">
        <v>0</v>
      </c>
      <c r="M80" s="134">
        <v>288.10000000000008</v>
      </c>
      <c r="N80" s="134">
        <v>0</v>
      </c>
      <c r="O80" s="134">
        <v>350.1</v>
      </c>
      <c r="P80" s="134"/>
      <c r="Q80" s="134"/>
      <c r="R80" s="134"/>
      <c r="X80" s="144"/>
      <c r="CM80" s="143"/>
      <c r="CN80" s="144"/>
      <c r="CO80" s="144"/>
      <c r="CP80" s="144"/>
      <c r="CQ80" s="144"/>
      <c r="CR80" s="144"/>
      <c r="CS80" s="144"/>
      <c r="CT80" s="144"/>
      <c r="CU80" s="144"/>
      <c r="CV80" s="144"/>
      <c r="CW80" s="144"/>
      <c r="CX80" s="144"/>
      <c r="CY80" s="144"/>
      <c r="CZ80" s="144"/>
      <c r="DA80" s="144"/>
    </row>
    <row r="81" spans="1:110" x14ac:dyDescent="0.2">
      <c r="A81" s="132">
        <v>2007</v>
      </c>
      <c r="B81" s="144">
        <v>8</v>
      </c>
      <c r="C81" s="144">
        <v>22.367741935483867</v>
      </c>
      <c r="D81" s="134">
        <v>15.000000000000004</v>
      </c>
      <c r="E81" s="134">
        <v>88.399999999999991</v>
      </c>
      <c r="F81" s="134">
        <v>6.7000000000000028</v>
      </c>
      <c r="G81" s="134">
        <v>142.10000000000002</v>
      </c>
      <c r="H81" s="134">
        <v>0.19999999999999929</v>
      </c>
      <c r="I81" s="134">
        <v>197.60000000000005</v>
      </c>
      <c r="J81" s="134">
        <v>0</v>
      </c>
      <c r="K81" s="134">
        <v>259.40000000000003</v>
      </c>
      <c r="L81" s="134">
        <v>0</v>
      </c>
      <c r="M81" s="134">
        <v>321.39999999999998</v>
      </c>
      <c r="N81" s="134">
        <v>0</v>
      </c>
      <c r="O81" s="134">
        <v>383.39999999999992</v>
      </c>
      <c r="P81" s="134"/>
      <c r="Q81" s="134"/>
      <c r="R81" s="134"/>
      <c r="X81" s="144"/>
      <c r="CM81" s="143"/>
      <c r="CN81" s="144"/>
      <c r="CO81" s="144"/>
      <c r="CP81" s="144"/>
      <c r="CQ81" s="144"/>
      <c r="CR81" s="144"/>
      <c r="CS81" s="144"/>
      <c r="CT81" s="144"/>
      <c r="CU81" s="144"/>
      <c r="CV81" s="144"/>
      <c r="CW81" s="144"/>
      <c r="CX81" s="144"/>
      <c r="CY81" s="144"/>
      <c r="CZ81" s="144"/>
      <c r="DA81" s="144"/>
    </row>
    <row r="82" spans="1:110" x14ac:dyDescent="0.2">
      <c r="A82" s="132">
        <v>2007</v>
      </c>
      <c r="B82" s="144">
        <v>9</v>
      </c>
      <c r="C82" s="144">
        <v>19.146666666666665</v>
      </c>
      <c r="D82" s="134">
        <v>57.8</v>
      </c>
      <c r="E82" s="134">
        <v>32.199999999999996</v>
      </c>
      <c r="F82" s="134">
        <v>29.5</v>
      </c>
      <c r="G82" s="134">
        <v>63.9</v>
      </c>
      <c r="H82" s="134">
        <v>12.799999999999999</v>
      </c>
      <c r="I82" s="134">
        <v>107.2</v>
      </c>
      <c r="J82" s="134">
        <v>5.0999999999999996</v>
      </c>
      <c r="K82" s="134">
        <v>159.5</v>
      </c>
      <c r="L82" s="134">
        <v>1</v>
      </c>
      <c r="M82" s="134">
        <v>215.40000000000003</v>
      </c>
      <c r="N82" s="134">
        <v>0</v>
      </c>
      <c r="O82" s="134">
        <v>274.40000000000003</v>
      </c>
      <c r="P82" s="134"/>
      <c r="Q82" s="134"/>
      <c r="R82" s="134"/>
      <c r="X82" s="144"/>
      <c r="AB82" s="145"/>
      <c r="AC82" s="145"/>
      <c r="AD82" s="145"/>
      <c r="AE82" s="145"/>
      <c r="AF82" s="145"/>
      <c r="AG82" s="145"/>
      <c r="AH82" s="145"/>
      <c r="AI82" s="145"/>
      <c r="AJ82" s="145"/>
      <c r="AK82" s="145"/>
      <c r="AL82" s="145"/>
      <c r="AM82" s="145"/>
      <c r="AN82" s="145"/>
      <c r="AO82" s="145"/>
      <c r="AP82" s="145"/>
      <c r="AQ82" s="145"/>
      <c r="AR82" s="145"/>
      <c r="AS82" s="145"/>
      <c r="AT82" s="145"/>
      <c r="AU82" s="145"/>
      <c r="AV82" s="145"/>
      <c r="AW82" s="145"/>
      <c r="AX82" s="145"/>
      <c r="CM82" s="143"/>
      <c r="CN82" s="144"/>
      <c r="CO82" s="144"/>
      <c r="CP82" s="144"/>
      <c r="CQ82" s="144"/>
      <c r="CR82" s="144"/>
      <c r="CS82" s="144"/>
      <c r="CT82" s="144"/>
      <c r="CU82" s="144"/>
      <c r="CV82" s="144"/>
      <c r="CW82" s="144"/>
      <c r="CX82" s="144"/>
      <c r="CY82" s="144"/>
      <c r="CZ82" s="144"/>
      <c r="DA82" s="144"/>
    </row>
    <row r="83" spans="1:110" x14ac:dyDescent="0.2">
      <c r="A83" s="132">
        <v>2007</v>
      </c>
      <c r="B83" s="144">
        <v>10</v>
      </c>
      <c r="C83" s="144">
        <v>15.112903225806456</v>
      </c>
      <c r="D83" s="134">
        <v>159.80000000000001</v>
      </c>
      <c r="E83" s="134">
        <v>8.3000000000000043</v>
      </c>
      <c r="F83" s="134">
        <v>114.60000000000001</v>
      </c>
      <c r="G83" s="134">
        <v>25.100000000000009</v>
      </c>
      <c r="H83" s="134">
        <v>78.3</v>
      </c>
      <c r="I83" s="134">
        <v>50.8</v>
      </c>
      <c r="J83" s="134">
        <v>46.3</v>
      </c>
      <c r="K83" s="134">
        <v>80.8</v>
      </c>
      <c r="L83" s="134">
        <v>21.6</v>
      </c>
      <c r="M83" s="134">
        <v>118.09999999999998</v>
      </c>
      <c r="N83" s="134">
        <v>8.4</v>
      </c>
      <c r="O83" s="134">
        <v>166.9</v>
      </c>
      <c r="P83" s="134"/>
      <c r="Q83" s="134"/>
      <c r="R83" s="134"/>
      <c r="X83" s="144"/>
      <c r="AB83" s="145"/>
      <c r="AC83" s="145"/>
      <c r="AD83" s="145"/>
      <c r="AE83" s="145"/>
      <c r="AF83" s="145"/>
      <c r="AG83" s="145"/>
      <c r="AH83" s="145"/>
      <c r="AI83" s="145"/>
      <c r="AJ83" s="145"/>
      <c r="AK83" s="145"/>
      <c r="AL83" s="145"/>
      <c r="AM83" s="145"/>
      <c r="AN83" s="145"/>
      <c r="AO83" s="145"/>
      <c r="AP83" s="145"/>
      <c r="AQ83" s="145"/>
      <c r="AR83" s="145"/>
      <c r="AS83" s="145"/>
      <c r="AT83" s="145"/>
      <c r="AU83" s="145"/>
      <c r="AV83" s="145"/>
      <c r="AW83" s="145"/>
      <c r="AX83" s="145"/>
      <c r="CM83" s="143"/>
      <c r="CN83" s="144"/>
      <c r="CO83" s="144"/>
      <c r="CP83" s="144"/>
      <c r="CQ83" s="144"/>
      <c r="CR83" s="144"/>
      <c r="CS83" s="144"/>
      <c r="CT83" s="144"/>
      <c r="CU83" s="144"/>
      <c r="CV83" s="144"/>
      <c r="CW83" s="144"/>
      <c r="CX83" s="144"/>
      <c r="CY83" s="144"/>
      <c r="CZ83" s="144"/>
      <c r="DA83" s="144"/>
    </row>
    <row r="84" spans="1:110" x14ac:dyDescent="0.2">
      <c r="A84" s="132">
        <v>2007</v>
      </c>
      <c r="B84" s="144">
        <v>11</v>
      </c>
      <c r="C84" s="144">
        <v>3.8166666666666669</v>
      </c>
      <c r="D84" s="134">
        <v>485.50000000000006</v>
      </c>
      <c r="E84" s="134">
        <v>0</v>
      </c>
      <c r="F84" s="134">
        <v>425.5</v>
      </c>
      <c r="G84" s="134">
        <v>0</v>
      </c>
      <c r="H84" s="134">
        <v>365.50000000000006</v>
      </c>
      <c r="I84" s="134">
        <v>0</v>
      </c>
      <c r="J84" s="134">
        <v>305.49999999999994</v>
      </c>
      <c r="K84" s="134">
        <v>0</v>
      </c>
      <c r="L84" s="134">
        <v>245.49999999999997</v>
      </c>
      <c r="M84" s="134">
        <v>0</v>
      </c>
      <c r="N84" s="134">
        <v>187.19999999999996</v>
      </c>
      <c r="O84" s="134">
        <v>1.6999999999999993</v>
      </c>
      <c r="P84" s="134"/>
      <c r="Q84" s="134"/>
      <c r="R84" s="134"/>
      <c r="X84" s="144"/>
      <c r="CM84" s="143"/>
      <c r="CN84" s="144"/>
      <c r="CO84" s="144"/>
      <c r="CP84" s="144"/>
      <c r="CQ84" s="144"/>
      <c r="CR84" s="144"/>
      <c r="CS84" s="144"/>
      <c r="CT84" s="144"/>
      <c r="CU84" s="144"/>
      <c r="CV84" s="144"/>
      <c r="CW84" s="144"/>
      <c r="CX84" s="144"/>
      <c r="CY84" s="144"/>
      <c r="CZ84" s="144"/>
      <c r="DA84" s="144"/>
    </row>
    <row r="85" spans="1:110" x14ac:dyDescent="0.2">
      <c r="A85" s="132">
        <v>2007</v>
      </c>
      <c r="B85" s="144">
        <v>12</v>
      </c>
      <c r="C85" s="144">
        <v>-1.306451612903226</v>
      </c>
      <c r="D85" s="134">
        <v>660.50000000000023</v>
      </c>
      <c r="E85" s="134">
        <v>0</v>
      </c>
      <c r="F85" s="134">
        <v>598.50000000000023</v>
      </c>
      <c r="G85" s="134">
        <v>0</v>
      </c>
      <c r="H85" s="134">
        <v>536.50000000000011</v>
      </c>
      <c r="I85" s="134">
        <v>0</v>
      </c>
      <c r="J85" s="134">
        <v>474.50000000000006</v>
      </c>
      <c r="K85" s="134">
        <v>0</v>
      </c>
      <c r="L85" s="134">
        <v>412.5</v>
      </c>
      <c r="M85" s="134">
        <v>0</v>
      </c>
      <c r="N85" s="134">
        <v>350.49999999999994</v>
      </c>
      <c r="O85" s="134">
        <v>0</v>
      </c>
      <c r="P85" s="134"/>
      <c r="Q85" s="134"/>
      <c r="R85" s="134"/>
      <c r="X85" s="144"/>
      <c r="CM85" s="143"/>
      <c r="CN85" s="144"/>
      <c r="CO85" s="144"/>
      <c r="CP85" s="144"/>
      <c r="CQ85" s="144"/>
      <c r="CR85" s="144"/>
      <c r="CS85" s="144"/>
      <c r="CT85" s="144"/>
      <c r="CU85" s="144"/>
      <c r="CV85" s="144"/>
      <c r="CW85" s="144"/>
      <c r="CX85" s="144"/>
      <c r="CY85" s="144"/>
      <c r="CZ85" s="144"/>
      <c r="DA85" s="144"/>
    </row>
    <row r="86" spans="1:110" x14ac:dyDescent="0.2">
      <c r="A86" s="132">
        <v>2008</v>
      </c>
      <c r="B86" s="144">
        <v>1</v>
      </c>
      <c r="C86" s="144">
        <v>-1.2612903225806458</v>
      </c>
      <c r="D86" s="134">
        <v>659.1</v>
      </c>
      <c r="E86" s="134">
        <v>0</v>
      </c>
      <c r="F86" s="134">
        <v>597.1</v>
      </c>
      <c r="G86" s="134">
        <v>0</v>
      </c>
      <c r="H86" s="134">
        <v>535.09999999999991</v>
      </c>
      <c r="I86" s="134">
        <v>0</v>
      </c>
      <c r="J86" s="134">
        <v>473.09999999999997</v>
      </c>
      <c r="K86" s="134">
        <v>0</v>
      </c>
      <c r="L86" s="134">
        <v>413.1</v>
      </c>
      <c r="M86" s="134">
        <v>2</v>
      </c>
      <c r="N86" s="134">
        <v>355.1</v>
      </c>
      <c r="O86" s="134">
        <v>6</v>
      </c>
      <c r="P86" s="134"/>
      <c r="Q86" s="134"/>
      <c r="R86" s="134"/>
      <c r="X86" s="144"/>
      <c r="CM86" s="143"/>
      <c r="CN86" s="144"/>
      <c r="CO86" s="144"/>
      <c r="CP86" s="144"/>
      <c r="CQ86" s="144"/>
      <c r="CR86" s="144"/>
      <c r="CS86" s="144"/>
      <c r="CT86" s="144"/>
      <c r="CU86" s="144"/>
      <c r="CV86" s="144"/>
      <c r="CW86" s="144"/>
      <c r="CX86" s="144"/>
      <c r="CY86" s="144"/>
      <c r="CZ86" s="144"/>
      <c r="DA86" s="144"/>
    </row>
    <row r="87" spans="1:110" x14ac:dyDescent="0.2">
      <c r="A87" s="132">
        <v>2008</v>
      </c>
      <c r="B87" s="144">
        <v>2</v>
      </c>
      <c r="C87" s="144">
        <v>-3.6206896551724137</v>
      </c>
      <c r="D87" s="134">
        <v>685</v>
      </c>
      <c r="E87" s="134">
        <v>0</v>
      </c>
      <c r="F87" s="134">
        <v>627</v>
      </c>
      <c r="G87" s="134">
        <v>0</v>
      </c>
      <c r="H87" s="134">
        <v>569</v>
      </c>
      <c r="I87" s="134">
        <v>0</v>
      </c>
      <c r="J87" s="134">
        <v>511</v>
      </c>
      <c r="K87" s="134">
        <v>0</v>
      </c>
      <c r="L87" s="134">
        <v>453</v>
      </c>
      <c r="M87" s="134">
        <v>0</v>
      </c>
      <c r="N87" s="134">
        <v>395.00000000000006</v>
      </c>
      <c r="O87" s="134">
        <v>0</v>
      </c>
      <c r="P87" s="134"/>
      <c r="Q87" s="134"/>
      <c r="R87" s="134"/>
      <c r="X87" s="144"/>
      <c r="CM87" s="143"/>
      <c r="CN87" s="144"/>
      <c r="CO87" s="144"/>
      <c r="CP87" s="144"/>
      <c r="CQ87" s="144"/>
      <c r="CR87" s="144"/>
      <c r="CS87" s="144"/>
      <c r="CT87" s="144"/>
      <c r="CU87" s="144"/>
      <c r="CV87" s="144"/>
      <c r="CW87" s="144"/>
      <c r="CX87" s="144"/>
      <c r="CY87" s="144"/>
      <c r="CZ87" s="144"/>
      <c r="DA87" s="144"/>
    </row>
    <row r="88" spans="1:110" x14ac:dyDescent="0.2">
      <c r="A88" s="132">
        <v>2008</v>
      </c>
      <c r="B88" s="144">
        <v>3</v>
      </c>
      <c r="C88" s="144">
        <v>-9.9999999999999881E-2</v>
      </c>
      <c r="D88" s="134">
        <v>623.1</v>
      </c>
      <c r="E88" s="134">
        <v>0</v>
      </c>
      <c r="F88" s="134">
        <v>561.1</v>
      </c>
      <c r="G88" s="134">
        <v>0</v>
      </c>
      <c r="H88" s="134">
        <v>499.1</v>
      </c>
      <c r="I88" s="134">
        <v>0</v>
      </c>
      <c r="J88" s="134">
        <v>437.1</v>
      </c>
      <c r="K88" s="134">
        <v>0</v>
      </c>
      <c r="L88" s="134">
        <v>375.1</v>
      </c>
      <c r="M88" s="134">
        <v>0</v>
      </c>
      <c r="N88" s="134">
        <v>313.09999999999997</v>
      </c>
      <c r="O88" s="134">
        <v>0</v>
      </c>
      <c r="P88" s="134"/>
      <c r="Q88" s="134"/>
      <c r="R88" s="134"/>
      <c r="X88" s="144"/>
      <c r="CM88" s="143"/>
      <c r="CN88" s="144"/>
      <c r="CO88" s="144"/>
      <c r="CP88" s="144"/>
      <c r="CQ88" s="144"/>
      <c r="CR88" s="144"/>
      <c r="CS88" s="144"/>
      <c r="CT88" s="144"/>
      <c r="CU88" s="144"/>
      <c r="CV88" s="144"/>
      <c r="CW88" s="144"/>
      <c r="CX88" s="144"/>
      <c r="CY88" s="144"/>
      <c r="CZ88" s="144"/>
      <c r="DA88" s="144"/>
    </row>
    <row r="89" spans="1:110" x14ac:dyDescent="0.2">
      <c r="A89" s="132">
        <v>2008</v>
      </c>
      <c r="B89" s="144">
        <v>4</v>
      </c>
      <c r="C89" s="144">
        <v>9.0300000000000029</v>
      </c>
      <c r="D89" s="134">
        <v>329.1</v>
      </c>
      <c r="E89" s="134">
        <v>0</v>
      </c>
      <c r="F89" s="134">
        <v>269.09999999999997</v>
      </c>
      <c r="G89" s="134">
        <v>0</v>
      </c>
      <c r="H89" s="134">
        <v>212.7</v>
      </c>
      <c r="I89" s="134">
        <v>3.5999999999999979</v>
      </c>
      <c r="J89" s="134">
        <v>159.89999999999998</v>
      </c>
      <c r="K89" s="134">
        <v>10.799999999999997</v>
      </c>
      <c r="L89" s="134">
        <v>112.80000000000001</v>
      </c>
      <c r="M89" s="134">
        <v>23.7</v>
      </c>
      <c r="N89" s="134">
        <v>74.599999999999994</v>
      </c>
      <c r="O89" s="134">
        <v>45.5</v>
      </c>
      <c r="P89" s="134"/>
      <c r="Q89" s="134"/>
      <c r="R89" s="134"/>
      <c r="X89" s="144"/>
      <c r="CN89" s="143"/>
      <c r="CO89" s="143"/>
    </row>
    <row r="90" spans="1:110" x14ac:dyDescent="0.2">
      <c r="A90" s="132">
        <v>2008</v>
      </c>
      <c r="B90" s="144">
        <v>5</v>
      </c>
      <c r="C90" s="144">
        <v>12.403225806451612</v>
      </c>
      <c r="D90" s="134">
        <v>235.49999999999997</v>
      </c>
      <c r="E90" s="134">
        <v>0</v>
      </c>
      <c r="F90" s="134">
        <v>174.79999999999998</v>
      </c>
      <c r="G90" s="134">
        <v>1.3000000000000007</v>
      </c>
      <c r="H90" s="134">
        <v>116.8</v>
      </c>
      <c r="I90" s="134">
        <v>5.3000000000000007</v>
      </c>
      <c r="J90" s="134">
        <v>64.900000000000006</v>
      </c>
      <c r="K90" s="134">
        <v>15.4</v>
      </c>
      <c r="L90" s="134">
        <v>31.2</v>
      </c>
      <c r="M90" s="134">
        <v>43.7</v>
      </c>
      <c r="N90" s="134">
        <v>11.7</v>
      </c>
      <c r="O90" s="134">
        <v>86.2</v>
      </c>
      <c r="P90" s="134"/>
      <c r="Q90" s="134"/>
      <c r="R90" s="134"/>
      <c r="X90" s="144"/>
    </row>
    <row r="91" spans="1:110" x14ac:dyDescent="0.2">
      <c r="A91" s="132">
        <v>2008</v>
      </c>
      <c r="B91" s="144">
        <v>6</v>
      </c>
      <c r="C91" s="144">
        <v>20.653333333333332</v>
      </c>
      <c r="D91" s="134">
        <v>38.9</v>
      </c>
      <c r="E91" s="134">
        <v>58.5</v>
      </c>
      <c r="F91" s="134">
        <v>21.1</v>
      </c>
      <c r="G91" s="134">
        <v>100.7</v>
      </c>
      <c r="H91" s="134">
        <v>7.6999999999999993</v>
      </c>
      <c r="I91" s="134">
        <v>147.30000000000001</v>
      </c>
      <c r="J91" s="134">
        <v>1.0999999999999996</v>
      </c>
      <c r="K91" s="134">
        <v>200.70000000000002</v>
      </c>
      <c r="L91" s="134">
        <v>0</v>
      </c>
      <c r="M91" s="134">
        <v>259.60000000000002</v>
      </c>
      <c r="N91" s="134">
        <v>0</v>
      </c>
      <c r="O91" s="134">
        <v>319.60000000000002</v>
      </c>
      <c r="P91" s="134"/>
      <c r="Q91" s="134"/>
      <c r="R91" s="134"/>
      <c r="X91" s="144"/>
      <c r="CR91" s="143"/>
      <c r="CS91" s="143"/>
      <c r="CT91" s="143"/>
      <c r="DC91" s="143"/>
      <c r="DD91" s="143"/>
    </row>
    <row r="92" spans="1:110" x14ac:dyDescent="0.2">
      <c r="A92" s="132">
        <v>2008</v>
      </c>
      <c r="B92" s="144">
        <v>7</v>
      </c>
      <c r="C92" s="144">
        <v>22.248387096774191</v>
      </c>
      <c r="D92" s="134">
        <v>6.4999999999999964</v>
      </c>
      <c r="E92" s="134">
        <v>76.200000000000017</v>
      </c>
      <c r="F92" s="134">
        <v>0.5</v>
      </c>
      <c r="G92" s="134">
        <v>132.20000000000002</v>
      </c>
      <c r="H92" s="134">
        <v>0</v>
      </c>
      <c r="I92" s="134">
        <v>193.70000000000002</v>
      </c>
      <c r="J92" s="134">
        <v>0</v>
      </c>
      <c r="K92" s="134">
        <v>255.7</v>
      </c>
      <c r="L92" s="134">
        <v>0</v>
      </c>
      <c r="M92" s="134">
        <v>317.7</v>
      </c>
      <c r="N92" s="134">
        <v>0</v>
      </c>
      <c r="O92" s="134">
        <v>379.70000000000005</v>
      </c>
      <c r="P92" s="134"/>
      <c r="Q92" s="134"/>
      <c r="R92" s="134"/>
      <c r="X92" s="144"/>
      <c r="CR92" s="143"/>
      <c r="CS92" s="144"/>
      <c r="CT92" s="144"/>
      <c r="CU92" s="144"/>
      <c r="CV92" s="144"/>
      <c r="CW92" s="144"/>
      <c r="CX92" s="144"/>
      <c r="CY92" s="144"/>
      <c r="CZ92" s="144"/>
      <c r="DA92" s="144"/>
      <c r="DB92" s="144"/>
      <c r="DC92" s="144"/>
      <c r="DD92" s="144"/>
      <c r="DE92" s="144"/>
      <c r="DF92" s="144"/>
    </row>
    <row r="93" spans="1:110" x14ac:dyDescent="0.2">
      <c r="A93" s="132">
        <v>2008</v>
      </c>
      <c r="B93" s="144">
        <v>8</v>
      </c>
      <c r="C93" s="144">
        <v>20.406451612903222</v>
      </c>
      <c r="D93" s="134">
        <v>26.299999999999994</v>
      </c>
      <c r="E93" s="134">
        <v>38.899999999999991</v>
      </c>
      <c r="F93" s="134">
        <v>6.6999999999999975</v>
      </c>
      <c r="G93" s="134">
        <v>81.300000000000011</v>
      </c>
      <c r="H93" s="134">
        <v>1.5999999999999996</v>
      </c>
      <c r="I93" s="134">
        <v>138.20000000000002</v>
      </c>
      <c r="J93" s="134">
        <v>0</v>
      </c>
      <c r="K93" s="134">
        <v>198.60000000000002</v>
      </c>
      <c r="L93" s="134">
        <v>0</v>
      </c>
      <c r="M93" s="134">
        <v>260.59999999999997</v>
      </c>
      <c r="N93" s="134">
        <v>0</v>
      </c>
      <c r="O93" s="134">
        <v>322.59999999999997</v>
      </c>
      <c r="P93" s="134"/>
      <c r="Q93" s="134"/>
      <c r="R93" s="134"/>
      <c r="X93" s="144"/>
      <c r="CR93" s="143"/>
      <c r="CS93" s="144"/>
      <c r="CT93" s="144"/>
      <c r="CU93" s="144"/>
      <c r="CV93" s="144"/>
      <c r="CW93" s="144"/>
      <c r="CX93" s="144"/>
      <c r="CY93" s="144"/>
      <c r="CZ93" s="144"/>
      <c r="DA93" s="144"/>
      <c r="DB93" s="144"/>
      <c r="DC93" s="144"/>
      <c r="DD93" s="144"/>
      <c r="DE93" s="144"/>
      <c r="DF93" s="144"/>
    </row>
    <row r="94" spans="1:110" x14ac:dyDescent="0.2">
      <c r="A94" s="132">
        <v>2008</v>
      </c>
      <c r="B94" s="144">
        <v>9</v>
      </c>
      <c r="C94" s="144">
        <v>17.786666666666665</v>
      </c>
      <c r="D94" s="134">
        <v>83.600000000000009</v>
      </c>
      <c r="E94" s="134">
        <v>17.199999999999996</v>
      </c>
      <c r="F94" s="134">
        <v>42.5</v>
      </c>
      <c r="G94" s="134">
        <v>36.099999999999994</v>
      </c>
      <c r="H94" s="134">
        <v>14.600000000000001</v>
      </c>
      <c r="I94" s="134">
        <v>68.199999999999989</v>
      </c>
      <c r="J94" s="134">
        <v>1.0999999999999996</v>
      </c>
      <c r="K94" s="134">
        <v>114.69999999999997</v>
      </c>
      <c r="L94" s="134">
        <v>0</v>
      </c>
      <c r="M94" s="134">
        <v>173.60000000000002</v>
      </c>
      <c r="N94" s="134">
        <v>0</v>
      </c>
      <c r="O94" s="134">
        <v>233.60000000000002</v>
      </c>
      <c r="P94" s="134"/>
      <c r="Q94" s="134"/>
      <c r="R94" s="134"/>
      <c r="X94" s="144"/>
      <c r="CR94" s="143"/>
      <c r="CS94" s="144"/>
      <c r="CT94" s="144"/>
      <c r="CU94" s="144"/>
      <c r="CV94" s="144"/>
      <c r="CW94" s="144"/>
      <c r="CX94" s="144"/>
      <c r="CY94" s="144"/>
      <c r="CZ94" s="144"/>
      <c r="DA94" s="144"/>
      <c r="DB94" s="144"/>
      <c r="DC94" s="144"/>
      <c r="DD94" s="144"/>
      <c r="DE94" s="144"/>
      <c r="DF94" s="144"/>
    </row>
    <row r="95" spans="1:110" x14ac:dyDescent="0.2">
      <c r="A95" s="132">
        <v>2008</v>
      </c>
      <c r="B95" s="144">
        <v>10</v>
      </c>
      <c r="C95" s="144">
        <v>10.051612903225807</v>
      </c>
      <c r="D95" s="134">
        <v>308.39999999999998</v>
      </c>
      <c r="E95" s="134">
        <v>0</v>
      </c>
      <c r="F95" s="134">
        <v>247</v>
      </c>
      <c r="G95" s="134">
        <v>0.60000000000000142</v>
      </c>
      <c r="H95" s="134">
        <v>188.9</v>
      </c>
      <c r="I95" s="134">
        <v>4.5</v>
      </c>
      <c r="J95" s="134">
        <v>133.9</v>
      </c>
      <c r="K95" s="134">
        <v>11.5</v>
      </c>
      <c r="L95" s="134">
        <v>87.2</v>
      </c>
      <c r="M95" s="134">
        <v>26.799999999999997</v>
      </c>
      <c r="N95" s="134">
        <v>49</v>
      </c>
      <c r="O95" s="134">
        <v>50.600000000000009</v>
      </c>
      <c r="P95" s="134"/>
      <c r="Q95" s="134"/>
      <c r="R95" s="134"/>
      <c r="X95" s="144"/>
      <c r="CR95" s="143"/>
      <c r="CS95" s="144"/>
      <c r="CT95" s="144"/>
      <c r="CU95" s="144"/>
      <c r="CV95" s="144"/>
      <c r="CW95" s="144"/>
      <c r="CX95" s="144"/>
      <c r="CY95" s="144"/>
      <c r="CZ95" s="144"/>
      <c r="DA95" s="144"/>
      <c r="DB95" s="144"/>
      <c r="DC95" s="144"/>
      <c r="DD95" s="144"/>
      <c r="DE95" s="144"/>
      <c r="DF95" s="144"/>
    </row>
    <row r="96" spans="1:110" x14ac:dyDescent="0.2">
      <c r="A96" s="132">
        <v>2008</v>
      </c>
      <c r="B96" s="144">
        <v>11</v>
      </c>
      <c r="C96" s="144">
        <v>3.9700000000000011</v>
      </c>
      <c r="D96" s="134">
        <v>480.90000000000003</v>
      </c>
      <c r="E96" s="134">
        <v>0</v>
      </c>
      <c r="F96" s="134">
        <v>420.90000000000009</v>
      </c>
      <c r="G96" s="134">
        <v>0</v>
      </c>
      <c r="H96" s="134">
        <v>360.90000000000003</v>
      </c>
      <c r="I96" s="134">
        <v>0</v>
      </c>
      <c r="J96" s="134">
        <v>303.00000000000006</v>
      </c>
      <c r="K96" s="134">
        <v>2.0999999999999996</v>
      </c>
      <c r="L96" s="134">
        <v>248.90000000000003</v>
      </c>
      <c r="M96" s="134">
        <v>8</v>
      </c>
      <c r="N96" s="134">
        <v>195.70000000000002</v>
      </c>
      <c r="O96" s="134">
        <v>14.8</v>
      </c>
      <c r="P96" s="134"/>
      <c r="Q96" s="134"/>
      <c r="R96" s="134"/>
      <c r="X96" s="144"/>
      <c r="CR96" s="143"/>
      <c r="CS96" s="144"/>
      <c r="CT96" s="144"/>
      <c r="CU96" s="144"/>
      <c r="CV96" s="144"/>
      <c r="CW96" s="144"/>
      <c r="CX96" s="144"/>
      <c r="CY96" s="144"/>
      <c r="CZ96" s="144"/>
      <c r="DA96" s="144"/>
      <c r="DB96" s="144"/>
      <c r="DC96" s="144"/>
      <c r="DD96" s="144"/>
      <c r="DE96" s="144"/>
      <c r="DF96" s="144"/>
    </row>
    <row r="97" spans="1:110" x14ac:dyDescent="0.2">
      <c r="A97" s="132">
        <v>2008</v>
      </c>
      <c r="B97" s="144">
        <v>12</v>
      </c>
      <c r="C97" s="144">
        <v>-2.0032258064516131</v>
      </c>
      <c r="D97" s="134">
        <v>682.1</v>
      </c>
      <c r="E97" s="134">
        <v>0</v>
      </c>
      <c r="F97" s="134">
        <v>620.10000000000014</v>
      </c>
      <c r="G97" s="134">
        <v>0</v>
      </c>
      <c r="H97" s="134">
        <v>558.1</v>
      </c>
      <c r="I97" s="134">
        <v>0</v>
      </c>
      <c r="J97" s="134">
        <v>496.1</v>
      </c>
      <c r="K97" s="134">
        <v>0</v>
      </c>
      <c r="L97" s="134">
        <v>434.09999999999997</v>
      </c>
      <c r="M97" s="134">
        <v>0</v>
      </c>
      <c r="N97" s="134">
        <v>372.1</v>
      </c>
      <c r="O97" s="134">
        <v>0</v>
      </c>
      <c r="P97" s="134"/>
      <c r="Q97" s="134"/>
      <c r="R97" s="134"/>
      <c r="CR97" s="143"/>
      <c r="CS97" s="144"/>
      <c r="CT97" s="144"/>
      <c r="CU97" s="144"/>
      <c r="CV97" s="144"/>
      <c r="CW97" s="144"/>
      <c r="CX97" s="144"/>
      <c r="CY97" s="144"/>
      <c r="CZ97" s="144"/>
      <c r="DA97" s="144"/>
      <c r="DB97" s="144"/>
      <c r="DC97" s="144"/>
      <c r="DD97" s="144"/>
      <c r="DE97" s="144"/>
      <c r="DF97" s="144"/>
    </row>
    <row r="98" spans="1:110" x14ac:dyDescent="0.2">
      <c r="A98" s="132">
        <v>2009</v>
      </c>
      <c r="B98" s="144">
        <v>1</v>
      </c>
      <c r="C98" s="144">
        <v>-7.0741935483870968</v>
      </c>
      <c r="D98" s="134">
        <v>839.29999999999984</v>
      </c>
      <c r="E98" s="134">
        <v>0</v>
      </c>
      <c r="F98" s="134">
        <v>777.3</v>
      </c>
      <c r="G98" s="134">
        <v>0</v>
      </c>
      <c r="H98" s="134">
        <v>715.29999999999984</v>
      </c>
      <c r="I98" s="134">
        <v>0</v>
      </c>
      <c r="J98" s="134">
        <v>653.29999999999984</v>
      </c>
      <c r="K98" s="134">
        <v>0</v>
      </c>
      <c r="L98" s="134">
        <v>591.29999999999995</v>
      </c>
      <c r="M98" s="134">
        <v>0</v>
      </c>
      <c r="N98" s="134">
        <v>529.29999999999995</v>
      </c>
      <c r="O98" s="134">
        <v>0</v>
      </c>
      <c r="P98" s="134"/>
      <c r="Q98" s="134"/>
      <c r="R98" s="134"/>
      <c r="CR98" s="143"/>
      <c r="CS98" s="144"/>
      <c r="CT98" s="144"/>
      <c r="CU98" s="144"/>
      <c r="CV98" s="144"/>
      <c r="CW98" s="144"/>
      <c r="CX98" s="144"/>
      <c r="CY98" s="144"/>
      <c r="CZ98" s="144"/>
      <c r="DA98" s="144"/>
      <c r="DB98" s="144"/>
      <c r="DC98" s="144"/>
      <c r="DD98" s="144"/>
      <c r="DE98" s="144"/>
      <c r="DF98" s="144"/>
    </row>
    <row r="99" spans="1:110" x14ac:dyDescent="0.2">
      <c r="A99" s="132">
        <v>2009</v>
      </c>
      <c r="B99" s="144">
        <v>2</v>
      </c>
      <c r="C99" s="144">
        <v>-2.2785714285714285</v>
      </c>
      <c r="D99" s="134">
        <v>623.79999999999995</v>
      </c>
      <c r="E99" s="134">
        <v>0</v>
      </c>
      <c r="F99" s="134">
        <v>567.79999999999995</v>
      </c>
      <c r="G99" s="134">
        <v>0</v>
      </c>
      <c r="H99" s="134">
        <v>511.79999999999995</v>
      </c>
      <c r="I99" s="134">
        <v>0</v>
      </c>
      <c r="J99" s="134">
        <v>455.79999999999995</v>
      </c>
      <c r="K99" s="134">
        <v>0</v>
      </c>
      <c r="L99" s="134">
        <v>399.79999999999995</v>
      </c>
      <c r="M99" s="134">
        <v>0</v>
      </c>
      <c r="N99" s="134">
        <v>343.79999999999995</v>
      </c>
      <c r="O99" s="134">
        <v>0</v>
      </c>
      <c r="P99" s="134"/>
      <c r="Q99" s="134"/>
      <c r="R99" s="134"/>
      <c r="CR99" s="143"/>
      <c r="CS99" s="144"/>
      <c r="CT99" s="144"/>
      <c r="CU99" s="144"/>
      <c r="CV99" s="144"/>
      <c r="CW99" s="144"/>
      <c r="CX99" s="144"/>
      <c r="CY99" s="144"/>
      <c r="CZ99" s="144"/>
      <c r="DA99" s="144"/>
      <c r="DB99" s="144"/>
      <c r="DC99" s="144"/>
      <c r="DD99" s="144"/>
      <c r="DE99" s="144"/>
      <c r="DF99" s="144"/>
    </row>
    <row r="100" spans="1:110" x14ac:dyDescent="0.2">
      <c r="A100" s="132">
        <v>2009</v>
      </c>
      <c r="B100" s="144">
        <v>3</v>
      </c>
      <c r="C100" s="144">
        <v>1.9806451612903222</v>
      </c>
      <c r="D100" s="134">
        <v>558.59999999999991</v>
      </c>
      <c r="E100" s="134">
        <v>0</v>
      </c>
      <c r="F100" s="134">
        <v>496.6</v>
      </c>
      <c r="G100" s="134">
        <v>0</v>
      </c>
      <c r="H100" s="134">
        <v>434.6</v>
      </c>
      <c r="I100" s="134">
        <v>0</v>
      </c>
      <c r="J100" s="134">
        <v>372.6</v>
      </c>
      <c r="K100" s="134">
        <v>0</v>
      </c>
      <c r="L100" s="134">
        <v>310.90000000000003</v>
      </c>
      <c r="M100" s="134">
        <v>0.30000000000000071</v>
      </c>
      <c r="N100" s="134">
        <v>251.50000000000003</v>
      </c>
      <c r="O100" s="134">
        <v>2.9000000000000004</v>
      </c>
      <c r="P100" s="134"/>
      <c r="Q100" s="134"/>
      <c r="R100" s="134"/>
      <c r="CR100" s="143"/>
      <c r="CS100" s="144"/>
      <c r="CT100" s="144"/>
      <c r="CU100" s="144"/>
      <c r="CV100" s="144"/>
      <c r="CW100" s="144"/>
      <c r="CX100" s="144"/>
      <c r="CY100" s="144"/>
      <c r="CZ100" s="144"/>
      <c r="DA100" s="144"/>
      <c r="DB100" s="144"/>
      <c r="DC100" s="144"/>
      <c r="DD100" s="144"/>
      <c r="DE100" s="144"/>
      <c r="DF100" s="144"/>
    </row>
    <row r="101" spans="1:110" x14ac:dyDescent="0.2">
      <c r="A101" s="132">
        <v>2009</v>
      </c>
      <c r="B101" s="144">
        <v>4</v>
      </c>
      <c r="C101" s="144">
        <v>7.6933333333333342</v>
      </c>
      <c r="D101" s="134">
        <v>369.20000000000005</v>
      </c>
      <c r="E101" s="134">
        <v>0</v>
      </c>
      <c r="F101" s="134">
        <v>309.90000000000003</v>
      </c>
      <c r="G101" s="134">
        <v>0.69999999999999929</v>
      </c>
      <c r="H101" s="134">
        <v>253.29999999999998</v>
      </c>
      <c r="I101" s="134">
        <v>4.1000000000000014</v>
      </c>
      <c r="J101" s="134">
        <v>199.29999999999995</v>
      </c>
      <c r="K101" s="134">
        <v>10.100000000000001</v>
      </c>
      <c r="L101" s="134">
        <v>145.69999999999996</v>
      </c>
      <c r="M101" s="134">
        <v>16.5</v>
      </c>
      <c r="N101" s="134">
        <v>97.199999999999989</v>
      </c>
      <c r="O101" s="134">
        <v>28.000000000000004</v>
      </c>
      <c r="P101" s="134"/>
      <c r="Q101" s="134"/>
      <c r="R101" s="134"/>
      <c r="CR101" s="143"/>
      <c r="CS101" s="144"/>
      <c r="CT101" s="144"/>
      <c r="CU101" s="144"/>
      <c r="CV101" s="144"/>
      <c r="CW101" s="144"/>
      <c r="CX101" s="144"/>
      <c r="CY101" s="144"/>
      <c r="CZ101" s="144"/>
      <c r="DA101" s="144"/>
      <c r="DB101" s="144"/>
      <c r="DC101" s="144"/>
      <c r="DD101" s="144"/>
      <c r="DE101" s="144"/>
      <c r="DF101" s="144"/>
    </row>
    <row r="102" spans="1:110" x14ac:dyDescent="0.2">
      <c r="A102" s="132">
        <v>2009</v>
      </c>
      <c r="B102" s="144">
        <v>5</v>
      </c>
      <c r="C102" s="144">
        <v>13.674193548387095</v>
      </c>
      <c r="D102" s="134">
        <v>197.30000000000004</v>
      </c>
      <c r="E102" s="134">
        <v>1.1999999999999993</v>
      </c>
      <c r="F102" s="134">
        <v>141.29999999999998</v>
      </c>
      <c r="G102" s="134">
        <v>7.1999999999999957</v>
      </c>
      <c r="H102" s="134">
        <v>93.499999999999986</v>
      </c>
      <c r="I102" s="134">
        <v>21.399999999999995</v>
      </c>
      <c r="J102" s="134">
        <v>52.400000000000006</v>
      </c>
      <c r="K102" s="134">
        <v>42.3</v>
      </c>
      <c r="L102" s="134">
        <v>26.9</v>
      </c>
      <c r="M102" s="134">
        <v>78.8</v>
      </c>
      <c r="N102" s="134">
        <v>9.1999999999999993</v>
      </c>
      <c r="O102" s="134">
        <v>123.10000000000001</v>
      </c>
      <c r="P102" s="134"/>
      <c r="Q102" s="134"/>
      <c r="R102" s="134"/>
      <c r="CR102" s="143"/>
      <c r="CS102" s="144"/>
      <c r="CT102" s="144"/>
      <c r="CU102" s="144"/>
      <c r="CV102" s="144"/>
      <c r="CW102" s="144"/>
      <c r="CX102" s="144"/>
      <c r="CY102" s="144"/>
      <c r="CZ102" s="144"/>
      <c r="DA102" s="144"/>
      <c r="DB102" s="144"/>
      <c r="DC102" s="144"/>
      <c r="DD102" s="144"/>
      <c r="DE102" s="144"/>
      <c r="DF102" s="144"/>
    </row>
    <row r="103" spans="1:110" x14ac:dyDescent="0.2">
      <c r="A103" s="132">
        <v>2009</v>
      </c>
      <c r="B103" s="144">
        <v>6</v>
      </c>
      <c r="C103" s="144">
        <v>18.016666666666669</v>
      </c>
      <c r="D103" s="134">
        <v>81.400000000000006</v>
      </c>
      <c r="E103" s="134">
        <v>21.900000000000002</v>
      </c>
      <c r="F103" s="134">
        <v>47.000000000000007</v>
      </c>
      <c r="G103" s="134">
        <v>47.5</v>
      </c>
      <c r="H103" s="134">
        <v>21.6</v>
      </c>
      <c r="I103" s="134">
        <v>82.100000000000009</v>
      </c>
      <c r="J103" s="134">
        <v>3.6000000000000014</v>
      </c>
      <c r="K103" s="134">
        <v>124.10000000000001</v>
      </c>
      <c r="L103" s="134">
        <v>0</v>
      </c>
      <c r="M103" s="134">
        <v>180.5</v>
      </c>
      <c r="N103" s="134">
        <v>0</v>
      </c>
      <c r="O103" s="134">
        <v>240.5</v>
      </c>
      <c r="P103" s="134"/>
      <c r="Q103" s="134"/>
      <c r="R103" s="134"/>
      <c r="CR103" s="143"/>
      <c r="CS103" s="144"/>
      <c r="CT103" s="144"/>
      <c r="CU103" s="144"/>
      <c r="CV103" s="144"/>
      <c r="CW103" s="144"/>
      <c r="CX103" s="144"/>
      <c r="CY103" s="144"/>
      <c r="CZ103" s="144"/>
      <c r="DA103" s="144"/>
      <c r="DB103" s="144"/>
      <c r="DC103" s="144"/>
      <c r="DD103" s="144"/>
      <c r="DE103" s="144"/>
      <c r="DF103" s="144"/>
    </row>
    <row r="104" spans="1:110" x14ac:dyDescent="0.2">
      <c r="A104" s="132">
        <v>2009</v>
      </c>
      <c r="B104" s="144">
        <v>7</v>
      </c>
      <c r="C104" s="144">
        <v>19.554838709677412</v>
      </c>
      <c r="D104" s="134">
        <v>35.700000000000003</v>
      </c>
      <c r="E104" s="134">
        <v>21.9</v>
      </c>
      <c r="F104" s="134">
        <v>5.1999999999999993</v>
      </c>
      <c r="G104" s="134">
        <v>53.4</v>
      </c>
      <c r="H104" s="134">
        <v>0</v>
      </c>
      <c r="I104" s="134">
        <v>110.19999999999999</v>
      </c>
      <c r="J104" s="134">
        <v>0</v>
      </c>
      <c r="K104" s="134">
        <v>172.20000000000002</v>
      </c>
      <c r="L104" s="134">
        <v>0</v>
      </c>
      <c r="M104" s="134">
        <v>234.20000000000002</v>
      </c>
      <c r="N104" s="134">
        <v>0</v>
      </c>
      <c r="O104" s="134">
        <v>296.2</v>
      </c>
      <c r="P104" s="134"/>
      <c r="Q104" s="134"/>
      <c r="R104" s="134"/>
    </row>
    <row r="105" spans="1:110" x14ac:dyDescent="0.2">
      <c r="A105" s="132">
        <v>2009</v>
      </c>
      <c r="B105" s="144">
        <v>8</v>
      </c>
      <c r="C105" s="144">
        <v>21.454838709677421</v>
      </c>
      <c r="D105" s="134">
        <v>20.399999999999999</v>
      </c>
      <c r="E105" s="134">
        <v>65.500000000000014</v>
      </c>
      <c r="F105" s="134">
        <v>5.4</v>
      </c>
      <c r="G105" s="134">
        <v>112.5</v>
      </c>
      <c r="H105" s="134">
        <v>0.79999999999999893</v>
      </c>
      <c r="I105" s="134">
        <v>169.9</v>
      </c>
      <c r="J105" s="134">
        <v>0</v>
      </c>
      <c r="K105" s="134">
        <v>231.1</v>
      </c>
      <c r="L105" s="134">
        <v>0</v>
      </c>
      <c r="M105" s="134">
        <v>293.09999999999997</v>
      </c>
      <c r="N105" s="134">
        <v>0</v>
      </c>
      <c r="O105" s="134">
        <v>355.09999999999997</v>
      </c>
      <c r="P105" s="134"/>
      <c r="Q105" s="134"/>
      <c r="R105" s="134"/>
    </row>
    <row r="106" spans="1:110" x14ac:dyDescent="0.2">
      <c r="A106" s="132">
        <v>2009</v>
      </c>
      <c r="B106" s="144">
        <v>9</v>
      </c>
      <c r="C106" s="144">
        <v>17.459999999999997</v>
      </c>
      <c r="D106" s="134">
        <v>82.600000000000009</v>
      </c>
      <c r="E106" s="134">
        <v>6.3999999999999986</v>
      </c>
      <c r="F106" s="134">
        <v>42</v>
      </c>
      <c r="G106" s="134">
        <v>25.799999999999997</v>
      </c>
      <c r="H106" s="134">
        <v>17.599999999999998</v>
      </c>
      <c r="I106" s="134">
        <v>61.4</v>
      </c>
      <c r="J106" s="134">
        <v>5.0999999999999996</v>
      </c>
      <c r="K106" s="134">
        <v>108.90000000000002</v>
      </c>
      <c r="L106" s="134">
        <v>2.1999999999999993</v>
      </c>
      <c r="M106" s="134">
        <v>166.00000000000003</v>
      </c>
      <c r="N106" s="134">
        <v>0.19999999999999929</v>
      </c>
      <c r="O106" s="134">
        <v>224.00000000000003</v>
      </c>
      <c r="P106" s="134"/>
      <c r="Q106" s="134"/>
      <c r="R106" s="134"/>
    </row>
    <row r="107" spans="1:110" x14ac:dyDescent="0.2">
      <c r="A107" s="132">
        <v>2009</v>
      </c>
      <c r="B107" s="144">
        <v>10</v>
      </c>
      <c r="C107" s="144">
        <v>9.5000000000000018</v>
      </c>
      <c r="D107" s="134">
        <v>325.5</v>
      </c>
      <c r="E107" s="134">
        <v>0</v>
      </c>
      <c r="F107" s="134">
        <v>263.49999999999994</v>
      </c>
      <c r="G107" s="134">
        <v>0</v>
      </c>
      <c r="H107" s="134">
        <v>201.49999999999997</v>
      </c>
      <c r="I107" s="134">
        <v>0</v>
      </c>
      <c r="J107" s="134">
        <v>140.69999999999996</v>
      </c>
      <c r="K107" s="134">
        <v>1.1999999999999993</v>
      </c>
      <c r="L107" s="134">
        <v>85.300000000000011</v>
      </c>
      <c r="M107" s="134">
        <v>7.7999999999999989</v>
      </c>
      <c r="N107" s="134">
        <v>45.100000000000009</v>
      </c>
      <c r="O107" s="134">
        <v>29.600000000000005</v>
      </c>
      <c r="P107" s="134"/>
      <c r="Q107" s="134"/>
      <c r="R107" s="134"/>
    </row>
    <row r="108" spans="1:110" x14ac:dyDescent="0.2">
      <c r="A108" s="132">
        <v>2009</v>
      </c>
      <c r="B108" s="144">
        <v>11</v>
      </c>
      <c r="C108" s="144">
        <v>6.8133333333333317</v>
      </c>
      <c r="D108" s="134">
        <v>395.59999999999997</v>
      </c>
      <c r="E108" s="134">
        <v>0</v>
      </c>
      <c r="F108" s="134">
        <v>335.59999999999997</v>
      </c>
      <c r="G108" s="134">
        <v>0</v>
      </c>
      <c r="H108" s="134">
        <v>275.60000000000002</v>
      </c>
      <c r="I108" s="134">
        <v>0</v>
      </c>
      <c r="J108" s="134">
        <v>215.60000000000002</v>
      </c>
      <c r="K108" s="134">
        <v>0</v>
      </c>
      <c r="L108" s="134">
        <v>156.1</v>
      </c>
      <c r="M108" s="134">
        <v>0.5</v>
      </c>
      <c r="N108" s="134">
        <v>99.3</v>
      </c>
      <c r="O108" s="134">
        <v>3.6999999999999993</v>
      </c>
      <c r="P108" s="134"/>
      <c r="Q108" s="134"/>
      <c r="R108" s="134"/>
    </row>
    <row r="109" spans="1:110" x14ac:dyDescent="0.2">
      <c r="A109" s="132">
        <v>2009</v>
      </c>
      <c r="B109" s="144">
        <v>12</v>
      </c>
      <c r="C109" s="144">
        <v>-1.5032258064516126</v>
      </c>
      <c r="D109" s="134">
        <v>666.6</v>
      </c>
      <c r="E109" s="134">
        <v>0</v>
      </c>
      <c r="F109" s="134">
        <v>604.6</v>
      </c>
      <c r="G109" s="134">
        <v>0</v>
      </c>
      <c r="H109" s="134">
        <v>542.59999999999991</v>
      </c>
      <c r="I109" s="134">
        <v>0</v>
      </c>
      <c r="J109" s="134">
        <v>480.59999999999997</v>
      </c>
      <c r="K109" s="134">
        <v>0</v>
      </c>
      <c r="L109" s="134">
        <v>418.59999999999997</v>
      </c>
      <c r="M109" s="134">
        <v>0</v>
      </c>
      <c r="N109" s="134">
        <v>356.59999999999997</v>
      </c>
      <c r="O109" s="134">
        <v>0</v>
      </c>
      <c r="P109" s="134"/>
      <c r="Q109" s="134"/>
      <c r="R109" s="134"/>
    </row>
    <row r="110" spans="1:110" x14ac:dyDescent="0.2">
      <c r="A110" s="132">
        <v>2010</v>
      </c>
      <c r="B110" s="144">
        <v>1</v>
      </c>
      <c r="C110" s="144">
        <v>-4.2322580645161292</v>
      </c>
      <c r="D110" s="134">
        <v>751.2</v>
      </c>
      <c r="E110" s="134">
        <v>0</v>
      </c>
      <c r="F110" s="134">
        <v>689.19999999999993</v>
      </c>
      <c r="G110" s="134">
        <v>0</v>
      </c>
      <c r="H110" s="134">
        <v>627.19999999999993</v>
      </c>
      <c r="I110" s="134">
        <v>0</v>
      </c>
      <c r="J110" s="134">
        <v>565.20000000000005</v>
      </c>
      <c r="K110" s="134">
        <v>0</v>
      </c>
      <c r="L110" s="134">
        <v>503.2</v>
      </c>
      <c r="M110" s="134">
        <v>0</v>
      </c>
      <c r="N110" s="134">
        <v>441.20000000000005</v>
      </c>
      <c r="O110" s="134">
        <v>0</v>
      </c>
      <c r="P110" s="134"/>
      <c r="Q110" s="134"/>
      <c r="R110" s="134"/>
    </row>
    <row r="111" spans="1:110" x14ac:dyDescent="0.2">
      <c r="A111" s="132">
        <v>2010</v>
      </c>
      <c r="B111" s="144">
        <v>2</v>
      </c>
      <c r="C111" s="144">
        <v>-2.6357142857142857</v>
      </c>
      <c r="D111" s="134">
        <v>633.79999999999995</v>
      </c>
      <c r="E111" s="134">
        <v>0</v>
      </c>
      <c r="F111" s="134">
        <v>577.79999999999995</v>
      </c>
      <c r="G111" s="134">
        <v>0</v>
      </c>
      <c r="H111" s="134">
        <v>521.79999999999995</v>
      </c>
      <c r="I111" s="134">
        <v>0</v>
      </c>
      <c r="J111" s="134">
        <v>465.8</v>
      </c>
      <c r="K111" s="134">
        <v>0</v>
      </c>
      <c r="L111" s="134">
        <v>409.8</v>
      </c>
      <c r="M111" s="134">
        <v>0</v>
      </c>
      <c r="N111" s="134">
        <v>353.80000000000007</v>
      </c>
      <c r="O111" s="134">
        <v>0</v>
      </c>
      <c r="P111" s="134"/>
      <c r="Q111" s="134"/>
      <c r="R111" s="134"/>
    </row>
    <row r="112" spans="1:110" x14ac:dyDescent="0.2">
      <c r="A112" s="132">
        <v>2010</v>
      </c>
      <c r="B112" s="144">
        <v>3</v>
      </c>
      <c r="C112" s="144">
        <v>4.3645161290322578</v>
      </c>
      <c r="D112" s="134">
        <v>484.7</v>
      </c>
      <c r="E112" s="134">
        <v>0</v>
      </c>
      <c r="F112" s="134">
        <v>422.7</v>
      </c>
      <c r="G112" s="134">
        <v>0</v>
      </c>
      <c r="H112" s="134">
        <v>360.7</v>
      </c>
      <c r="I112" s="134">
        <v>0</v>
      </c>
      <c r="J112" s="134">
        <v>298.7</v>
      </c>
      <c r="K112" s="134">
        <v>0</v>
      </c>
      <c r="L112" s="134">
        <v>236.70000000000002</v>
      </c>
      <c r="M112" s="134">
        <v>0</v>
      </c>
      <c r="N112" s="134">
        <v>176.60000000000002</v>
      </c>
      <c r="O112" s="134">
        <v>1.9000000000000004</v>
      </c>
      <c r="P112" s="134"/>
      <c r="Q112" s="134"/>
      <c r="R112" s="134"/>
    </row>
    <row r="113" spans="1:36" x14ac:dyDescent="0.2">
      <c r="A113" s="132">
        <v>2010</v>
      </c>
      <c r="B113" s="144">
        <v>4</v>
      </c>
      <c r="C113" s="144">
        <v>10.896666666666668</v>
      </c>
      <c r="D113" s="134">
        <v>273.10000000000002</v>
      </c>
      <c r="E113" s="134">
        <v>0</v>
      </c>
      <c r="F113" s="134">
        <v>214.10000000000002</v>
      </c>
      <c r="G113" s="134">
        <v>1</v>
      </c>
      <c r="H113" s="134">
        <v>159.69999999999999</v>
      </c>
      <c r="I113" s="134">
        <v>6.6000000000000014</v>
      </c>
      <c r="J113" s="134">
        <v>109.10000000000001</v>
      </c>
      <c r="K113" s="134">
        <v>16.000000000000004</v>
      </c>
      <c r="L113" s="134">
        <v>61.600000000000009</v>
      </c>
      <c r="M113" s="134">
        <v>28.500000000000004</v>
      </c>
      <c r="N113" s="134">
        <v>29.4</v>
      </c>
      <c r="O113" s="134">
        <v>56.3</v>
      </c>
      <c r="P113" s="134"/>
      <c r="Q113" s="134"/>
      <c r="R113" s="134"/>
      <c r="AF113" s="132" t="s">
        <v>179</v>
      </c>
    </row>
    <row r="114" spans="1:36" x14ac:dyDescent="0.2">
      <c r="A114" s="132">
        <v>2010</v>
      </c>
      <c r="B114" s="144">
        <v>5</v>
      </c>
      <c r="C114" s="144">
        <v>15.706451612903226</v>
      </c>
      <c r="D114" s="134">
        <v>150.80000000000001</v>
      </c>
      <c r="E114" s="134">
        <v>17.700000000000003</v>
      </c>
      <c r="F114" s="134">
        <v>110.89999999999998</v>
      </c>
      <c r="G114" s="134">
        <v>39.800000000000004</v>
      </c>
      <c r="H114" s="134">
        <v>78.5</v>
      </c>
      <c r="I114" s="134">
        <v>69.400000000000006</v>
      </c>
      <c r="J114" s="134">
        <v>52</v>
      </c>
      <c r="K114" s="134">
        <v>104.9</v>
      </c>
      <c r="L114" s="134">
        <v>31.699999999999996</v>
      </c>
      <c r="M114" s="134">
        <v>146.6</v>
      </c>
      <c r="N114" s="134">
        <v>16.899999999999999</v>
      </c>
      <c r="O114" s="134">
        <v>193.79999999999998</v>
      </c>
      <c r="P114" s="134"/>
      <c r="Q114" s="134"/>
      <c r="R114" s="134"/>
      <c r="AF114" s="132" t="s">
        <v>180</v>
      </c>
    </row>
    <row r="115" spans="1:36" x14ac:dyDescent="0.2">
      <c r="A115" s="132">
        <v>2010</v>
      </c>
      <c r="B115" s="144">
        <v>6</v>
      </c>
      <c r="C115" s="144">
        <v>19.893333333333334</v>
      </c>
      <c r="D115" s="134">
        <v>40.099999999999994</v>
      </c>
      <c r="E115" s="134">
        <v>36.9</v>
      </c>
      <c r="F115" s="134">
        <v>17.899999999999999</v>
      </c>
      <c r="G115" s="134">
        <v>74.699999999999989</v>
      </c>
      <c r="H115" s="134">
        <v>5.6999999999999993</v>
      </c>
      <c r="I115" s="134">
        <v>122.50000000000003</v>
      </c>
      <c r="J115" s="134">
        <v>0</v>
      </c>
      <c r="K115" s="134">
        <v>176.8</v>
      </c>
      <c r="L115" s="134">
        <v>0</v>
      </c>
      <c r="M115" s="134">
        <v>236.79999999999998</v>
      </c>
      <c r="N115" s="134">
        <v>0</v>
      </c>
      <c r="O115" s="134">
        <v>296.8</v>
      </c>
      <c r="P115" s="134"/>
      <c r="Q115" s="134"/>
      <c r="R115" s="134"/>
      <c r="AF115" s="132" t="s">
        <v>181</v>
      </c>
    </row>
    <row r="116" spans="1:36" x14ac:dyDescent="0.2">
      <c r="A116" s="132">
        <v>2010</v>
      </c>
      <c r="B116" s="144">
        <v>7</v>
      </c>
      <c r="C116" s="144">
        <v>23.570967741935487</v>
      </c>
      <c r="D116" s="134">
        <v>6.7999999999999972</v>
      </c>
      <c r="E116" s="134">
        <v>117.50000000000003</v>
      </c>
      <c r="F116" s="134">
        <v>1.8999999999999986</v>
      </c>
      <c r="G116" s="134">
        <v>174.59999999999997</v>
      </c>
      <c r="H116" s="134">
        <v>0</v>
      </c>
      <c r="I116" s="134">
        <v>234.69999999999996</v>
      </c>
      <c r="J116" s="134">
        <v>0</v>
      </c>
      <c r="K116" s="134">
        <v>296.7</v>
      </c>
      <c r="L116" s="134">
        <v>0</v>
      </c>
      <c r="M116" s="134">
        <v>358.7</v>
      </c>
      <c r="N116" s="134">
        <v>0</v>
      </c>
      <c r="O116" s="134">
        <v>420.7</v>
      </c>
      <c r="P116" s="134"/>
      <c r="Q116" s="134"/>
      <c r="R116" s="134"/>
    </row>
    <row r="117" spans="1:36" x14ac:dyDescent="0.2">
      <c r="A117" s="132">
        <v>2010</v>
      </c>
      <c r="B117" s="144">
        <v>8</v>
      </c>
      <c r="C117" s="144">
        <v>22.654838709677421</v>
      </c>
      <c r="D117" s="134">
        <v>9.8999999999999986</v>
      </c>
      <c r="E117" s="134">
        <v>92.2</v>
      </c>
      <c r="F117" s="134">
        <v>1.3999999999999986</v>
      </c>
      <c r="G117" s="134">
        <v>145.69999999999999</v>
      </c>
      <c r="H117" s="134">
        <v>0</v>
      </c>
      <c r="I117" s="134">
        <v>206.29999999999998</v>
      </c>
      <c r="J117" s="134">
        <v>0</v>
      </c>
      <c r="K117" s="134">
        <v>268.3</v>
      </c>
      <c r="L117" s="134">
        <v>0</v>
      </c>
      <c r="M117" s="134">
        <v>330.29999999999995</v>
      </c>
      <c r="N117" s="134">
        <v>0</v>
      </c>
      <c r="O117" s="134">
        <v>392.29999999999995</v>
      </c>
      <c r="P117" s="134"/>
      <c r="Q117" s="134"/>
      <c r="R117" s="134"/>
      <c r="AG117" s="132" t="s">
        <v>157</v>
      </c>
      <c r="AH117" s="132" t="s">
        <v>158</v>
      </c>
      <c r="AI117" s="132" t="s">
        <v>159</v>
      </c>
      <c r="AJ117" s="132" t="s">
        <v>160</v>
      </c>
    </row>
    <row r="118" spans="1:36" x14ac:dyDescent="0.2">
      <c r="A118" s="132">
        <v>2010</v>
      </c>
      <c r="B118" s="144">
        <v>9</v>
      </c>
      <c r="C118" s="144">
        <v>17.023333333333333</v>
      </c>
      <c r="D118" s="134">
        <v>112.90000000000003</v>
      </c>
      <c r="E118" s="134">
        <v>23.6</v>
      </c>
      <c r="F118" s="134">
        <v>64.900000000000006</v>
      </c>
      <c r="G118" s="134">
        <v>35.6</v>
      </c>
      <c r="H118" s="134">
        <v>26.9</v>
      </c>
      <c r="I118" s="134">
        <v>57.600000000000023</v>
      </c>
      <c r="J118" s="134">
        <v>6.1</v>
      </c>
      <c r="K118" s="134">
        <v>96.800000000000011</v>
      </c>
      <c r="L118" s="134">
        <v>1.4000000000000004</v>
      </c>
      <c r="M118" s="134">
        <v>152.10000000000002</v>
      </c>
      <c r="N118" s="134">
        <v>0</v>
      </c>
      <c r="O118" s="134">
        <v>210.70000000000002</v>
      </c>
      <c r="P118" s="134"/>
      <c r="Q118" s="134"/>
      <c r="R118" s="134"/>
      <c r="AF118" s="132" t="s">
        <v>161</v>
      </c>
      <c r="AG118" s="132">
        <v>12869924.1674238</v>
      </c>
      <c r="AH118" s="132">
        <v>205205.77904753599</v>
      </c>
      <c r="AI118" s="132">
        <v>62.717162387724201</v>
      </c>
      <c r="AJ118" s="181">
        <v>6.65509271314911E-92</v>
      </c>
    </row>
    <row r="119" spans="1:36" x14ac:dyDescent="0.2">
      <c r="A119" s="132">
        <v>2010</v>
      </c>
      <c r="B119" s="144">
        <v>10</v>
      </c>
      <c r="C119" s="144">
        <v>10.977419354838711</v>
      </c>
      <c r="D119" s="134">
        <v>279.7</v>
      </c>
      <c r="E119" s="134">
        <v>0</v>
      </c>
      <c r="F119" s="134">
        <v>218.19999999999996</v>
      </c>
      <c r="G119" s="134">
        <v>0.5</v>
      </c>
      <c r="H119" s="134">
        <v>158.19999999999999</v>
      </c>
      <c r="I119" s="134">
        <v>2.5</v>
      </c>
      <c r="J119" s="134">
        <v>103.19999999999996</v>
      </c>
      <c r="K119" s="134">
        <v>9.5</v>
      </c>
      <c r="L119" s="134">
        <v>57.70000000000001</v>
      </c>
      <c r="M119" s="134">
        <v>26</v>
      </c>
      <c r="N119" s="134">
        <v>20.5</v>
      </c>
      <c r="O119" s="134">
        <v>50.800000000000004</v>
      </c>
      <c r="P119" s="134"/>
      <c r="Q119" s="134"/>
      <c r="R119" s="134"/>
      <c r="AF119" s="132" t="s">
        <v>95</v>
      </c>
      <c r="AG119" s="181">
        <v>6944.6750878197099</v>
      </c>
      <c r="AH119" s="132">
        <v>438.11406113273398</v>
      </c>
      <c r="AI119" s="132">
        <v>15.8512946830887</v>
      </c>
      <c r="AJ119" s="181">
        <v>6.5590019414742704E-31</v>
      </c>
    </row>
    <row r="120" spans="1:36" x14ac:dyDescent="0.2">
      <c r="A120" s="132">
        <v>2010</v>
      </c>
      <c r="B120" s="144">
        <v>11</v>
      </c>
      <c r="C120" s="144">
        <v>4.9200000000000008</v>
      </c>
      <c r="D120" s="134">
        <v>452.40000000000003</v>
      </c>
      <c r="E120" s="134">
        <v>0</v>
      </c>
      <c r="F120" s="134">
        <v>392.4</v>
      </c>
      <c r="G120" s="134">
        <v>0</v>
      </c>
      <c r="H120" s="134">
        <v>332.40000000000003</v>
      </c>
      <c r="I120" s="134">
        <v>0</v>
      </c>
      <c r="J120" s="134">
        <v>272.39999999999998</v>
      </c>
      <c r="K120" s="134">
        <v>0</v>
      </c>
      <c r="L120" s="134">
        <v>212.4</v>
      </c>
      <c r="M120" s="134">
        <v>0</v>
      </c>
      <c r="N120" s="134">
        <v>152.9</v>
      </c>
      <c r="O120" s="134">
        <v>0.5</v>
      </c>
      <c r="P120" s="134"/>
      <c r="Q120" s="134"/>
      <c r="R120" s="134"/>
      <c r="AF120" s="132" t="s">
        <v>96</v>
      </c>
      <c r="AG120" s="132">
        <v>33504.903551470597</v>
      </c>
      <c r="AH120" s="132">
        <v>1093.6269870723399</v>
      </c>
      <c r="AI120" s="132">
        <v>30.636500331035201</v>
      </c>
      <c r="AJ120" s="181">
        <v>1.0144968313214199E-57</v>
      </c>
    </row>
    <row r="121" spans="1:36" x14ac:dyDescent="0.2">
      <c r="A121" s="132">
        <v>2010</v>
      </c>
      <c r="B121" s="144">
        <v>12</v>
      </c>
      <c r="C121" s="144">
        <v>-3.193548387096774</v>
      </c>
      <c r="D121" s="134">
        <v>719</v>
      </c>
      <c r="E121" s="134">
        <v>0</v>
      </c>
      <c r="F121" s="134">
        <v>657.00000000000011</v>
      </c>
      <c r="G121" s="134">
        <v>0</v>
      </c>
      <c r="H121" s="134">
        <v>595</v>
      </c>
      <c r="I121" s="134">
        <v>0</v>
      </c>
      <c r="J121" s="134">
        <v>533.00000000000011</v>
      </c>
      <c r="K121" s="134">
        <v>0</v>
      </c>
      <c r="L121" s="134">
        <v>471</v>
      </c>
      <c r="M121" s="134">
        <v>0</v>
      </c>
      <c r="N121" s="134">
        <v>409</v>
      </c>
      <c r="O121" s="134">
        <v>0</v>
      </c>
      <c r="P121" s="134"/>
      <c r="Q121" s="134"/>
      <c r="R121" s="134" t="s">
        <v>175</v>
      </c>
      <c r="S121" s="133" t="s">
        <v>176</v>
      </c>
      <c r="V121" s="146"/>
      <c r="W121" s="147"/>
      <c r="X121" s="147"/>
    </row>
    <row r="122" spans="1:36" x14ac:dyDescent="0.2">
      <c r="A122" s="132">
        <v>2011</v>
      </c>
      <c r="B122" s="144">
        <v>1</v>
      </c>
      <c r="C122" s="144">
        <v>-5.9677419354838701</v>
      </c>
      <c r="D122" s="143">
        <v>805</v>
      </c>
      <c r="E122" s="134">
        <v>0</v>
      </c>
      <c r="F122" s="134">
        <v>743</v>
      </c>
      <c r="G122" s="134">
        <v>0</v>
      </c>
      <c r="H122" s="134">
        <v>681</v>
      </c>
      <c r="I122" s="134">
        <v>0</v>
      </c>
      <c r="J122" s="134">
        <v>619</v>
      </c>
      <c r="K122" s="134">
        <v>0</v>
      </c>
      <c r="L122" s="134">
        <v>557</v>
      </c>
      <c r="M122" s="134">
        <v>0</v>
      </c>
      <c r="N122" s="134">
        <v>494.99999999999994</v>
      </c>
      <c r="O122" s="134">
        <v>0</v>
      </c>
      <c r="P122" s="148">
        <f>'Purchased Power Model'!D15</f>
        <v>16972495.279649999</v>
      </c>
      <c r="Q122" s="148">
        <f ca="1">'Purchased Power Model'!G15</f>
        <v>16979172.514533948</v>
      </c>
      <c r="R122" s="148">
        <f t="shared" ref="R122:R153" si="86">$AG$118+H122*$AG$119+I122*$AG$120</f>
        <v>17599247.902229022</v>
      </c>
      <c r="S122" s="148">
        <f>$AG$134+F122*$AG$135+G122*$AG$136</f>
        <v>17302907.445497576</v>
      </c>
      <c r="V122" s="146"/>
      <c r="W122" s="147"/>
      <c r="X122" s="147"/>
      <c r="AF122" s="132" t="s">
        <v>172</v>
      </c>
      <c r="AG122" s="181"/>
    </row>
    <row r="123" spans="1:36" x14ac:dyDescent="0.2">
      <c r="A123" s="132">
        <v>2011</v>
      </c>
      <c r="B123" s="144">
        <v>2</v>
      </c>
      <c r="C123" s="144">
        <v>-3.8107142857142859</v>
      </c>
      <c r="D123" s="143">
        <v>666.69999999999993</v>
      </c>
      <c r="E123" s="134">
        <v>0</v>
      </c>
      <c r="F123" s="134">
        <v>610.69999999999993</v>
      </c>
      <c r="G123" s="134">
        <v>0</v>
      </c>
      <c r="H123" s="134">
        <v>554.70000000000005</v>
      </c>
      <c r="I123" s="134">
        <v>0</v>
      </c>
      <c r="J123" s="134">
        <v>498.7</v>
      </c>
      <c r="K123" s="134">
        <v>0</v>
      </c>
      <c r="L123" s="134">
        <v>442.70000000000005</v>
      </c>
      <c r="M123" s="134">
        <v>0</v>
      </c>
      <c r="N123" s="134">
        <v>386.7000000000001</v>
      </c>
      <c r="O123" s="134">
        <v>0</v>
      </c>
      <c r="P123" s="148">
        <f>'Purchased Power Model'!D16</f>
        <v>15034235.442599999</v>
      </c>
      <c r="Q123" s="148">
        <f ca="1">'Purchased Power Model'!G16</f>
        <v>15047589.912367899</v>
      </c>
      <c r="R123" s="148">
        <f t="shared" si="86"/>
        <v>16722135.438637393</v>
      </c>
      <c r="S123" s="148">
        <f t="shared" ref="S123:S186" si="87">$AG$134+F123*$AG$135+G123*$AG$136</f>
        <v>16586721.384002376</v>
      </c>
      <c r="V123" s="146"/>
      <c r="W123" s="147"/>
      <c r="X123" s="147"/>
      <c r="AE123" s="148"/>
      <c r="AF123" s="132" t="s">
        <v>162</v>
      </c>
      <c r="AG123" s="132">
        <v>16448790.194414699</v>
      </c>
      <c r="AH123" s="132" t="s">
        <v>163</v>
      </c>
      <c r="AI123" s="132">
        <v>1985679.2121154401</v>
      </c>
    </row>
    <row r="124" spans="1:36" x14ac:dyDescent="0.2">
      <c r="A124" s="132">
        <v>2011</v>
      </c>
      <c r="B124" s="144">
        <v>3</v>
      </c>
      <c r="C124" s="144">
        <v>0.30322580645161273</v>
      </c>
      <c r="D124" s="143">
        <v>610.60000000000014</v>
      </c>
      <c r="E124" s="134">
        <v>0</v>
      </c>
      <c r="F124" s="134">
        <v>548.60000000000014</v>
      </c>
      <c r="G124" s="134">
        <v>0</v>
      </c>
      <c r="H124" s="134">
        <v>486.60000000000014</v>
      </c>
      <c r="I124" s="134">
        <v>0</v>
      </c>
      <c r="J124" s="134">
        <v>424.60000000000014</v>
      </c>
      <c r="K124" s="134">
        <v>0</v>
      </c>
      <c r="L124" s="134">
        <v>362.60000000000008</v>
      </c>
      <c r="M124" s="134">
        <v>0</v>
      </c>
      <c r="N124" s="134">
        <v>301.7000000000001</v>
      </c>
      <c r="O124" s="134">
        <v>1.0999999999999996</v>
      </c>
      <c r="P124" s="148">
        <f>'Purchased Power Model'!D17</f>
        <v>15600132.157400001</v>
      </c>
      <c r="Q124" s="148">
        <f ca="1">'Purchased Power Model'!G17</f>
        <v>15620163.862051852</v>
      </c>
      <c r="R124" s="148">
        <f>$AG$118+H124*$AG$119+I124*$AG$120</f>
        <v>16249203.065156871</v>
      </c>
      <c r="S124" s="148">
        <f>$AG$134+F124*$AG$135+G124*$AG$136</f>
        <v>16250552.416361773</v>
      </c>
      <c r="V124" s="146"/>
      <c r="W124" s="147"/>
      <c r="X124" s="147"/>
      <c r="AE124" s="148"/>
      <c r="AF124" s="132" t="s">
        <v>164</v>
      </c>
      <c r="AG124" s="132">
        <v>39704591923886</v>
      </c>
      <c r="AH124" s="132" t="s">
        <v>165</v>
      </c>
      <c r="AI124" s="132">
        <v>582542.26158188703</v>
      </c>
    </row>
    <row r="125" spans="1:36" x14ac:dyDescent="0.2">
      <c r="A125" s="132">
        <v>2011</v>
      </c>
      <c r="B125" s="144">
        <v>4</v>
      </c>
      <c r="C125" s="144">
        <v>6.8466666666666667</v>
      </c>
      <c r="D125" s="143">
        <v>394.6</v>
      </c>
      <c r="E125" s="134">
        <v>0</v>
      </c>
      <c r="F125" s="134">
        <v>334.6</v>
      </c>
      <c r="G125" s="134">
        <v>0</v>
      </c>
      <c r="H125" s="134">
        <v>274.59999999999997</v>
      </c>
      <c r="I125" s="134">
        <v>0</v>
      </c>
      <c r="J125" s="134">
        <v>215.29999999999995</v>
      </c>
      <c r="K125" s="134">
        <v>0.69999999999999929</v>
      </c>
      <c r="L125" s="134">
        <v>162.19999999999999</v>
      </c>
      <c r="M125" s="134">
        <v>7.6</v>
      </c>
      <c r="N125" s="134">
        <v>112.2</v>
      </c>
      <c r="O125" s="134">
        <v>17.600000000000001</v>
      </c>
      <c r="P125" s="148">
        <f>'Purchased Power Model'!D18</f>
        <v>13905160.764599999</v>
      </c>
      <c r="Q125" s="148">
        <f ca="1">'Purchased Power Model'!G18</f>
        <v>13931869.7041358</v>
      </c>
      <c r="R125" s="148">
        <f t="shared" si="86"/>
        <v>14776931.946539091</v>
      </c>
      <c r="S125" s="148">
        <f t="shared" si="87"/>
        <v>15092095.748485938</v>
      </c>
      <c r="V125" s="146"/>
      <c r="W125" s="147"/>
      <c r="X125" s="147"/>
      <c r="AE125" s="148"/>
      <c r="AF125" s="132" t="s">
        <v>166</v>
      </c>
      <c r="AG125" s="132">
        <v>0.91538694703523704</v>
      </c>
      <c r="AH125" s="132" t="s">
        <v>167</v>
      </c>
      <c r="AI125" s="132">
        <v>0.91394057006148</v>
      </c>
    </row>
    <row r="126" spans="1:36" x14ac:dyDescent="0.2">
      <c r="A126" s="132">
        <v>2011</v>
      </c>
      <c r="B126" s="144">
        <v>5</v>
      </c>
      <c r="C126" s="144">
        <v>13.251612903225809</v>
      </c>
      <c r="D126" s="143">
        <v>212.99999999999994</v>
      </c>
      <c r="E126" s="134">
        <v>3.8000000000000007</v>
      </c>
      <c r="F126" s="134">
        <v>159.19999999999999</v>
      </c>
      <c r="G126" s="134">
        <v>12</v>
      </c>
      <c r="H126" s="134">
        <v>113.3</v>
      </c>
      <c r="I126" s="134">
        <v>28.099999999999998</v>
      </c>
      <c r="J126" s="134">
        <v>73.2</v>
      </c>
      <c r="K126" s="134">
        <v>49.999999999999993</v>
      </c>
      <c r="L126" s="134">
        <v>37.300000000000004</v>
      </c>
      <c r="M126" s="134">
        <v>76.099999999999994</v>
      </c>
      <c r="N126" s="134">
        <v>15.6</v>
      </c>
      <c r="O126" s="134">
        <v>116.4</v>
      </c>
      <c r="P126" s="148">
        <f>'Purchased Power Model'!D19</f>
        <v>13964088.668949999</v>
      </c>
      <c r="Q126" s="148">
        <f ca="1">'Purchased Power Model'!G19</f>
        <v>13997474.84336975</v>
      </c>
      <c r="R126" s="148">
        <f t="shared" si="86"/>
        <v>14598243.644670097</v>
      </c>
      <c r="S126" s="148">
        <f t="shared" si="87"/>
        <v>14666472.060003022</v>
      </c>
      <c r="V126" s="146"/>
      <c r="W126" s="147"/>
      <c r="X126" s="147"/>
      <c r="AE126" s="148"/>
      <c r="AF126" s="132" t="s">
        <v>168</v>
      </c>
      <c r="AG126" s="132">
        <v>544.30298716177504</v>
      </c>
      <c r="AH126" s="132" t="s">
        <v>169</v>
      </c>
      <c r="AI126" s="181">
        <v>5.4746645413184199E-60</v>
      </c>
    </row>
    <row r="127" spans="1:36" x14ac:dyDescent="0.2">
      <c r="A127" s="132">
        <v>2011</v>
      </c>
      <c r="B127" s="144">
        <v>6</v>
      </c>
      <c r="C127" s="144">
        <v>19.743333333333332</v>
      </c>
      <c r="D127" s="143">
        <v>39.800000000000011</v>
      </c>
      <c r="E127" s="134">
        <v>32.100000000000009</v>
      </c>
      <c r="F127" s="134">
        <v>15.200000000000001</v>
      </c>
      <c r="G127" s="134">
        <v>67.5</v>
      </c>
      <c r="H127" s="134">
        <v>1.0999999999999996</v>
      </c>
      <c r="I127" s="134">
        <v>113.39999999999999</v>
      </c>
      <c r="J127" s="134">
        <v>0</v>
      </c>
      <c r="K127" s="134">
        <v>172.3</v>
      </c>
      <c r="L127" s="134">
        <v>0</v>
      </c>
      <c r="M127" s="134">
        <v>232.29999999999998</v>
      </c>
      <c r="N127" s="134">
        <v>0</v>
      </c>
      <c r="O127" s="134">
        <v>292.3</v>
      </c>
      <c r="P127" s="148">
        <f>'Purchased Power Model'!D20</f>
        <v>15635949.933149999</v>
      </c>
      <c r="Q127" s="148">
        <f ca="1">'Purchased Power Model'!G20</f>
        <v>15676013.3424537</v>
      </c>
      <c r="R127" s="148">
        <f t="shared" si="86"/>
        <v>16677019.372757167</v>
      </c>
      <c r="S127" s="148">
        <f t="shared" si="87"/>
        <v>16309884.230785683</v>
      </c>
      <c r="V127" s="146"/>
      <c r="W127" s="147"/>
      <c r="X127" s="147"/>
      <c r="AE127" s="148"/>
      <c r="AF127" s="181" t="s">
        <v>170</v>
      </c>
      <c r="AG127" s="132">
        <v>-0.18620354727444799</v>
      </c>
      <c r="AH127" s="132" t="s">
        <v>171</v>
      </c>
      <c r="AI127" s="132">
        <v>2.2832043159215898</v>
      </c>
    </row>
    <row r="128" spans="1:36" x14ac:dyDescent="0.2">
      <c r="A128" s="132">
        <v>2011</v>
      </c>
      <c r="B128" s="144">
        <v>7</v>
      </c>
      <c r="C128" s="144">
        <v>24.748387096774191</v>
      </c>
      <c r="D128" s="143">
        <v>1</v>
      </c>
      <c r="E128" s="134">
        <v>148.20000000000002</v>
      </c>
      <c r="F128" s="134">
        <v>0</v>
      </c>
      <c r="G128" s="134">
        <v>209.20000000000002</v>
      </c>
      <c r="H128" s="134">
        <v>0</v>
      </c>
      <c r="I128" s="134">
        <v>271.2</v>
      </c>
      <c r="J128" s="134">
        <v>0</v>
      </c>
      <c r="K128" s="134">
        <v>333.2</v>
      </c>
      <c r="L128" s="134">
        <v>0</v>
      </c>
      <c r="M128" s="134">
        <v>395.19999999999993</v>
      </c>
      <c r="N128" s="134">
        <v>0</v>
      </c>
      <c r="O128" s="134">
        <v>457.2</v>
      </c>
      <c r="P128" s="148">
        <f>'Purchased Power Model'!D21</f>
        <v>20776403.369124997</v>
      </c>
      <c r="Q128" s="148">
        <f ca="1">'Purchased Power Model'!G21</f>
        <v>20823144.013312649</v>
      </c>
      <c r="R128" s="148">
        <f t="shared" si="86"/>
        <v>21956454.010582626</v>
      </c>
      <c r="S128" s="148">
        <f t="shared" si="87"/>
        <v>22413723.967758998</v>
      </c>
      <c r="V128" s="146"/>
      <c r="W128" s="147"/>
      <c r="X128" s="147"/>
      <c r="AE128" s="148"/>
    </row>
    <row r="129" spans="1:36" x14ac:dyDescent="0.2">
      <c r="A129" s="132">
        <v>2011</v>
      </c>
      <c r="B129" s="144">
        <v>8</v>
      </c>
      <c r="C129" s="144">
        <v>22.074193548387104</v>
      </c>
      <c r="D129" s="143">
        <v>4.1000000000000014</v>
      </c>
      <c r="E129" s="134">
        <v>68.400000000000006</v>
      </c>
      <c r="F129" s="134">
        <v>0</v>
      </c>
      <c r="G129" s="134">
        <v>126.30000000000001</v>
      </c>
      <c r="H129" s="134">
        <v>0</v>
      </c>
      <c r="I129" s="134">
        <v>188.29999999999995</v>
      </c>
      <c r="J129" s="134">
        <v>0</v>
      </c>
      <c r="K129" s="134">
        <v>250.29999999999993</v>
      </c>
      <c r="L129" s="134">
        <v>0</v>
      </c>
      <c r="M129" s="134">
        <v>312.30000000000013</v>
      </c>
      <c r="N129" s="134">
        <v>0</v>
      </c>
      <c r="O129" s="134">
        <v>374.30000000000007</v>
      </c>
      <c r="P129" s="148">
        <f>'Purchased Power Model'!D22</f>
        <v>18292832.774299998</v>
      </c>
      <c r="Q129" s="148">
        <f ca="1">'Purchased Power Model'!G22</f>
        <v>18346250.653371599</v>
      </c>
      <c r="R129" s="148">
        <f t="shared" si="86"/>
        <v>19178897.506165713</v>
      </c>
      <c r="S129" s="148">
        <f t="shared" si="87"/>
        <v>18794602.11245703</v>
      </c>
      <c r="V129" s="146"/>
      <c r="W129" s="147"/>
      <c r="X129" s="147"/>
      <c r="AF129" s="132" t="s">
        <v>173</v>
      </c>
    </row>
    <row r="130" spans="1:36" x14ac:dyDescent="0.2">
      <c r="A130" s="132">
        <v>2011</v>
      </c>
      <c r="B130" s="144">
        <v>9</v>
      </c>
      <c r="C130" s="144">
        <v>18.119999999999997</v>
      </c>
      <c r="D130" s="143">
        <v>80.499999999999986</v>
      </c>
      <c r="E130" s="134">
        <v>24.1</v>
      </c>
      <c r="F130" s="134">
        <v>44.3</v>
      </c>
      <c r="G130" s="134">
        <v>47.9</v>
      </c>
      <c r="H130" s="134">
        <v>17.399999999999999</v>
      </c>
      <c r="I130" s="134">
        <v>81</v>
      </c>
      <c r="J130" s="134">
        <v>5.0999999999999996</v>
      </c>
      <c r="K130" s="134">
        <v>128.70000000000002</v>
      </c>
      <c r="L130" s="134">
        <v>1.5999999999999996</v>
      </c>
      <c r="M130" s="134">
        <v>185.19999999999996</v>
      </c>
      <c r="N130" s="134">
        <v>0</v>
      </c>
      <c r="O130" s="134">
        <v>243.59999999999997</v>
      </c>
      <c r="P130" s="148">
        <f>'Purchased Power Model'!D23</f>
        <v>15179291.59935</v>
      </c>
      <c r="Q130" s="148">
        <f ca="1">'Purchased Power Model'!G23</f>
        <v>15239386.713305552</v>
      </c>
      <c r="R130" s="148">
        <f t="shared" si="86"/>
        <v>15704658.701620981</v>
      </c>
      <c r="S130" s="148">
        <f t="shared" si="87"/>
        <v>15611745.75582646</v>
      </c>
      <c r="V130" s="146"/>
      <c r="W130" s="147"/>
      <c r="X130" s="147"/>
      <c r="AF130" s="132" t="s">
        <v>156</v>
      </c>
    </row>
    <row r="131" spans="1:36" x14ac:dyDescent="0.2">
      <c r="A131" s="132">
        <v>2011</v>
      </c>
      <c r="B131" s="144">
        <v>10</v>
      </c>
      <c r="C131" s="144">
        <v>11.393548387096775</v>
      </c>
      <c r="D131" s="143">
        <v>267.70000000000005</v>
      </c>
      <c r="E131" s="134">
        <v>0.89999999999999858</v>
      </c>
      <c r="F131" s="134">
        <v>210.8</v>
      </c>
      <c r="G131" s="134">
        <v>5.9999999999999964</v>
      </c>
      <c r="H131" s="134">
        <v>154.9</v>
      </c>
      <c r="I131" s="134">
        <v>12.099999999999998</v>
      </c>
      <c r="J131" s="134">
        <v>108.3</v>
      </c>
      <c r="K131" s="134">
        <v>27.5</v>
      </c>
      <c r="L131" s="134">
        <v>66</v>
      </c>
      <c r="M131" s="134">
        <v>47.2</v>
      </c>
      <c r="N131" s="134">
        <v>34.200000000000003</v>
      </c>
      <c r="O131" s="134">
        <v>77.399999999999991</v>
      </c>
      <c r="P131" s="148">
        <f>'Purchased Power Model'!D24</f>
        <v>14464910.0175</v>
      </c>
      <c r="Q131" s="148">
        <f ca="1">'Purchased Power Model'!G24</f>
        <v>14531682.366339501</v>
      </c>
      <c r="R131" s="148">
        <f t="shared" si="86"/>
        <v>14351063.671499867</v>
      </c>
      <c r="S131" s="148">
        <f t="shared" si="87"/>
        <v>14683862.008401873</v>
      </c>
      <c r="V131" s="146"/>
      <c r="W131" s="147"/>
      <c r="X131" s="147"/>
      <c r="AF131" s="132" t="s">
        <v>174</v>
      </c>
    </row>
    <row r="132" spans="1:36" x14ac:dyDescent="0.2">
      <c r="A132" s="132">
        <v>2011</v>
      </c>
      <c r="B132" s="144">
        <v>11</v>
      </c>
      <c r="C132" s="144">
        <v>7.7799999999999994</v>
      </c>
      <c r="D132" s="143">
        <v>366.60000000000008</v>
      </c>
      <c r="E132" s="134">
        <v>0</v>
      </c>
      <c r="F132" s="134">
        <v>306.60000000000008</v>
      </c>
      <c r="G132" s="134">
        <v>0</v>
      </c>
      <c r="H132" s="134">
        <v>246.60000000000005</v>
      </c>
      <c r="I132" s="134">
        <v>0</v>
      </c>
      <c r="J132" s="134">
        <v>186.60000000000002</v>
      </c>
      <c r="K132" s="134">
        <v>0</v>
      </c>
      <c r="L132" s="134">
        <v>130.69999999999999</v>
      </c>
      <c r="M132" s="134">
        <v>4.1000000000000014</v>
      </c>
      <c r="N132" s="134">
        <v>86.199999999999989</v>
      </c>
      <c r="O132" s="134">
        <v>19.600000000000001</v>
      </c>
      <c r="P132" s="148">
        <f>'Purchased Power Model'!D25</f>
        <v>14415495.62755</v>
      </c>
      <c r="Q132" s="148">
        <f ca="1">'Purchased Power Model'!G25</f>
        <v>14488945.211273452</v>
      </c>
      <c r="R132" s="148">
        <f t="shared" si="86"/>
        <v>14582481.04408014</v>
      </c>
      <c r="S132" s="148">
        <f t="shared" si="87"/>
        <v>14940521.978857324</v>
      </c>
      <c r="V132" s="146"/>
      <c r="W132" s="147"/>
      <c r="X132" s="147"/>
    </row>
    <row r="133" spans="1:36" x14ac:dyDescent="0.2">
      <c r="A133" s="132">
        <v>2011</v>
      </c>
      <c r="B133" s="144">
        <v>12</v>
      </c>
      <c r="C133" s="144">
        <v>1.6870967741935483</v>
      </c>
      <c r="D133" s="143">
        <v>567.70000000000016</v>
      </c>
      <c r="E133" s="134">
        <v>0</v>
      </c>
      <c r="F133" s="134">
        <v>505.70000000000016</v>
      </c>
      <c r="G133" s="134">
        <v>0</v>
      </c>
      <c r="H133" s="134">
        <v>443.7000000000001</v>
      </c>
      <c r="I133" s="134">
        <v>0</v>
      </c>
      <c r="J133" s="134">
        <v>381.7</v>
      </c>
      <c r="K133" s="134">
        <v>0</v>
      </c>
      <c r="L133" s="134">
        <v>319.7</v>
      </c>
      <c r="M133" s="134">
        <v>0</v>
      </c>
      <c r="N133" s="134">
        <v>257.70000000000005</v>
      </c>
      <c r="O133" s="134">
        <v>0</v>
      </c>
      <c r="P133" s="148">
        <f>'Purchased Power Model'!D26</f>
        <v>16232068.276699999</v>
      </c>
      <c r="Q133" s="148">
        <f ca="1">'Purchased Power Model'!G26</f>
        <v>16312195.0953074</v>
      </c>
      <c r="R133" s="148">
        <f t="shared" si="86"/>
        <v>15951276.503889406</v>
      </c>
      <c r="S133" s="148">
        <f t="shared" si="87"/>
        <v>16018319.747895075</v>
      </c>
      <c r="V133" s="146"/>
      <c r="W133" s="147"/>
      <c r="X133" s="147"/>
      <c r="AG133" s="132" t="s">
        <v>157</v>
      </c>
      <c r="AH133" s="132" t="s">
        <v>158</v>
      </c>
      <c r="AI133" s="132" t="s">
        <v>159</v>
      </c>
      <c r="AJ133" s="132" t="s">
        <v>160</v>
      </c>
    </row>
    <row r="134" spans="1:36" x14ac:dyDescent="0.2">
      <c r="A134" s="132">
        <v>2012</v>
      </c>
      <c r="B134" s="144">
        <v>1</v>
      </c>
      <c r="C134" s="144">
        <v>-0.79354838709677411</v>
      </c>
      <c r="D134" s="143">
        <v>644.6</v>
      </c>
      <c r="E134" s="134">
        <v>0</v>
      </c>
      <c r="F134" s="134">
        <v>582.6</v>
      </c>
      <c r="G134" s="134">
        <v>0</v>
      </c>
      <c r="H134" s="134">
        <v>520.59999999999991</v>
      </c>
      <c r="I134" s="134">
        <v>0</v>
      </c>
      <c r="J134" s="134">
        <v>458.59999999999997</v>
      </c>
      <c r="K134" s="134">
        <v>0</v>
      </c>
      <c r="L134" s="134">
        <v>396.59999999999991</v>
      </c>
      <c r="M134" s="134">
        <v>0</v>
      </c>
      <c r="N134" s="134">
        <v>334.59999999999997</v>
      </c>
      <c r="O134" s="134">
        <v>0</v>
      </c>
      <c r="P134" s="148">
        <f>'Purchased Power Model'!D27</f>
        <v>16429520.481299998</v>
      </c>
      <c r="Q134" s="148">
        <f ca="1">'Purchased Power Model'!G27</f>
        <v>16521541.606928099</v>
      </c>
      <c r="R134" s="148">
        <f t="shared" si="86"/>
        <v>16485322.018142739</v>
      </c>
      <c r="S134" s="148">
        <f t="shared" si="87"/>
        <v>16434606.279482232</v>
      </c>
      <c r="V134" s="146"/>
      <c r="W134" s="147"/>
      <c r="X134" s="147"/>
      <c r="AF134" s="132" t="s">
        <v>161</v>
      </c>
      <c r="AG134" s="132">
        <v>13280789.201424001</v>
      </c>
      <c r="AH134" s="132">
        <v>212775.87863211299</v>
      </c>
      <c r="AI134" s="132">
        <v>62.416798778146799</v>
      </c>
      <c r="AJ134" s="181">
        <v>1.14833562488318E-91</v>
      </c>
    </row>
    <row r="135" spans="1:36" x14ac:dyDescent="0.2">
      <c r="A135" s="132">
        <v>2012</v>
      </c>
      <c r="B135" s="144">
        <v>2</v>
      </c>
      <c r="C135" s="144">
        <v>0.38275862068965522</v>
      </c>
      <c r="D135" s="143">
        <v>568.9</v>
      </c>
      <c r="E135" s="134">
        <v>0</v>
      </c>
      <c r="F135" s="134">
        <v>510.90000000000003</v>
      </c>
      <c r="G135" s="134">
        <v>0</v>
      </c>
      <c r="H135" s="134">
        <v>452.90000000000003</v>
      </c>
      <c r="I135" s="134">
        <v>0</v>
      </c>
      <c r="J135" s="134">
        <v>394.9</v>
      </c>
      <c r="K135" s="134">
        <v>0</v>
      </c>
      <c r="L135" s="134">
        <v>336.90000000000003</v>
      </c>
      <c r="M135" s="134">
        <v>0</v>
      </c>
      <c r="N135" s="134">
        <v>278.90000000000003</v>
      </c>
      <c r="O135" s="134">
        <v>0</v>
      </c>
      <c r="P135" s="148">
        <f>'Purchased Power Model'!D28</f>
        <v>14922709.590399999</v>
      </c>
      <c r="Q135" s="148">
        <f ca="1">'Purchased Power Model'!G28</f>
        <v>15021222.700664848</v>
      </c>
      <c r="R135" s="148">
        <f t="shared" si="86"/>
        <v>16015167.514697347</v>
      </c>
      <c r="S135" s="148">
        <f t="shared" si="87"/>
        <v>16046469.162254674</v>
      </c>
      <c r="T135" s="146"/>
      <c r="V135" s="146"/>
      <c r="W135" s="147"/>
      <c r="X135" s="147"/>
      <c r="AF135" s="132" t="s">
        <v>93</v>
      </c>
      <c r="AG135" s="132">
        <v>5413.3489153076398</v>
      </c>
      <c r="AH135" s="132">
        <v>433.03306969396903</v>
      </c>
      <c r="AI135" s="132">
        <v>12.5010057987796</v>
      </c>
      <c r="AJ135" s="181">
        <v>2.7123633804933302E-23</v>
      </c>
    </row>
    <row r="136" spans="1:36" x14ac:dyDescent="0.2">
      <c r="A136" s="132">
        <v>2012</v>
      </c>
      <c r="B136" s="144">
        <v>3</v>
      </c>
      <c r="C136" s="144">
        <v>6.9935483870967747</v>
      </c>
      <c r="D136" s="143">
        <v>403.20000000000005</v>
      </c>
      <c r="E136" s="134">
        <v>0</v>
      </c>
      <c r="F136" s="134">
        <v>341.70000000000005</v>
      </c>
      <c r="G136" s="134">
        <v>0.5</v>
      </c>
      <c r="H136" s="134">
        <v>281.8</v>
      </c>
      <c r="I136" s="134">
        <v>2.6000000000000014</v>
      </c>
      <c r="J136" s="134">
        <v>224.59999999999997</v>
      </c>
      <c r="K136" s="134">
        <v>7.4000000000000021</v>
      </c>
      <c r="L136" s="134">
        <v>170.89999999999998</v>
      </c>
      <c r="M136" s="134">
        <v>15.700000000000003</v>
      </c>
      <c r="N136" s="134">
        <v>126.29999999999997</v>
      </c>
      <c r="O136" s="134">
        <v>33.100000000000009</v>
      </c>
      <c r="P136" s="148">
        <f>'Purchased Power Model'!D29</f>
        <v>14512774.780449999</v>
      </c>
      <c r="Q136" s="148">
        <f ca="1">'Purchased Power Model'!G29</f>
        <v>14617779.875351597</v>
      </c>
      <c r="R136" s="148">
        <f t="shared" si="86"/>
        <v>14914046.356405217</v>
      </c>
      <c r="S136" s="148">
        <f t="shared" si="87"/>
        <v>15152358.763753872</v>
      </c>
      <c r="T136" s="146"/>
      <c r="V136" s="146"/>
      <c r="W136" s="147"/>
      <c r="X136" s="147"/>
      <c r="AF136" s="132" t="s">
        <v>94</v>
      </c>
      <c r="AG136" s="132">
        <v>43656.475938503798</v>
      </c>
      <c r="AH136" s="132">
        <v>1566.2668781310001</v>
      </c>
      <c r="AI136" s="132">
        <v>27.872948440688699</v>
      </c>
      <c r="AJ136" s="181">
        <v>1.7189669368563501E-53</v>
      </c>
    </row>
    <row r="137" spans="1:36" x14ac:dyDescent="0.2">
      <c r="A137" s="132">
        <v>2012</v>
      </c>
      <c r="B137" s="144">
        <v>4</v>
      </c>
      <c r="C137" s="144">
        <v>7.9733333333333354</v>
      </c>
      <c r="D137" s="143">
        <v>361.59999999999997</v>
      </c>
      <c r="E137" s="134">
        <v>0.80000000000000071</v>
      </c>
      <c r="F137" s="134">
        <v>303.59999999999997</v>
      </c>
      <c r="G137" s="134">
        <v>2.8000000000000007</v>
      </c>
      <c r="H137" s="134">
        <v>246.89999999999992</v>
      </c>
      <c r="I137" s="134">
        <v>6.1000000000000014</v>
      </c>
      <c r="J137" s="134">
        <v>192.89999999999998</v>
      </c>
      <c r="K137" s="134">
        <v>12.100000000000001</v>
      </c>
      <c r="L137" s="134">
        <v>140.00000000000003</v>
      </c>
      <c r="M137" s="134">
        <v>19.200000000000003</v>
      </c>
      <c r="N137" s="134">
        <v>88.600000000000023</v>
      </c>
      <c r="O137" s="134">
        <v>27.800000000000004</v>
      </c>
      <c r="P137" s="148">
        <f>'Purchased Power Model'!D30</f>
        <v>13420400.940308001</v>
      </c>
      <c r="Q137" s="148">
        <f ca="1">'Purchased Power Model'!G30</f>
        <v>13531898.019846346</v>
      </c>
      <c r="R137" s="148">
        <f t="shared" si="86"/>
        <v>14788944.358270455</v>
      </c>
      <c r="S137" s="148">
        <f t="shared" si="87"/>
        <v>15046520.064739211</v>
      </c>
      <c r="T137" s="146"/>
      <c r="V137" s="146"/>
      <c r="W137" s="147"/>
      <c r="X137" s="147"/>
    </row>
    <row r="138" spans="1:36" x14ac:dyDescent="0.2">
      <c r="A138" s="132">
        <v>2012</v>
      </c>
      <c r="B138" s="144">
        <v>5</v>
      </c>
      <c r="C138" s="144">
        <v>16.677419354838712</v>
      </c>
      <c r="D138" s="143">
        <v>121.39999999999999</v>
      </c>
      <c r="E138" s="134">
        <v>18.400000000000002</v>
      </c>
      <c r="F138" s="134">
        <v>77.5</v>
      </c>
      <c r="G138" s="134">
        <v>36.500000000000014</v>
      </c>
      <c r="H138" s="134">
        <v>45</v>
      </c>
      <c r="I138" s="134">
        <v>66.000000000000028</v>
      </c>
      <c r="J138" s="134">
        <v>23.700000000000003</v>
      </c>
      <c r="K138" s="134">
        <v>106.7</v>
      </c>
      <c r="L138" s="134">
        <v>8.8999999999999986</v>
      </c>
      <c r="M138" s="134">
        <v>153.9</v>
      </c>
      <c r="N138" s="134">
        <v>0.80000000000000071</v>
      </c>
      <c r="O138" s="134">
        <v>207.79999999999995</v>
      </c>
      <c r="P138" s="148">
        <f>'Purchased Power Model'!D31</f>
        <v>14603680.867724</v>
      </c>
      <c r="Q138" s="148">
        <f ca="1">'Purchased Power Model'!G31</f>
        <v>14721669.931899093</v>
      </c>
      <c r="R138" s="148">
        <f t="shared" si="86"/>
        <v>15393758.180772748</v>
      </c>
      <c r="S138" s="148">
        <f t="shared" si="87"/>
        <v>15293785.114115732</v>
      </c>
      <c r="T138" s="146"/>
      <c r="V138" s="146"/>
      <c r="W138" s="147"/>
      <c r="X138" s="147"/>
      <c r="AF138" s="132" t="s">
        <v>172</v>
      </c>
    </row>
    <row r="139" spans="1:36" x14ac:dyDescent="0.2">
      <c r="A139" s="132">
        <v>2012</v>
      </c>
      <c r="B139" s="144">
        <v>6</v>
      </c>
      <c r="C139" s="144">
        <v>21.043333333333333</v>
      </c>
      <c r="D139" s="143">
        <v>40.4</v>
      </c>
      <c r="E139" s="134">
        <v>71.699999999999989</v>
      </c>
      <c r="F139" s="134">
        <v>20.699999999999996</v>
      </c>
      <c r="G139" s="134">
        <v>112</v>
      </c>
      <c r="H139" s="134">
        <v>6.6999999999999993</v>
      </c>
      <c r="I139" s="134">
        <v>158</v>
      </c>
      <c r="J139" s="134">
        <v>1.0999999999999996</v>
      </c>
      <c r="K139" s="134">
        <v>212.39999999999998</v>
      </c>
      <c r="L139" s="134">
        <v>0</v>
      </c>
      <c r="M139" s="134">
        <v>271.3</v>
      </c>
      <c r="N139" s="134">
        <v>0</v>
      </c>
      <c r="O139" s="134">
        <v>331.30000000000007</v>
      </c>
      <c r="P139" s="148">
        <f>'Purchased Power Model'!D32</f>
        <v>17157940.412751999</v>
      </c>
      <c r="Q139" s="148">
        <f ca="1">'Purchased Power Model'!G32</f>
        <v>17282421.461563841</v>
      </c>
      <c r="R139" s="148">
        <f t="shared" si="86"/>
        <v>18210228.251644548</v>
      </c>
      <c r="S139" s="148">
        <f t="shared" si="87"/>
        <v>18282370.829083294</v>
      </c>
      <c r="T139" s="146"/>
      <c r="V139" s="146"/>
      <c r="W139" s="147"/>
      <c r="X139" s="147"/>
      <c r="AF139" s="132" t="s">
        <v>162</v>
      </c>
      <c r="AG139" s="132">
        <v>16448790.194414699</v>
      </c>
      <c r="AH139" s="132" t="s">
        <v>163</v>
      </c>
      <c r="AI139" s="132">
        <v>1987580.78477811</v>
      </c>
    </row>
    <row r="140" spans="1:36" x14ac:dyDescent="0.2">
      <c r="A140" s="132">
        <v>2012</v>
      </c>
      <c r="B140" s="144">
        <v>7</v>
      </c>
      <c r="C140" s="144">
        <v>24.616129032258058</v>
      </c>
      <c r="D140" s="143">
        <v>0</v>
      </c>
      <c r="E140" s="134">
        <v>143.10000000000002</v>
      </c>
      <c r="F140" s="134">
        <v>0</v>
      </c>
      <c r="G140" s="134">
        <v>205.10000000000008</v>
      </c>
      <c r="H140" s="134">
        <v>0</v>
      </c>
      <c r="I140" s="134">
        <v>267.10000000000008</v>
      </c>
      <c r="J140" s="134">
        <v>0</v>
      </c>
      <c r="K140" s="134">
        <v>329.10000000000008</v>
      </c>
      <c r="L140" s="134">
        <v>0</v>
      </c>
      <c r="M140" s="134">
        <v>391.10000000000008</v>
      </c>
      <c r="N140" s="134">
        <v>0</v>
      </c>
      <c r="O140" s="134">
        <v>453.1</v>
      </c>
      <c r="P140" s="148">
        <f>'Purchased Power Model'!D33</f>
        <v>20944843.982699998</v>
      </c>
      <c r="Q140" s="148">
        <f ca="1">'Purchased Power Model'!G33</f>
        <v>21075817.01614859</v>
      </c>
      <c r="R140" s="148">
        <f t="shared" si="86"/>
        <v>21819083.906021599</v>
      </c>
      <c r="S140" s="148">
        <f t="shared" si="87"/>
        <v>22234732.416411132</v>
      </c>
      <c r="T140" s="146"/>
      <c r="V140" s="146"/>
      <c r="W140" s="147"/>
      <c r="X140" s="147"/>
      <c r="AF140" s="132" t="s">
        <v>164</v>
      </c>
      <c r="AG140" s="132">
        <v>46333486394968</v>
      </c>
      <c r="AH140" s="132" t="s">
        <v>165</v>
      </c>
      <c r="AI140" s="132">
        <v>629295.40299488604</v>
      </c>
    </row>
    <row r="141" spans="1:36" x14ac:dyDescent="0.2">
      <c r="A141" s="132">
        <v>2012</v>
      </c>
      <c r="B141" s="144">
        <v>8</v>
      </c>
      <c r="C141" s="144">
        <v>22.248387096774191</v>
      </c>
      <c r="D141" s="143">
        <v>7.0000000000000036</v>
      </c>
      <c r="E141" s="134">
        <v>76.699999999999989</v>
      </c>
      <c r="F141" s="134">
        <v>0.80000000000000071</v>
      </c>
      <c r="G141" s="134">
        <v>132.50000000000003</v>
      </c>
      <c r="H141" s="134">
        <v>0</v>
      </c>
      <c r="I141" s="134">
        <v>193.7</v>
      </c>
      <c r="J141" s="134">
        <v>0</v>
      </c>
      <c r="K141" s="134">
        <v>255.70000000000005</v>
      </c>
      <c r="L141" s="134">
        <v>0</v>
      </c>
      <c r="M141" s="134">
        <v>317.7</v>
      </c>
      <c r="N141" s="134">
        <v>0</v>
      </c>
      <c r="O141" s="134">
        <v>379.7</v>
      </c>
      <c r="P141" s="148">
        <f>'Purchased Power Model'!D34</f>
        <v>18739592.12965</v>
      </c>
      <c r="Q141" s="148">
        <f ca="1">'Purchased Power Model'!G34</f>
        <v>18877057.147735339</v>
      </c>
      <c r="R141" s="148">
        <f t="shared" si="86"/>
        <v>19359823.985343654</v>
      </c>
      <c r="S141" s="148">
        <f t="shared" si="87"/>
        <v>19069602.942408003</v>
      </c>
      <c r="T141" s="146"/>
      <c r="V141" s="146"/>
      <c r="W141" s="147"/>
      <c r="X141" s="147"/>
      <c r="AF141" s="132" t="s">
        <v>166</v>
      </c>
      <c r="AG141" s="132">
        <v>0.90175280062444896</v>
      </c>
      <c r="AH141" s="132" t="s">
        <v>167</v>
      </c>
      <c r="AI141" s="132">
        <v>0.90007336131888305</v>
      </c>
    </row>
    <row r="142" spans="1:36" x14ac:dyDescent="0.2">
      <c r="A142" s="132">
        <v>2012</v>
      </c>
      <c r="B142" s="144">
        <v>9</v>
      </c>
      <c r="C142" s="144">
        <v>17.213333333333335</v>
      </c>
      <c r="D142" s="143">
        <v>103.20000000000002</v>
      </c>
      <c r="E142" s="134">
        <v>19.600000000000001</v>
      </c>
      <c r="F142" s="134">
        <v>62.899999999999991</v>
      </c>
      <c r="G142" s="134">
        <v>39.299999999999997</v>
      </c>
      <c r="H142" s="134">
        <v>29.5</v>
      </c>
      <c r="I142" s="134">
        <v>65.899999999999977</v>
      </c>
      <c r="J142" s="134">
        <v>12.6</v>
      </c>
      <c r="K142" s="134">
        <v>109</v>
      </c>
      <c r="L142" s="134">
        <v>2.7000000000000011</v>
      </c>
      <c r="M142" s="134">
        <v>159.1</v>
      </c>
      <c r="N142" s="134">
        <v>0</v>
      </c>
      <c r="O142" s="134">
        <v>216.39999999999998</v>
      </c>
      <c r="P142" s="148">
        <f>'Purchased Power Model'!D35</f>
        <v>15430254.123528</v>
      </c>
      <c r="Q142" s="148">
        <f ca="1">'Purchased Power Model'!G35</f>
        <v>15574211.126250088</v>
      </c>
      <c r="R142" s="148">
        <f t="shared" si="86"/>
        <v>15282765.226556394</v>
      </c>
      <c r="S142" s="148">
        <f t="shared" si="87"/>
        <v>15336988.35258005</v>
      </c>
      <c r="T142" s="146"/>
      <c r="V142" s="146"/>
      <c r="W142" s="147"/>
      <c r="X142" s="147"/>
      <c r="AF142" s="132" t="s">
        <v>168</v>
      </c>
      <c r="AG142" s="132">
        <v>448.88700025636302</v>
      </c>
      <c r="AH142" s="132" t="s">
        <v>169</v>
      </c>
      <c r="AI142" s="181">
        <v>1.3069741882115601E-55</v>
      </c>
    </row>
    <row r="143" spans="1:36" x14ac:dyDescent="0.2">
      <c r="A143" s="132">
        <v>2012</v>
      </c>
      <c r="B143" s="144">
        <v>10</v>
      </c>
      <c r="C143" s="144">
        <v>10.916129032258064</v>
      </c>
      <c r="D143" s="143">
        <v>281.60000000000002</v>
      </c>
      <c r="E143" s="134">
        <v>0</v>
      </c>
      <c r="F143" s="134">
        <v>220.99999999999994</v>
      </c>
      <c r="G143" s="134">
        <v>1.3999999999999986</v>
      </c>
      <c r="H143" s="134">
        <v>163.89999999999995</v>
      </c>
      <c r="I143" s="134">
        <v>6.3000000000000007</v>
      </c>
      <c r="J143" s="134">
        <v>113.69999999999997</v>
      </c>
      <c r="K143" s="134">
        <v>18.100000000000001</v>
      </c>
      <c r="L143" s="134">
        <v>71.3</v>
      </c>
      <c r="M143" s="134">
        <v>37.70000000000001</v>
      </c>
      <c r="N143" s="134">
        <v>33.799999999999997</v>
      </c>
      <c r="O143" s="134">
        <v>62.20000000000001</v>
      </c>
      <c r="P143" s="148">
        <f>'Purchased Power Model'!D36</f>
        <v>14418668.859476</v>
      </c>
      <c r="Q143" s="148">
        <f ca="1">'Purchased Power Model'!G36</f>
        <v>14569117.846834837</v>
      </c>
      <c r="R143" s="148">
        <f t="shared" si="86"/>
        <v>14219237.306691714</v>
      </c>
      <c r="S143" s="148">
        <f t="shared" si="87"/>
        <v>14538258.378020894</v>
      </c>
      <c r="T143" s="146"/>
      <c r="V143" s="146"/>
      <c r="W143" s="147"/>
      <c r="X143" s="147"/>
      <c r="AF143" s="132" t="s">
        <v>170</v>
      </c>
      <c r="AG143" s="132">
        <v>-0.127652142702296</v>
      </c>
      <c r="AH143" s="132" t="s">
        <v>171</v>
      </c>
      <c r="AI143" s="132">
        <v>2.1698659444842399</v>
      </c>
    </row>
    <row r="144" spans="1:36" x14ac:dyDescent="0.2">
      <c r="A144" s="132">
        <v>2012</v>
      </c>
      <c r="B144" s="144">
        <v>11</v>
      </c>
      <c r="C144" s="144">
        <v>4.3533333333333335</v>
      </c>
      <c r="D144" s="143">
        <v>469.40000000000009</v>
      </c>
      <c r="E144" s="134">
        <v>0</v>
      </c>
      <c r="F144" s="134">
        <v>409.40000000000003</v>
      </c>
      <c r="G144" s="134">
        <v>0</v>
      </c>
      <c r="H144" s="134">
        <v>349.40000000000003</v>
      </c>
      <c r="I144" s="134">
        <v>0</v>
      </c>
      <c r="J144" s="134">
        <v>289.39999999999998</v>
      </c>
      <c r="K144" s="134">
        <v>0</v>
      </c>
      <c r="L144" s="134">
        <v>232.29999999999998</v>
      </c>
      <c r="M144" s="134">
        <v>2.9000000000000004</v>
      </c>
      <c r="N144" s="134">
        <v>176.3</v>
      </c>
      <c r="O144" s="134">
        <v>6.9</v>
      </c>
      <c r="P144" s="148">
        <f>'Purchased Power Model'!D37</f>
        <v>14689598.23167</v>
      </c>
      <c r="Q144" s="148">
        <f ca="1">'Purchased Power Model'!G37</f>
        <v>14846539.203665584</v>
      </c>
      <c r="R144" s="148">
        <f t="shared" si="86"/>
        <v>15296393.643108007</v>
      </c>
      <c r="S144" s="148">
        <f t="shared" si="87"/>
        <v>15497014.24735095</v>
      </c>
      <c r="T144" s="146"/>
      <c r="V144" s="146"/>
      <c r="W144" s="147"/>
      <c r="X144" s="147"/>
    </row>
    <row r="145" spans="1:24" x14ac:dyDescent="0.2">
      <c r="A145" s="132">
        <v>2012</v>
      </c>
      <c r="B145" s="144">
        <v>12</v>
      </c>
      <c r="C145" s="144">
        <v>2.0774193548387103</v>
      </c>
      <c r="D145" s="143">
        <v>555.60000000000014</v>
      </c>
      <c r="E145" s="134">
        <v>0</v>
      </c>
      <c r="F145" s="134">
        <v>493.60000000000008</v>
      </c>
      <c r="G145" s="134">
        <v>0</v>
      </c>
      <c r="H145" s="134">
        <v>431.60000000000008</v>
      </c>
      <c r="I145" s="134">
        <v>0</v>
      </c>
      <c r="J145" s="134">
        <v>369.60000000000008</v>
      </c>
      <c r="K145" s="134">
        <v>0</v>
      </c>
      <c r="L145" s="134">
        <v>307.90000000000003</v>
      </c>
      <c r="M145" s="134">
        <v>0.30000000000000071</v>
      </c>
      <c r="N145" s="134">
        <v>247.9</v>
      </c>
      <c r="O145" s="134">
        <v>2.3000000000000007</v>
      </c>
      <c r="P145" s="148">
        <f>'Purchased Power Model'!D38</f>
        <v>16182826.210109999</v>
      </c>
      <c r="Q145" s="148">
        <f ca="1">'Purchased Power Model'!G38</f>
        <v>16346259.166742332</v>
      </c>
      <c r="R145" s="148">
        <f t="shared" si="86"/>
        <v>15867245.935326787</v>
      </c>
      <c r="S145" s="148">
        <f t="shared" si="87"/>
        <v>15952818.226019852</v>
      </c>
      <c r="T145" s="146"/>
      <c r="V145" s="146"/>
      <c r="W145" s="147"/>
      <c r="X145" s="147"/>
    </row>
    <row r="146" spans="1:24" x14ac:dyDescent="0.2">
      <c r="A146" s="132">
        <v>2013</v>
      </c>
      <c r="B146" s="144">
        <v>1</v>
      </c>
      <c r="C146" s="144">
        <v>-1.7516129032258065</v>
      </c>
      <c r="D146" s="143">
        <v>674.3</v>
      </c>
      <c r="E146" s="134">
        <v>0</v>
      </c>
      <c r="F146" s="134">
        <v>612.29999999999995</v>
      </c>
      <c r="G146" s="134">
        <v>0</v>
      </c>
      <c r="H146" s="134">
        <v>550.29999999999995</v>
      </c>
      <c r="I146" s="134">
        <v>0</v>
      </c>
      <c r="J146" s="134">
        <v>488.3</v>
      </c>
      <c r="K146" s="134">
        <v>0</v>
      </c>
      <c r="L146" s="134">
        <v>426.3</v>
      </c>
      <c r="M146" s="134">
        <v>0</v>
      </c>
      <c r="N146" s="134">
        <v>366.8</v>
      </c>
      <c r="O146" s="134">
        <v>2.5</v>
      </c>
      <c r="P146" s="148">
        <f>'Purchased Power Model'!D39</f>
        <v>16622084.10345</v>
      </c>
      <c r="Q146" s="148">
        <f ca="1">'Purchased Power Model'!G39</f>
        <v>16799318.155919474</v>
      </c>
      <c r="R146" s="148">
        <f t="shared" si="86"/>
        <v>16691578.868250985</v>
      </c>
      <c r="S146" s="148">
        <f t="shared" si="87"/>
        <v>16595382.742266867</v>
      </c>
      <c r="T146" s="146"/>
      <c r="V146" s="146"/>
      <c r="W146" s="147"/>
      <c r="X146" s="147"/>
    </row>
    <row r="147" spans="1:24" x14ac:dyDescent="0.2">
      <c r="A147" s="132">
        <v>2013</v>
      </c>
      <c r="B147" s="144">
        <v>2</v>
      </c>
      <c r="C147" s="144">
        <v>-3.089285714285714</v>
      </c>
      <c r="D147" s="143">
        <v>646.5</v>
      </c>
      <c r="E147" s="134">
        <v>0</v>
      </c>
      <c r="F147" s="134">
        <v>590.50000000000011</v>
      </c>
      <c r="G147" s="134">
        <v>0</v>
      </c>
      <c r="H147" s="134">
        <v>534.5</v>
      </c>
      <c r="I147" s="134">
        <v>0</v>
      </c>
      <c r="J147" s="134">
        <v>478.5</v>
      </c>
      <c r="K147" s="134">
        <v>0</v>
      </c>
      <c r="L147" s="134">
        <v>422.50000000000006</v>
      </c>
      <c r="M147" s="134">
        <v>0</v>
      </c>
      <c r="N147" s="134">
        <v>366.50000000000006</v>
      </c>
      <c r="O147" s="134">
        <v>0</v>
      </c>
      <c r="P147" s="148">
        <f>'Purchased Power Model'!D40</f>
        <v>15003411.894210001</v>
      </c>
      <c r="Q147" s="148">
        <f ca="1">'Purchased Power Model'!G40</f>
        <v>15188659.921796532</v>
      </c>
      <c r="R147" s="148">
        <f t="shared" si="86"/>
        <v>16581853.001863435</v>
      </c>
      <c r="S147" s="148">
        <f t="shared" si="87"/>
        <v>16477371.735913163</v>
      </c>
      <c r="T147" s="146"/>
      <c r="V147" s="146"/>
      <c r="W147" s="147"/>
      <c r="X147" s="147"/>
    </row>
    <row r="148" spans="1:24" x14ac:dyDescent="0.2">
      <c r="A148" s="132">
        <v>2013</v>
      </c>
      <c r="B148" s="144">
        <v>3</v>
      </c>
      <c r="C148" s="144">
        <v>1.0580645161290323</v>
      </c>
      <c r="D148" s="143">
        <v>587.20000000000005</v>
      </c>
      <c r="E148" s="134">
        <v>0</v>
      </c>
      <c r="F148" s="134">
        <v>525.20000000000005</v>
      </c>
      <c r="G148" s="134">
        <v>0</v>
      </c>
      <c r="H148" s="134">
        <v>463.2000000000001</v>
      </c>
      <c r="I148" s="134">
        <v>0</v>
      </c>
      <c r="J148" s="134">
        <v>401.20000000000005</v>
      </c>
      <c r="K148" s="134">
        <v>0</v>
      </c>
      <c r="L148" s="134">
        <v>339.20000000000005</v>
      </c>
      <c r="M148" s="134">
        <v>0</v>
      </c>
      <c r="N148" s="134">
        <v>277.30000000000013</v>
      </c>
      <c r="O148" s="134">
        <v>9.9999999999999645E-2</v>
      </c>
      <c r="P148" s="148">
        <f>'Purchased Power Model'!D41</f>
        <v>15405740.23608</v>
      </c>
      <c r="Q148" s="148">
        <f ca="1">'Purchased Power Model'!G41</f>
        <v>15599002.238783589</v>
      </c>
      <c r="R148" s="148">
        <f t="shared" si="86"/>
        <v>16086697.66810189</v>
      </c>
      <c r="S148" s="148">
        <f t="shared" si="87"/>
        <v>16123880.051743574</v>
      </c>
      <c r="T148" s="146"/>
      <c r="V148" s="146"/>
      <c r="W148" s="147"/>
      <c r="X148" s="147"/>
    </row>
    <row r="149" spans="1:24" x14ac:dyDescent="0.2">
      <c r="A149" s="132">
        <v>2013</v>
      </c>
      <c r="B149" s="144">
        <v>4</v>
      </c>
      <c r="C149" s="144">
        <v>6.666666666666667</v>
      </c>
      <c r="D149" s="143">
        <v>400</v>
      </c>
      <c r="E149" s="134">
        <v>0</v>
      </c>
      <c r="F149" s="134">
        <v>339.99999999999994</v>
      </c>
      <c r="G149" s="134">
        <v>0</v>
      </c>
      <c r="H149" s="134">
        <v>280</v>
      </c>
      <c r="I149" s="134">
        <v>0</v>
      </c>
      <c r="J149" s="134">
        <v>223.00000000000003</v>
      </c>
      <c r="K149" s="134">
        <v>3</v>
      </c>
      <c r="L149" s="134">
        <v>169.7</v>
      </c>
      <c r="M149" s="134">
        <v>9.7000000000000011</v>
      </c>
      <c r="N149" s="134">
        <v>122.20000000000002</v>
      </c>
      <c r="O149" s="134">
        <v>22.200000000000003</v>
      </c>
      <c r="P149" s="148">
        <f>'Purchased Power Model'!D42</f>
        <v>13953064.21022</v>
      </c>
      <c r="Q149" s="148">
        <f ca="1">'Purchased Power Model'!G42</f>
        <v>14154340.188040646</v>
      </c>
      <c r="R149" s="148">
        <f t="shared" si="86"/>
        <v>14814433.192013318</v>
      </c>
      <c r="S149" s="148">
        <f t="shared" si="87"/>
        <v>15121327.832628598</v>
      </c>
      <c r="T149" s="146"/>
      <c r="V149" s="146"/>
      <c r="W149" s="147"/>
      <c r="X149" s="147"/>
    </row>
    <row r="150" spans="1:24" x14ac:dyDescent="0.2">
      <c r="A150" s="132">
        <v>2013</v>
      </c>
      <c r="B150" s="144">
        <v>5</v>
      </c>
      <c r="C150" s="144">
        <v>15.122580645161291</v>
      </c>
      <c r="D150" s="143">
        <v>164.50000000000003</v>
      </c>
      <c r="E150" s="134">
        <v>13.3</v>
      </c>
      <c r="F150" s="134">
        <v>114.60000000000001</v>
      </c>
      <c r="G150" s="134">
        <v>25.4</v>
      </c>
      <c r="H150" s="134">
        <v>72.2</v>
      </c>
      <c r="I150" s="134">
        <v>45</v>
      </c>
      <c r="J150" s="134">
        <v>39</v>
      </c>
      <c r="K150" s="134">
        <v>73.8</v>
      </c>
      <c r="L150" s="134">
        <v>22</v>
      </c>
      <c r="M150" s="134">
        <v>118.80000000000003</v>
      </c>
      <c r="N150" s="134">
        <v>11.6</v>
      </c>
      <c r="O150" s="134">
        <v>170.39999999999995</v>
      </c>
      <c r="P150" s="148">
        <f>'Purchased Power Model'!D43</f>
        <v>14135961.105699999</v>
      </c>
      <c r="Q150" s="148">
        <f ca="1">'Purchased Power Model'!G43</f>
        <v>14345251.058637705</v>
      </c>
      <c r="R150" s="148">
        <f t="shared" si="86"/>
        <v>14879050.368580561</v>
      </c>
      <c r="S150" s="148">
        <f t="shared" si="87"/>
        <v>15010033.475956254</v>
      </c>
      <c r="T150" s="146"/>
      <c r="V150" s="146"/>
      <c r="W150" s="147"/>
      <c r="X150" s="147"/>
    </row>
    <row r="151" spans="1:24" x14ac:dyDescent="0.2">
      <c r="A151" s="132">
        <v>2013</v>
      </c>
      <c r="B151" s="144">
        <v>6</v>
      </c>
      <c r="C151" s="144">
        <v>19.133333333333336</v>
      </c>
      <c r="D151" s="143">
        <v>64.8</v>
      </c>
      <c r="E151" s="134">
        <v>38.800000000000004</v>
      </c>
      <c r="F151" s="134">
        <v>34.099999999999994</v>
      </c>
      <c r="G151" s="134">
        <v>68.099999999999994</v>
      </c>
      <c r="H151" s="134">
        <v>15.099999999999998</v>
      </c>
      <c r="I151" s="134">
        <v>109.1</v>
      </c>
      <c r="J151" s="134">
        <v>5.1999999999999993</v>
      </c>
      <c r="K151" s="134">
        <v>159.19999999999999</v>
      </c>
      <c r="L151" s="134">
        <v>0.80000000000000071</v>
      </c>
      <c r="M151" s="134">
        <v>214.79999999999998</v>
      </c>
      <c r="N151" s="134">
        <v>0</v>
      </c>
      <c r="O151" s="134">
        <v>274.00000000000006</v>
      </c>
      <c r="P151" s="148">
        <f>'Purchased Power Model'!D44</f>
        <v>15880216.29284</v>
      </c>
      <c r="Q151" s="148">
        <f ca="1">'Purchased Power Model'!G44</f>
        <v>16097520.220894763</v>
      </c>
      <c r="R151" s="148">
        <f t="shared" si="86"/>
        <v>16630173.738715319</v>
      </c>
      <c r="S151" s="148">
        <f t="shared" si="87"/>
        <v>16438390.4108481</v>
      </c>
      <c r="T151" s="146"/>
      <c r="V151" s="146"/>
      <c r="W151" s="147"/>
      <c r="X151" s="147"/>
    </row>
    <row r="152" spans="1:24" x14ac:dyDescent="0.2">
      <c r="A152" s="132">
        <v>2013</v>
      </c>
      <c r="B152" s="144">
        <v>7</v>
      </c>
      <c r="C152" s="144">
        <v>22.548387096774199</v>
      </c>
      <c r="D152" s="143">
        <v>12.699999999999996</v>
      </c>
      <c r="E152" s="134">
        <v>91.7</v>
      </c>
      <c r="F152" s="134">
        <v>0.39999999999999858</v>
      </c>
      <c r="G152" s="134">
        <v>141.39999999999998</v>
      </c>
      <c r="H152" s="134">
        <v>0</v>
      </c>
      <c r="I152" s="134">
        <v>202.99999999999994</v>
      </c>
      <c r="J152" s="134">
        <v>0</v>
      </c>
      <c r="K152" s="134">
        <v>264.99999999999994</v>
      </c>
      <c r="L152" s="134">
        <v>0</v>
      </c>
      <c r="M152" s="134">
        <v>327.00000000000006</v>
      </c>
      <c r="N152" s="134">
        <v>0</v>
      </c>
      <c r="O152" s="134">
        <v>389.00000000000006</v>
      </c>
      <c r="P152" s="148">
        <f>'Purchased Power Model'!D45</f>
        <v>19373764.10244</v>
      </c>
      <c r="Q152" s="148">
        <f ca="1">'Purchased Power Model'!G45</f>
        <v>19599082.005611818</v>
      </c>
      <c r="R152" s="148">
        <f t="shared" si="86"/>
        <v>19671419.588372327</v>
      </c>
      <c r="S152" s="148">
        <f t="shared" si="87"/>
        <v>19455980.23869456</v>
      </c>
      <c r="T152" s="146"/>
      <c r="V152" s="146"/>
      <c r="W152" s="147"/>
      <c r="X152" s="147"/>
    </row>
    <row r="153" spans="1:24" x14ac:dyDescent="0.2">
      <c r="A153" s="132">
        <v>2013</v>
      </c>
      <c r="B153" s="144">
        <v>8</v>
      </c>
      <c r="C153" s="144">
        <v>20.977419354838705</v>
      </c>
      <c r="D153" s="143">
        <v>18.499999999999996</v>
      </c>
      <c r="E153" s="134">
        <v>48.79999999999999</v>
      </c>
      <c r="F153" s="134">
        <v>2.8000000000000007</v>
      </c>
      <c r="G153" s="134">
        <v>95.1</v>
      </c>
      <c r="H153" s="134">
        <v>0</v>
      </c>
      <c r="I153" s="134">
        <v>154.30000000000004</v>
      </c>
      <c r="J153" s="134">
        <v>0</v>
      </c>
      <c r="K153" s="134">
        <v>216.30000000000004</v>
      </c>
      <c r="L153" s="134">
        <v>0</v>
      </c>
      <c r="M153" s="134">
        <v>278.29999999999995</v>
      </c>
      <c r="N153" s="134">
        <v>0</v>
      </c>
      <c r="O153" s="134">
        <v>340.3</v>
      </c>
      <c r="P153" s="148">
        <f>'Purchased Power Model'!D46</f>
        <v>17518528.28576</v>
      </c>
      <c r="Q153" s="148">
        <f ca="1">'Purchased Power Model'!G46</f>
        <v>17751860.164048877</v>
      </c>
      <c r="R153" s="148">
        <f t="shared" si="86"/>
        <v>18039730.785415716</v>
      </c>
      <c r="S153" s="148">
        <f t="shared" si="87"/>
        <v>17447677.440138571</v>
      </c>
      <c r="T153" s="146"/>
      <c r="V153" s="146"/>
      <c r="W153" s="147"/>
      <c r="X153" s="147"/>
    </row>
    <row r="154" spans="1:24" x14ac:dyDescent="0.2">
      <c r="A154" s="132">
        <v>2013</v>
      </c>
      <c r="B154" s="144">
        <v>9</v>
      </c>
      <c r="C154" s="144">
        <v>16.673333333333336</v>
      </c>
      <c r="D154" s="143">
        <v>119.50000000000001</v>
      </c>
      <c r="E154" s="134">
        <v>19.700000000000006</v>
      </c>
      <c r="F154" s="134">
        <v>75.600000000000009</v>
      </c>
      <c r="G154" s="134">
        <v>35.800000000000011</v>
      </c>
      <c r="H154" s="134">
        <v>40.6</v>
      </c>
      <c r="I154" s="134">
        <v>60.800000000000011</v>
      </c>
      <c r="J154" s="134">
        <v>16.7</v>
      </c>
      <c r="K154" s="134">
        <v>96.9</v>
      </c>
      <c r="L154" s="134">
        <v>3.5999999999999996</v>
      </c>
      <c r="M154" s="134">
        <v>143.80000000000004</v>
      </c>
      <c r="N154" s="134">
        <v>0</v>
      </c>
      <c r="O154" s="134">
        <v>200.20000000000005</v>
      </c>
      <c r="P154" s="148">
        <f>'Purchased Power Model'!D47</f>
        <v>15118315.780299999</v>
      </c>
      <c r="Q154" s="148">
        <f ca="1">'Purchased Power Model'!G47</f>
        <v>15359661.633705935</v>
      </c>
      <c r="R154" s="148">
        <f t="shared" ref="R154:R185" si="88">$AG$118+H154*$AG$119+I154*$AG$120</f>
        <v>15188976.111918693</v>
      </c>
      <c r="S154" s="148">
        <f t="shared" si="87"/>
        <v>15252940.218019694</v>
      </c>
      <c r="T154" s="146"/>
      <c r="V154" s="146"/>
      <c r="W154" s="147"/>
      <c r="X154" s="147"/>
    </row>
    <row r="155" spans="1:24" x14ac:dyDescent="0.2">
      <c r="A155" s="132">
        <v>2013</v>
      </c>
      <c r="B155" s="144">
        <v>10</v>
      </c>
      <c r="C155" s="144">
        <v>11.903225806451612</v>
      </c>
      <c r="D155" s="143">
        <v>251.89999999999998</v>
      </c>
      <c r="E155" s="134">
        <v>0.89999999999999858</v>
      </c>
      <c r="F155" s="134">
        <v>193.39999999999998</v>
      </c>
      <c r="G155" s="134">
        <v>4.3999999999999986</v>
      </c>
      <c r="H155" s="134">
        <v>139.4</v>
      </c>
      <c r="I155" s="134">
        <v>12.399999999999999</v>
      </c>
      <c r="J155" s="134">
        <v>92.200000000000017</v>
      </c>
      <c r="K155" s="134">
        <v>27.2</v>
      </c>
      <c r="L155" s="134">
        <v>61.400000000000006</v>
      </c>
      <c r="M155" s="134">
        <v>58.4</v>
      </c>
      <c r="N155" s="134">
        <v>38.600000000000009</v>
      </c>
      <c r="O155" s="134">
        <v>97.600000000000009</v>
      </c>
      <c r="P155" s="148">
        <f>'Purchased Power Model'!D48</f>
        <v>14697969.943470001</v>
      </c>
      <c r="Q155" s="148">
        <f ca="1">'Purchased Power Model'!G48</f>
        <v>14947329.771992994</v>
      </c>
      <c r="R155" s="148">
        <f t="shared" si="88"/>
        <v>14253472.678704103</v>
      </c>
      <c r="S155" s="148">
        <f t="shared" si="87"/>
        <v>14519819.375773916</v>
      </c>
      <c r="T155" s="146"/>
      <c r="V155" s="146"/>
      <c r="W155" s="147"/>
      <c r="X155" s="147"/>
    </row>
    <row r="156" spans="1:24" x14ac:dyDescent="0.2">
      <c r="A156" s="132">
        <v>2013</v>
      </c>
      <c r="B156" s="144">
        <v>11</v>
      </c>
      <c r="C156" s="144">
        <v>3.26</v>
      </c>
      <c r="D156" s="143">
        <v>502.2</v>
      </c>
      <c r="E156" s="134">
        <v>0</v>
      </c>
      <c r="F156" s="134">
        <v>442.19999999999993</v>
      </c>
      <c r="G156" s="134">
        <v>0</v>
      </c>
      <c r="H156" s="134">
        <v>382.2</v>
      </c>
      <c r="I156" s="134">
        <v>0</v>
      </c>
      <c r="J156" s="134">
        <v>322.19999999999993</v>
      </c>
      <c r="K156" s="134">
        <v>0</v>
      </c>
      <c r="L156" s="134">
        <v>264.59999999999997</v>
      </c>
      <c r="M156" s="134">
        <v>2.4000000000000004</v>
      </c>
      <c r="N156" s="134">
        <v>210.29999999999998</v>
      </c>
      <c r="O156" s="134">
        <v>8.1</v>
      </c>
      <c r="P156" s="148">
        <f>'Purchased Power Model'!D49</f>
        <v>15084391.12145</v>
      </c>
      <c r="Q156" s="148">
        <f ca="1">'Purchased Power Model'!G49</f>
        <v>15341764.92509005</v>
      </c>
      <c r="R156" s="148">
        <f t="shared" si="88"/>
        <v>15524178.985988492</v>
      </c>
      <c r="S156" s="148">
        <f t="shared" si="87"/>
        <v>15674572.091773039</v>
      </c>
      <c r="T156" s="146"/>
      <c r="V156" s="146"/>
      <c r="W156" s="147"/>
      <c r="X156" s="147"/>
    </row>
    <row r="157" spans="1:24" x14ac:dyDescent="0.2">
      <c r="A157" s="132">
        <v>2013</v>
      </c>
      <c r="B157" s="144">
        <v>12</v>
      </c>
      <c r="C157" s="144">
        <v>-2.6354838709677422</v>
      </c>
      <c r="D157" s="143">
        <v>701.70000000000016</v>
      </c>
      <c r="E157" s="134">
        <v>0</v>
      </c>
      <c r="F157" s="134">
        <v>639.70000000000016</v>
      </c>
      <c r="G157" s="134">
        <v>0</v>
      </c>
      <c r="H157" s="134">
        <v>577.70000000000016</v>
      </c>
      <c r="I157" s="134">
        <v>0</v>
      </c>
      <c r="J157" s="134">
        <v>515.70000000000005</v>
      </c>
      <c r="K157" s="134">
        <v>0</v>
      </c>
      <c r="L157" s="134">
        <v>453.70000000000005</v>
      </c>
      <c r="M157" s="134">
        <v>0</v>
      </c>
      <c r="N157" s="134">
        <v>391.7</v>
      </c>
      <c r="O157" s="134">
        <v>0</v>
      </c>
      <c r="P157" s="148">
        <f>'Purchased Power Model'!D50</f>
        <v>17188140.099020001</v>
      </c>
      <c r="Q157" s="148">
        <f ca="1">'Purchased Power Model'!G50</f>
        <v>17453527.877777111</v>
      </c>
      <c r="R157" s="148">
        <f t="shared" si="88"/>
        <v>16881862.965657249</v>
      </c>
      <c r="S157" s="148">
        <f t="shared" si="87"/>
        <v>16743708.502546299</v>
      </c>
      <c r="T157" s="146"/>
      <c r="V157" s="146"/>
      <c r="W157" s="147"/>
      <c r="X157" s="147"/>
    </row>
    <row r="158" spans="1:24" x14ac:dyDescent="0.2">
      <c r="A158" s="132">
        <v>2014</v>
      </c>
      <c r="B158" s="144">
        <v>1</v>
      </c>
      <c r="C158" s="144">
        <v>-7.1451612903225783</v>
      </c>
      <c r="D158" s="143">
        <v>841.50000000000034</v>
      </c>
      <c r="E158" s="134">
        <v>0</v>
      </c>
      <c r="F158" s="134">
        <v>779.50000000000034</v>
      </c>
      <c r="G158" s="134">
        <v>0</v>
      </c>
      <c r="H158" s="134">
        <v>717.50000000000023</v>
      </c>
      <c r="I158" s="134">
        <v>0</v>
      </c>
      <c r="J158" s="134">
        <v>655.50000000000023</v>
      </c>
      <c r="K158" s="134">
        <v>0</v>
      </c>
      <c r="L158" s="134">
        <v>593.50000000000023</v>
      </c>
      <c r="M158" s="134">
        <v>0</v>
      </c>
      <c r="N158" s="134">
        <v>531.50000000000011</v>
      </c>
      <c r="O158" s="134">
        <v>0</v>
      </c>
      <c r="P158" s="148">
        <f>'Purchased Power Model'!D51</f>
        <v>17832921.899999999</v>
      </c>
      <c r="Q158" s="148">
        <f ca="1">'Purchased Power Model'!G51</f>
        <v>18110591.944826521</v>
      </c>
      <c r="R158" s="148">
        <f t="shared" si="88"/>
        <v>17852728.542934444</v>
      </c>
      <c r="S158" s="148">
        <f t="shared" si="87"/>
        <v>17500494.680906307</v>
      </c>
      <c r="T158" s="146"/>
      <c r="V158" s="146"/>
      <c r="W158" s="147"/>
      <c r="X158" s="147"/>
    </row>
    <row r="159" spans="1:24" x14ac:dyDescent="0.2">
      <c r="A159" s="132">
        <v>2014</v>
      </c>
      <c r="B159" s="144">
        <v>2</v>
      </c>
      <c r="C159" s="144">
        <v>-6.3964285714285722</v>
      </c>
      <c r="D159" s="143">
        <v>739.09999999999991</v>
      </c>
      <c r="E159" s="134">
        <v>0</v>
      </c>
      <c r="F159" s="134">
        <v>683.09999999999991</v>
      </c>
      <c r="G159" s="134">
        <v>0</v>
      </c>
      <c r="H159" s="134">
        <v>627.09999999999991</v>
      </c>
      <c r="I159" s="134">
        <v>0</v>
      </c>
      <c r="J159" s="134">
        <v>571.09999999999991</v>
      </c>
      <c r="K159" s="134">
        <v>0</v>
      </c>
      <c r="L159" s="134">
        <v>515.09999999999991</v>
      </c>
      <c r="M159" s="134">
        <v>0</v>
      </c>
      <c r="N159" s="134">
        <v>459.09999999999997</v>
      </c>
      <c r="O159" s="134">
        <v>0</v>
      </c>
      <c r="P159" s="148">
        <f>'Purchased Power Model'!D52</f>
        <v>15630733.610000001</v>
      </c>
      <c r="Q159" s="148">
        <f ca="1">'Purchased Power Model'!G52</f>
        <v>15914959.373623915</v>
      </c>
      <c r="R159" s="148">
        <f t="shared" si="88"/>
        <v>17224929.91499554</v>
      </c>
      <c r="S159" s="148">
        <f t="shared" si="87"/>
        <v>16978647.845470648</v>
      </c>
      <c r="T159" s="146"/>
      <c r="V159" s="146"/>
      <c r="W159" s="147"/>
      <c r="X159" s="147"/>
    </row>
    <row r="160" spans="1:24" x14ac:dyDescent="0.2">
      <c r="A160" s="132">
        <v>2014</v>
      </c>
      <c r="B160" s="144">
        <v>3</v>
      </c>
      <c r="C160" s="144">
        <v>-2.8999999999999995</v>
      </c>
      <c r="D160" s="143">
        <v>709.9</v>
      </c>
      <c r="E160" s="134">
        <v>0</v>
      </c>
      <c r="F160" s="134">
        <v>647.89999999999986</v>
      </c>
      <c r="G160" s="134">
        <v>0</v>
      </c>
      <c r="H160" s="134">
        <v>585.9</v>
      </c>
      <c r="I160" s="134">
        <v>0</v>
      </c>
      <c r="J160" s="134">
        <v>523.9</v>
      </c>
      <c r="K160" s="134">
        <v>0</v>
      </c>
      <c r="L160" s="134">
        <v>461.90000000000003</v>
      </c>
      <c r="M160" s="134">
        <v>0</v>
      </c>
      <c r="N160" s="134">
        <v>399.90000000000009</v>
      </c>
      <c r="O160" s="134">
        <v>0</v>
      </c>
      <c r="P160" s="148">
        <f>'Purchased Power Model'!D53</f>
        <v>16233179.18</v>
      </c>
      <c r="Q160" s="148">
        <f ca="1">'Purchased Power Model'!G53</f>
        <v>16523960.662421307</v>
      </c>
      <c r="R160" s="148">
        <f t="shared" si="88"/>
        <v>16938809.301377367</v>
      </c>
      <c r="S160" s="148">
        <f t="shared" si="87"/>
        <v>16788097.963651821</v>
      </c>
      <c r="T160" s="146"/>
      <c r="V160" s="146"/>
      <c r="W160" s="147"/>
      <c r="X160" s="147"/>
    </row>
    <row r="161" spans="1:24" x14ac:dyDescent="0.2">
      <c r="A161" s="132">
        <v>2014</v>
      </c>
      <c r="B161" s="144">
        <v>4</v>
      </c>
      <c r="C161" s="144">
        <v>6.943333333333336</v>
      </c>
      <c r="D161" s="143">
        <v>391.70000000000005</v>
      </c>
      <c r="E161" s="134">
        <v>0</v>
      </c>
      <c r="F161" s="134">
        <v>331.7</v>
      </c>
      <c r="G161" s="134">
        <v>0</v>
      </c>
      <c r="H161" s="134">
        <v>272.09999999999991</v>
      </c>
      <c r="I161" s="134">
        <v>0.39999999999999858</v>
      </c>
      <c r="J161" s="134">
        <v>214.59999999999994</v>
      </c>
      <c r="K161" s="134">
        <v>2.8999999999999986</v>
      </c>
      <c r="L161" s="134">
        <v>160.09999999999994</v>
      </c>
      <c r="M161" s="134">
        <v>8.3999999999999986</v>
      </c>
      <c r="N161" s="134">
        <v>108.59999999999997</v>
      </c>
      <c r="O161" s="134">
        <v>16.899999999999999</v>
      </c>
      <c r="P161" s="148">
        <f>'Purchased Power Model'!D54</f>
        <v>13779375.02</v>
      </c>
      <c r="Q161" s="148">
        <f ca="1">'Purchased Power Model'!G54</f>
        <v>14076712.2212187</v>
      </c>
      <c r="R161" s="148">
        <f t="shared" si="88"/>
        <v>14772972.220240131</v>
      </c>
      <c r="S161" s="148">
        <f t="shared" si="87"/>
        <v>15076397.036631545</v>
      </c>
      <c r="T161" s="146"/>
      <c r="V161" s="146"/>
      <c r="W161" s="147"/>
      <c r="X161" s="147"/>
    </row>
    <row r="162" spans="1:24" x14ac:dyDescent="0.2">
      <c r="A162" s="132">
        <v>2014</v>
      </c>
      <c r="B162" s="144">
        <v>5</v>
      </c>
      <c r="C162" s="144">
        <v>14.203225806451613</v>
      </c>
      <c r="D162" s="143">
        <v>187.19999999999993</v>
      </c>
      <c r="E162" s="134">
        <v>7.5</v>
      </c>
      <c r="F162" s="134">
        <v>129.60000000000002</v>
      </c>
      <c r="G162" s="134">
        <v>11.899999999999999</v>
      </c>
      <c r="H162" s="134">
        <v>80.000000000000014</v>
      </c>
      <c r="I162" s="134">
        <v>24.299999999999997</v>
      </c>
      <c r="J162" s="134">
        <v>47</v>
      </c>
      <c r="K162" s="134">
        <v>53.3</v>
      </c>
      <c r="L162" s="134">
        <v>23.6</v>
      </c>
      <c r="M162" s="134">
        <v>91.899999999999991</v>
      </c>
      <c r="N162" s="134">
        <v>6.8</v>
      </c>
      <c r="O162" s="134">
        <v>137.09999999999997</v>
      </c>
      <c r="P162" s="148">
        <f>'Purchased Power Model'!D55</f>
        <v>13816260.479999999</v>
      </c>
      <c r="Q162" s="148">
        <f ca="1">'Purchased Power Model'!G55</f>
        <v>14120153.400016092</v>
      </c>
      <c r="R162" s="148">
        <f t="shared" si="88"/>
        <v>14239667.330750111</v>
      </c>
      <c r="S162" s="148">
        <f t="shared" si="87"/>
        <v>14501871.284516066</v>
      </c>
      <c r="T162" s="146"/>
      <c r="V162" s="146"/>
      <c r="W162" s="147"/>
      <c r="X162" s="147"/>
    </row>
    <row r="163" spans="1:24" x14ac:dyDescent="0.2">
      <c r="A163" s="132">
        <v>2014</v>
      </c>
      <c r="B163" s="144">
        <v>6</v>
      </c>
      <c r="C163" s="144">
        <v>19.976666666666667</v>
      </c>
      <c r="D163" s="143">
        <v>38.499999999999993</v>
      </c>
      <c r="E163" s="134">
        <v>37.799999999999997</v>
      </c>
      <c r="F163" s="134">
        <v>13.499999999999998</v>
      </c>
      <c r="G163" s="134">
        <v>72.8</v>
      </c>
      <c r="H163" s="134">
        <v>2.4999999999999982</v>
      </c>
      <c r="I163" s="134">
        <v>121.8</v>
      </c>
      <c r="J163" s="134">
        <v>0</v>
      </c>
      <c r="K163" s="134">
        <v>179.3</v>
      </c>
      <c r="L163" s="134">
        <v>0</v>
      </c>
      <c r="M163" s="134">
        <v>239.3</v>
      </c>
      <c r="N163" s="134">
        <v>0</v>
      </c>
      <c r="O163" s="134">
        <v>299.3</v>
      </c>
      <c r="P163" s="148">
        <f>'Purchased Power Model'!D56</f>
        <v>15763795.030000001</v>
      </c>
      <c r="Q163" s="148">
        <f ca="1">'Purchased Power Model'!G56</f>
        <v>16074243.668813486</v>
      </c>
      <c r="R163" s="148">
        <f t="shared" si="88"/>
        <v>16968183.10771247</v>
      </c>
      <c r="S163" s="148">
        <f t="shared" si="87"/>
        <v>16532060.86010373</v>
      </c>
      <c r="T163" s="146"/>
      <c r="V163" s="146"/>
      <c r="W163" s="147"/>
      <c r="X163" s="147"/>
    </row>
    <row r="164" spans="1:24" x14ac:dyDescent="0.2">
      <c r="A164" s="132">
        <v>2014</v>
      </c>
      <c r="B164" s="144">
        <v>7</v>
      </c>
      <c r="C164" s="144">
        <v>20.835483870967746</v>
      </c>
      <c r="D164" s="143">
        <v>22.199999999999996</v>
      </c>
      <c r="E164" s="134">
        <v>48.099999999999994</v>
      </c>
      <c r="F164" s="134">
        <v>1.6999999999999993</v>
      </c>
      <c r="G164" s="134">
        <v>89.600000000000023</v>
      </c>
      <c r="H164" s="134">
        <v>0</v>
      </c>
      <c r="I164" s="134">
        <v>149.90000000000003</v>
      </c>
      <c r="J164" s="134">
        <v>0</v>
      </c>
      <c r="K164" s="134">
        <v>211.89999999999998</v>
      </c>
      <c r="L164" s="134">
        <v>0</v>
      </c>
      <c r="M164" s="134">
        <v>273.89999999999998</v>
      </c>
      <c r="N164" s="134">
        <v>0</v>
      </c>
      <c r="O164" s="134">
        <v>335.89999999999992</v>
      </c>
      <c r="P164" s="148">
        <f>'Purchased Power Model'!D57</f>
        <v>17256405.399999999</v>
      </c>
      <c r="Q164" s="148">
        <f ca="1">'Purchased Power Model'!G57</f>
        <v>17573409.757610876</v>
      </c>
      <c r="R164" s="148">
        <f t="shared" si="88"/>
        <v>17892309.209789243</v>
      </c>
      <c r="S164" s="148">
        <f t="shared" si="87"/>
        <v>17201612.138669964</v>
      </c>
      <c r="T164" s="146"/>
      <c r="V164" s="146"/>
      <c r="W164" s="147"/>
      <c r="X164" s="147"/>
    </row>
    <row r="165" spans="1:24" x14ac:dyDescent="0.2">
      <c r="A165" s="132">
        <v>2014</v>
      </c>
      <c r="B165" s="144">
        <v>8</v>
      </c>
      <c r="C165" s="144">
        <v>20.732258064516131</v>
      </c>
      <c r="D165" s="143">
        <v>21</v>
      </c>
      <c r="E165" s="134">
        <v>43.7</v>
      </c>
      <c r="F165" s="134">
        <v>4.0999999999999996</v>
      </c>
      <c r="G165" s="134">
        <v>88.800000000000011</v>
      </c>
      <c r="H165" s="134">
        <v>9.9999999999999645E-2</v>
      </c>
      <c r="I165" s="134">
        <v>146.79999999999998</v>
      </c>
      <c r="J165" s="134">
        <v>0</v>
      </c>
      <c r="K165" s="134">
        <v>208.7</v>
      </c>
      <c r="L165" s="134">
        <v>0</v>
      </c>
      <c r="M165" s="134">
        <v>270.70000000000005</v>
      </c>
      <c r="N165" s="134">
        <v>0</v>
      </c>
      <c r="O165" s="134">
        <v>332.7</v>
      </c>
      <c r="P165" s="148">
        <f>'Purchased Power Model'!D58</f>
        <v>17022827.640000001</v>
      </c>
      <c r="Q165" s="148">
        <f ca="1">'Purchased Power Model'!G58</f>
        <v>17346387.716408271</v>
      </c>
      <c r="R165" s="148">
        <f t="shared" si="88"/>
        <v>17789138.476288464</v>
      </c>
      <c r="S165" s="148">
        <f t="shared" si="87"/>
        <v>17179678.995315898</v>
      </c>
      <c r="T165" s="146"/>
      <c r="V165" s="146"/>
      <c r="W165" s="147"/>
      <c r="X165" s="147"/>
    </row>
    <row r="166" spans="1:24" x14ac:dyDescent="0.2">
      <c r="A166" s="132">
        <v>2014</v>
      </c>
      <c r="B166" s="144">
        <v>9</v>
      </c>
      <c r="C166" s="144">
        <v>17.43</v>
      </c>
      <c r="D166" s="143">
        <v>101</v>
      </c>
      <c r="E166" s="134">
        <v>23.9</v>
      </c>
      <c r="F166" s="134">
        <v>59.7</v>
      </c>
      <c r="G166" s="134">
        <v>42.599999999999994</v>
      </c>
      <c r="H166" s="134">
        <v>28.4</v>
      </c>
      <c r="I166" s="134">
        <v>71.299999999999983</v>
      </c>
      <c r="J166" s="134">
        <v>11.2</v>
      </c>
      <c r="K166" s="134">
        <v>114.09999999999997</v>
      </c>
      <c r="L166" s="134">
        <v>1.4000000000000004</v>
      </c>
      <c r="M166" s="134">
        <v>164.29999999999998</v>
      </c>
      <c r="N166" s="134">
        <v>0</v>
      </c>
      <c r="O166" s="134">
        <v>222.89999999999998</v>
      </c>
      <c r="P166" s="148">
        <f>'Purchased Power Model'!D59</f>
        <v>15128454.74</v>
      </c>
      <c r="Q166" s="148">
        <f ca="1">'Purchased Power Model'!G59</f>
        <v>15458570.535205664</v>
      </c>
      <c r="R166" s="148">
        <f t="shared" si="88"/>
        <v>15456052.563137732</v>
      </c>
      <c r="S166" s="148">
        <f t="shared" si="87"/>
        <v>15463732.006648129</v>
      </c>
      <c r="T166" s="146"/>
      <c r="V166" s="146"/>
      <c r="W166" s="147"/>
      <c r="X166" s="147"/>
    </row>
    <row r="167" spans="1:24" x14ac:dyDescent="0.2">
      <c r="A167" s="132">
        <v>2014</v>
      </c>
      <c r="B167" s="144">
        <v>10</v>
      </c>
      <c r="C167" s="144">
        <v>11.725806451612906</v>
      </c>
      <c r="D167" s="143">
        <v>257.60000000000002</v>
      </c>
      <c r="E167" s="134">
        <v>1.1000000000000014</v>
      </c>
      <c r="F167" s="134">
        <v>199.59999999999997</v>
      </c>
      <c r="G167" s="134">
        <v>5.1000000000000014</v>
      </c>
      <c r="H167" s="134">
        <v>142.9</v>
      </c>
      <c r="I167" s="134">
        <v>10.400000000000002</v>
      </c>
      <c r="J167" s="134">
        <v>95.7</v>
      </c>
      <c r="K167" s="134">
        <v>25.200000000000006</v>
      </c>
      <c r="L167" s="134">
        <v>56.20000000000001</v>
      </c>
      <c r="M167" s="134">
        <v>47.7</v>
      </c>
      <c r="N167" s="134">
        <v>23.6</v>
      </c>
      <c r="O167" s="134">
        <v>77.099999999999994</v>
      </c>
      <c r="P167" s="148">
        <f>'Purchased Power Model'!D60</f>
        <v>14319576.609999999</v>
      </c>
      <c r="Q167" s="148">
        <f ca="1">'Purchased Power Model'!G60</f>
        <v>14656248.124003055</v>
      </c>
      <c r="R167" s="148">
        <f t="shared" si="88"/>
        <v>14210769.234408531</v>
      </c>
      <c r="S167" s="148">
        <f t="shared" si="87"/>
        <v>14583941.672205774</v>
      </c>
      <c r="T167" s="146"/>
      <c r="V167" s="146"/>
      <c r="W167" s="147"/>
      <c r="X167" s="147"/>
    </row>
    <row r="168" spans="1:24" x14ac:dyDescent="0.2">
      <c r="A168" s="132">
        <v>2014</v>
      </c>
      <c r="B168" s="144">
        <v>11</v>
      </c>
      <c r="C168" s="144">
        <v>2.9366666666666665</v>
      </c>
      <c r="D168" s="143">
        <v>511.89999999999992</v>
      </c>
      <c r="E168" s="134">
        <v>0</v>
      </c>
      <c r="F168" s="134">
        <v>451.89999999999992</v>
      </c>
      <c r="G168" s="134">
        <v>0</v>
      </c>
      <c r="H168" s="134">
        <v>391.89999999999992</v>
      </c>
      <c r="I168" s="134">
        <v>0</v>
      </c>
      <c r="J168" s="134">
        <v>331.89999999999992</v>
      </c>
      <c r="K168" s="134">
        <v>0</v>
      </c>
      <c r="L168" s="134">
        <v>273.2</v>
      </c>
      <c r="M168" s="134">
        <v>1.3000000000000007</v>
      </c>
      <c r="N168" s="134">
        <v>218.80000000000004</v>
      </c>
      <c r="O168" s="134">
        <v>6.9</v>
      </c>
      <c r="P168" s="148">
        <f>'Purchased Power Model'!D61</f>
        <v>15066567.450000001</v>
      </c>
      <c r="Q168" s="148">
        <f ca="1">'Purchased Power Model'!G61</f>
        <v>15409794.682800449</v>
      </c>
      <c r="R168" s="148">
        <f t="shared" si="88"/>
        <v>15591542.334340343</v>
      </c>
      <c r="S168" s="148">
        <f t="shared" si="87"/>
        <v>15727081.576251522</v>
      </c>
      <c r="T168" s="146"/>
      <c r="V168" s="146"/>
      <c r="W168" s="147"/>
      <c r="X168" s="147"/>
    </row>
    <row r="169" spans="1:24" x14ac:dyDescent="0.2">
      <c r="A169" s="132">
        <v>2014</v>
      </c>
      <c r="B169" s="144">
        <v>12</v>
      </c>
      <c r="C169" s="144">
        <v>0.76129032258064544</v>
      </c>
      <c r="D169" s="143">
        <v>596.39999999999986</v>
      </c>
      <c r="E169" s="134">
        <v>0</v>
      </c>
      <c r="F169" s="134">
        <v>534.4</v>
      </c>
      <c r="G169" s="134">
        <v>0</v>
      </c>
      <c r="H169" s="134">
        <v>472.4</v>
      </c>
      <c r="I169" s="134">
        <v>0</v>
      </c>
      <c r="J169" s="134">
        <v>410.4</v>
      </c>
      <c r="K169" s="134">
        <v>0</v>
      </c>
      <c r="L169" s="134">
        <v>348.4</v>
      </c>
      <c r="M169" s="134">
        <v>0</v>
      </c>
      <c r="N169" s="134">
        <v>286.39999999999998</v>
      </c>
      <c r="O169" s="134">
        <v>0</v>
      </c>
      <c r="P169" s="148">
        <f>'Purchased Power Model'!D62</f>
        <v>16465915.779999999</v>
      </c>
      <c r="Q169" s="148">
        <f ca="1">'Purchased Power Model'!G62</f>
        <v>16815698.731597841</v>
      </c>
      <c r="R169" s="148">
        <f t="shared" si="88"/>
        <v>16150588.678909831</v>
      </c>
      <c r="S169" s="148">
        <f t="shared" si="87"/>
        <v>16173682.861764403</v>
      </c>
      <c r="T169" s="146"/>
      <c r="V169" s="146"/>
      <c r="W169" s="147"/>
      <c r="X169" s="147"/>
    </row>
    <row r="170" spans="1:24" x14ac:dyDescent="0.2">
      <c r="A170" s="132">
        <v>2015</v>
      </c>
      <c r="B170" s="144">
        <v>1</v>
      </c>
      <c r="C170" s="144">
        <v>-6.4806451612903224</v>
      </c>
      <c r="D170" s="143">
        <v>820.9</v>
      </c>
      <c r="E170" s="134">
        <v>0</v>
      </c>
      <c r="F170" s="134">
        <v>758.9</v>
      </c>
      <c r="G170" s="134">
        <v>0</v>
      </c>
      <c r="H170" s="134">
        <v>696.89999999999986</v>
      </c>
      <c r="I170" s="134">
        <v>0</v>
      </c>
      <c r="J170" s="134">
        <v>634.9</v>
      </c>
      <c r="K170" s="134">
        <v>0</v>
      </c>
      <c r="L170" s="134">
        <v>572.9</v>
      </c>
      <c r="M170" s="134">
        <v>0</v>
      </c>
      <c r="N170" s="134">
        <v>510.90000000000003</v>
      </c>
      <c r="O170" s="134">
        <v>0</v>
      </c>
      <c r="P170" s="148">
        <f>'Purchased Power Model'!D63</f>
        <v>17410556.84</v>
      </c>
      <c r="Q170" s="148">
        <f ca="1">'Purchased Power Model'!G63</f>
        <v>17776501.36587267</v>
      </c>
      <c r="R170" s="148">
        <f t="shared" si="88"/>
        <v>17709668.236125354</v>
      </c>
      <c r="S170" s="148">
        <f t="shared" si="87"/>
        <v>17388979.693250969</v>
      </c>
      <c r="T170" s="146"/>
      <c r="V170" s="146"/>
      <c r="W170" s="147"/>
      <c r="X170" s="147"/>
    </row>
    <row r="171" spans="1:24" x14ac:dyDescent="0.2">
      <c r="A171" s="132">
        <v>2015</v>
      </c>
      <c r="B171" s="144">
        <v>2</v>
      </c>
      <c r="C171" s="144">
        <v>-11.107142857142858</v>
      </c>
      <c r="D171" s="143">
        <v>871</v>
      </c>
      <c r="E171" s="134">
        <v>0</v>
      </c>
      <c r="F171" s="134">
        <v>814.99999999999989</v>
      </c>
      <c r="G171" s="134">
        <v>0</v>
      </c>
      <c r="H171" s="134">
        <v>758.99999999999989</v>
      </c>
      <c r="I171" s="134">
        <v>0</v>
      </c>
      <c r="J171" s="134">
        <v>703</v>
      </c>
      <c r="K171" s="134">
        <v>0</v>
      </c>
      <c r="L171" s="134">
        <v>647</v>
      </c>
      <c r="M171" s="134">
        <v>0</v>
      </c>
      <c r="N171" s="134">
        <v>590.99999999999989</v>
      </c>
      <c r="O171" s="134">
        <v>0</v>
      </c>
      <c r="P171" s="148">
        <f>'Purchased Power Model'!D64</f>
        <v>16200376.42</v>
      </c>
      <c r="Q171" s="148">
        <f ca="1">'Purchased Power Model'!G64</f>
        <v>16586638.093308568</v>
      </c>
      <c r="R171" s="148">
        <f t="shared" si="88"/>
        <v>18140932.559078958</v>
      </c>
      <c r="S171" s="148">
        <f t="shared" si="87"/>
        <v>17692668.567399725</v>
      </c>
      <c r="T171" s="146"/>
      <c r="V171" s="146"/>
      <c r="W171" s="147"/>
      <c r="X171" s="147"/>
    </row>
    <row r="172" spans="1:24" x14ac:dyDescent="0.2">
      <c r="A172" s="132">
        <v>2015</v>
      </c>
      <c r="B172" s="144">
        <v>3</v>
      </c>
      <c r="C172" s="144">
        <v>-0.75483870967741939</v>
      </c>
      <c r="D172" s="143">
        <v>643.4</v>
      </c>
      <c r="E172" s="134">
        <v>0</v>
      </c>
      <c r="F172" s="134">
        <v>581.4</v>
      </c>
      <c r="G172" s="134">
        <v>0</v>
      </c>
      <c r="H172" s="134">
        <v>519.4</v>
      </c>
      <c r="I172" s="134">
        <v>0</v>
      </c>
      <c r="J172" s="134">
        <v>457.4</v>
      </c>
      <c r="K172" s="134">
        <v>0</v>
      </c>
      <c r="L172" s="134">
        <v>395.4</v>
      </c>
      <c r="M172" s="134">
        <v>0</v>
      </c>
      <c r="N172" s="134">
        <v>333.4</v>
      </c>
      <c r="O172" s="134">
        <v>0</v>
      </c>
      <c r="P172" s="148">
        <f>'Purchased Power Model'!D65</f>
        <v>15791088.430000002</v>
      </c>
      <c r="Q172" s="148">
        <f ca="1">'Purchased Power Model'!G65</f>
        <v>16197667.250744466</v>
      </c>
      <c r="R172" s="148">
        <f t="shared" si="88"/>
        <v>16476988.408037357</v>
      </c>
      <c r="S172" s="148">
        <f t="shared" si="87"/>
        <v>16428110.260783862</v>
      </c>
      <c r="T172" s="146"/>
      <c r="V172" s="146"/>
      <c r="W172" s="147"/>
      <c r="X172" s="147"/>
    </row>
    <row r="173" spans="1:24" x14ac:dyDescent="0.2">
      <c r="A173" s="132">
        <v>2015</v>
      </c>
      <c r="B173" s="144">
        <v>4</v>
      </c>
      <c r="C173" s="144">
        <v>8.0066666666666659</v>
      </c>
      <c r="D173" s="143">
        <v>359.8</v>
      </c>
      <c r="E173" s="134">
        <v>0</v>
      </c>
      <c r="F173" s="134">
        <v>299.8</v>
      </c>
      <c r="G173" s="134">
        <v>0</v>
      </c>
      <c r="H173" s="134">
        <v>240.10000000000002</v>
      </c>
      <c r="I173" s="134">
        <v>0.30000000000000071</v>
      </c>
      <c r="J173" s="134">
        <v>184.5</v>
      </c>
      <c r="K173" s="134">
        <v>4.7000000000000011</v>
      </c>
      <c r="L173" s="134">
        <v>131.79999999999998</v>
      </c>
      <c r="M173" s="134">
        <v>12.000000000000002</v>
      </c>
      <c r="N173" s="134">
        <v>85.899999999999977</v>
      </c>
      <c r="O173" s="134">
        <v>26.100000000000005</v>
      </c>
      <c r="P173" s="148">
        <f>'Purchased Power Model'!D66</f>
        <v>13751123.979999999</v>
      </c>
      <c r="Q173" s="148">
        <f ca="1">'Purchased Power Model'!G66</f>
        <v>14178019.948180361</v>
      </c>
      <c r="R173" s="148">
        <f t="shared" si="88"/>
        <v>14547392.127074754</v>
      </c>
      <c r="S173" s="148">
        <f t="shared" si="87"/>
        <v>14903711.206233231</v>
      </c>
      <c r="T173" s="146"/>
      <c r="V173" s="146"/>
      <c r="W173" s="147"/>
      <c r="X173" s="147"/>
    </row>
    <row r="174" spans="1:24" x14ac:dyDescent="0.2">
      <c r="A174" s="132">
        <v>2015</v>
      </c>
      <c r="B174" s="144">
        <v>5</v>
      </c>
      <c r="C174" s="144">
        <v>16.56774193548387</v>
      </c>
      <c r="D174" s="143">
        <v>127.1</v>
      </c>
      <c r="E174" s="134">
        <v>20.7</v>
      </c>
      <c r="F174" s="134">
        <v>86.600000000000023</v>
      </c>
      <c r="G174" s="134">
        <v>42.199999999999996</v>
      </c>
      <c r="H174" s="134">
        <v>54.4</v>
      </c>
      <c r="I174" s="134">
        <v>72</v>
      </c>
      <c r="J174" s="134">
        <v>28.699999999999996</v>
      </c>
      <c r="K174" s="134">
        <v>108.30000000000001</v>
      </c>
      <c r="L174" s="134">
        <v>11.5</v>
      </c>
      <c r="M174" s="134">
        <v>153.1</v>
      </c>
      <c r="N174" s="134">
        <v>2.9000000000000004</v>
      </c>
      <c r="O174" s="134">
        <v>206.49999999999997</v>
      </c>
      <c r="P174" s="148">
        <f>'Purchased Power Model'!D67</f>
        <v>14187561.25</v>
      </c>
      <c r="Q174" s="148">
        <f ca="1">'Purchased Power Model'!G67</f>
        <v>14634774.36561626</v>
      </c>
      <c r="R174" s="148">
        <f t="shared" si="88"/>
        <v>15660067.547907075</v>
      </c>
      <c r="S174" s="148">
        <f t="shared" si="87"/>
        <v>15591888.502094503</v>
      </c>
      <c r="T174" s="146"/>
      <c r="V174" s="146"/>
      <c r="W174" s="147"/>
      <c r="X174" s="147"/>
    </row>
    <row r="175" spans="1:24" x14ac:dyDescent="0.2">
      <c r="A175" s="132">
        <v>2015</v>
      </c>
      <c r="B175" s="144">
        <v>6</v>
      </c>
      <c r="C175" s="144">
        <v>17.95</v>
      </c>
      <c r="D175" s="143">
        <v>75.999999999999986</v>
      </c>
      <c r="E175" s="134">
        <v>14.5</v>
      </c>
      <c r="F175" s="134">
        <v>43.599999999999994</v>
      </c>
      <c r="G175" s="134">
        <v>42.099999999999994</v>
      </c>
      <c r="H175" s="134">
        <v>21.500000000000004</v>
      </c>
      <c r="I175" s="134">
        <v>80.000000000000014</v>
      </c>
      <c r="J175" s="134">
        <v>7.7000000000000011</v>
      </c>
      <c r="K175" s="134">
        <v>126.20000000000003</v>
      </c>
      <c r="L175" s="134">
        <v>1.4000000000000004</v>
      </c>
      <c r="M175" s="134">
        <v>179.89999999999992</v>
      </c>
      <c r="N175" s="134">
        <v>0</v>
      </c>
      <c r="O175" s="134">
        <v>238.49999999999997</v>
      </c>
      <c r="P175" s="148">
        <f>'Purchased Power Model'!D68</f>
        <v>14895713.270000001</v>
      </c>
      <c r="Q175" s="148">
        <f ca="1">'Purchased Power Model'!G68</f>
        <v>15363243.533052159</v>
      </c>
      <c r="R175" s="148">
        <f t="shared" si="88"/>
        <v>15699626.965929572</v>
      </c>
      <c r="S175" s="148">
        <f t="shared" si="87"/>
        <v>15354748.851142423</v>
      </c>
      <c r="T175" s="146"/>
      <c r="V175" s="146"/>
      <c r="W175" s="147"/>
      <c r="X175" s="147"/>
    </row>
    <row r="176" spans="1:24" x14ac:dyDescent="0.2">
      <c r="A176" s="132">
        <v>2015</v>
      </c>
      <c r="B176" s="144">
        <v>7</v>
      </c>
      <c r="C176" s="144">
        <v>22.048387096774196</v>
      </c>
      <c r="D176" s="143">
        <v>15.700000000000003</v>
      </c>
      <c r="E176" s="134">
        <v>79.200000000000017</v>
      </c>
      <c r="F176" s="134">
        <v>3.4000000000000021</v>
      </c>
      <c r="G176" s="134">
        <v>128.9</v>
      </c>
      <c r="H176" s="134">
        <v>0</v>
      </c>
      <c r="I176" s="134">
        <v>187.49999999999997</v>
      </c>
      <c r="J176" s="134">
        <v>0</v>
      </c>
      <c r="K176" s="134">
        <v>249.49999999999994</v>
      </c>
      <c r="L176" s="134">
        <v>0</v>
      </c>
      <c r="M176" s="134">
        <v>311.49999999999994</v>
      </c>
      <c r="N176" s="134">
        <v>0</v>
      </c>
      <c r="O176" s="134">
        <v>373.5</v>
      </c>
      <c r="P176" s="148">
        <f>'Purchased Power Model'!D69</f>
        <v>18727962.900000002</v>
      </c>
      <c r="Q176" s="148">
        <f ca="1">'Purchased Power Model'!G69</f>
        <v>19215810.310488056</v>
      </c>
      <c r="R176" s="148">
        <f t="shared" si="88"/>
        <v>19152093.583324537</v>
      </c>
      <c r="S176" s="148">
        <f t="shared" si="87"/>
        <v>18926514.336209185</v>
      </c>
      <c r="T176" s="146"/>
      <c r="V176" s="146"/>
      <c r="W176" s="147"/>
      <c r="X176" s="147"/>
    </row>
    <row r="177" spans="1:24" x14ac:dyDescent="0.2">
      <c r="A177" s="132">
        <v>2015</v>
      </c>
      <c r="B177" s="144">
        <v>8</v>
      </c>
      <c r="C177" s="144">
        <v>21.21935483870968</v>
      </c>
      <c r="D177" s="143">
        <v>16.799999999999994</v>
      </c>
      <c r="E177" s="134">
        <v>54.599999999999994</v>
      </c>
      <c r="F177" s="134">
        <v>1.3999999999999986</v>
      </c>
      <c r="G177" s="134">
        <v>101.19999999999999</v>
      </c>
      <c r="H177" s="134">
        <v>0</v>
      </c>
      <c r="I177" s="134">
        <v>161.79999999999998</v>
      </c>
      <c r="J177" s="134">
        <v>0</v>
      </c>
      <c r="K177" s="134">
        <v>223.79999999999998</v>
      </c>
      <c r="L177" s="134">
        <v>0</v>
      </c>
      <c r="M177" s="134">
        <v>285.8</v>
      </c>
      <c r="N177" s="134">
        <v>0</v>
      </c>
      <c r="O177" s="134">
        <v>347.80000000000013</v>
      </c>
      <c r="P177" s="148">
        <f>'Purchased Power Model'!D70</f>
        <v>17447202.449999999</v>
      </c>
      <c r="Q177" s="148">
        <f ca="1">'Purchased Power Model'!G70</f>
        <v>17955367.007923953</v>
      </c>
      <c r="R177" s="148">
        <f t="shared" si="88"/>
        <v>18291017.562051743</v>
      </c>
      <c r="S177" s="148">
        <f t="shared" si="87"/>
        <v>17706403.254882015</v>
      </c>
      <c r="T177" s="146"/>
      <c r="V177" s="146"/>
      <c r="W177" s="147"/>
      <c r="X177" s="147"/>
    </row>
    <row r="178" spans="1:24" x14ac:dyDescent="0.2">
      <c r="A178" s="132">
        <v>2015</v>
      </c>
      <c r="B178" s="144">
        <v>9</v>
      </c>
      <c r="C178" s="144">
        <v>20.309999999999999</v>
      </c>
      <c r="D178" s="143">
        <v>50.400000000000006</v>
      </c>
      <c r="E178" s="134">
        <v>59.7</v>
      </c>
      <c r="F178" s="134">
        <v>24.200000000000006</v>
      </c>
      <c r="G178" s="134">
        <v>93.500000000000014</v>
      </c>
      <c r="H178" s="134">
        <v>7.5000000000000018</v>
      </c>
      <c r="I178" s="134">
        <v>136.80000000000004</v>
      </c>
      <c r="J178" s="134">
        <v>0.90000000000000036</v>
      </c>
      <c r="K178" s="134">
        <v>190.20000000000005</v>
      </c>
      <c r="L178" s="134">
        <v>0</v>
      </c>
      <c r="M178" s="134">
        <v>249.29999999999998</v>
      </c>
      <c r="N178" s="134">
        <v>0</v>
      </c>
      <c r="O178" s="134">
        <v>309.3</v>
      </c>
      <c r="P178" s="148">
        <f>'Purchased Power Model'!D71</f>
        <v>16730321.560000001</v>
      </c>
      <c r="Q178" s="148">
        <f ca="1">'Purchased Power Model'!G71</f>
        <v>17258803.265359849</v>
      </c>
      <c r="R178" s="148">
        <f t="shared" si="88"/>
        <v>17505480.036423627</v>
      </c>
      <c r="S178" s="148">
        <f t="shared" si="87"/>
        <v>17493672.74542455</v>
      </c>
      <c r="T178" s="146"/>
      <c r="V178" s="146"/>
      <c r="W178" s="147"/>
      <c r="X178" s="147"/>
    </row>
    <row r="179" spans="1:24" x14ac:dyDescent="0.2">
      <c r="A179" s="132">
        <v>2015</v>
      </c>
      <c r="B179" s="144">
        <v>10</v>
      </c>
      <c r="C179" s="144">
        <v>11.338709677419354</v>
      </c>
      <c r="D179" s="143">
        <v>268.49999999999994</v>
      </c>
      <c r="E179" s="134">
        <v>0</v>
      </c>
      <c r="F179" s="134">
        <v>207.39999999999995</v>
      </c>
      <c r="G179" s="134">
        <v>0.89999999999999858</v>
      </c>
      <c r="H179" s="134">
        <v>149.19999999999999</v>
      </c>
      <c r="I179" s="134">
        <v>4.6999999999999957</v>
      </c>
      <c r="J179" s="134">
        <v>99.899999999999991</v>
      </c>
      <c r="K179" s="134">
        <v>17.399999999999995</v>
      </c>
      <c r="L179" s="134">
        <v>58.900000000000006</v>
      </c>
      <c r="M179" s="134">
        <v>38.399999999999991</v>
      </c>
      <c r="N179" s="134">
        <v>32.599999999999994</v>
      </c>
      <c r="O179" s="134">
        <v>74.100000000000009</v>
      </c>
      <c r="P179" s="148">
        <f>'Purchased Power Model'!D72</f>
        <v>14060097.34</v>
      </c>
      <c r="Q179" s="148">
        <f ca="1">'Purchased Power Model'!G72</f>
        <v>14608896.192795746</v>
      </c>
      <c r="R179" s="148">
        <f t="shared" si="88"/>
        <v>14063542.737218412</v>
      </c>
      <c r="S179" s="148">
        <f t="shared" si="87"/>
        <v>14442808.594803458</v>
      </c>
      <c r="T179" s="146"/>
      <c r="V179" s="146"/>
      <c r="W179" s="147"/>
      <c r="X179" s="147"/>
    </row>
    <row r="180" spans="1:24" x14ac:dyDescent="0.2">
      <c r="A180" s="132">
        <v>2015</v>
      </c>
      <c r="B180" s="144">
        <v>11</v>
      </c>
      <c r="C180" s="144">
        <v>7.8766666666666652</v>
      </c>
      <c r="D180" s="143">
        <v>363.7</v>
      </c>
      <c r="E180" s="134">
        <v>0</v>
      </c>
      <c r="F180" s="134">
        <v>303.70000000000005</v>
      </c>
      <c r="G180" s="134">
        <v>0</v>
      </c>
      <c r="H180" s="134">
        <v>246.00000000000006</v>
      </c>
      <c r="I180" s="134">
        <v>2.3000000000000007</v>
      </c>
      <c r="J180" s="134">
        <v>191.60000000000005</v>
      </c>
      <c r="K180" s="134">
        <v>7.9</v>
      </c>
      <c r="L180" s="134">
        <v>139.30000000000001</v>
      </c>
      <c r="M180" s="134">
        <v>15.6</v>
      </c>
      <c r="N180" s="134">
        <v>94.999999999999986</v>
      </c>
      <c r="O180" s="134">
        <v>31.299999999999997</v>
      </c>
      <c r="P180" s="148">
        <f>'Purchased Power Model'!D73</f>
        <v>14124167.139999999</v>
      </c>
      <c r="Q180" s="148">
        <f ca="1">'Purchased Power Model'!G73</f>
        <v>14693283.140231643</v>
      </c>
      <c r="R180" s="148">
        <f t="shared" si="88"/>
        <v>14655375.51719583</v>
      </c>
      <c r="S180" s="148">
        <f t="shared" si="87"/>
        <v>14924823.267002931</v>
      </c>
      <c r="T180" s="146"/>
      <c r="V180" s="146"/>
      <c r="W180" s="147"/>
      <c r="X180" s="147"/>
    </row>
    <row r="181" spans="1:24" x14ac:dyDescent="0.2">
      <c r="A181" s="132">
        <v>2015</v>
      </c>
      <c r="B181" s="144">
        <v>12</v>
      </c>
      <c r="C181" s="144">
        <v>5.0709677419354833</v>
      </c>
      <c r="D181" s="143">
        <v>462.8</v>
      </c>
      <c r="E181" s="134">
        <v>0</v>
      </c>
      <c r="F181" s="134">
        <v>400.79999999999995</v>
      </c>
      <c r="G181" s="134">
        <v>0</v>
      </c>
      <c r="H181" s="134">
        <v>338.79999999999995</v>
      </c>
      <c r="I181" s="134">
        <v>0</v>
      </c>
      <c r="J181" s="134">
        <v>276.8</v>
      </c>
      <c r="K181" s="134">
        <v>0</v>
      </c>
      <c r="L181" s="134">
        <v>214.79999999999998</v>
      </c>
      <c r="M181" s="134">
        <v>0</v>
      </c>
      <c r="N181" s="134">
        <v>156.19999999999999</v>
      </c>
      <c r="O181" s="134">
        <v>3.4000000000000004</v>
      </c>
      <c r="P181" s="148">
        <f>'Purchased Power Model'!D74</f>
        <v>15469283.82</v>
      </c>
      <c r="Q181" s="148">
        <f ca="1">'Purchased Power Model'!G74</f>
        <v>16058716.967667542</v>
      </c>
      <c r="R181" s="148">
        <f t="shared" si="88"/>
        <v>15222780.087177116</v>
      </c>
      <c r="S181" s="148">
        <f t="shared" si="87"/>
        <v>15450459.446679302</v>
      </c>
      <c r="T181" s="146"/>
      <c r="V181" s="146"/>
      <c r="W181" s="147"/>
      <c r="X181" s="147"/>
    </row>
    <row r="182" spans="1:24" x14ac:dyDescent="0.2">
      <c r="A182" s="132">
        <v>2016</v>
      </c>
      <c r="B182" s="144">
        <v>1</v>
      </c>
      <c r="C182" s="144">
        <v>-2.5677419354838702</v>
      </c>
      <c r="D182" s="143">
        <v>699.5999999999998</v>
      </c>
      <c r="E182" s="134">
        <v>0</v>
      </c>
      <c r="F182" s="134">
        <v>637.5999999999998</v>
      </c>
      <c r="G182" s="134">
        <v>0</v>
      </c>
      <c r="H182" s="134">
        <v>575.59999999999991</v>
      </c>
      <c r="I182" s="134">
        <v>0</v>
      </c>
      <c r="J182" s="134">
        <v>513.6</v>
      </c>
      <c r="K182" s="134">
        <v>0</v>
      </c>
      <c r="L182" s="134">
        <v>451.6</v>
      </c>
      <c r="M182" s="134">
        <v>0</v>
      </c>
      <c r="N182" s="134">
        <v>389.6</v>
      </c>
      <c r="O182" s="134">
        <v>0</v>
      </c>
      <c r="P182" s="148">
        <f>'Purchased Power Model'!D75</f>
        <v>16335083.52</v>
      </c>
      <c r="Q182" s="148">
        <f ca="1">'Purchased Power Model'!G75</f>
        <v>16939376.199412331</v>
      </c>
      <c r="R182" s="148">
        <f t="shared" si="88"/>
        <v>16867279.147972822</v>
      </c>
      <c r="S182" s="148">
        <f t="shared" si="87"/>
        <v>16732340.46982415</v>
      </c>
      <c r="T182" s="146"/>
      <c r="V182" s="146"/>
      <c r="W182" s="147"/>
      <c r="X182" s="147"/>
    </row>
    <row r="183" spans="1:24" x14ac:dyDescent="0.2">
      <c r="A183" s="132">
        <v>2016</v>
      </c>
      <c r="B183" s="144">
        <v>2</v>
      </c>
      <c r="C183" s="144">
        <v>-0.98620689655172389</v>
      </c>
      <c r="D183" s="143">
        <v>608.59999999999991</v>
      </c>
      <c r="E183" s="134">
        <v>0</v>
      </c>
      <c r="F183" s="134">
        <v>550.59999999999991</v>
      </c>
      <c r="G183" s="134">
        <v>0</v>
      </c>
      <c r="H183" s="134">
        <v>492.59999999999997</v>
      </c>
      <c r="I183" s="134">
        <v>0</v>
      </c>
      <c r="J183" s="134">
        <v>434.59999999999997</v>
      </c>
      <c r="K183" s="134">
        <v>0</v>
      </c>
      <c r="L183" s="134">
        <v>376.59999999999997</v>
      </c>
      <c r="M183" s="134">
        <v>0</v>
      </c>
      <c r="N183" s="134">
        <v>318.60000000000008</v>
      </c>
      <c r="O183" s="134">
        <v>0</v>
      </c>
      <c r="P183" s="148">
        <f>'Purchased Power Model'!D76</f>
        <v>14794270.139999997</v>
      </c>
      <c r="Q183" s="148">
        <f ca="1">'Purchased Power Model'!G76</f>
        <v>15416417.774540534</v>
      </c>
      <c r="R183" s="148">
        <f t="shared" si="88"/>
        <v>16290871.115683788</v>
      </c>
      <c r="S183" s="148">
        <f t="shared" si="87"/>
        <v>16261379.114192387</v>
      </c>
      <c r="T183" s="146"/>
      <c r="V183" s="146"/>
      <c r="W183" s="147"/>
      <c r="X183" s="147"/>
    </row>
    <row r="184" spans="1:24" x14ac:dyDescent="0.2">
      <c r="A184" s="132">
        <v>2016</v>
      </c>
      <c r="B184" s="144">
        <v>3</v>
      </c>
      <c r="C184" s="144">
        <v>4.0129032258064514</v>
      </c>
      <c r="D184" s="143">
        <v>495.59999999999997</v>
      </c>
      <c r="E184" s="134">
        <v>0</v>
      </c>
      <c r="F184" s="134">
        <v>433.59999999999997</v>
      </c>
      <c r="G184" s="134">
        <v>0</v>
      </c>
      <c r="H184" s="134">
        <v>371.59999999999991</v>
      </c>
      <c r="I184" s="134">
        <v>0</v>
      </c>
      <c r="J184" s="134">
        <v>310.69999999999993</v>
      </c>
      <c r="K184" s="134">
        <v>1.0999999999999996</v>
      </c>
      <c r="L184" s="134">
        <v>251.49999999999991</v>
      </c>
      <c r="M184" s="134">
        <v>3.9000000000000004</v>
      </c>
      <c r="N184" s="134">
        <v>194.59999999999994</v>
      </c>
      <c r="O184" s="134">
        <v>9</v>
      </c>
      <c r="P184" s="148">
        <f>'Purchased Power Model'!D77</f>
        <v>14632046.780000001</v>
      </c>
      <c r="Q184" s="148">
        <f ca="1">'Purchased Power Model'!G77</f>
        <v>15272049.369668743</v>
      </c>
      <c r="R184" s="148">
        <f t="shared" si="88"/>
        <v>15450565.430057604</v>
      </c>
      <c r="S184" s="148">
        <f t="shared" si="87"/>
        <v>15628017.291101392</v>
      </c>
      <c r="T184" s="146"/>
      <c r="V184" s="146"/>
      <c r="W184" s="147"/>
      <c r="X184" s="147"/>
    </row>
    <row r="185" spans="1:24" x14ac:dyDescent="0.2">
      <c r="A185" s="132">
        <v>2016</v>
      </c>
      <c r="B185" s="144">
        <v>4</v>
      </c>
      <c r="C185" s="144">
        <v>5.4000000000000012</v>
      </c>
      <c r="D185" s="143">
        <v>437.99999999999989</v>
      </c>
      <c r="E185" s="134">
        <v>0</v>
      </c>
      <c r="F185" s="134">
        <v>377.99999999999989</v>
      </c>
      <c r="G185" s="134">
        <v>0</v>
      </c>
      <c r="H185" s="134">
        <v>318.49999999999989</v>
      </c>
      <c r="I185" s="134">
        <v>0.5</v>
      </c>
      <c r="J185" s="134">
        <v>261.99999999999989</v>
      </c>
      <c r="K185" s="134">
        <v>4</v>
      </c>
      <c r="L185" s="134">
        <v>206.2999999999999</v>
      </c>
      <c r="M185" s="134">
        <v>8.3000000000000007</v>
      </c>
      <c r="N185" s="134">
        <v>153.59999999999997</v>
      </c>
      <c r="O185" s="134">
        <v>15.600000000000001</v>
      </c>
      <c r="P185" s="148">
        <f>'Purchased Power Model'!D78</f>
        <v>13549514.359999999</v>
      </c>
      <c r="Q185" s="148">
        <f ca="1">'Purchased Power Model'!G78</f>
        <v>14207371.904796947</v>
      </c>
      <c r="R185" s="148">
        <f t="shared" si="88"/>
        <v>15098555.634670112</v>
      </c>
      <c r="S185" s="148">
        <f t="shared" si="87"/>
        <v>15327035.091410289</v>
      </c>
      <c r="T185" s="146"/>
      <c r="V185" s="146"/>
      <c r="W185" s="147"/>
      <c r="X185" s="147"/>
    </row>
    <row r="186" spans="1:24" x14ac:dyDescent="0.2">
      <c r="A186" s="132">
        <v>2016</v>
      </c>
      <c r="B186" s="144">
        <v>5</v>
      </c>
      <c r="C186" s="144">
        <v>15.135483870967743</v>
      </c>
      <c r="D186" s="143">
        <v>180.2</v>
      </c>
      <c r="E186" s="134">
        <v>29.400000000000002</v>
      </c>
      <c r="F186" s="134">
        <v>135.70000000000002</v>
      </c>
      <c r="G186" s="134">
        <v>46.900000000000006</v>
      </c>
      <c r="H186" s="134">
        <v>96.200000000000017</v>
      </c>
      <c r="I186" s="134">
        <v>69.399999999999991</v>
      </c>
      <c r="J186" s="134">
        <v>59.5</v>
      </c>
      <c r="K186" s="134">
        <v>94.699999999999989</v>
      </c>
      <c r="L186" s="134">
        <v>30.799999999999997</v>
      </c>
      <c r="M186" s="134">
        <v>127.99999999999999</v>
      </c>
      <c r="N186" s="134">
        <v>11.299999999999999</v>
      </c>
      <c r="O186" s="134">
        <v>170.50000000000003</v>
      </c>
      <c r="P186" s="148">
        <f>'Purchased Power Model'!D79</f>
        <v>14337851.494000001</v>
      </c>
      <c r="Q186" s="148">
        <f ca="1">'Purchased Power Model'!G79</f>
        <v>15013563.993925152</v>
      </c>
      <c r="R186" s="148">
        <f t="shared" ref="R186:R217" si="89">$AG$118+H186*$AG$119+I186*$AG$120</f>
        <v>15863242.217344115</v>
      </c>
      <c r="S186" s="148">
        <f t="shared" si="87"/>
        <v>16062869.370747076</v>
      </c>
      <c r="T186" s="146"/>
      <c r="V186" s="146"/>
      <c r="W186" s="147"/>
      <c r="X186" s="147"/>
    </row>
    <row r="187" spans="1:24" x14ac:dyDescent="0.2">
      <c r="A187" s="132">
        <v>2016</v>
      </c>
      <c r="B187" s="144">
        <v>6</v>
      </c>
      <c r="C187" s="144">
        <v>19.956666666666667</v>
      </c>
      <c r="D187" s="143">
        <v>43.900000000000006</v>
      </c>
      <c r="E187" s="134">
        <v>42.600000000000009</v>
      </c>
      <c r="F187" s="134">
        <v>21.699999999999996</v>
      </c>
      <c r="G187" s="134">
        <v>80.399999999999991</v>
      </c>
      <c r="H187" s="134">
        <v>6.8999999999999986</v>
      </c>
      <c r="I187" s="134">
        <v>125.59999999999998</v>
      </c>
      <c r="J187" s="134">
        <v>2</v>
      </c>
      <c r="K187" s="134">
        <v>180.70000000000005</v>
      </c>
      <c r="L187" s="134">
        <v>0</v>
      </c>
      <c r="M187" s="134">
        <v>238.70000000000005</v>
      </c>
      <c r="N187" s="134">
        <v>0</v>
      </c>
      <c r="O187" s="134">
        <v>298.70000000000005</v>
      </c>
      <c r="P187" s="148">
        <f>'Purchased Power Model'!D80</f>
        <v>16249758.006000003</v>
      </c>
      <c r="Q187" s="148">
        <f ca="1">'Purchased Power Model'!G80</f>
        <v>16943325.46105336</v>
      </c>
      <c r="R187" s="148">
        <f t="shared" si="89"/>
        <v>17126058.311594464</v>
      </c>
      <c r="S187" s="148">
        <f t="shared" ref="S187:S241" si="90">$AG$134+F187*$AG$135+G187*$AG$136</f>
        <v>16908239.538341884</v>
      </c>
      <c r="T187" s="146"/>
      <c r="V187" s="146"/>
      <c r="W187" s="147"/>
      <c r="X187" s="147"/>
    </row>
    <row r="188" spans="1:24" x14ac:dyDescent="0.2">
      <c r="A188" s="132">
        <v>2016</v>
      </c>
      <c r="B188" s="144">
        <v>7</v>
      </c>
      <c r="C188" s="144">
        <v>23.838709677419349</v>
      </c>
      <c r="D188" s="143">
        <v>3.0999999999999979</v>
      </c>
      <c r="E188" s="134">
        <v>122.09999999999998</v>
      </c>
      <c r="F188" s="134">
        <v>0</v>
      </c>
      <c r="G188" s="134">
        <v>181.00000000000006</v>
      </c>
      <c r="H188" s="134">
        <v>0</v>
      </c>
      <c r="I188" s="134">
        <v>243.00000000000006</v>
      </c>
      <c r="J188" s="134">
        <v>0</v>
      </c>
      <c r="K188" s="134">
        <v>305.00000000000006</v>
      </c>
      <c r="L188" s="134">
        <v>0</v>
      </c>
      <c r="M188" s="134">
        <v>367.00000000000006</v>
      </c>
      <c r="N188" s="134">
        <v>0</v>
      </c>
      <c r="O188" s="134">
        <v>429.00000000000011</v>
      </c>
      <c r="P188" s="148">
        <f>'Purchased Power Model'!D81</f>
        <v>19768835.849999994</v>
      </c>
      <c r="Q188" s="148">
        <f ca="1">'Purchased Power Model'!G81</f>
        <v>20480258.260181557</v>
      </c>
      <c r="R188" s="148">
        <f t="shared" si="89"/>
        <v>21011615.730431158</v>
      </c>
      <c r="S188" s="148">
        <f t="shared" si="90"/>
        <v>21182611.346293189</v>
      </c>
      <c r="T188" s="146"/>
      <c r="V188" s="146"/>
      <c r="W188" s="147"/>
      <c r="X188" s="147"/>
    </row>
    <row r="189" spans="1:24" x14ac:dyDescent="0.2">
      <c r="A189" s="132">
        <v>2016</v>
      </c>
      <c r="B189" s="144">
        <v>8</v>
      </c>
      <c r="C189" s="144">
        <v>24.412903225806449</v>
      </c>
      <c r="D189" s="143">
        <v>0</v>
      </c>
      <c r="E189" s="134">
        <v>136.79999999999998</v>
      </c>
      <c r="F189" s="134">
        <v>0</v>
      </c>
      <c r="G189" s="134">
        <v>198.80000000000004</v>
      </c>
      <c r="H189" s="134">
        <v>0</v>
      </c>
      <c r="I189" s="134">
        <v>260.80000000000007</v>
      </c>
      <c r="J189" s="134">
        <v>0</v>
      </c>
      <c r="K189" s="134">
        <v>322.80000000000013</v>
      </c>
      <c r="L189" s="134">
        <v>0</v>
      </c>
      <c r="M189" s="134">
        <v>384.80000000000013</v>
      </c>
      <c r="N189" s="134">
        <v>0</v>
      </c>
      <c r="O189" s="134">
        <v>446.80000000000013</v>
      </c>
      <c r="P189" s="148">
        <f>'Purchased Power Model'!D82</f>
        <v>20746903.439999998</v>
      </c>
      <c r="Q189" s="148">
        <f ca="1">'Purchased Power Model'!G82</f>
        <v>21476180.805309765</v>
      </c>
      <c r="R189" s="148">
        <f t="shared" si="89"/>
        <v>21608003.013647333</v>
      </c>
      <c r="S189" s="148">
        <f t="shared" si="90"/>
        <v>21959696.617998555</v>
      </c>
      <c r="T189" s="146"/>
      <c r="V189" s="146"/>
      <c r="W189" s="147"/>
      <c r="X189" s="147"/>
    </row>
    <row r="190" spans="1:24" x14ac:dyDescent="0.2">
      <c r="A190" s="132">
        <v>2016</v>
      </c>
      <c r="B190" s="144">
        <v>9</v>
      </c>
      <c r="C190" s="144">
        <v>19.709999999999997</v>
      </c>
      <c r="D190" s="143">
        <v>49.100000000000009</v>
      </c>
      <c r="E190" s="134">
        <v>40.400000000000006</v>
      </c>
      <c r="F190" s="134">
        <v>22.199999999999996</v>
      </c>
      <c r="G190" s="134">
        <v>73.499999999999986</v>
      </c>
      <c r="H190" s="134">
        <v>7.5999999999999979</v>
      </c>
      <c r="I190" s="134">
        <v>118.89999999999998</v>
      </c>
      <c r="J190" s="134">
        <v>0.5</v>
      </c>
      <c r="K190" s="134">
        <v>171.80000000000004</v>
      </c>
      <c r="L190" s="134">
        <v>0</v>
      </c>
      <c r="M190" s="134">
        <v>231.30000000000007</v>
      </c>
      <c r="N190" s="134">
        <v>0</v>
      </c>
      <c r="O190" s="134">
        <v>291.30000000000007</v>
      </c>
      <c r="P190" s="148">
        <f>'Purchased Power Model'!D83</f>
        <v>16199694.169999998</v>
      </c>
      <c r="Q190" s="148">
        <f ca="1">'Purchased Power Model'!G83</f>
        <v>16946826.49043797</v>
      </c>
      <c r="R190" s="148">
        <f t="shared" si="89"/>
        <v>16906436.730361082</v>
      </c>
      <c r="S190" s="148">
        <f t="shared" si="90"/>
        <v>16609716.528823858</v>
      </c>
      <c r="T190" s="146"/>
      <c r="V190" s="146"/>
      <c r="W190" s="147"/>
      <c r="X190" s="147"/>
    </row>
    <row r="191" spans="1:24" x14ac:dyDescent="0.2">
      <c r="A191" s="132">
        <v>2016</v>
      </c>
      <c r="B191" s="144">
        <v>10</v>
      </c>
      <c r="C191" s="144">
        <v>12.945161290322584</v>
      </c>
      <c r="D191" s="143">
        <v>223.5</v>
      </c>
      <c r="E191" s="134">
        <v>4.8000000000000007</v>
      </c>
      <c r="F191" s="134">
        <v>171.3</v>
      </c>
      <c r="G191" s="134">
        <v>14.600000000000001</v>
      </c>
      <c r="H191" s="134">
        <v>124.30000000000001</v>
      </c>
      <c r="I191" s="134">
        <v>29.6</v>
      </c>
      <c r="J191" s="134">
        <v>86.600000000000009</v>
      </c>
      <c r="K191" s="134">
        <v>53.899999999999991</v>
      </c>
      <c r="L191" s="134">
        <v>55.5</v>
      </c>
      <c r="M191" s="134">
        <v>84.799999999999983</v>
      </c>
      <c r="N191" s="134">
        <v>29.999999999999996</v>
      </c>
      <c r="O191" s="134">
        <v>121.29999999999998</v>
      </c>
      <c r="P191" s="148">
        <f>'Purchased Power Model'!D84</f>
        <v>13767515.480000002</v>
      </c>
      <c r="Q191" s="148">
        <f ca="1">'Purchased Power Model'!G84</f>
        <v>14532502.75556618</v>
      </c>
      <c r="R191" s="148">
        <f t="shared" si="89"/>
        <v>14724892.42596332</v>
      </c>
      <c r="S191" s="148">
        <f t="shared" si="90"/>
        <v>14845480.419318356</v>
      </c>
      <c r="T191" s="146"/>
      <c r="V191" s="146"/>
      <c r="W191" s="147"/>
      <c r="X191" s="147"/>
    </row>
    <row r="192" spans="1:24" x14ac:dyDescent="0.2">
      <c r="A192" s="132">
        <v>2016</v>
      </c>
      <c r="B192" s="144">
        <v>11</v>
      </c>
      <c r="C192" s="144">
        <v>7.6000000000000023</v>
      </c>
      <c r="D192" s="143">
        <v>371.99999999999989</v>
      </c>
      <c r="E192" s="134">
        <v>0</v>
      </c>
      <c r="F192" s="134">
        <v>311.99999999999994</v>
      </c>
      <c r="G192" s="134">
        <v>0</v>
      </c>
      <c r="H192" s="134">
        <v>251.99999999999994</v>
      </c>
      <c r="I192" s="134">
        <v>0</v>
      </c>
      <c r="J192" s="134">
        <v>192.99999999999997</v>
      </c>
      <c r="K192" s="134">
        <v>1</v>
      </c>
      <c r="L192" s="134">
        <v>137.5</v>
      </c>
      <c r="M192" s="134">
        <v>5.5</v>
      </c>
      <c r="N192" s="134">
        <v>91.800000000000011</v>
      </c>
      <c r="O192" s="134">
        <v>19.800000000000004</v>
      </c>
      <c r="P192" s="148">
        <f>'Purchased Power Model'!D85</f>
        <v>13671662.76</v>
      </c>
      <c r="Q192" s="148">
        <f ca="1">'Purchased Power Model'!G85</f>
        <v>14454504.990694383</v>
      </c>
      <c r="R192" s="148">
        <f t="shared" si="89"/>
        <v>14619982.289554367</v>
      </c>
      <c r="S192" s="148">
        <f t="shared" si="90"/>
        <v>14969754.062999984</v>
      </c>
      <c r="T192" s="146"/>
      <c r="V192" s="146"/>
      <c r="W192" s="147"/>
      <c r="X192" s="147"/>
    </row>
    <row r="193" spans="1:24" x14ac:dyDescent="0.2">
      <c r="A193" s="132">
        <v>2016</v>
      </c>
      <c r="B193" s="144">
        <v>12</v>
      </c>
      <c r="C193" s="144">
        <v>-1.0645161290322585</v>
      </c>
      <c r="D193" s="143">
        <v>653.00000000000011</v>
      </c>
      <c r="E193" s="134">
        <v>0</v>
      </c>
      <c r="F193" s="134">
        <v>591.00000000000011</v>
      </c>
      <c r="G193" s="134">
        <v>0</v>
      </c>
      <c r="H193" s="134">
        <v>529</v>
      </c>
      <c r="I193" s="134">
        <v>0</v>
      </c>
      <c r="J193" s="134">
        <v>467</v>
      </c>
      <c r="K193" s="134">
        <v>0</v>
      </c>
      <c r="L193" s="134">
        <v>405</v>
      </c>
      <c r="M193" s="134">
        <v>0</v>
      </c>
      <c r="N193" s="134">
        <v>343</v>
      </c>
      <c r="O193" s="134">
        <v>0</v>
      </c>
      <c r="P193" s="148">
        <f>'Purchased Power Model'!D86</f>
        <v>15862873.509999998</v>
      </c>
      <c r="Q193" s="148">
        <f ca="1">'Purchased Power Model'!G86</f>
        <v>16663570.695822585</v>
      </c>
      <c r="R193" s="148">
        <f t="shared" si="89"/>
        <v>16543657.288880426</v>
      </c>
      <c r="S193" s="148">
        <f t="shared" si="90"/>
        <v>16480078.410370816</v>
      </c>
      <c r="T193" s="146"/>
      <c r="V193" s="146"/>
      <c r="W193" s="147"/>
      <c r="X193" s="147"/>
    </row>
    <row r="194" spans="1:24" x14ac:dyDescent="0.2">
      <c r="A194" s="132">
        <v>2017</v>
      </c>
      <c r="B194" s="144">
        <v>1</v>
      </c>
      <c r="C194" s="144">
        <v>-0.90645161290322607</v>
      </c>
      <c r="D194" s="143">
        <v>648.09999999999991</v>
      </c>
      <c r="E194" s="134">
        <v>0</v>
      </c>
      <c r="F194" s="134">
        <v>586.0999999999998</v>
      </c>
      <c r="G194" s="134">
        <v>0</v>
      </c>
      <c r="H194" s="134">
        <v>524.09999999999991</v>
      </c>
      <c r="I194" s="134">
        <v>0</v>
      </c>
      <c r="J194" s="134">
        <v>462.09999999999991</v>
      </c>
      <c r="K194" s="134">
        <v>0</v>
      </c>
      <c r="L194" s="134">
        <v>400.09999999999997</v>
      </c>
      <c r="M194" s="134">
        <v>0</v>
      </c>
      <c r="N194" s="134">
        <v>338.09999999999997</v>
      </c>
      <c r="O194" s="134">
        <v>0</v>
      </c>
      <c r="P194" s="148">
        <f>'Purchased Power Model'!D87</f>
        <v>15654286.4</v>
      </c>
      <c r="Q194" s="148">
        <f ca="1">'Purchased Power Model'!G87</f>
        <v>16461122.712404348</v>
      </c>
      <c r="R194" s="148">
        <f t="shared" si="89"/>
        <v>16509628.380950108</v>
      </c>
      <c r="S194" s="148">
        <f t="shared" si="90"/>
        <v>16453553.000685807</v>
      </c>
      <c r="T194" s="146"/>
      <c r="V194" s="146"/>
      <c r="W194" s="147"/>
      <c r="X194" s="147"/>
    </row>
    <row r="195" spans="1:24" x14ac:dyDescent="0.2">
      <c r="A195" s="132">
        <v>2017</v>
      </c>
      <c r="B195" s="144">
        <v>2</v>
      </c>
      <c r="C195" s="144">
        <v>1.1678571428571429</v>
      </c>
      <c r="D195" s="143">
        <v>527.30000000000007</v>
      </c>
      <c r="E195" s="134">
        <v>0</v>
      </c>
      <c r="F195" s="134">
        <v>471.3</v>
      </c>
      <c r="G195" s="134">
        <v>0</v>
      </c>
      <c r="H195" s="134">
        <v>415.3</v>
      </c>
      <c r="I195" s="134">
        <v>0</v>
      </c>
      <c r="J195" s="134">
        <v>359.6</v>
      </c>
      <c r="K195" s="134">
        <v>0.30000000000000071</v>
      </c>
      <c r="L195" s="134">
        <v>305.60000000000002</v>
      </c>
      <c r="M195" s="134">
        <v>2.3000000000000007</v>
      </c>
      <c r="N195" s="134">
        <v>251.6</v>
      </c>
      <c r="O195" s="134">
        <v>4.3000000000000007</v>
      </c>
      <c r="P195" s="148">
        <f>'Purchased Power Model'!D88</f>
        <v>13535413.060000001</v>
      </c>
      <c r="Q195" s="148">
        <f ca="1">'Purchased Power Model'!G88</f>
        <v>14358849.953563245</v>
      </c>
      <c r="R195" s="148">
        <f t="shared" si="89"/>
        <v>15754047.731395325</v>
      </c>
      <c r="S195" s="148">
        <f t="shared" si="90"/>
        <v>15832100.545208491</v>
      </c>
      <c r="T195" s="146"/>
      <c r="V195" s="146"/>
      <c r="W195" s="147"/>
      <c r="X195" s="147"/>
    </row>
    <row r="196" spans="1:24" x14ac:dyDescent="0.2">
      <c r="A196" s="132">
        <v>2017</v>
      </c>
      <c r="B196" s="144">
        <v>3</v>
      </c>
      <c r="C196" s="144">
        <v>0.56129032258064526</v>
      </c>
      <c r="D196" s="143">
        <v>602.60000000000014</v>
      </c>
      <c r="E196" s="134">
        <v>0</v>
      </c>
      <c r="F196" s="134">
        <v>540.6</v>
      </c>
      <c r="G196" s="134">
        <v>0</v>
      </c>
      <c r="H196" s="134">
        <v>478.59999999999997</v>
      </c>
      <c r="I196" s="134">
        <v>0</v>
      </c>
      <c r="J196" s="134">
        <v>416.59999999999997</v>
      </c>
      <c r="K196" s="134">
        <v>0</v>
      </c>
      <c r="L196" s="134">
        <v>354.59999999999997</v>
      </c>
      <c r="M196" s="134">
        <v>0</v>
      </c>
      <c r="N196" s="134">
        <v>293.39999999999998</v>
      </c>
      <c r="O196" s="134">
        <v>0.80000000000000071</v>
      </c>
      <c r="P196" s="148">
        <f>'Purchased Power Model'!D89</f>
        <v>17164609.959131006</v>
      </c>
      <c r="Q196" s="148">
        <f ca="1">'Purchased Power Model'!G89</f>
        <v>15590701.678840145</v>
      </c>
      <c r="R196" s="148">
        <f t="shared" si="89"/>
        <v>16193645.664454313</v>
      </c>
      <c r="S196" s="148">
        <f t="shared" si="90"/>
        <v>16207245.625039311</v>
      </c>
      <c r="T196" s="146"/>
      <c r="V196" s="146"/>
      <c r="W196" s="147"/>
      <c r="X196" s="147"/>
    </row>
    <row r="197" spans="1:24" x14ac:dyDescent="0.2">
      <c r="A197" s="132">
        <v>2017</v>
      </c>
      <c r="B197" s="144">
        <v>4</v>
      </c>
      <c r="C197" s="144">
        <v>9.4666666666666703</v>
      </c>
      <c r="D197" s="143">
        <v>315.99999999999989</v>
      </c>
      <c r="E197" s="134">
        <v>0</v>
      </c>
      <c r="F197" s="134">
        <v>257.2999999999999</v>
      </c>
      <c r="G197" s="134">
        <v>1.3000000000000007</v>
      </c>
      <c r="H197" s="134">
        <v>201.29999999999995</v>
      </c>
      <c r="I197" s="134">
        <v>5.3000000000000007</v>
      </c>
      <c r="J197" s="134">
        <v>147.1</v>
      </c>
      <c r="K197" s="134">
        <v>11.100000000000001</v>
      </c>
      <c r="L197" s="134">
        <v>96.40000000000002</v>
      </c>
      <c r="M197" s="134">
        <v>20.400000000000002</v>
      </c>
      <c r="N197" s="134">
        <v>55.600000000000023</v>
      </c>
      <c r="O197" s="134">
        <v>39.600000000000009</v>
      </c>
      <c r="P197" s="148">
        <f>'Purchased Power Model'!D90</f>
        <v>15201392.558417326</v>
      </c>
      <c r="Q197" s="148">
        <f ca="1">'Purchased Power Model'!G90</f>
        <v>13876736.012596153</v>
      </c>
      <c r="R197" s="148">
        <f t="shared" si="89"/>
        <v>14445463.2514247</v>
      </c>
      <c r="S197" s="148">
        <f t="shared" si="90"/>
        <v>14730397.296052711</v>
      </c>
      <c r="T197" s="146"/>
      <c r="V197" s="146"/>
      <c r="W197" s="147"/>
      <c r="X197" s="147"/>
    </row>
    <row r="198" spans="1:24" x14ac:dyDescent="0.2">
      <c r="A198" s="132">
        <v>2017</v>
      </c>
      <c r="B198" s="144">
        <v>5</v>
      </c>
      <c r="C198" s="144">
        <v>12.745161290322583</v>
      </c>
      <c r="D198" s="143">
        <v>229.69999999999987</v>
      </c>
      <c r="E198" s="134">
        <v>4.8000000000000007</v>
      </c>
      <c r="F198" s="134">
        <v>174.89999999999998</v>
      </c>
      <c r="G198" s="134">
        <v>12.000000000000004</v>
      </c>
      <c r="H198" s="134">
        <v>124.90000000000002</v>
      </c>
      <c r="I198" s="134">
        <v>24.000000000000004</v>
      </c>
      <c r="J198" s="134">
        <v>79.300000000000011</v>
      </c>
      <c r="K198" s="134">
        <v>40.400000000000006</v>
      </c>
      <c r="L198" s="134">
        <v>45.900000000000006</v>
      </c>
      <c r="M198" s="134">
        <v>69</v>
      </c>
      <c r="N198" s="134">
        <v>20.7</v>
      </c>
      <c r="O198" s="134">
        <v>105.79999999999998</v>
      </c>
      <c r="P198" s="148">
        <f>'Purchased Power Model'!D91</f>
        <v>16229118.897553997</v>
      </c>
      <c r="Q198" s="148">
        <f ca="1">'Purchased Power Model'!G91</f>
        <v>14507053.598889221</v>
      </c>
      <c r="R198" s="148">
        <f t="shared" si="89"/>
        <v>14541431.771127775</v>
      </c>
      <c r="S198" s="148">
        <f t="shared" si="90"/>
        <v>14751461.637973351</v>
      </c>
      <c r="T198" s="146"/>
      <c r="V198" s="146"/>
      <c r="W198" s="147"/>
      <c r="X198" s="147"/>
    </row>
    <row r="199" spans="1:24" x14ac:dyDescent="0.2">
      <c r="A199" s="132">
        <v>2017</v>
      </c>
      <c r="B199" s="144">
        <v>6</v>
      </c>
      <c r="C199" s="144">
        <v>19.77333333333333</v>
      </c>
      <c r="D199" s="143">
        <v>51.400000000000006</v>
      </c>
      <c r="E199" s="134">
        <v>44.59999999999998</v>
      </c>
      <c r="F199" s="134">
        <v>21.199999999999996</v>
      </c>
      <c r="G199" s="134">
        <v>74.399999999999991</v>
      </c>
      <c r="H199" s="134">
        <v>5.5999999999999979</v>
      </c>
      <c r="I199" s="134">
        <v>118.79999999999998</v>
      </c>
      <c r="J199" s="134">
        <v>0</v>
      </c>
      <c r="K199" s="134">
        <v>173.20000000000005</v>
      </c>
      <c r="L199" s="134">
        <v>0</v>
      </c>
      <c r="M199" s="134">
        <v>233.20000000000007</v>
      </c>
      <c r="N199" s="134">
        <v>0</v>
      </c>
      <c r="O199" s="134">
        <v>293.20000000000005</v>
      </c>
      <c r="P199" s="148">
        <f>'Purchased Power Model'!D92</f>
        <v>18871717.803001981</v>
      </c>
      <c r="Q199" s="148">
        <f ca="1">'Purchased Power Model'!G92</f>
        <v>16603531.118708437</v>
      </c>
      <c r="R199" s="148">
        <f t="shared" si="89"/>
        <v>16889196.889830295</v>
      </c>
      <c r="S199" s="148">
        <f t="shared" si="90"/>
        <v>16643594.008253206</v>
      </c>
      <c r="T199" s="146"/>
      <c r="V199" s="146"/>
      <c r="W199" s="147"/>
      <c r="X199" s="147"/>
    </row>
    <row r="200" spans="1:24" x14ac:dyDescent="0.2">
      <c r="A200" s="132">
        <v>2017</v>
      </c>
      <c r="B200" s="144">
        <v>7</v>
      </c>
      <c r="C200" s="144">
        <v>21.87096774193548</v>
      </c>
      <c r="D200" s="143">
        <v>3.3999999999999986</v>
      </c>
      <c r="E200" s="134">
        <v>61.399999999999991</v>
      </c>
      <c r="F200" s="134">
        <v>0</v>
      </c>
      <c r="G200" s="134">
        <v>119.99999999999997</v>
      </c>
      <c r="H200" s="134">
        <v>0</v>
      </c>
      <c r="I200" s="134">
        <v>182.00000000000006</v>
      </c>
      <c r="J200" s="134">
        <v>0</v>
      </c>
      <c r="K200" s="134">
        <v>244.00000000000006</v>
      </c>
      <c r="L200" s="134">
        <v>0</v>
      </c>
      <c r="M200" s="134">
        <v>306.00000000000006</v>
      </c>
      <c r="N200" s="134">
        <v>0</v>
      </c>
      <c r="O200" s="134">
        <v>368.00000000000011</v>
      </c>
      <c r="P200" s="148">
        <f>'Purchased Power Model'!D93</f>
        <v>22363391.152751956</v>
      </c>
      <c r="Q200" s="148">
        <f ca="1">'Purchased Power Model'!G93</f>
        <v>18769029.761034757</v>
      </c>
      <c r="R200" s="148">
        <f t="shared" si="89"/>
        <v>18967816.613791451</v>
      </c>
      <c r="S200" s="148">
        <f t="shared" si="90"/>
        <v>18519566.314044453</v>
      </c>
      <c r="T200" s="146"/>
      <c r="V200" s="146"/>
      <c r="W200" s="147"/>
      <c r="X200" s="147"/>
    </row>
    <row r="201" spans="1:24" x14ac:dyDescent="0.2">
      <c r="A201" s="132">
        <v>2017</v>
      </c>
      <c r="B201" s="144">
        <v>8</v>
      </c>
      <c r="C201" s="144">
        <v>20.816129032258058</v>
      </c>
      <c r="D201" s="143">
        <v>18.499999999999993</v>
      </c>
      <c r="E201" s="134">
        <v>43.8</v>
      </c>
      <c r="F201" s="134">
        <v>4.7999999999999972</v>
      </c>
      <c r="G201" s="134">
        <v>92.099999999999966</v>
      </c>
      <c r="H201" s="134">
        <v>0</v>
      </c>
      <c r="I201" s="134">
        <v>149.30000000000007</v>
      </c>
      <c r="J201" s="134">
        <v>0</v>
      </c>
      <c r="K201" s="134">
        <v>211.3000000000001</v>
      </c>
      <c r="L201" s="134">
        <v>0</v>
      </c>
      <c r="M201" s="134">
        <v>273.30000000000013</v>
      </c>
      <c r="N201" s="134">
        <v>0</v>
      </c>
      <c r="O201" s="134">
        <v>335.30000000000013</v>
      </c>
      <c r="P201" s="148">
        <f>'Purchased Power Model'!D94</f>
        <v>21211440.486327328</v>
      </c>
      <c r="Q201" s="148">
        <f ca="1">'Purchased Power Model'!G94</f>
        <v>18024259.602250282</v>
      </c>
      <c r="R201" s="148">
        <f t="shared" si="89"/>
        <v>17872206.26765836</v>
      </c>
      <c r="S201" s="148">
        <f t="shared" si="90"/>
        <v>17327534.710153677</v>
      </c>
      <c r="T201" s="146"/>
      <c r="V201" s="146"/>
      <c r="W201" s="147"/>
      <c r="X201" s="147"/>
    </row>
    <row r="202" spans="1:24" x14ac:dyDescent="0.2">
      <c r="A202" s="132">
        <v>2017</v>
      </c>
      <c r="B202" s="144">
        <v>9</v>
      </c>
      <c r="C202" s="144">
        <v>18.726666666666667</v>
      </c>
      <c r="D202" s="143">
        <v>72.300000000000011</v>
      </c>
      <c r="E202" s="134">
        <v>34.100000000000009</v>
      </c>
      <c r="F202" s="134">
        <v>42.3</v>
      </c>
      <c r="G202" s="134">
        <v>64.099999999999994</v>
      </c>
      <c r="H202" s="134">
        <v>18.399999999999995</v>
      </c>
      <c r="I202" s="134">
        <v>100.2</v>
      </c>
      <c r="J202" s="134">
        <v>2.8999999999999986</v>
      </c>
      <c r="K202" s="134">
        <v>144.70000000000002</v>
      </c>
      <c r="L202" s="134">
        <v>0.69999999999999929</v>
      </c>
      <c r="M202" s="134">
        <v>202.50000000000003</v>
      </c>
      <c r="N202" s="134">
        <v>0</v>
      </c>
      <c r="O202" s="134">
        <v>261.80000000000007</v>
      </c>
      <c r="P202" s="148">
        <f>'Purchased Power Model'!D95</f>
        <v>19533578.176179972</v>
      </c>
      <c r="Q202" s="148">
        <f ca="1">'Purchased Power Model'!G95</f>
        <v>16214042.156104552</v>
      </c>
      <c r="R202" s="148">
        <f t="shared" si="89"/>
        <v>16354897.524897037</v>
      </c>
      <c r="S202" s="148">
        <f t="shared" si="90"/>
        <v>16308153.968199607</v>
      </c>
      <c r="T202" s="146"/>
      <c r="V202" s="146"/>
      <c r="W202" s="147"/>
      <c r="X202" s="147"/>
    </row>
    <row r="203" spans="1:24" x14ac:dyDescent="0.2">
      <c r="A203" s="132">
        <v>2017</v>
      </c>
      <c r="B203" s="144">
        <v>10</v>
      </c>
      <c r="C203" s="144">
        <v>14.403225806451617</v>
      </c>
      <c r="D203" s="143">
        <v>179.29999999999998</v>
      </c>
      <c r="E203" s="134">
        <v>5.8000000000000007</v>
      </c>
      <c r="F203" s="134">
        <v>126.9</v>
      </c>
      <c r="G203" s="134">
        <v>15.400000000000002</v>
      </c>
      <c r="H203" s="134">
        <v>90.100000000000009</v>
      </c>
      <c r="I203" s="134">
        <v>40.600000000000009</v>
      </c>
      <c r="J203" s="134">
        <v>60.600000000000009</v>
      </c>
      <c r="K203" s="134">
        <v>73.099999999999994</v>
      </c>
      <c r="L203" s="134">
        <v>36</v>
      </c>
      <c r="M203" s="134">
        <v>110.49999999999999</v>
      </c>
      <c r="N203" s="134">
        <v>16.600000000000001</v>
      </c>
      <c r="O203" s="134">
        <v>153.1</v>
      </c>
      <c r="P203" s="148">
        <f>'Purchased Power Model'!D96</f>
        <v>15916473.155721987</v>
      </c>
      <c r="Q203" s="148">
        <f ca="1">'Purchased Power Model'!G96</f>
        <v>14863074.54406726</v>
      </c>
      <c r="R203" s="148">
        <f t="shared" si="89"/>
        <v>14855938.47702606</v>
      </c>
      <c r="S203" s="148">
        <f t="shared" si="90"/>
        <v>14640052.908229498</v>
      </c>
      <c r="T203" s="146"/>
      <c r="V203" s="146"/>
      <c r="W203" s="147"/>
      <c r="X203" s="147"/>
    </row>
    <row r="204" spans="1:24" x14ac:dyDescent="0.2">
      <c r="A204" s="132">
        <v>2017</v>
      </c>
      <c r="B204" s="144">
        <v>11</v>
      </c>
      <c r="C204" s="144">
        <v>4.3099999999999996</v>
      </c>
      <c r="D204" s="143">
        <v>470.7</v>
      </c>
      <c r="E204" s="134">
        <v>0</v>
      </c>
      <c r="F204" s="134">
        <v>410.7</v>
      </c>
      <c r="G204" s="134">
        <v>0</v>
      </c>
      <c r="H204" s="134">
        <v>350.69999999999993</v>
      </c>
      <c r="I204" s="134">
        <v>0</v>
      </c>
      <c r="J204" s="134">
        <v>290.69999999999993</v>
      </c>
      <c r="K204" s="134">
        <v>0</v>
      </c>
      <c r="L204" s="134">
        <v>230.69999999999996</v>
      </c>
      <c r="M204" s="134">
        <v>0</v>
      </c>
      <c r="N204" s="134">
        <v>173</v>
      </c>
      <c r="O204" s="134">
        <v>2.3000000000000007</v>
      </c>
      <c r="P204" s="148">
        <f>'Purchased Power Model'!D97</f>
        <v>16479806.154822662</v>
      </c>
      <c r="Q204" s="148">
        <f ca="1">'Purchased Power Model'!G97</f>
        <v>15230410.808551352</v>
      </c>
      <c r="R204" s="148">
        <f t="shared" si="89"/>
        <v>15305421.720722172</v>
      </c>
      <c r="S204" s="148">
        <f t="shared" si="90"/>
        <v>15504051.600940848</v>
      </c>
      <c r="T204" s="146"/>
      <c r="V204" s="146"/>
      <c r="W204" s="147"/>
      <c r="X204" s="147"/>
    </row>
    <row r="205" spans="1:24" x14ac:dyDescent="0.2">
      <c r="A205" s="132">
        <v>2017</v>
      </c>
      <c r="B205" s="144">
        <v>12</v>
      </c>
      <c r="C205" s="144">
        <v>-3.7838709677419349</v>
      </c>
      <c r="D205" s="143">
        <v>737.29999999999973</v>
      </c>
      <c r="E205" s="134">
        <v>0</v>
      </c>
      <c r="F205" s="134">
        <v>675.29999999999984</v>
      </c>
      <c r="G205" s="134">
        <v>0</v>
      </c>
      <c r="H205" s="134">
        <v>613.29999999999995</v>
      </c>
      <c r="I205" s="134">
        <v>0</v>
      </c>
      <c r="J205" s="134">
        <v>551.30000000000007</v>
      </c>
      <c r="K205" s="134">
        <v>0</v>
      </c>
      <c r="L205" s="134">
        <v>489.30000000000007</v>
      </c>
      <c r="M205" s="134">
        <v>0</v>
      </c>
      <c r="N205" s="134">
        <v>427.30000000000007</v>
      </c>
      <c r="O205" s="134">
        <v>0</v>
      </c>
      <c r="P205" s="148">
        <f>'Purchased Power Model'!D98</f>
        <v>18908989.901477978</v>
      </c>
      <c r="Q205" s="148">
        <f ca="1">'Purchased Power Model'!G98</f>
        <v>17365688.731905557</v>
      </c>
      <c r="R205" s="148">
        <f t="shared" si="89"/>
        <v>17129093.398783628</v>
      </c>
      <c r="S205" s="148">
        <f t="shared" si="90"/>
        <v>16936423.723931249</v>
      </c>
      <c r="T205" s="146"/>
      <c r="V205" s="146"/>
      <c r="W205" s="147"/>
      <c r="X205" s="147"/>
    </row>
    <row r="206" spans="1:24" x14ac:dyDescent="0.2">
      <c r="A206" s="132">
        <v>2018</v>
      </c>
      <c r="B206" s="144">
        <v>1</v>
      </c>
      <c r="C206" s="144">
        <v>-4.5354838709677407</v>
      </c>
      <c r="D206" s="143">
        <v>760.60000000000014</v>
      </c>
      <c r="E206" s="134">
        <v>0</v>
      </c>
      <c r="F206" s="134">
        <v>698.6</v>
      </c>
      <c r="G206" s="134">
        <v>0</v>
      </c>
      <c r="H206" s="134">
        <v>636.6</v>
      </c>
      <c r="I206" s="134">
        <v>0</v>
      </c>
      <c r="J206" s="134">
        <v>574.59999999999991</v>
      </c>
      <c r="K206" s="134">
        <v>0</v>
      </c>
      <c r="L206" s="134">
        <v>512.59999999999991</v>
      </c>
      <c r="M206" s="134">
        <v>0</v>
      </c>
      <c r="N206" s="134">
        <v>450.59999999999997</v>
      </c>
      <c r="O206" s="134">
        <v>0</v>
      </c>
      <c r="P206" s="148">
        <f>'Purchased Power Model'!D99</f>
        <v>18920116.782666825</v>
      </c>
      <c r="Q206" s="148">
        <f ca="1">'Purchased Power Model'!G99</f>
        <v>18038356.804139033</v>
      </c>
      <c r="R206" s="148">
        <f t="shared" si="89"/>
        <v>17290904.328329828</v>
      </c>
      <c r="S206" s="148">
        <f t="shared" si="90"/>
        <v>17062554.753657918</v>
      </c>
      <c r="T206" s="146"/>
      <c r="V206" s="146"/>
      <c r="W206" s="147"/>
      <c r="X206" s="147"/>
    </row>
    <row r="207" spans="1:24" x14ac:dyDescent="0.2">
      <c r="A207" s="132">
        <v>2018</v>
      </c>
      <c r="B207" s="144">
        <v>2</v>
      </c>
      <c r="C207" s="144">
        <v>-0.49642857142857139</v>
      </c>
      <c r="D207" s="143">
        <v>573.9000000000002</v>
      </c>
      <c r="E207" s="134">
        <v>0</v>
      </c>
      <c r="F207" s="134">
        <v>517.90000000000009</v>
      </c>
      <c r="G207" s="134">
        <v>0</v>
      </c>
      <c r="H207" s="134">
        <v>461.90000000000003</v>
      </c>
      <c r="I207" s="134">
        <v>0</v>
      </c>
      <c r="J207" s="134">
        <v>405.90000000000003</v>
      </c>
      <c r="K207" s="134">
        <v>0</v>
      </c>
      <c r="L207" s="134">
        <v>349.9</v>
      </c>
      <c r="M207" s="134">
        <v>0</v>
      </c>
      <c r="N207" s="134">
        <v>294.39999999999998</v>
      </c>
      <c r="O207" s="134">
        <v>0.5</v>
      </c>
      <c r="P207" s="148">
        <f>'Purchased Power Model'!D100</f>
        <v>16165609.621245151</v>
      </c>
      <c r="Q207" s="148">
        <f ca="1">'Purchased Power Model'!G100</f>
        <v>15384114.566748679</v>
      </c>
      <c r="R207" s="148">
        <f t="shared" si="89"/>
        <v>16077669.590487724</v>
      </c>
      <c r="S207" s="148">
        <f t="shared" si="90"/>
        <v>16084362.604661828</v>
      </c>
      <c r="T207" s="146"/>
      <c r="V207" s="146"/>
      <c r="W207" s="147"/>
      <c r="X207" s="147"/>
    </row>
    <row r="208" spans="1:24" x14ac:dyDescent="0.2">
      <c r="A208" s="132">
        <v>2018</v>
      </c>
      <c r="B208" s="144">
        <v>3</v>
      </c>
      <c r="C208" s="144">
        <v>0.38387096774193546</v>
      </c>
      <c r="D208" s="143">
        <v>608.10000000000014</v>
      </c>
      <c r="E208" s="134">
        <v>0</v>
      </c>
      <c r="F208" s="134">
        <v>546.1</v>
      </c>
      <c r="G208" s="134">
        <v>0</v>
      </c>
      <c r="H208" s="134">
        <v>484.09999999999997</v>
      </c>
      <c r="I208" s="134">
        <v>0</v>
      </c>
      <c r="J208" s="134">
        <v>422.09999999999997</v>
      </c>
      <c r="K208" s="134">
        <v>0</v>
      </c>
      <c r="L208" s="134">
        <v>360.09999999999997</v>
      </c>
      <c r="M208" s="134">
        <v>0</v>
      </c>
      <c r="N208" s="134">
        <v>298.09999999999997</v>
      </c>
      <c r="O208" s="134">
        <v>0</v>
      </c>
      <c r="P208" s="148">
        <f>'Purchased Power Model'!D101</f>
        <v>17475012.52885266</v>
      </c>
      <c r="Q208" s="148">
        <f ca="1">'Purchased Power Model'!G101</f>
        <v>16083390.228935946</v>
      </c>
      <c r="R208" s="148">
        <f t="shared" si="89"/>
        <v>16231841.377437321</v>
      </c>
      <c r="S208" s="148">
        <f t="shared" si="90"/>
        <v>16237019.044073503</v>
      </c>
      <c r="T208" s="146"/>
      <c r="V208" s="146"/>
      <c r="W208" s="147"/>
      <c r="X208" s="147"/>
    </row>
    <row r="209" spans="1:24" x14ac:dyDescent="0.2">
      <c r="A209" s="132">
        <v>2018</v>
      </c>
      <c r="B209" s="144">
        <v>4</v>
      </c>
      <c r="C209" s="144">
        <v>3.8099999999999996</v>
      </c>
      <c r="D209" s="143">
        <v>485.7</v>
      </c>
      <c r="E209" s="134">
        <v>0</v>
      </c>
      <c r="F209" s="134">
        <v>425.69999999999993</v>
      </c>
      <c r="G209" s="134">
        <v>0</v>
      </c>
      <c r="H209" s="134">
        <v>365.69999999999993</v>
      </c>
      <c r="I209" s="134">
        <v>0</v>
      </c>
      <c r="J209" s="134">
        <v>305.69999999999993</v>
      </c>
      <c r="K209" s="134">
        <v>0</v>
      </c>
      <c r="L209" s="134">
        <v>245.69999999999993</v>
      </c>
      <c r="M209" s="134">
        <v>0</v>
      </c>
      <c r="N209" s="134">
        <v>187.19999999999993</v>
      </c>
      <c r="O209" s="134">
        <v>1.5</v>
      </c>
      <c r="P209" s="148">
        <f>'Purchased Power Model'!D102</f>
        <v>16622054.862042977</v>
      </c>
      <c r="Q209" s="148">
        <f ca="1">'Purchased Power Model'!G102</f>
        <v>15126771.74369522</v>
      </c>
      <c r="R209" s="148">
        <f t="shared" si="89"/>
        <v>15409591.847039467</v>
      </c>
      <c r="S209" s="148">
        <f t="shared" si="90"/>
        <v>15585251.834670462</v>
      </c>
      <c r="T209" s="146"/>
      <c r="V209" s="146"/>
      <c r="W209" s="147"/>
      <c r="X209" s="147"/>
    </row>
    <row r="210" spans="1:24" x14ac:dyDescent="0.2">
      <c r="A210" s="132">
        <v>2018</v>
      </c>
      <c r="B210" s="144">
        <v>5</v>
      </c>
      <c r="C210" s="144">
        <v>16.380645161290328</v>
      </c>
      <c r="D210" s="143">
        <v>125.60000000000002</v>
      </c>
      <c r="E210" s="134">
        <v>13.400000000000002</v>
      </c>
      <c r="F210" s="134">
        <v>81.700000000000017</v>
      </c>
      <c r="G210" s="134">
        <v>31.500000000000004</v>
      </c>
      <c r="H210" s="134">
        <v>48.800000000000011</v>
      </c>
      <c r="I210" s="134">
        <v>60.599999999999994</v>
      </c>
      <c r="J210" s="134">
        <v>25.199999999999996</v>
      </c>
      <c r="K210" s="134">
        <v>98.999999999999986</v>
      </c>
      <c r="L210" s="134">
        <v>9.8999999999999986</v>
      </c>
      <c r="M210" s="134">
        <v>145.69999999999999</v>
      </c>
      <c r="N210" s="134">
        <v>3</v>
      </c>
      <c r="O210" s="134">
        <v>200.8</v>
      </c>
      <c r="P210" s="148">
        <f>'Purchased Power Model'!D103</f>
        <v>19779671.223524317</v>
      </c>
      <c r="Q210" s="148">
        <f ca="1">'Purchased Power Model'!G103</f>
        <v>15342535.193069376</v>
      </c>
      <c r="R210" s="148">
        <f t="shared" si="89"/>
        <v>15239221.466928519</v>
      </c>
      <c r="S210" s="148">
        <f t="shared" si="90"/>
        <v>15098238.799867505</v>
      </c>
      <c r="T210" s="146"/>
      <c r="V210" s="146"/>
      <c r="W210" s="147"/>
      <c r="X210" s="147"/>
    </row>
    <row r="211" spans="1:24" x14ac:dyDescent="0.2">
      <c r="A211" s="132">
        <v>2018</v>
      </c>
      <c r="B211" s="144">
        <v>6</v>
      </c>
      <c r="C211" s="144">
        <v>19.593333333333337</v>
      </c>
      <c r="D211" s="143">
        <v>53.500000000000014</v>
      </c>
      <c r="E211" s="134">
        <v>41.3</v>
      </c>
      <c r="F211" s="134">
        <v>19.699999999999992</v>
      </c>
      <c r="G211" s="134">
        <v>67.499999999999986</v>
      </c>
      <c r="H211" s="134">
        <v>5.0999999999999979</v>
      </c>
      <c r="I211" s="134">
        <v>112.89999999999998</v>
      </c>
      <c r="J211" s="134">
        <v>0.69999999999999929</v>
      </c>
      <c r="K211" s="134">
        <v>168.5</v>
      </c>
      <c r="L211" s="134">
        <v>0</v>
      </c>
      <c r="M211" s="134">
        <v>227.8000000000001</v>
      </c>
      <c r="N211" s="134">
        <v>0</v>
      </c>
      <c r="O211" s="134">
        <v>287.80000000000007</v>
      </c>
      <c r="P211" s="148">
        <f>'Purchased Power Model'!D104</f>
        <v>19936672.391649656</v>
      </c>
      <c r="Q211" s="148">
        <f ca="1">'Purchased Power Model'!G104</f>
        <v>17022894.145177811</v>
      </c>
      <c r="R211" s="148">
        <f t="shared" si="89"/>
        <v>16688045.621332709</v>
      </c>
      <c r="S211" s="148">
        <f t="shared" si="90"/>
        <v>16334244.300904568</v>
      </c>
      <c r="T211" s="146"/>
      <c r="V211" s="146"/>
      <c r="W211" s="147"/>
      <c r="X211" s="147"/>
    </row>
    <row r="212" spans="1:24" x14ac:dyDescent="0.2">
      <c r="A212" s="132">
        <v>2018</v>
      </c>
      <c r="B212" s="144">
        <v>7</v>
      </c>
      <c r="C212" s="144">
        <v>23.654838709677414</v>
      </c>
      <c r="D212" s="143">
        <v>1</v>
      </c>
      <c r="E212" s="134">
        <v>114.29999999999997</v>
      </c>
      <c r="F212" s="134">
        <v>0</v>
      </c>
      <c r="G212" s="134">
        <v>175.30000000000004</v>
      </c>
      <c r="H212" s="134">
        <v>0</v>
      </c>
      <c r="I212" s="134">
        <v>237.30000000000007</v>
      </c>
      <c r="J212" s="134">
        <v>0</v>
      </c>
      <c r="K212" s="134">
        <v>299.30000000000007</v>
      </c>
      <c r="L212" s="134">
        <v>0</v>
      </c>
      <c r="M212" s="134">
        <v>361.30000000000013</v>
      </c>
      <c r="N212" s="134">
        <v>0</v>
      </c>
      <c r="O212" s="134">
        <v>423.30000000000013</v>
      </c>
      <c r="P212" s="148">
        <f>'Purchased Power Model'!D105</f>
        <v>26519724.751660287</v>
      </c>
      <c r="Q212" s="148">
        <f ca="1">'Purchased Power Model'!G105</f>
        <v>21638269.176291507</v>
      </c>
      <c r="R212" s="148">
        <f t="shared" si="89"/>
        <v>20820637.780187774</v>
      </c>
      <c r="S212" s="148">
        <f t="shared" si="90"/>
        <v>20933769.433443718</v>
      </c>
      <c r="T212" s="146"/>
      <c r="V212" s="146"/>
      <c r="W212" s="147"/>
      <c r="X212" s="147"/>
    </row>
    <row r="213" spans="1:24" x14ac:dyDescent="0.2">
      <c r="A213" s="132">
        <v>2018</v>
      </c>
      <c r="B213" s="144">
        <v>8</v>
      </c>
      <c r="C213" s="144">
        <v>23.525806451612898</v>
      </c>
      <c r="D213" s="143">
        <v>4.1999999999999993</v>
      </c>
      <c r="E213" s="134">
        <v>113.49999999999997</v>
      </c>
      <c r="F213" s="134">
        <v>0.5</v>
      </c>
      <c r="G213" s="134">
        <v>171.8</v>
      </c>
      <c r="H213" s="134">
        <v>0</v>
      </c>
      <c r="I213" s="134">
        <v>233.3000000000001</v>
      </c>
      <c r="J213" s="134">
        <v>0</v>
      </c>
      <c r="K213" s="134">
        <v>295.30000000000013</v>
      </c>
      <c r="L213" s="134">
        <v>0</v>
      </c>
      <c r="M213" s="134">
        <v>357.30000000000013</v>
      </c>
      <c r="N213" s="134">
        <v>0</v>
      </c>
      <c r="O213" s="134">
        <v>419.30000000000013</v>
      </c>
      <c r="P213" s="148">
        <f>'Purchased Power Model'!D106</f>
        <v>26948242.609250635</v>
      </c>
      <c r="Q213" s="148">
        <f ca="1">'Purchased Power Model'!G106</f>
        <v>21184937.913595378</v>
      </c>
      <c r="R213" s="148">
        <f t="shared" si="89"/>
        <v>20686618.165981892</v>
      </c>
      <c r="S213" s="148">
        <f t="shared" si="90"/>
        <v>20783678.442116607</v>
      </c>
      <c r="T213" s="146"/>
      <c r="V213" s="146"/>
      <c r="W213" s="147"/>
      <c r="X213" s="147"/>
    </row>
    <row r="214" spans="1:24" x14ac:dyDescent="0.2">
      <c r="A214" s="132">
        <v>2018</v>
      </c>
      <c r="B214" s="144">
        <v>9</v>
      </c>
      <c r="C214" s="144">
        <v>19.326666666666664</v>
      </c>
      <c r="D214" s="143">
        <v>70.800000000000011</v>
      </c>
      <c r="E214" s="134">
        <v>50.600000000000009</v>
      </c>
      <c r="F214" s="134">
        <v>41.2</v>
      </c>
      <c r="G214" s="134">
        <v>80.999999999999986</v>
      </c>
      <c r="H214" s="134">
        <v>21.299999999999997</v>
      </c>
      <c r="I214" s="134">
        <v>121.09999999999998</v>
      </c>
      <c r="J214" s="134">
        <v>6.5999999999999979</v>
      </c>
      <c r="K214" s="134">
        <v>166.40000000000003</v>
      </c>
      <c r="L214" s="134">
        <v>0.19999999999999929</v>
      </c>
      <c r="M214" s="134">
        <v>220.00000000000006</v>
      </c>
      <c r="N214" s="134">
        <v>0</v>
      </c>
      <c r="O214" s="134">
        <v>279.80000000000007</v>
      </c>
      <c r="P214" s="148">
        <f>'Purchased Power Model'!D107</f>
        <v>21215817.727722466</v>
      </c>
      <c r="Q214" s="148">
        <f ca="1">'Purchased Power Model'!G107</f>
        <v>17741776.780836895</v>
      </c>
      <c r="R214" s="148">
        <f t="shared" si="89"/>
        <v>17075289.566877447</v>
      </c>
      <c r="S214" s="148">
        <f t="shared" si="90"/>
        <v>17039993.727753483</v>
      </c>
      <c r="T214" s="146"/>
      <c r="V214" s="146"/>
      <c r="W214" s="147"/>
      <c r="X214" s="147"/>
    </row>
    <row r="215" spans="1:24" x14ac:dyDescent="0.2">
      <c r="A215" s="132">
        <v>2018</v>
      </c>
      <c r="B215" s="144">
        <v>10</v>
      </c>
      <c r="C215" s="144">
        <v>10.529032258064522</v>
      </c>
      <c r="D215" s="143">
        <v>298.89999999999992</v>
      </c>
      <c r="E215" s="134">
        <v>5.3000000000000007</v>
      </c>
      <c r="F215" s="134">
        <v>241.39999999999992</v>
      </c>
      <c r="G215" s="134">
        <v>9.8000000000000007</v>
      </c>
      <c r="H215" s="134">
        <v>187.99999999999994</v>
      </c>
      <c r="I215" s="134">
        <v>18.400000000000002</v>
      </c>
      <c r="J215" s="134">
        <v>139.6</v>
      </c>
      <c r="K215" s="134">
        <v>32</v>
      </c>
      <c r="L215" s="134">
        <v>95.100000000000009</v>
      </c>
      <c r="M215" s="134">
        <v>49.5</v>
      </c>
      <c r="N215" s="134">
        <v>54.800000000000011</v>
      </c>
      <c r="O215" s="134">
        <v>71.199999999999989</v>
      </c>
      <c r="P215" s="148">
        <f>'Purchased Power Model'!D108</f>
        <v>17077098.534574993</v>
      </c>
      <c r="Q215" s="148">
        <f ca="1">'Purchased Power Model'!G108</f>
        <v>15563028.704213254</v>
      </c>
      <c r="R215" s="148">
        <f t="shared" si="89"/>
        <v>14792013.309280964</v>
      </c>
      <c r="S215" s="148">
        <f t="shared" si="90"/>
        <v>15015405.093776602</v>
      </c>
      <c r="T215" s="146"/>
      <c r="V215" s="146"/>
      <c r="W215" s="147"/>
      <c r="X215" s="147"/>
    </row>
    <row r="216" spans="1:24" x14ac:dyDescent="0.2">
      <c r="A216" s="132">
        <v>2018</v>
      </c>
      <c r="B216" s="144">
        <v>11</v>
      </c>
      <c r="C216" s="144">
        <v>2.1866666666666665</v>
      </c>
      <c r="D216" s="143">
        <v>534.40000000000009</v>
      </c>
      <c r="E216" s="134">
        <v>0</v>
      </c>
      <c r="F216" s="134">
        <v>474.4</v>
      </c>
      <c r="G216" s="134">
        <v>0</v>
      </c>
      <c r="H216" s="134">
        <v>414.4</v>
      </c>
      <c r="I216" s="134">
        <v>0</v>
      </c>
      <c r="J216" s="134">
        <v>354.4</v>
      </c>
      <c r="K216" s="134">
        <v>0</v>
      </c>
      <c r="L216" s="134">
        <v>295.7</v>
      </c>
      <c r="M216" s="134">
        <v>1.3000000000000007</v>
      </c>
      <c r="N216" s="134">
        <v>237.7</v>
      </c>
      <c r="O216" s="134">
        <v>3.3000000000000007</v>
      </c>
      <c r="P216" s="148">
        <f>'Purchased Power Model'!D109</f>
        <v>17872678.440282173</v>
      </c>
      <c r="Q216" s="148">
        <f ca="1">'Purchased Power Model'!G109</f>
        <v>16006417.306552835</v>
      </c>
      <c r="R216" s="148">
        <f t="shared" si="89"/>
        <v>15747797.523816288</v>
      </c>
      <c r="S216" s="148">
        <f t="shared" si="90"/>
        <v>15848881.926845945</v>
      </c>
      <c r="T216" s="146"/>
      <c r="V216" s="146"/>
      <c r="W216" s="147"/>
      <c r="X216" s="147"/>
    </row>
    <row r="217" spans="1:24" x14ac:dyDescent="0.2">
      <c r="A217" s="132">
        <v>2018</v>
      </c>
      <c r="B217" s="144">
        <v>12</v>
      </c>
      <c r="C217" s="144">
        <v>0.57741935483870965</v>
      </c>
      <c r="D217" s="143">
        <v>602.09999999999991</v>
      </c>
      <c r="E217" s="134">
        <v>0</v>
      </c>
      <c r="F217" s="134">
        <v>540.1</v>
      </c>
      <c r="G217" s="134">
        <v>0</v>
      </c>
      <c r="H217" s="134">
        <v>478.09999999999997</v>
      </c>
      <c r="I217" s="134">
        <v>0</v>
      </c>
      <c r="J217" s="134">
        <v>416.09999999999997</v>
      </c>
      <c r="K217" s="134">
        <v>0</v>
      </c>
      <c r="L217" s="134">
        <v>354.09999999999997</v>
      </c>
      <c r="M217" s="134">
        <v>0</v>
      </c>
      <c r="N217" s="134">
        <v>292.09999999999997</v>
      </c>
      <c r="O217" s="134">
        <v>0</v>
      </c>
      <c r="P217" s="148">
        <f>'Purchased Power Model'!D110</f>
        <v>19117837.684365984</v>
      </c>
      <c r="Q217" s="148">
        <f ca="1">'Purchased Power Model'!G110</f>
        <v>17209752.122011255</v>
      </c>
      <c r="R217" s="148">
        <f t="shared" si="89"/>
        <v>16190173.326910403</v>
      </c>
      <c r="S217" s="148">
        <f t="shared" si="90"/>
        <v>16204538.950581657</v>
      </c>
      <c r="T217" s="146"/>
      <c r="V217" s="146"/>
      <c r="W217" s="147"/>
      <c r="X217" s="147"/>
    </row>
    <row r="218" spans="1:24" x14ac:dyDescent="0.2">
      <c r="A218" s="132">
        <v>2019</v>
      </c>
      <c r="B218" s="144">
        <v>1</v>
      </c>
      <c r="C218" s="144">
        <v>-5.3290322580645162</v>
      </c>
      <c r="D218" s="143">
        <v>785.19999999999982</v>
      </c>
      <c r="E218" s="134">
        <v>0</v>
      </c>
      <c r="F218" s="134">
        <v>723.19999999999982</v>
      </c>
      <c r="G218" s="134">
        <v>0</v>
      </c>
      <c r="H218" s="134">
        <v>661.19999999999982</v>
      </c>
      <c r="I218" s="134">
        <v>0</v>
      </c>
      <c r="J218" s="134">
        <v>599.19999999999993</v>
      </c>
      <c r="K218" s="134">
        <v>0</v>
      </c>
      <c r="L218" s="134">
        <v>537.20000000000005</v>
      </c>
      <c r="M218" s="134">
        <v>0</v>
      </c>
      <c r="N218" s="134">
        <v>475.2000000000001</v>
      </c>
      <c r="O218" s="134">
        <v>0</v>
      </c>
      <c r="P218" s="148">
        <f>'Purchased Power Model'!D111</f>
        <v>19470279.931793816</v>
      </c>
      <c r="Q218" s="148">
        <f ca="1">'Purchased Power Model'!G111</f>
        <v>18172352.816812448</v>
      </c>
      <c r="R218" s="148">
        <f t="shared" ref="R218:R241" si="91">$AG$118+H218*$AG$119+I218*$AG$120</f>
        <v>17461743.335490189</v>
      </c>
      <c r="S218" s="148">
        <f t="shared" si="90"/>
        <v>17195723.136974484</v>
      </c>
      <c r="T218" s="146"/>
      <c r="V218" s="146"/>
      <c r="W218" s="147"/>
      <c r="X218" s="147"/>
    </row>
    <row r="219" spans="1:24" x14ac:dyDescent="0.2">
      <c r="A219" s="132">
        <v>2019</v>
      </c>
      <c r="B219" s="144">
        <v>2</v>
      </c>
      <c r="C219" s="144">
        <v>-2.8142857142857141</v>
      </c>
      <c r="D219" s="143">
        <v>638.79999999999995</v>
      </c>
      <c r="E219" s="134">
        <v>0</v>
      </c>
      <c r="F219" s="134">
        <v>582.79999999999995</v>
      </c>
      <c r="G219" s="134">
        <v>0</v>
      </c>
      <c r="H219" s="134">
        <v>526.80000000000007</v>
      </c>
      <c r="I219" s="134">
        <v>0</v>
      </c>
      <c r="J219" s="134">
        <v>470.80000000000007</v>
      </c>
      <c r="K219" s="134">
        <v>0</v>
      </c>
      <c r="L219" s="134">
        <v>414.80000000000007</v>
      </c>
      <c r="M219" s="134">
        <v>0</v>
      </c>
      <c r="N219" s="134">
        <v>358.80000000000007</v>
      </c>
      <c r="O219" s="134">
        <v>0</v>
      </c>
      <c r="P219" s="148">
        <f>'Purchased Power Model'!D112</f>
        <v>17623038.944653146</v>
      </c>
      <c r="Q219" s="148">
        <f ca="1">'Purchased Power Model'!G112</f>
        <v>16169434.931683503</v>
      </c>
      <c r="R219" s="148">
        <f t="shared" si="91"/>
        <v>16528379.003687223</v>
      </c>
      <c r="S219" s="148">
        <f t="shared" si="90"/>
        <v>16435688.949265294</v>
      </c>
      <c r="T219" s="146"/>
      <c r="V219" s="146"/>
      <c r="W219" s="147"/>
      <c r="X219" s="147"/>
    </row>
    <row r="220" spans="1:24" x14ac:dyDescent="0.2">
      <c r="A220" s="132">
        <v>2019</v>
      </c>
      <c r="B220" s="144">
        <v>3</v>
      </c>
      <c r="C220" s="144">
        <v>0.3225806451612902</v>
      </c>
      <c r="D220" s="143">
        <v>610</v>
      </c>
      <c r="E220" s="134">
        <v>0</v>
      </c>
      <c r="F220" s="134">
        <v>548</v>
      </c>
      <c r="G220" s="134">
        <v>0</v>
      </c>
      <c r="H220" s="134">
        <v>485.99999999999994</v>
      </c>
      <c r="I220" s="134">
        <v>0</v>
      </c>
      <c r="J220" s="134">
        <v>423.99999999999989</v>
      </c>
      <c r="K220" s="134">
        <v>0</v>
      </c>
      <c r="L220" s="134">
        <v>361.99999999999994</v>
      </c>
      <c r="M220" s="134">
        <v>0</v>
      </c>
      <c r="N220" s="134">
        <v>299.99999999999989</v>
      </c>
      <c r="O220" s="134">
        <v>0</v>
      </c>
      <c r="P220" s="148">
        <f>'Purchased Power Model'!D113</f>
        <v>18298309.582286663</v>
      </c>
      <c r="Q220" s="148">
        <f ca="1">'Purchased Power Model'!G113</f>
        <v>16704349.149722897</v>
      </c>
      <c r="R220" s="148">
        <f t="shared" si="91"/>
        <v>16245036.260104179</v>
      </c>
      <c r="S220" s="148">
        <f t="shared" si="90"/>
        <v>16247304.407012587</v>
      </c>
      <c r="T220" s="146"/>
      <c r="V220" s="146"/>
      <c r="W220" s="147"/>
      <c r="X220" s="147"/>
    </row>
    <row r="221" spans="1:24" x14ac:dyDescent="0.2">
      <c r="A221" s="132">
        <v>2019</v>
      </c>
      <c r="B221" s="144">
        <v>4</v>
      </c>
      <c r="C221" s="144">
        <v>6.6400000000000006</v>
      </c>
      <c r="D221" s="143">
        <v>400.79999999999984</v>
      </c>
      <c r="E221" s="134">
        <v>0</v>
      </c>
      <c r="F221" s="134">
        <v>340.79999999999984</v>
      </c>
      <c r="G221" s="134">
        <v>0</v>
      </c>
      <c r="H221" s="134">
        <v>280.7999999999999</v>
      </c>
      <c r="I221" s="134">
        <v>0</v>
      </c>
      <c r="J221" s="134">
        <v>220.7999999999999</v>
      </c>
      <c r="K221" s="134">
        <v>0</v>
      </c>
      <c r="L221" s="134">
        <v>164.6</v>
      </c>
      <c r="M221" s="134">
        <v>3.8000000000000007</v>
      </c>
      <c r="N221" s="134">
        <v>110.70000000000003</v>
      </c>
      <c r="O221" s="134">
        <v>9.9000000000000021</v>
      </c>
      <c r="P221" s="148">
        <f>'Purchased Power Model'!D114</f>
        <v>16030754.75111879</v>
      </c>
      <c r="Q221" s="148">
        <f ca="1">'Purchased Power Model'!G114</f>
        <v>14775139.845033761</v>
      </c>
      <c r="R221" s="148">
        <f t="shared" si="91"/>
        <v>14819988.932083573</v>
      </c>
      <c r="S221" s="148">
        <f t="shared" si="90"/>
        <v>15125658.511760844</v>
      </c>
      <c r="T221" s="146"/>
      <c r="V221" s="146"/>
      <c r="W221" s="147"/>
      <c r="X221" s="147"/>
    </row>
    <row r="222" spans="1:24" x14ac:dyDescent="0.2">
      <c r="A222" s="132">
        <v>2019</v>
      </c>
      <c r="B222" s="144">
        <v>5</v>
      </c>
      <c r="C222" s="144">
        <v>12.232258064516133</v>
      </c>
      <c r="D222" s="143">
        <v>240.7999999999999</v>
      </c>
      <c r="E222" s="134">
        <v>0</v>
      </c>
      <c r="F222" s="134">
        <v>181.09999999999991</v>
      </c>
      <c r="G222" s="134">
        <v>2.3000000000000007</v>
      </c>
      <c r="H222" s="134">
        <v>128.50000000000003</v>
      </c>
      <c r="I222" s="134">
        <v>11.700000000000003</v>
      </c>
      <c r="J222" s="134">
        <v>87.100000000000023</v>
      </c>
      <c r="K222" s="134">
        <v>32.300000000000004</v>
      </c>
      <c r="L222" s="134">
        <v>50.900000000000006</v>
      </c>
      <c r="M222" s="134">
        <v>58.099999999999994</v>
      </c>
      <c r="N222" s="134">
        <v>24.099999999999994</v>
      </c>
      <c r="O222" s="134">
        <v>93.299999999999983</v>
      </c>
      <c r="P222" s="148">
        <f>'Purchased Power Model'!D115</f>
        <v>17509709.360292483</v>
      </c>
      <c r="Q222" s="148">
        <f ca="1">'Purchased Power Model'!G115</f>
        <v>14662602.785367284</v>
      </c>
      <c r="R222" s="148">
        <f t="shared" si="91"/>
        <v>14154322.287760839</v>
      </c>
      <c r="S222" s="148">
        <f t="shared" si="90"/>
        <v>14361556.584644772</v>
      </c>
      <c r="T222" s="146"/>
      <c r="V222" s="146"/>
      <c r="W222" s="147"/>
      <c r="X222" s="147"/>
    </row>
    <row r="223" spans="1:24" x14ac:dyDescent="0.2">
      <c r="A223" s="132">
        <v>2019</v>
      </c>
      <c r="B223" s="144">
        <v>6</v>
      </c>
      <c r="C223" s="144">
        <v>18.116666666666667</v>
      </c>
      <c r="D223" s="143">
        <v>76.300000000000011</v>
      </c>
      <c r="E223" s="134">
        <v>19.8</v>
      </c>
      <c r="F223" s="134">
        <v>36.399999999999991</v>
      </c>
      <c r="G223" s="134">
        <v>39.900000000000006</v>
      </c>
      <c r="H223" s="134">
        <v>11.099999999999998</v>
      </c>
      <c r="I223" s="134">
        <v>74.600000000000009</v>
      </c>
      <c r="J223" s="134">
        <v>2.1999999999999993</v>
      </c>
      <c r="K223" s="134">
        <v>125.69999999999999</v>
      </c>
      <c r="L223" s="134">
        <v>0.19999999999999929</v>
      </c>
      <c r="M223" s="134">
        <v>183.7</v>
      </c>
      <c r="N223" s="134">
        <v>0</v>
      </c>
      <c r="O223" s="134">
        <v>243.50000000000003</v>
      </c>
      <c r="P223" s="148">
        <f>'Purchased Power Model'!D116</f>
        <v>19696522.675138813</v>
      </c>
      <c r="Q223" s="148">
        <f ca="1">'Purchased Power Model'!G116</f>
        <v>15895741.398700908</v>
      </c>
      <c r="R223" s="148">
        <f t="shared" si="91"/>
        <v>15446475.865838304</v>
      </c>
      <c r="S223" s="148">
        <f t="shared" si="90"/>
        <v>15219728.491887501</v>
      </c>
      <c r="T223" s="146"/>
      <c r="V223" s="146"/>
      <c r="W223" s="147"/>
      <c r="X223" s="147"/>
    </row>
    <row r="224" spans="1:24" x14ac:dyDescent="0.2">
      <c r="A224" s="132">
        <v>2019</v>
      </c>
      <c r="B224" s="144">
        <v>7</v>
      </c>
      <c r="C224" s="144">
        <v>23.422580645161286</v>
      </c>
      <c r="D224" s="143">
        <v>1.1999999999999993</v>
      </c>
      <c r="E224" s="134">
        <v>107.29999999999998</v>
      </c>
      <c r="F224" s="134">
        <v>0</v>
      </c>
      <c r="G224" s="134">
        <v>168.10000000000002</v>
      </c>
      <c r="H224" s="134">
        <v>0</v>
      </c>
      <c r="I224" s="134">
        <v>230.10000000000005</v>
      </c>
      <c r="J224" s="134">
        <v>0</v>
      </c>
      <c r="K224" s="134">
        <v>292.10000000000008</v>
      </c>
      <c r="L224" s="134">
        <v>0</v>
      </c>
      <c r="M224" s="134">
        <v>354.10000000000008</v>
      </c>
      <c r="N224" s="134">
        <v>0</v>
      </c>
      <c r="O224" s="134">
        <v>416.1</v>
      </c>
      <c r="P224" s="148">
        <f>'Purchased Power Model'!D117</f>
        <v>27560108.31326063</v>
      </c>
      <c r="Q224" s="148">
        <f ca="1">'Purchased Power Model'!G117</f>
        <v>21622935.524222266</v>
      </c>
      <c r="R224" s="148">
        <f t="shared" si="91"/>
        <v>20579402.474617187</v>
      </c>
      <c r="S224" s="148">
        <f t="shared" si="90"/>
        <v>20619442.806686491</v>
      </c>
      <c r="T224" s="146"/>
      <c r="V224" s="146"/>
      <c r="W224" s="147"/>
      <c r="X224" s="147"/>
    </row>
    <row r="225" spans="1:24" x14ac:dyDescent="0.2">
      <c r="A225" s="132">
        <v>2019</v>
      </c>
      <c r="B225" s="144">
        <v>8</v>
      </c>
      <c r="C225" s="144">
        <v>21.416129032258059</v>
      </c>
      <c r="D225" s="143">
        <v>8.9999999999999964</v>
      </c>
      <c r="E225" s="134">
        <v>52.899999999999991</v>
      </c>
      <c r="F225" s="134">
        <v>1.1999999999999993</v>
      </c>
      <c r="G225" s="134">
        <v>107.09999999999997</v>
      </c>
      <c r="H225" s="134">
        <v>0</v>
      </c>
      <c r="I225" s="134">
        <v>167.90000000000006</v>
      </c>
      <c r="J225" s="134">
        <v>0</v>
      </c>
      <c r="K225" s="134">
        <v>229.90000000000009</v>
      </c>
      <c r="L225" s="134">
        <v>0</v>
      </c>
      <c r="M225" s="134">
        <v>291.90000000000015</v>
      </c>
      <c r="N225" s="134">
        <v>0</v>
      </c>
      <c r="O225" s="134">
        <v>353.90000000000015</v>
      </c>
      <c r="P225" s="148">
        <f>'Purchased Power Model'!D118</f>
        <v>24718341.509218462</v>
      </c>
      <c r="Q225" s="148">
        <f ca="1">'Purchased Power Model'!G118</f>
        <v>19633135.176712491</v>
      </c>
      <c r="R225" s="148">
        <f t="shared" si="91"/>
        <v>18495397.473715715</v>
      </c>
      <c r="S225" s="148">
        <f t="shared" si="90"/>
        <v>17962893.793136127</v>
      </c>
      <c r="T225" s="146"/>
      <c r="V225" s="146"/>
      <c r="W225" s="147"/>
      <c r="X225" s="147"/>
    </row>
    <row r="226" spans="1:24" x14ac:dyDescent="0.2">
      <c r="A226" s="132">
        <v>2019</v>
      </c>
      <c r="B226" s="144">
        <v>9</v>
      </c>
      <c r="C226" s="144">
        <v>18.566666666666666</v>
      </c>
      <c r="D226" s="143">
        <v>58.2</v>
      </c>
      <c r="E226" s="134">
        <v>15.200000000000003</v>
      </c>
      <c r="F226" s="134">
        <v>21.199999999999996</v>
      </c>
      <c r="G226" s="134">
        <v>38.200000000000003</v>
      </c>
      <c r="H226" s="134">
        <v>1.6999999999999993</v>
      </c>
      <c r="I226" s="134">
        <v>78.699999999999989</v>
      </c>
      <c r="J226" s="134">
        <v>0</v>
      </c>
      <c r="K226" s="134">
        <v>137</v>
      </c>
      <c r="L226" s="134">
        <v>0</v>
      </c>
      <c r="M226" s="134">
        <v>197.00000000000006</v>
      </c>
      <c r="N226" s="134">
        <v>0</v>
      </c>
      <c r="O226" s="134">
        <v>257.00000000000006</v>
      </c>
      <c r="P226" s="148">
        <f>'Purchased Power Model'!D119</f>
        <v>20237615.335729983</v>
      </c>
      <c r="Q226" s="148">
        <f ca="1">'Purchased Power Model'!G119</f>
        <v>16479245.574145515</v>
      </c>
      <c r="R226" s="148">
        <f t="shared" si="91"/>
        <v>15518566.024573829</v>
      </c>
      <c r="S226" s="148">
        <f t="shared" si="90"/>
        <v>15063229.579279369</v>
      </c>
      <c r="T226" s="146"/>
      <c r="V226" s="146"/>
      <c r="W226" s="147"/>
      <c r="X226" s="147"/>
    </row>
    <row r="227" spans="1:24" x14ac:dyDescent="0.2">
      <c r="A227" s="132">
        <v>2019</v>
      </c>
      <c r="B227" s="144">
        <v>10</v>
      </c>
      <c r="C227" s="144">
        <v>11.461290322580648</v>
      </c>
      <c r="D227" s="143">
        <v>267.5</v>
      </c>
      <c r="E227" s="134">
        <v>2.8000000000000007</v>
      </c>
      <c r="F227" s="134">
        <v>207.5</v>
      </c>
      <c r="G227" s="134">
        <v>4.8000000000000007</v>
      </c>
      <c r="H227" s="134">
        <v>147.5</v>
      </c>
      <c r="I227" s="134">
        <v>6.8000000000000007</v>
      </c>
      <c r="J227" s="134">
        <v>90.100000000000009</v>
      </c>
      <c r="K227" s="134">
        <v>11.400000000000002</v>
      </c>
      <c r="L227" s="134">
        <v>43.5</v>
      </c>
      <c r="M227" s="134">
        <v>26.800000000000004</v>
      </c>
      <c r="N227" s="134">
        <v>13.999999999999996</v>
      </c>
      <c r="O227" s="134">
        <v>59.299999999999983</v>
      </c>
      <c r="P227" s="148">
        <f>'Purchased Power Model'!D120</f>
        <v>18098714.600466475</v>
      </c>
      <c r="Q227" s="148">
        <f ca="1">'Purchased Power Model'!G120</f>
        <v>15313996.618239906</v>
      </c>
      <c r="R227" s="148">
        <f t="shared" si="91"/>
        <v>14122097.087027207</v>
      </c>
      <c r="S227" s="148">
        <f t="shared" si="90"/>
        <v>14613610.185855154</v>
      </c>
      <c r="T227" s="146"/>
      <c r="V227" s="146"/>
      <c r="W227" s="147"/>
      <c r="X227" s="147"/>
    </row>
    <row r="228" spans="1:24" x14ac:dyDescent="0.2">
      <c r="A228" s="132">
        <v>2019</v>
      </c>
      <c r="B228" s="144">
        <v>11</v>
      </c>
      <c r="C228" s="144">
        <v>1.8266666666666667</v>
      </c>
      <c r="D228" s="143">
        <v>545.19999999999993</v>
      </c>
      <c r="E228" s="134">
        <v>0</v>
      </c>
      <c r="F228" s="134">
        <v>485.2</v>
      </c>
      <c r="G228" s="134">
        <v>0</v>
      </c>
      <c r="H228" s="134">
        <v>425.2</v>
      </c>
      <c r="I228" s="134">
        <v>0</v>
      </c>
      <c r="J228" s="134">
        <v>365.19999999999993</v>
      </c>
      <c r="K228" s="134">
        <v>0</v>
      </c>
      <c r="L228" s="134">
        <v>305.2</v>
      </c>
      <c r="M228" s="134">
        <v>0</v>
      </c>
      <c r="N228" s="134">
        <v>245.19999999999993</v>
      </c>
      <c r="O228" s="134">
        <v>0</v>
      </c>
      <c r="P228" s="148">
        <f>'Purchased Power Model'!D121</f>
        <v>19512627.908904467</v>
      </c>
      <c r="Q228" s="148">
        <f ca="1">'Purchased Power Model'!G121</f>
        <v>16196589.67553002</v>
      </c>
      <c r="R228" s="148">
        <f t="shared" si="91"/>
        <v>15822800.014764741</v>
      </c>
      <c r="S228" s="148">
        <f t="shared" si="90"/>
        <v>15907346.095131267</v>
      </c>
      <c r="T228" s="146"/>
      <c r="V228" s="146"/>
      <c r="W228" s="147"/>
      <c r="X228" s="147"/>
    </row>
    <row r="229" spans="1:24" x14ac:dyDescent="0.2">
      <c r="A229" s="132">
        <v>2019</v>
      </c>
      <c r="B229" s="144">
        <v>12</v>
      </c>
      <c r="C229" s="144">
        <v>7.4193548387096936E-2</v>
      </c>
      <c r="D229" s="143">
        <v>617.70000000000016</v>
      </c>
      <c r="E229" s="134">
        <v>0</v>
      </c>
      <c r="F229" s="134">
        <v>555.70000000000005</v>
      </c>
      <c r="G229" s="134">
        <v>0</v>
      </c>
      <c r="H229" s="134">
        <v>493.69999999999987</v>
      </c>
      <c r="I229" s="134">
        <v>0</v>
      </c>
      <c r="J229" s="134">
        <v>431.69999999999993</v>
      </c>
      <c r="K229" s="134">
        <v>0</v>
      </c>
      <c r="L229" s="134">
        <v>369.69999999999993</v>
      </c>
      <c r="M229" s="134">
        <v>0</v>
      </c>
      <c r="N229" s="134">
        <v>307.69999999999993</v>
      </c>
      <c r="O229" s="134">
        <v>0</v>
      </c>
      <c r="P229" s="148">
        <f>'Purchased Power Model'!D122</f>
        <v>20791848.943550967</v>
      </c>
      <c r="Q229" s="148">
        <f ca="1">'Purchased Power Model'!G122</f>
        <v>17493596.699264191</v>
      </c>
      <c r="R229" s="148">
        <f t="shared" si="91"/>
        <v>16298510.258280389</v>
      </c>
      <c r="S229" s="148">
        <f t="shared" si="90"/>
        <v>16288987.193660457</v>
      </c>
      <c r="T229" s="146"/>
      <c r="V229" s="146"/>
      <c r="W229" s="147"/>
      <c r="X229" s="147"/>
    </row>
    <row r="230" spans="1:24" x14ac:dyDescent="0.2">
      <c r="A230" s="132">
        <v>2020</v>
      </c>
      <c r="B230" s="144">
        <v>1</v>
      </c>
      <c r="C230" s="144">
        <v>-0.43548387096774183</v>
      </c>
      <c r="D230" s="143">
        <v>633.5</v>
      </c>
      <c r="E230" s="134">
        <v>0</v>
      </c>
      <c r="F230" s="134">
        <v>571.49999999999989</v>
      </c>
      <c r="G230" s="134">
        <v>0</v>
      </c>
      <c r="H230" s="134">
        <v>509.5</v>
      </c>
      <c r="I230" s="134">
        <v>0</v>
      </c>
      <c r="J230" s="134">
        <v>447.5</v>
      </c>
      <c r="K230" s="134">
        <v>0</v>
      </c>
      <c r="L230" s="134">
        <v>385.50000000000006</v>
      </c>
      <c r="M230" s="134">
        <v>0</v>
      </c>
      <c r="N230" s="134">
        <v>323.50000000000006</v>
      </c>
      <c r="O230" s="134">
        <v>0</v>
      </c>
      <c r="P230" s="148">
        <f>'Purchased Power Model'!D123</f>
        <v>21239209.767112821</v>
      </c>
      <c r="Q230" s="148">
        <f ca="1">'Purchased Power Model'!G123</f>
        <v>17455151.705439299</v>
      </c>
      <c r="R230" s="148">
        <f t="shared" si="91"/>
        <v>16408236.124667943</v>
      </c>
      <c r="S230" s="148">
        <f t="shared" si="90"/>
        <v>16374518.106522316</v>
      </c>
      <c r="T230" s="146"/>
      <c r="V230" s="146"/>
      <c r="W230" s="147"/>
      <c r="X230" s="147"/>
    </row>
    <row r="231" spans="1:24" x14ac:dyDescent="0.2">
      <c r="A231" s="132">
        <v>2020</v>
      </c>
      <c r="B231" s="144">
        <v>2</v>
      </c>
      <c r="C231" s="144">
        <v>-1.4551724137931032</v>
      </c>
      <c r="D231" s="143">
        <v>622.19999999999993</v>
      </c>
      <c r="E231" s="134">
        <v>0</v>
      </c>
      <c r="F231" s="134">
        <v>564.19999999999993</v>
      </c>
      <c r="G231" s="134">
        <v>0</v>
      </c>
      <c r="H231" s="134">
        <v>506.20000000000005</v>
      </c>
      <c r="I231" s="134">
        <v>0</v>
      </c>
      <c r="J231" s="134">
        <v>448.20000000000005</v>
      </c>
      <c r="K231" s="134">
        <v>0</v>
      </c>
      <c r="L231" s="134">
        <v>390.20000000000005</v>
      </c>
      <c r="M231" s="134">
        <v>0</v>
      </c>
      <c r="N231" s="134">
        <v>332.20000000000005</v>
      </c>
      <c r="O231" s="134">
        <v>0</v>
      </c>
      <c r="P231" s="148">
        <f>'Purchased Power Model'!D124</f>
        <v>19035160.954744305</v>
      </c>
      <c r="Q231" s="148">
        <f ca="1">'Purchased Power Model'!G124</f>
        <v>16303220.275235683</v>
      </c>
      <c r="R231" s="148">
        <f t="shared" si="91"/>
        <v>16385318.696878137</v>
      </c>
      <c r="S231" s="148">
        <f t="shared" si="90"/>
        <v>16335000.659440571</v>
      </c>
      <c r="T231" s="146"/>
      <c r="V231" s="146"/>
      <c r="W231" s="147"/>
      <c r="X231" s="147"/>
    </row>
    <row r="232" spans="1:24" x14ac:dyDescent="0.2">
      <c r="A232" s="132">
        <v>2020</v>
      </c>
      <c r="B232" s="144">
        <v>3</v>
      </c>
      <c r="C232" s="144">
        <v>3.7258064516129021</v>
      </c>
      <c r="D232" s="143">
        <v>504.49999999999989</v>
      </c>
      <c r="E232" s="134">
        <v>0</v>
      </c>
      <c r="F232" s="134">
        <v>442.49999999999989</v>
      </c>
      <c r="G232" s="134">
        <v>0</v>
      </c>
      <c r="H232" s="134">
        <v>380.49999999999989</v>
      </c>
      <c r="I232" s="134">
        <v>0</v>
      </c>
      <c r="J232" s="134">
        <v>318.49999999999994</v>
      </c>
      <c r="K232" s="134">
        <v>0</v>
      </c>
      <c r="L232" s="134">
        <v>257.49999999999994</v>
      </c>
      <c r="M232" s="134">
        <v>1</v>
      </c>
      <c r="N232" s="134">
        <v>199.49999999999994</v>
      </c>
      <c r="O232" s="134">
        <v>5</v>
      </c>
      <c r="P232" s="148">
        <f>'Purchased Power Model'!D125</f>
        <v>19087245.664711308</v>
      </c>
      <c r="Q232" s="148">
        <f ca="1">'Purchased Power Model'!G125</f>
        <v>16103704.051492725</v>
      </c>
      <c r="R232" s="148">
        <f t="shared" si="91"/>
        <v>15512373.038339198</v>
      </c>
      <c r="S232" s="148">
        <f t="shared" si="90"/>
        <v>15676196.096447632</v>
      </c>
      <c r="T232" s="146"/>
      <c r="V232" s="146"/>
      <c r="W232" s="147"/>
      <c r="X232" s="147"/>
    </row>
    <row r="233" spans="1:24" x14ac:dyDescent="0.2">
      <c r="A233" s="132">
        <v>2020</v>
      </c>
      <c r="B233" s="144">
        <v>4</v>
      </c>
      <c r="C233" s="144">
        <v>6.3566666666666682</v>
      </c>
      <c r="D233" s="143">
        <v>409.29999999999984</v>
      </c>
      <c r="E233" s="134">
        <v>0</v>
      </c>
      <c r="F233" s="134">
        <v>349.2999999999999</v>
      </c>
      <c r="G233" s="134">
        <v>0</v>
      </c>
      <c r="H233" s="134">
        <v>289.2999999999999</v>
      </c>
      <c r="I233" s="134">
        <v>0</v>
      </c>
      <c r="J233" s="134">
        <v>229.2999999999999</v>
      </c>
      <c r="K233" s="134">
        <v>0</v>
      </c>
      <c r="L233" s="134">
        <v>170.79999999999995</v>
      </c>
      <c r="M233" s="134">
        <v>1.5</v>
      </c>
      <c r="N233" s="134">
        <v>115.20000000000002</v>
      </c>
      <c r="O233" s="134">
        <v>5.9000000000000021</v>
      </c>
      <c r="P233" s="148">
        <f>'Purchased Power Model'!D126</f>
        <v>17079543.476648476</v>
      </c>
      <c r="Q233" s="148">
        <f ca="1">'Purchased Power Model'!G126</f>
        <v>14692912.555863744</v>
      </c>
      <c r="R233" s="148">
        <f t="shared" si="91"/>
        <v>14879018.67033004</v>
      </c>
      <c r="S233" s="148">
        <f t="shared" si="90"/>
        <v>15171671.977540959</v>
      </c>
      <c r="T233" s="146"/>
      <c r="V233" s="146"/>
      <c r="W233" s="147"/>
      <c r="X233" s="147"/>
    </row>
    <row r="234" spans="1:24" x14ac:dyDescent="0.2">
      <c r="A234" s="132">
        <v>2020</v>
      </c>
      <c r="B234" s="144">
        <v>5</v>
      </c>
      <c r="C234" s="144">
        <v>12.483870967741939</v>
      </c>
      <c r="D234" s="143">
        <v>250.79999999999993</v>
      </c>
      <c r="E234" s="134">
        <v>17.800000000000004</v>
      </c>
      <c r="F234" s="134">
        <v>202.59999999999994</v>
      </c>
      <c r="G234" s="134">
        <v>31.600000000000005</v>
      </c>
      <c r="H234" s="134">
        <v>154.59999999999997</v>
      </c>
      <c r="I234" s="134">
        <v>45.599999999999994</v>
      </c>
      <c r="J234" s="134">
        <v>113.70000000000002</v>
      </c>
      <c r="K234" s="134">
        <v>66.699999999999989</v>
      </c>
      <c r="L234" s="134">
        <v>75.8</v>
      </c>
      <c r="M234" s="134">
        <v>90.8</v>
      </c>
      <c r="N234" s="134">
        <v>47.099999999999994</v>
      </c>
      <c r="O234" s="134">
        <v>124.09999999999998</v>
      </c>
      <c r="P234" s="148">
        <f>'Purchased Power Model'!D127</f>
        <v>19158490.866862137</v>
      </c>
      <c r="Q234" s="148">
        <f ca="1">'Purchased Power Model'!G127</f>
        <v>15472363.445143897</v>
      </c>
      <c r="R234" s="148">
        <f t="shared" si="91"/>
        <v>15471394.537947787</v>
      </c>
      <c r="S234" s="148">
        <f t="shared" si="90"/>
        <v>15757078.33132205</v>
      </c>
      <c r="T234" s="146"/>
      <c r="V234" s="146"/>
      <c r="W234" s="147"/>
      <c r="X234" s="147"/>
    </row>
    <row r="235" spans="1:24" x14ac:dyDescent="0.2">
      <c r="A235" s="132">
        <v>2020</v>
      </c>
      <c r="B235" s="144">
        <v>6</v>
      </c>
      <c r="C235" s="144">
        <v>20.48</v>
      </c>
      <c r="D235" s="143">
        <v>39.5</v>
      </c>
      <c r="E235" s="134">
        <v>53.899999999999991</v>
      </c>
      <c r="F235" s="134">
        <v>20.199999999999996</v>
      </c>
      <c r="G235" s="134">
        <v>94.59999999999998</v>
      </c>
      <c r="H235" s="134">
        <v>7.5999999999999979</v>
      </c>
      <c r="I235" s="134">
        <v>142</v>
      </c>
      <c r="J235" s="134">
        <v>0.89999999999999858</v>
      </c>
      <c r="K235" s="134">
        <v>195.3</v>
      </c>
      <c r="L235" s="134">
        <v>0</v>
      </c>
      <c r="M235" s="134">
        <v>254.40000000000003</v>
      </c>
      <c r="N235" s="134">
        <v>0</v>
      </c>
      <c r="O235" s="134">
        <v>314.40000000000009</v>
      </c>
      <c r="P235" s="148">
        <f>'Purchased Power Model'!D128</f>
        <v>23659036.820064977</v>
      </c>
      <c r="Q235" s="148">
        <f ca="1">'Purchased Power Model'!G128</f>
        <v>18670855.650406882</v>
      </c>
      <c r="R235" s="148">
        <f t="shared" si="91"/>
        <v>17680400.002400056</v>
      </c>
      <c r="S235" s="148">
        <f t="shared" si="90"/>
        <v>17520041.473295674</v>
      </c>
      <c r="T235" s="146"/>
      <c r="V235" s="146"/>
      <c r="W235" s="147"/>
      <c r="X235" s="147"/>
    </row>
    <row r="236" spans="1:24" x14ac:dyDescent="0.2">
      <c r="A236" s="132">
        <v>2020</v>
      </c>
      <c r="B236" s="144">
        <v>7</v>
      </c>
      <c r="C236" s="144">
        <v>24.954838709677418</v>
      </c>
      <c r="D236" s="143">
        <v>0</v>
      </c>
      <c r="E236" s="134">
        <v>153.60000000000002</v>
      </c>
      <c r="F236" s="134">
        <v>0</v>
      </c>
      <c r="G236" s="134">
        <v>215.60000000000002</v>
      </c>
      <c r="H236" s="134">
        <v>0</v>
      </c>
      <c r="I236" s="134">
        <v>277.60000000000008</v>
      </c>
      <c r="J236" s="134">
        <v>0</v>
      </c>
      <c r="K236" s="134">
        <v>339.60000000000008</v>
      </c>
      <c r="L236" s="134">
        <v>0</v>
      </c>
      <c r="M236" s="134">
        <v>401.60000000000008</v>
      </c>
      <c r="N236" s="134">
        <v>0</v>
      </c>
      <c r="O236" s="134">
        <v>463.60000000000008</v>
      </c>
      <c r="P236" s="148">
        <f>'Purchased Power Model'!D129</f>
        <v>31068671.938821949</v>
      </c>
      <c r="Q236" s="148">
        <f ca="1">'Purchased Power Model'!G129</f>
        <v>23987865.72152622</v>
      </c>
      <c r="R236" s="148">
        <f t="shared" si="91"/>
        <v>22170885.393312041</v>
      </c>
      <c r="S236" s="148">
        <f t="shared" si="90"/>
        <v>22693125.413765423</v>
      </c>
      <c r="T236" s="146"/>
      <c r="V236" s="146"/>
      <c r="W236" s="147"/>
      <c r="X236" s="147"/>
    </row>
    <row r="237" spans="1:24" x14ac:dyDescent="0.2">
      <c r="A237" s="132">
        <v>2020</v>
      </c>
      <c r="B237" s="144">
        <v>8</v>
      </c>
      <c r="C237" s="144">
        <v>22.603225806451611</v>
      </c>
      <c r="D237" s="143">
        <v>5.1999999999999993</v>
      </c>
      <c r="E237" s="134">
        <v>85.899999999999977</v>
      </c>
      <c r="F237" s="134">
        <v>0.19999999999999929</v>
      </c>
      <c r="G237" s="134">
        <v>142.9</v>
      </c>
      <c r="H237" s="134">
        <v>0</v>
      </c>
      <c r="I237" s="134">
        <v>204.70000000000002</v>
      </c>
      <c r="J237" s="134">
        <v>0</v>
      </c>
      <c r="K237" s="134">
        <v>266.7000000000001</v>
      </c>
      <c r="L237" s="134">
        <v>0</v>
      </c>
      <c r="M237" s="134">
        <v>328.7000000000001</v>
      </c>
      <c r="N237" s="134">
        <v>0</v>
      </c>
      <c r="O237" s="134">
        <v>390.7000000000001</v>
      </c>
      <c r="P237" s="148">
        <f>'Purchased Power Model'!D130</f>
        <v>26721444.06371244</v>
      </c>
      <c r="Q237" s="148">
        <f ca="1">'Purchased Power Model'!G130</f>
        <v>21158532.285249781</v>
      </c>
      <c r="R237" s="148">
        <f t="shared" si="91"/>
        <v>19728377.924409833</v>
      </c>
      <c r="S237" s="148">
        <f t="shared" si="90"/>
        <v>19520382.282819256</v>
      </c>
      <c r="T237" s="146"/>
      <c r="V237" s="146"/>
      <c r="W237" s="147"/>
      <c r="X237" s="147"/>
    </row>
    <row r="238" spans="1:24" x14ac:dyDescent="0.2">
      <c r="A238" s="132">
        <v>2020</v>
      </c>
      <c r="B238" s="144">
        <v>9</v>
      </c>
      <c r="C238" s="144">
        <v>17.706666666666667</v>
      </c>
      <c r="D238" s="143">
        <v>90.40000000000002</v>
      </c>
      <c r="E238" s="134">
        <v>21.600000000000005</v>
      </c>
      <c r="F238" s="134">
        <v>52.3</v>
      </c>
      <c r="G238" s="134">
        <v>43.5</v>
      </c>
      <c r="H238" s="134">
        <v>21.899999999999995</v>
      </c>
      <c r="I238" s="134">
        <v>73.099999999999994</v>
      </c>
      <c r="J238" s="134">
        <v>5.0999999999999979</v>
      </c>
      <c r="K238" s="134">
        <v>116.29999999999997</v>
      </c>
      <c r="L238" s="134">
        <v>0.19999999999999929</v>
      </c>
      <c r="M238" s="134">
        <v>171.4</v>
      </c>
      <c r="N238" s="134">
        <v>0</v>
      </c>
      <c r="O238" s="134">
        <v>231.20000000000007</v>
      </c>
      <c r="P238" s="148">
        <f>'Purchased Power Model'!D131</f>
        <v>20324132.402995322</v>
      </c>
      <c r="Q238" s="148">
        <f ca="1">'Purchased Power Model'!G131</f>
        <v>16613583.00256744</v>
      </c>
      <c r="R238" s="148">
        <f t="shared" si="91"/>
        <v>15471221.001459552</v>
      </c>
      <c r="S238" s="148">
        <f t="shared" si="90"/>
        <v>15462964.053019507</v>
      </c>
      <c r="T238" s="146"/>
      <c r="V238" s="146"/>
      <c r="W238" s="147"/>
      <c r="X238" s="147"/>
    </row>
    <row r="239" spans="1:24" x14ac:dyDescent="0.2">
      <c r="A239" s="132">
        <v>2020</v>
      </c>
      <c r="B239" s="144">
        <v>10</v>
      </c>
      <c r="C239" s="144">
        <v>10.632258064516131</v>
      </c>
      <c r="D239" s="143">
        <v>290.39999999999998</v>
      </c>
      <c r="E239" s="134">
        <v>0</v>
      </c>
      <c r="F239" s="134">
        <v>229.89999999999998</v>
      </c>
      <c r="G239" s="134">
        <v>1.5</v>
      </c>
      <c r="H239" s="134">
        <v>172.2</v>
      </c>
      <c r="I239" s="134">
        <v>5.8000000000000007</v>
      </c>
      <c r="J239" s="134">
        <v>117.10000000000001</v>
      </c>
      <c r="K239" s="134">
        <v>12.700000000000003</v>
      </c>
      <c r="L239" s="134">
        <v>71.2</v>
      </c>
      <c r="M239" s="134">
        <v>28.800000000000004</v>
      </c>
      <c r="N239" s="134">
        <v>37.799999999999997</v>
      </c>
      <c r="O239" s="134">
        <v>57.399999999999991</v>
      </c>
      <c r="P239" s="148">
        <f>'Purchased Power Model'!D132</f>
        <v>19166451.094120812</v>
      </c>
      <c r="Q239" s="148">
        <f ca="1">'Purchased Power Model'!G132</f>
        <v>15705432.054383285</v>
      </c>
      <c r="R239" s="148">
        <f t="shared" si="91"/>
        <v>14260125.658144882</v>
      </c>
      <c r="S239" s="148">
        <f t="shared" si="90"/>
        <v>14590802.830960983</v>
      </c>
      <c r="T239" s="146"/>
      <c r="V239" s="146"/>
      <c r="W239" s="147"/>
      <c r="X239" s="147"/>
    </row>
    <row r="240" spans="1:24" x14ac:dyDescent="0.2">
      <c r="A240" s="132">
        <v>2020</v>
      </c>
      <c r="B240" s="144">
        <v>11</v>
      </c>
      <c r="C240" s="144">
        <v>7.7066666666666697</v>
      </c>
      <c r="D240" s="143">
        <v>368.79999999999995</v>
      </c>
      <c r="E240" s="134">
        <v>0</v>
      </c>
      <c r="F240" s="134">
        <v>309.59999999999997</v>
      </c>
      <c r="G240" s="134">
        <v>0.80000000000000071</v>
      </c>
      <c r="H240" s="134">
        <v>251.89999999999998</v>
      </c>
      <c r="I240" s="134">
        <v>3.1000000000000014</v>
      </c>
      <c r="J240" s="134">
        <v>202.39999999999995</v>
      </c>
      <c r="K240" s="134">
        <v>13.600000000000001</v>
      </c>
      <c r="L240" s="134">
        <v>157.19999999999996</v>
      </c>
      <c r="M240" s="134">
        <v>28.400000000000002</v>
      </c>
      <c r="N240" s="134">
        <v>114.20000000000002</v>
      </c>
      <c r="O240" s="134">
        <v>45.400000000000006</v>
      </c>
      <c r="P240" s="148">
        <f>'Purchased Power Model'!D133</f>
        <v>18736074.894379988</v>
      </c>
      <c r="Q240" s="148">
        <f ca="1">'Purchased Power Model'!G133</f>
        <v>16160635.854793523</v>
      </c>
      <c r="R240" s="148">
        <f t="shared" si="91"/>
        <v>14723153.023055144</v>
      </c>
      <c r="S240" s="148">
        <f t="shared" si="90"/>
        <v>14991687.206354048</v>
      </c>
      <c r="T240" s="146"/>
      <c r="V240" s="146"/>
      <c r="W240" s="147"/>
      <c r="X240" s="147"/>
    </row>
    <row r="241" spans="1:24" x14ac:dyDescent="0.2">
      <c r="A241" s="132">
        <v>2020</v>
      </c>
      <c r="B241" s="144">
        <v>12</v>
      </c>
      <c r="C241" s="144">
        <v>0.64838709677419371</v>
      </c>
      <c r="D241" s="143">
        <v>599.90000000000009</v>
      </c>
      <c r="E241" s="134">
        <v>0</v>
      </c>
      <c r="F241" s="134">
        <v>537.9</v>
      </c>
      <c r="G241" s="134">
        <v>0</v>
      </c>
      <c r="H241" s="134">
        <v>475.89999999999986</v>
      </c>
      <c r="I241" s="134">
        <v>0</v>
      </c>
      <c r="J241" s="134">
        <v>413.89999999999992</v>
      </c>
      <c r="K241" s="134">
        <v>0</v>
      </c>
      <c r="L241" s="134">
        <v>351.89999999999992</v>
      </c>
      <c r="M241" s="134">
        <v>0</v>
      </c>
      <c r="N241" s="134">
        <v>289.89999999999992</v>
      </c>
      <c r="O241" s="134">
        <v>0</v>
      </c>
      <c r="P241" s="148">
        <f>'Purchased Power Model'!D134</f>
        <v>22275090.071478143</v>
      </c>
      <c r="Q241" s="148">
        <f ca="1">'Purchased Power Model'!G134</f>
        <v>18633558.70909328</v>
      </c>
      <c r="R241" s="148">
        <f t="shared" si="91"/>
        <v>16174895.041717198</v>
      </c>
      <c r="S241" s="148">
        <f t="shared" si="90"/>
        <v>16192629.58296798</v>
      </c>
      <c r="T241" s="146"/>
      <c r="V241" s="146"/>
      <c r="W241" s="147"/>
      <c r="X241" s="147"/>
    </row>
    <row r="242" spans="1:24" x14ac:dyDescent="0.2">
      <c r="B242" s="143"/>
      <c r="S242" s="146"/>
      <c r="T242" s="146"/>
      <c r="V242" s="146"/>
      <c r="W242" s="147"/>
      <c r="X242" s="147"/>
    </row>
    <row r="243" spans="1:24" x14ac:dyDescent="0.2">
      <c r="B243" s="143"/>
      <c r="S243" s="146"/>
      <c r="T243" s="146"/>
      <c r="V243" s="146"/>
      <c r="W243" s="147"/>
      <c r="X243" s="147"/>
    </row>
    <row r="244" spans="1:24" x14ac:dyDescent="0.2">
      <c r="B244" s="143"/>
      <c r="S244" s="146"/>
      <c r="T244" s="146"/>
      <c r="V244" s="146"/>
      <c r="W244" s="147"/>
      <c r="X244" s="147"/>
    </row>
    <row r="245" spans="1:24" x14ac:dyDescent="0.2">
      <c r="B245" s="143"/>
      <c r="S245" s="146"/>
      <c r="T245" s="146"/>
      <c r="V245" s="146"/>
      <c r="W245" s="147"/>
      <c r="X245" s="147"/>
    </row>
    <row r="246" spans="1:24" x14ac:dyDescent="0.2">
      <c r="B246" s="143"/>
      <c r="S246" s="146"/>
      <c r="T246" s="146"/>
      <c r="V246" s="146"/>
      <c r="W246" s="147"/>
      <c r="X246" s="147"/>
    </row>
    <row r="247" spans="1:24" x14ac:dyDescent="0.2">
      <c r="B247" s="143"/>
      <c r="S247" s="146"/>
      <c r="T247" s="146"/>
      <c r="V247" s="146"/>
      <c r="W247" s="147"/>
      <c r="X247" s="147"/>
    </row>
    <row r="248" spans="1:24" x14ac:dyDescent="0.2">
      <c r="B248" s="143"/>
      <c r="S248" s="146"/>
      <c r="T248" s="146"/>
      <c r="V248" s="146"/>
      <c r="W248" s="147"/>
      <c r="X248" s="147"/>
    </row>
    <row r="249" spans="1:24" x14ac:dyDescent="0.2">
      <c r="B249" s="143"/>
      <c r="S249" s="146"/>
      <c r="T249" s="146"/>
      <c r="V249" s="146"/>
      <c r="W249" s="147"/>
      <c r="X249" s="147"/>
    </row>
    <row r="250" spans="1:24" x14ac:dyDescent="0.2">
      <c r="B250" s="143"/>
      <c r="S250" s="146"/>
      <c r="T250" s="146"/>
      <c r="V250" s="146"/>
      <c r="W250" s="147"/>
      <c r="X250" s="147"/>
    </row>
    <row r="251" spans="1:24" x14ac:dyDescent="0.2">
      <c r="B251" s="143"/>
      <c r="S251" s="146"/>
      <c r="T251" s="146"/>
      <c r="V251" s="146"/>
      <c r="W251" s="147"/>
      <c r="X251" s="147"/>
    </row>
    <row r="252" spans="1:24" x14ac:dyDescent="0.2">
      <c r="B252" s="143"/>
      <c r="S252" s="146"/>
      <c r="T252" s="146"/>
      <c r="V252" s="146"/>
      <c r="W252" s="147"/>
      <c r="X252" s="147"/>
    </row>
    <row r="253" spans="1:24" x14ac:dyDescent="0.2">
      <c r="B253" s="143"/>
      <c r="S253" s="146"/>
      <c r="T253" s="146"/>
      <c r="V253" s="146"/>
      <c r="W253" s="147"/>
      <c r="X253" s="147"/>
    </row>
    <row r="254" spans="1:24" x14ac:dyDescent="0.2">
      <c r="B254" s="143"/>
      <c r="V254" s="146"/>
      <c r="W254" s="147"/>
      <c r="X254" s="147"/>
    </row>
    <row r="255" spans="1:24" x14ac:dyDescent="0.2">
      <c r="B255" s="143"/>
      <c r="V255" s="146"/>
      <c r="W255" s="147"/>
      <c r="X255" s="147"/>
    </row>
    <row r="256" spans="1:24" x14ac:dyDescent="0.2">
      <c r="B256" s="143"/>
      <c r="V256" s="146"/>
      <c r="W256" s="147"/>
      <c r="X256" s="147"/>
    </row>
    <row r="257" spans="2:24" x14ac:dyDescent="0.2">
      <c r="B257" s="143"/>
      <c r="V257" s="146"/>
      <c r="W257" s="147"/>
      <c r="X257" s="147"/>
    </row>
    <row r="258" spans="2:24" x14ac:dyDescent="0.2">
      <c r="B258" s="143"/>
      <c r="V258" s="146"/>
      <c r="W258" s="147"/>
      <c r="X258" s="147"/>
    </row>
    <row r="259" spans="2:24" x14ac:dyDescent="0.2">
      <c r="B259" s="143"/>
      <c r="V259" s="146"/>
      <c r="W259" s="147"/>
      <c r="X259" s="147"/>
    </row>
    <row r="260" spans="2:24" x14ac:dyDescent="0.2">
      <c r="B260" s="143"/>
      <c r="C260" s="143"/>
      <c r="D260" s="143"/>
      <c r="E260" s="143"/>
      <c r="F260" s="143"/>
      <c r="G260" s="143"/>
      <c r="H260" s="143"/>
      <c r="I260" s="143"/>
      <c r="J260" s="143"/>
      <c r="K260" s="143"/>
      <c r="L260" s="143"/>
      <c r="M260" s="143"/>
      <c r="N260" s="143"/>
      <c r="O260" s="143"/>
      <c r="P260" s="143"/>
      <c r="Q260" s="143"/>
      <c r="R260" s="143"/>
      <c r="V260" s="146"/>
      <c r="W260" s="147"/>
      <c r="X260" s="147"/>
    </row>
    <row r="261" spans="2:24" x14ac:dyDescent="0.2">
      <c r="B261" s="143"/>
      <c r="C261" s="143"/>
      <c r="D261" s="143"/>
      <c r="E261" s="143"/>
      <c r="F261" s="143"/>
      <c r="G261" s="143"/>
      <c r="H261" s="143"/>
      <c r="I261" s="143"/>
      <c r="J261" s="143"/>
      <c r="K261" s="143"/>
      <c r="L261" s="143"/>
      <c r="M261" s="143"/>
      <c r="N261" s="143"/>
      <c r="O261" s="143"/>
      <c r="P261" s="143"/>
      <c r="Q261" s="143"/>
      <c r="R261" s="143"/>
    </row>
    <row r="262" spans="2:24" x14ac:dyDescent="0.2">
      <c r="B262" s="143"/>
      <c r="C262" s="143"/>
      <c r="D262" s="143"/>
      <c r="E262" s="143"/>
      <c r="F262" s="143"/>
      <c r="G262" s="143"/>
      <c r="H262" s="143"/>
      <c r="I262" s="143"/>
      <c r="J262" s="143"/>
      <c r="K262" s="143"/>
      <c r="L262" s="143"/>
      <c r="M262" s="143"/>
      <c r="N262" s="143"/>
      <c r="O262" s="143"/>
      <c r="P262" s="143"/>
      <c r="Q262" s="143"/>
      <c r="R262" s="143"/>
    </row>
    <row r="263" spans="2:24" x14ac:dyDescent="0.2">
      <c r="B263" s="143"/>
      <c r="C263" s="143"/>
      <c r="D263" s="143"/>
      <c r="E263" s="143"/>
      <c r="F263" s="143"/>
      <c r="G263" s="143"/>
      <c r="H263" s="143"/>
      <c r="I263" s="143"/>
      <c r="J263" s="143"/>
      <c r="K263" s="143"/>
      <c r="L263" s="143"/>
      <c r="M263" s="143"/>
      <c r="N263" s="143"/>
      <c r="O263" s="143"/>
      <c r="P263" s="143"/>
      <c r="Q263" s="143"/>
      <c r="R263" s="143"/>
    </row>
    <row r="264" spans="2:24" x14ac:dyDescent="0.2">
      <c r="B264" s="143"/>
      <c r="C264" s="143"/>
      <c r="D264" s="143"/>
      <c r="E264" s="143"/>
      <c r="F264" s="143"/>
      <c r="G264" s="143"/>
      <c r="H264" s="143"/>
      <c r="I264" s="143"/>
      <c r="J264" s="143"/>
      <c r="K264" s="143"/>
      <c r="L264" s="143"/>
      <c r="M264" s="143"/>
      <c r="N264" s="143"/>
      <c r="O264" s="143"/>
      <c r="P264" s="143"/>
      <c r="Q264" s="143"/>
      <c r="R264" s="143"/>
    </row>
    <row r="265" spans="2:24" x14ac:dyDescent="0.2">
      <c r="B265" s="143"/>
      <c r="C265" s="143"/>
      <c r="D265" s="143"/>
      <c r="E265" s="143"/>
      <c r="F265" s="143"/>
      <c r="G265" s="143"/>
      <c r="H265" s="143"/>
      <c r="I265" s="143"/>
      <c r="J265" s="143"/>
      <c r="K265" s="143"/>
      <c r="L265" s="143"/>
      <c r="M265" s="143"/>
      <c r="N265" s="143"/>
      <c r="O265" s="143"/>
      <c r="P265" s="143"/>
      <c r="Q265" s="143"/>
      <c r="R265" s="143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162"/>
  <sheetViews>
    <sheetView workbookViewId="0">
      <pane xSplit="1" ySplit="1" topLeftCell="B2" activePane="bottomRight" state="frozen"/>
      <selection activeCell="K26" sqref="K26"/>
      <selection pane="topRight" activeCell="K26" sqref="K26"/>
      <selection pane="bottomLeft" activeCell="K26" sqref="K26"/>
      <selection pane="bottomRight" activeCell="AE8" sqref="AE8"/>
    </sheetView>
  </sheetViews>
  <sheetFormatPr defaultRowHeight="12.75" x14ac:dyDescent="0.2"/>
  <cols>
    <col min="1" max="1" width="13.5703125" customWidth="1"/>
    <col min="3" max="3" width="11.85546875" bestFit="1" customWidth="1"/>
    <col min="4" max="4" width="13.42578125" bestFit="1" customWidth="1"/>
    <col min="5" max="5" width="10.5703125" bestFit="1" customWidth="1"/>
    <col min="6" max="15" width="8.7109375" customWidth="1"/>
    <col min="20" max="20" width="11.7109375" customWidth="1"/>
    <col min="23" max="23" width="10.28515625" style="72" bestFit="1" customWidth="1"/>
    <col min="25" max="25" width="9.140625" customWidth="1"/>
    <col min="34" max="34" width="9.42578125" bestFit="1" customWidth="1"/>
    <col min="36" max="36" width="11.28515625" bestFit="1" customWidth="1"/>
    <col min="37" max="37" width="9.28515625" bestFit="1" customWidth="1"/>
    <col min="38" max="38" width="11.42578125" customWidth="1"/>
    <col min="39" max="48" width="9.28515625" bestFit="1" customWidth="1"/>
    <col min="57" max="57" width="14.85546875" customWidth="1"/>
  </cols>
  <sheetData>
    <row r="1" spans="1:62" ht="48.75" customHeight="1" x14ac:dyDescent="0.2">
      <c r="A1" s="55" t="s">
        <v>129</v>
      </c>
      <c r="B1" s="55" t="s">
        <v>84</v>
      </c>
      <c r="C1" s="55" t="s">
        <v>116</v>
      </c>
      <c r="D1" s="55" t="s">
        <v>117</v>
      </c>
      <c r="E1" s="55" t="s">
        <v>118</v>
      </c>
      <c r="F1" s="165" t="s">
        <v>119</v>
      </c>
      <c r="G1" s="165" t="s">
        <v>120</v>
      </c>
      <c r="H1" s="165" t="s">
        <v>121</v>
      </c>
      <c r="I1" s="165" t="s">
        <v>122</v>
      </c>
      <c r="J1" s="165" t="s">
        <v>123</v>
      </c>
      <c r="K1" s="165" t="s">
        <v>124</v>
      </c>
      <c r="L1" s="165" t="s">
        <v>125</v>
      </c>
      <c r="M1" s="165" t="s">
        <v>126</v>
      </c>
      <c r="N1" s="165" t="s">
        <v>127</v>
      </c>
      <c r="O1" s="165" t="s">
        <v>128</v>
      </c>
      <c r="P1" s="179" t="str">
        <f>C1&amp;"%Change"</f>
        <v>OntarioGDP%Change</v>
      </c>
      <c r="Q1" s="179" t="str">
        <f>D1&amp;"%Change"</f>
        <v>OntarioFTEAdj%Change</v>
      </c>
      <c r="R1" s="179" t="str">
        <f>E1&amp;"%Change"</f>
        <v>OntarioFTE%Change</v>
      </c>
      <c r="S1" s="179" t="str">
        <f>H1&amp;"%Change"</f>
        <v>HamiltonFTEAdj%Change</v>
      </c>
      <c r="T1" s="179" t="str">
        <f>I1&amp;"%Change"</f>
        <v>HamiltonFTE%Change</v>
      </c>
      <c r="U1" s="179" t="str">
        <f>L1&amp;"%Change"</f>
        <v>StCathFTEAdj%Change</v>
      </c>
      <c r="V1" s="179" t="str">
        <f>M1&amp;"%Change"</f>
        <v>StCathFTE%Change</v>
      </c>
      <c r="W1" s="180" t="str">
        <f>C1&amp;"Change"</f>
        <v>OntarioGDPChange</v>
      </c>
      <c r="X1" s="164" t="str">
        <f>D1&amp;"Change"</f>
        <v>OntarioFTEAdjChange</v>
      </c>
      <c r="Y1" s="164" t="str">
        <f>E1&amp;"Change"</f>
        <v>OntarioFTEChange</v>
      </c>
      <c r="Z1" s="164" t="str">
        <f>H1&amp;"Change"</f>
        <v>HamiltonFTEAdjChange</v>
      </c>
      <c r="AA1" s="164" t="str">
        <f>I1&amp;"Change"</f>
        <v>HamiltonFTEChange</v>
      </c>
      <c r="AB1" s="164" t="str">
        <f>L1&amp;"Change"</f>
        <v>StCathFTEAdjChange</v>
      </c>
      <c r="AC1" s="164" t="str">
        <f>M1&amp;"Change"</f>
        <v>StCathFTEChange</v>
      </c>
      <c r="AJ1" s="164"/>
      <c r="AK1" s="164"/>
      <c r="AL1" s="164"/>
      <c r="AM1" s="164"/>
      <c r="AN1" s="164"/>
      <c r="AO1" s="164"/>
      <c r="AP1" s="164"/>
      <c r="AQ1" s="164"/>
      <c r="AR1" s="164"/>
      <c r="AS1" s="164"/>
      <c r="AT1" s="164"/>
      <c r="AU1" s="164"/>
      <c r="AV1" s="164"/>
      <c r="AW1" s="164"/>
      <c r="AX1" s="164"/>
      <c r="AY1" s="164"/>
      <c r="AZ1" s="164"/>
      <c r="BA1" s="164"/>
      <c r="BB1" s="164"/>
      <c r="BC1" s="164"/>
      <c r="BD1" s="164"/>
      <c r="BE1" s="164"/>
      <c r="BF1" s="164"/>
      <c r="BG1" s="164"/>
      <c r="BH1" s="164"/>
      <c r="BI1" s="164"/>
      <c r="BJ1" s="164"/>
    </row>
    <row r="2" spans="1:62" x14ac:dyDescent="0.2">
      <c r="A2" s="3">
        <v>40179</v>
      </c>
      <c r="B2">
        <f>YEAR(A2)</f>
        <v>2010</v>
      </c>
      <c r="C2" s="127">
        <v>609770.30000000005</v>
      </c>
      <c r="D2" s="127">
        <v>6466.9</v>
      </c>
      <c r="E2" s="127">
        <v>6434.5</v>
      </c>
      <c r="F2">
        <v>9.1999999999999993</v>
      </c>
      <c r="G2">
        <v>8.6999999999999993</v>
      </c>
      <c r="H2">
        <v>368.4</v>
      </c>
      <c r="I2">
        <v>365.5</v>
      </c>
      <c r="J2">
        <v>9.1999999999999993</v>
      </c>
      <c r="K2">
        <v>9.1</v>
      </c>
      <c r="L2">
        <v>188.3</v>
      </c>
      <c r="M2">
        <v>186.4</v>
      </c>
      <c r="N2">
        <v>11.1</v>
      </c>
      <c r="O2">
        <v>11.3</v>
      </c>
      <c r="R2" s="55"/>
      <c r="AJ2" s="128"/>
      <c r="AK2" s="128"/>
      <c r="AL2" s="128"/>
      <c r="AM2" s="128"/>
      <c r="AN2" s="128"/>
      <c r="AO2" s="128"/>
      <c r="AP2" s="128"/>
      <c r="AQ2" s="128"/>
      <c r="AR2" s="128"/>
      <c r="AS2" s="128"/>
      <c r="AT2" s="128"/>
      <c r="AU2" s="128"/>
      <c r="AV2" s="128"/>
      <c r="AW2" s="128"/>
      <c r="AX2" s="128"/>
      <c r="AY2" s="128"/>
      <c r="AZ2" s="128"/>
      <c r="BA2" s="128"/>
      <c r="BB2" s="128"/>
      <c r="BC2" s="128"/>
      <c r="BD2" s="128"/>
      <c r="BE2" s="128"/>
      <c r="BF2" s="128"/>
      <c r="BG2" s="128"/>
      <c r="BH2" s="128"/>
      <c r="BI2" s="128"/>
      <c r="BJ2" s="128"/>
    </row>
    <row r="3" spans="1:62" x14ac:dyDescent="0.2">
      <c r="A3" s="3">
        <v>40210</v>
      </c>
      <c r="B3">
        <f t="shared" ref="B3:B66" si="0">YEAR(A3)</f>
        <v>2010</v>
      </c>
      <c r="C3" s="127">
        <v>609770.30000000005</v>
      </c>
      <c r="D3" s="127">
        <v>6471</v>
      </c>
      <c r="E3" s="127">
        <v>6404.1</v>
      </c>
      <c r="F3">
        <v>9.1</v>
      </c>
      <c r="G3">
        <v>8.9</v>
      </c>
      <c r="H3">
        <v>366.3</v>
      </c>
      <c r="I3">
        <v>360.3</v>
      </c>
      <c r="J3">
        <v>9</v>
      </c>
      <c r="K3">
        <v>9.1999999999999993</v>
      </c>
      <c r="L3">
        <v>188.4</v>
      </c>
      <c r="M3">
        <v>184.7</v>
      </c>
      <c r="N3">
        <v>10.9</v>
      </c>
      <c r="O3">
        <v>11.7</v>
      </c>
      <c r="AJ3" s="128"/>
      <c r="AK3" s="128"/>
      <c r="AL3" s="128"/>
      <c r="AM3" s="128"/>
      <c r="AN3" s="128"/>
      <c r="AO3" s="128"/>
      <c r="AP3" s="128"/>
      <c r="AQ3" s="128"/>
      <c r="AR3" s="128"/>
      <c r="AS3" s="128"/>
      <c r="AT3" s="128"/>
      <c r="AU3" s="128"/>
      <c r="AV3" s="128"/>
      <c r="AW3" s="128"/>
      <c r="AX3" s="128"/>
      <c r="AY3" s="128"/>
      <c r="AZ3" s="128"/>
      <c r="BA3" s="128"/>
      <c r="BB3" s="128"/>
      <c r="BC3" s="128"/>
      <c r="BD3" s="128"/>
      <c r="BE3" s="128"/>
      <c r="BF3" s="128"/>
      <c r="BG3" s="128"/>
      <c r="BH3" s="128"/>
      <c r="BI3" s="128"/>
      <c r="BJ3" s="128"/>
    </row>
    <row r="4" spans="1:62" x14ac:dyDescent="0.2">
      <c r="A4" s="3">
        <v>40238</v>
      </c>
      <c r="B4">
        <f t="shared" si="0"/>
        <v>2010</v>
      </c>
      <c r="C4" s="127">
        <v>609770.30000000005</v>
      </c>
      <c r="D4" s="127">
        <v>6477.5</v>
      </c>
      <c r="E4" s="127">
        <v>6377.2</v>
      </c>
      <c r="F4">
        <v>9</v>
      </c>
      <c r="G4">
        <v>9.3000000000000007</v>
      </c>
      <c r="H4">
        <v>367.5</v>
      </c>
      <c r="I4">
        <v>359.4</v>
      </c>
      <c r="J4">
        <v>8.3000000000000007</v>
      </c>
      <c r="K4">
        <v>8.9</v>
      </c>
      <c r="L4">
        <v>189.5</v>
      </c>
      <c r="M4">
        <v>184.8</v>
      </c>
      <c r="N4">
        <v>10.6</v>
      </c>
      <c r="O4">
        <v>11.5</v>
      </c>
      <c r="AJ4" s="128"/>
      <c r="AK4" s="128"/>
      <c r="AL4" s="128"/>
      <c r="AM4" s="128"/>
      <c r="AN4" s="128"/>
      <c r="AO4" s="128"/>
      <c r="AP4" s="128"/>
      <c r="AQ4" s="128"/>
      <c r="AR4" s="128"/>
      <c r="AS4" s="128"/>
      <c r="AT4" s="128"/>
      <c r="AU4" s="128"/>
      <c r="AV4" s="128"/>
      <c r="AW4" s="128"/>
      <c r="AX4" s="128"/>
      <c r="AY4" s="128"/>
      <c r="AZ4" s="128"/>
      <c r="BA4" s="128"/>
      <c r="BB4" s="128"/>
      <c r="BC4" s="128"/>
      <c r="BD4" s="128"/>
      <c r="BE4" s="128"/>
      <c r="BF4" s="128"/>
      <c r="BG4" s="128"/>
      <c r="BH4" s="128"/>
      <c r="BI4" s="128"/>
      <c r="BJ4" s="128"/>
    </row>
    <row r="5" spans="1:62" x14ac:dyDescent="0.2">
      <c r="A5" s="3">
        <v>40269</v>
      </c>
      <c r="B5">
        <f t="shared" si="0"/>
        <v>2010</v>
      </c>
      <c r="C5" s="127">
        <v>609770.30000000005</v>
      </c>
      <c r="D5" s="127">
        <v>6485</v>
      </c>
      <c r="E5" s="127">
        <v>6401.7</v>
      </c>
      <c r="F5">
        <v>9</v>
      </c>
      <c r="G5">
        <v>9.1999999999999993</v>
      </c>
      <c r="H5">
        <v>364.7</v>
      </c>
      <c r="I5">
        <v>358.4</v>
      </c>
      <c r="J5">
        <v>8</v>
      </c>
      <c r="K5">
        <v>8.3000000000000007</v>
      </c>
      <c r="L5">
        <v>190</v>
      </c>
      <c r="M5">
        <v>184.9</v>
      </c>
      <c r="N5">
        <v>9.6999999999999993</v>
      </c>
      <c r="O5">
        <v>10.5</v>
      </c>
      <c r="AJ5" s="128"/>
      <c r="AK5" s="128"/>
      <c r="AL5" s="128"/>
      <c r="AM5" s="128"/>
      <c r="AN5" s="128"/>
      <c r="AO5" s="128"/>
      <c r="AP5" s="128"/>
      <c r="AQ5" s="128"/>
      <c r="AR5" s="128"/>
      <c r="AS5" s="128"/>
      <c r="AT5" s="128"/>
      <c r="AU5" s="128"/>
      <c r="AV5" s="128"/>
      <c r="AW5" s="128"/>
      <c r="AX5" s="128"/>
      <c r="AY5" s="128"/>
      <c r="AZ5" s="128"/>
      <c r="BA5" s="128"/>
      <c r="BB5" s="128"/>
      <c r="BC5" s="128"/>
      <c r="BD5" s="128"/>
      <c r="BE5" s="128"/>
      <c r="BF5" s="128"/>
      <c r="BG5" s="128"/>
      <c r="BH5" s="128"/>
      <c r="BI5" s="128"/>
      <c r="BJ5" s="128"/>
    </row>
    <row r="6" spans="1:62" x14ac:dyDescent="0.2">
      <c r="A6" s="3">
        <v>40299</v>
      </c>
      <c r="B6">
        <f t="shared" si="0"/>
        <v>2010</v>
      </c>
      <c r="C6" s="127">
        <v>609770.30000000005</v>
      </c>
      <c r="D6" s="127">
        <v>6506.8</v>
      </c>
      <c r="E6" s="127">
        <v>6468.9</v>
      </c>
      <c r="F6">
        <v>8.8000000000000007</v>
      </c>
      <c r="G6">
        <v>9.1999999999999993</v>
      </c>
      <c r="H6">
        <v>364.3</v>
      </c>
      <c r="I6">
        <v>362.4</v>
      </c>
      <c r="J6">
        <v>8</v>
      </c>
      <c r="K6">
        <v>8.1</v>
      </c>
      <c r="L6">
        <v>190.4</v>
      </c>
      <c r="M6">
        <v>188.2</v>
      </c>
      <c r="N6">
        <v>9.3000000000000007</v>
      </c>
      <c r="O6">
        <v>9.9</v>
      </c>
      <c r="AJ6" s="128"/>
      <c r="AK6" s="128"/>
      <c r="AL6" s="128"/>
      <c r="AM6" s="128"/>
      <c r="AN6" s="128"/>
      <c r="AO6" s="128"/>
      <c r="AP6" s="128"/>
      <c r="AQ6" s="128"/>
      <c r="AR6" s="128"/>
      <c r="AS6" s="128"/>
      <c r="AT6" s="128"/>
      <c r="AU6" s="128"/>
      <c r="AV6" s="128"/>
      <c r="AW6" s="128"/>
      <c r="AX6" s="128"/>
      <c r="AY6" s="128"/>
      <c r="AZ6" s="128"/>
      <c r="BA6" s="128"/>
      <c r="BB6" s="128"/>
      <c r="BC6" s="128"/>
      <c r="BD6" s="128"/>
      <c r="BE6" s="128"/>
      <c r="BF6" s="128"/>
      <c r="BG6" s="128"/>
      <c r="BH6" s="128"/>
      <c r="BI6" s="128"/>
      <c r="BJ6" s="128"/>
    </row>
    <row r="7" spans="1:62" x14ac:dyDescent="0.2">
      <c r="A7" s="3">
        <v>40330</v>
      </c>
      <c r="B7">
        <f t="shared" si="0"/>
        <v>2010</v>
      </c>
      <c r="C7" s="127">
        <v>609770.30000000005</v>
      </c>
      <c r="D7" s="127">
        <v>6540.8</v>
      </c>
      <c r="E7" s="127">
        <v>6578.9</v>
      </c>
      <c r="F7">
        <v>8.6</v>
      </c>
      <c r="G7">
        <v>8.8000000000000007</v>
      </c>
      <c r="H7">
        <v>367.2</v>
      </c>
      <c r="I7">
        <v>370.1</v>
      </c>
      <c r="J7">
        <v>7.5</v>
      </c>
      <c r="K7">
        <v>7.4</v>
      </c>
      <c r="L7">
        <v>191.9</v>
      </c>
      <c r="M7">
        <v>193.5</v>
      </c>
      <c r="N7">
        <v>8.8000000000000007</v>
      </c>
      <c r="O7">
        <v>8.6</v>
      </c>
      <c r="AJ7" s="128"/>
      <c r="AK7" s="128"/>
      <c r="AL7" s="128"/>
      <c r="AM7" s="128"/>
      <c r="AN7" s="128"/>
      <c r="AO7" s="128"/>
      <c r="AP7" s="128"/>
      <c r="AQ7" s="128"/>
      <c r="AR7" s="128"/>
      <c r="AS7" s="128"/>
      <c r="AT7" s="128"/>
      <c r="AU7" s="128"/>
      <c r="AV7" s="128"/>
      <c r="AW7" s="128"/>
      <c r="AX7" s="128"/>
      <c r="AY7" s="128"/>
      <c r="AZ7" s="128"/>
      <c r="BA7" s="128"/>
      <c r="BB7" s="128"/>
      <c r="BC7" s="128"/>
      <c r="BD7" s="128"/>
      <c r="BE7" s="128"/>
      <c r="BF7" s="128"/>
      <c r="BG7" s="128"/>
      <c r="BH7" s="128"/>
      <c r="BI7" s="128"/>
      <c r="BJ7" s="128"/>
    </row>
    <row r="8" spans="1:62" x14ac:dyDescent="0.2">
      <c r="A8" s="3">
        <v>40360</v>
      </c>
      <c r="B8">
        <f t="shared" si="0"/>
        <v>2010</v>
      </c>
      <c r="C8" s="127">
        <v>609770.30000000005</v>
      </c>
      <c r="D8" s="127">
        <v>6561</v>
      </c>
      <c r="E8" s="127">
        <v>6640.9</v>
      </c>
      <c r="F8">
        <v>8.5</v>
      </c>
      <c r="G8">
        <v>8.9</v>
      </c>
      <c r="H8">
        <v>372.2</v>
      </c>
      <c r="I8">
        <v>375.7</v>
      </c>
      <c r="J8">
        <v>7.2</v>
      </c>
      <c r="K8">
        <v>7.2</v>
      </c>
      <c r="L8">
        <v>191.5</v>
      </c>
      <c r="M8">
        <v>196.1</v>
      </c>
      <c r="N8">
        <v>8.9</v>
      </c>
      <c r="O8">
        <v>8.6</v>
      </c>
      <c r="AE8" s="55"/>
      <c r="AF8" s="178"/>
      <c r="AJ8" s="128"/>
      <c r="AK8" s="128"/>
      <c r="AL8" s="128"/>
      <c r="AM8" s="128"/>
      <c r="AN8" s="128"/>
      <c r="AO8" s="128"/>
      <c r="AP8" s="128"/>
      <c r="AQ8" s="128"/>
      <c r="AR8" s="128"/>
      <c r="AS8" s="128"/>
      <c r="AT8" s="128"/>
      <c r="AU8" s="128"/>
      <c r="AV8" s="128"/>
      <c r="AW8" s="128"/>
      <c r="AX8" s="128"/>
      <c r="AY8" s="128"/>
      <c r="AZ8" s="128"/>
      <c r="BA8" s="128"/>
      <c r="BB8" s="128"/>
      <c r="BC8" s="128"/>
      <c r="BD8" s="128"/>
      <c r="BE8" s="128"/>
      <c r="BF8" s="128"/>
      <c r="BG8" s="128"/>
      <c r="BH8" s="128"/>
      <c r="BI8" s="128"/>
      <c r="BJ8" s="128"/>
    </row>
    <row r="9" spans="1:62" x14ac:dyDescent="0.2">
      <c r="A9" s="3">
        <v>40391</v>
      </c>
      <c r="B9">
        <f t="shared" si="0"/>
        <v>2010</v>
      </c>
      <c r="C9" s="127">
        <v>609770.30000000005</v>
      </c>
      <c r="D9" s="127">
        <v>6568.9</v>
      </c>
      <c r="E9" s="127">
        <v>6662.6</v>
      </c>
      <c r="F9">
        <v>8.6</v>
      </c>
      <c r="G9">
        <v>9.1</v>
      </c>
      <c r="H9">
        <v>377</v>
      </c>
      <c r="I9">
        <v>379.1</v>
      </c>
      <c r="J9">
        <v>7.2</v>
      </c>
      <c r="K9">
        <v>7.7</v>
      </c>
      <c r="L9">
        <v>190.5</v>
      </c>
      <c r="M9">
        <v>195.6</v>
      </c>
      <c r="N9">
        <v>9</v>
      </c>
      <c r="O9">
        <v>8.6</v>
      </c>
      <c r="AJ9" s="128"/>
      <c r="AK9" s="128"/>
      <c r="AL9" s="128"/>
      <c r="AM9" s="128"/>
      <c r="AN9" s="128"/>
      <c r="AO9" s="128"/>
      <c r="AP9" s="128"/>
      <c r="AQ9" s="128"/>
      <c r="AR9" s="128"/>
      <c r="AS9" s="128"/>
      <c r="AT9" s="128"/>
      <c r="AU9" s="128"/>
      <c r="AV9" s="128"/>
      <c r="AW9" s="128"/>
      <c r="AX9" s="128"/>
      <c r="AY9" s="128"/>
      <c r="AZ9" s="128"/>
      <c r="BA9" s="128"/>
      <c r="BB9" s="128"/>
      <c r="BC9" s="128"/>
      <c r="BD9" s="128"/>
      <c r="BE9" s="128"/>
      <c r="BF9" s="128"/>
      <c r="BG9" s="128"/>
      <c r="BH9" s="128"/>
      <c r="BI9" s="128"/>
      <c r="BJ9" s="128"/>
    </row>
    <row r="10" spans="1:62" x14ac:dyDescent="0.2">
      <c r="A10" s="3">
        <v>40422</v>
      </c>
      <c r="B10">
        <f t="shared" si="0"/>
        <v>2010</v>
      </c>
      <c r="C10" s="127">
        <v>609770.30000000005</v>
      </c>
      <c r="D10" s="127">
        <v>6556</v>
      </c>
      <c r="E10" s="127">
        <v>6611.2</v>
      </c>
      <c r="F10">
        <v>8.8000000000000007</v>
      </c>
      <c r="G10">
        <v>9.1999999999999993</v>
      </c>
      <c r="H10">
        <v>377.3</v>
      </c>
      <c r="I10">
        <v>376.7</v>
      </c>
      <c r="J10">
        <v>7.4</v>
      </c>
      <c r="K10">
        <v>7.8</v>
      </c>
      <c r="L10">
        <v>187.9</v>
      </c>
      <c r="M10">
        <v>191.5</v>
      </c>
      <c r="N10">
        <v>9.4</v>
      </c>
      <c r="O10">
        <v>9.1999999999999993</v>
      </c>
      <c r="AJ10" s="128"/>
      <c r="AK10" s="128"/>
      <c r="AL10" s="128"/>
      <c r="AM10" s="128"/>
      <c r="AN10" s="128"/>
      <c r="AO10" s="128"/>
      <c r="AP10" s="128"/>
      <c r="AQ10" s="128"/>
      <c r="AR10" s="128"/>
      <c r="AS10" s="128"/>
      <c r="AT10" s="128"/>
      <c r="AU10" s="128"/>
      <c r="AV10" s="128"/>
      <c r="AW10" s="128"/>
      <c r="AX10" s="128"/>
      <c r="AY10" s="128"/>
      <c r="AZ10" s="128"/>
      <c r="BA10" s="128"/>
      <c r="BB10" s="128"/>
      <c r="BC10" s="128"/>
      <c r="BD10" s="128"/>
      <c r="BE10" s="128"/>
      <c r="BF10" s="128"/>
      <c r="BG10" s="128"/>
      <c r="BH10" s="128"/>
      <c r="BI10" s="128"/>
      <c r="BJ10" s="128"/>
    </row>
    <row r="11" spans="1:62" x14ac:dyDescent="0.2">
      <c r="A11" s="3">
        <v>40452</v>
      </c>
      <c r="B11">
        <f t="shared" si="0"/>
        <v>2010</v>
      </c>
      <c r="C11" s="127">
        <v>609770.30000000005</v>
      </c>
      <c r="D11" s="127">
        <v>6551.6</v>
      </c>
      <c r="E11" s="127">
        <v>6587.1</v>
      </c>
      <c r="F11">
        <v>8.8000000000000007</v>
      </c>
      <c r="G11">
        <v>8.6999999999999993</v>
      </c>
      <c r="H11">
        <v>373.6</v>
      </c>
      <c r="I11">
        <v>372.9</v>
      </c>
      <c r="J11">
        <v>7.4</v>
      </c>
      <c r="K11">
        <v>7.6</v>
      </c>
      <c r="L11">
        <v>188.3</v>
      </c>
      <c r="M11">
        <v>191.4</v>
      </c>
      <c r="N11">
        <v>9.5</v>
      </c>
      <c r="O11">
        <v>8.9</v>
      </c>
      <c r="AJ11" s="128"/>
      <c r="AK11" s="128"/>
      <c r="AL11" s="128"/>
      <c r="AM11" s="128"/>
      <c r="AN11" s="128"/>
      <c r="AO11" s="128"/>
      <c r="AP11" s="128"/>
      <c r="AQ11" s="128"/>
      <c r="AR11" s="128"/>
      <c r="AS11" s="128"/>
      <c r="AT11" s="128"/>
      <c r="AU11" s="128"/>
      <c r="AV11" s="128"/>
      <c r="AW11" s="128"/>
      <c r="AX11" s="128"/>
      <c r="AY11" s="128"/>
      <c r="AZ11" s="128"/>
      <c r="BA11" s="128"/>
      <c r="BB11" s="128"/>
      <c r="BC11" s="128"/>
      <c r="BD11" s="128"/>
      <c r="BE11" s="128"/>
      <c r="BF11" s="128"/>
      <c r="BG11" s="128"/>
      <c r="BH11" s="128"/>
      <c r="BI11" s="128"/>
      <c r="BJ11" s="128"/>
    </row>
    <row r="12" spans="1:62" x14ac:dyDescent="0.2">
      <c r="A12" s="3">
        <v>40483</v>
      </c>
      <c r="B12">
        <f t="shared" si="0"/>
        <v>2010</v>
      </c>
      <c r="C12" s="127">
        <v>609770.30000000005</v>
      </c>
      <c r="D12" s="127">
        <v>6555.7</v>
      </c>
      <c r="E12" s="127">
        <v>6566.6</v>
      </c>
      <c r="F12">
        <v>8.5</v>
      </c>
      <c r="G12">
        <v>7.9</v>
      </c>
      <c r="H12">
        <v>372.3</v>
      </c>
      <c r="I12">
        <v>371.5</v>
      </c>
      <c r="J12">
        <v>6.7</v>
      </c>
      <c r="K12">
        <v>6.4</v>
      </c>
      <c r="L12">
        <v>190.2</v>
      </c>
      <c r="M12">
        <v>191.5</v>
      </c>
      <c r="N12">
        <v>9.6</v>
      </c>
      <c r="O12">
        <v>8.6999999999999993</v>
      </c>
      <c r="AJ12" s="128"/>
      <c r="AK12" s="128"/>
      <c r="AL12" s="128"/>
      <c r="AM12" s="128"/>
      <c r="AN12" s="128"/>
      <c r="AO12" s="128"/>
      <c r="AP12" s="128"/>
      <c r="AQ12" s="128"/>
      <c r="AR12" s="128"/>
      <c r="AS12" s="128"/>
      <c r="AT12" s="128"/>
      <c r="AU12" s="128"/>
      <c r="AV12" s="128"/>
      <c r="AW12" s="128"/>
      <c r="AX12" s="128"/>
      <c r="AY12" s="128"/>
      <c r="AZ12" s="128"/>
      <c r="BA12" s="128"/>
      <c r="BB12" s="128"/>
      <c r="BC12" s="128"/>
      <c r="BD12" s="128"/>
      <c r="BE12" s="128"/>
      <c r="BF12" s="128"/>
      <c r="BG12" s="128"/>
      <c r="BH12" s="128"/>
      <c r="BI12" s="128"/>
      <c r="BJ12" s="128"/>
    </row>
    <row r="13" spans="1:62" x14ac:dyDescent="0.2">
      <c r="A13" s="3">
        <v>40513</v>
      </c>
      <c r="B13">
        <f t="shared" si="0"/>
        <v>2010</v>
      </c>
      <c r="C13" s="127">
        <v>609770.30000000005</v>
      </c>
      <c r="D13" s="127">
        <v>6578.3</v>
      </c>
      <c r="E13" s="127">
        <v>6584.1</v>
      </c>
      <c r="F13">
        <v>8.1999999999999993</v>
      </c>
      <c r="G13">
        <v>7.5</v>
      </c>
      <c r="H13">
        <v>370.9</v>
      </c>
      <c r="I13">
        <v>370.2</v>
      </c>
      <c r="J13">
        <v>6.7</v>
      </c>
      <c r="K13">
        <v>6.4</v>
      </c>
      <c r="L13">
        <v>191.9</v>
      </c>
      <c r="M13">
        <v>192</v>
      </c>
      <c r="N13">
        <v>9.6</v>
      </c>
      <c r="O13">
        <v>8.9</v>
      </c>
    </row>
    <row r="14" spans="1:62" x14ac:dyDescent="0.2">
      <c r="A14" s="3">
        <v>40544</v>
      </c>
      <c r="B14">
        <f t="shared" si="0"/>
        <v>2011</v>
      </c>
      <c r="C14" s="127">
        <v>625936.9</v>
      </c>
      <c r="D14" s="127">
        <v>6606.3</v>
      </c>
      <c r="E14" s="127">
        <v>6571.2</v>
      </c>
      <c r="F14">
        <v>8.1</v>
      </c>
      <c r="G14">
        <v>7.7</v>
      </c>
      <c r="H14">
        <v>372.1</v>
      </c>
      <c r="I14">
        <v>369.4</v>
      </c>
      <c r="J14">
        <v>6.9</v>
      </c>
      <c r="K14">
        <v>6.8</v>
      </c>
      <c r="L14">
        <v>193.2</v>
      </c>
      <c r="M14">
        <v>191.3</v>
      </c>
      <c r="N14">
        <v>9.6999999999999993</v>
      </c>
      <c r="O14">
        <v>9.6999999999999993</v>
      </c>
      <c r="P14" s="47">
        <f>C14/C2-1</f>
        <v>2.6512606468370059E-2</v>
      </c>
      <c r="Q14" s="47">
        <f>D14/D2-1</f>
        <v>2.1555923239883201E-2</v>
      </c>
      <c r="R14" s="47">
        <f>E14/E2-1</f>
        <v>2.1244851969850043E-2</v>
      </c>
      <c r="S14" s="47">
        <f t="shared" ref="S14:S45" si="1">H14/H2-1</f>
        <v>1.0043431053203156E-2</v>
      </c>
      <c r="T14" s="47">
        <f t="shared" ref="T14:T45" si="2">I14/I2-1</f>
        <v>1.0670314637482914E-2</v>
      </c>
      <c r="U14" s="47">
        <f t="shared" ref="U14:U45" si="3">L14/L2-1</f>
        <v>2.6022304832713727E-2</v>
      </c>
      <c r="V14" s="47">
        <f t="shared" ref="V14:V45" si="4">M14/M2-1</f>
        <v>2.6287553648068673E-2</v>
      </c>
      <c r="W14" s="72">
        <f>C14-C2</f>
        <v>16166.599999999977</v>
      </c>
      <c r="X14" s="71">
        <f>D14-D2</f>
        <v>139.40000000000055</v>
      </c>
      <c r="Y14" s="71">
        <f>E14-E2</f>
        <v>136.69999999999982</v>
      </c>
      <c r="Z14" s="71">
        <f>H14-H2</f>
        <v>3.7000000000000455</v>
      </c>
      <c r="AA14" s="71">
        <f>I14-I2</f>
        <v>3.8999999999999773</v>
      </c>
      <c r="AB14" s="71">
        <f>L14-L2</f>
        <v>4.8999999999999773</v>
      </c>
      <c r="AC14" s="71">
        <f>M14-M2</f>
        <v>4.9000000000000057</v>
      </c>
    </row>
    <row r="15" spans="1:62" x14ac:dyDescent="0.2">
      <c r="A15" s="3">
        <v>40575</v>
      </c>
      <c r="B15">
        <f t="shared" si="0"/>
        <v>2011</v>
      </c>
      <c r="C15" s="127">
        <v>625936.9</v>
      </c>
      <c r="D15" s="127">
        <v>6619.5</v>
      </c>
      <c r="E15" s="127">
        <v>6548.1</v>
      </c>
      <c r="F15">
        <v>8.1</v>
      </c>
      <c r="G15">
        <v>7.8</v>
      </c>
      <c r="H15">
        <v>369.6</v>
      </c>
      <c r="I15">
        <v>365.4</v>
      </c>
      <c r="J15">
        <v>7</v>
      </c>
      <c r="K15">
        <v>7</v>
      </c>
      <c r="L15">
        <v>193.4</v>
      </c>
      <c r="M15">
        <v>189.7</v>
      </c>
      <c r="N15">
        <v>9.5</v>
      </c>
      <c r="O15">
        <v>10.1</v>
      </c>
      <c r="P15" s="47">
        <f t="shared" ref="P15:P78" si="5">C15/C3-1</f>
        <v>2.6512606468370059E-2</v>
      </c>
      <c r="Q15" s="47">
        <f t="shared" ref="Q15:Q78" si="6">D15/D3-1</f>
        <v>2.2948539638386611E-2</v>
      </c>
      <c r="R15" s="47">
        <f t="shared" ref="R15:R78" si="7">E15/E3-1</f>
        <v>2.2485595165597116E-2</v>
      </c>
      <c r="S15" s="47">
        <f t="shared" si="1"/>
        <v>9.009009009009139E-3</v>
      </c>
      <c r="T15" s="47">
        <f t="shared" si="2"/>
        <v>1.4154870940882525E-2</v>
      </c>
      <c r="U15" s="47">
        <f t="shared" si="3"/>
        <v>2.6539278131634925E-2</v>
      </c>
      <c r="V15" s="47">
        <f t="shared" si="4"/>
        <v>2.7070925825663172E-2</v>
      </c>
      <c r="W15" s="72">
        <f t="shared" ref="W15:W78" si="8">C15-C3</f>
        <v>16166.599999999977</v>
      </c>
      <c r="X15" s="71">
        <f t="shared" ref="X15:X78" si="9">D15-D3</f>
        <v>148.5</v>
      </c>
      <c r="Y15" s="71">
        <f t="shared" ref="Y15:Y78" si="10">E15-E3</f>
        <v>144</v>
      </c>
      <c r="Z15" s="71">
        <f t="shared" ref="Z15:Z78" si="11">H15-H3</f>
        <v>3.3000000000000114</v>
      </c>
      <c r="AA15" s="71">
        <f t="shared" ref="AA15:AA78" si="12">I15-I3</f>
        <v>5.0999999999999659</v>
      </c>
      <c r="AB15" s="71">
        <f t="shared" ref="AB15:AB78" si="13">L15-L3</f>
        <v>5</v>
      </c>
      <c r="AC15" s="71">
        <f t="shared" ref="AC15:AC78" si="14">M15-M3</f>
        <v>5</v>
      </c>
    </row>
    <row r="16" spans="1:62" x14ac:dyDescent="0.2">
      <c r="A16" s="3">
        <v>40603</v>
      </c>
      <c r="B16">
        <f t="shared" si="0"/>
        <v>2011</v>
      </c>
      <c r="C16" s="127">
        <v>625936.9</v>
      </c>
      <c r="D16" s="127">
        <v>6628.6</v>
      </c>
      <c r="E16" s="127">
        <v>6523.7</v>
      </c>
      <c r="F16">
        <v>8.1</v>
      </c>
      <c r="G16">
        <v>8.3000000000000007</v>
      </c>
      <c r="H16">
        <v>369.8</v>
      </c>
      <c r="I16">
        <v>363.6</v>
      </c>
      <c r="J16">
        <v>6.6</v>
      </c>
      <c r="K16">
        <v>6.9</v>
      </c>
      <c r="L16">
        <v>194.3</v>
      </c>
      <c r="M16">
        <v>189.7</v>
      </c>
      <c r="N16">
        <v>9.4</v>
      </c>
      <c r="O16">
        <v>10.3</v>
      </c>
      <c r="P16" s="47">
        <f t="shared" si="5"/>
        <v>2.6512606468370059E-2</v>
      </c>
      <c r="Q16" s="47">
        <f t="shared" si="6"/>
        <v>2.332690081049793E-2</v>
      </c>
      <c r="R16" s="47">
        <f t="shared" si="7"/>
        <v>2.2972464404440895E-2</v>
      </c>
      <c r="S16" s="47">
        <f t="shared" si="1"/>
        <v>6.2585034013604712E-3</v>
      </c>
      <c r="T16" s="47">
        <f t="shared" si="2"/>
        <v>1.168614357262121E-2</v>
      </c>
      <c r="U16" s="47">
        <f t="shared" si="3"/>
        <v>2.5329815303430037E-2</v>
      </c>
      <c r="V16" s="47">
        <f t="shared" si="4"/>
        <v>2.6515151515151381E-2</v>
      </c>
      <c r="W16" s="72">
        <f t="shared" si="8"/>
        <v>16166.599999999977</v>
      </c>
      <c r="X16" s="71">
        <f t="shared" si="9"/>
        <v>151.10000000000036</v>
      </c>
      <c r="Y16" s="71">
        <f t="shared" si="10"/>
        <v>146.5</v>
      </c>
      <c r="Z16" s="71">
        <f t="shared" si="11"/>
        <v>2.3000000000000114</v>
      </c>
      <c r="AA16" s="71">
        <f t="shared" si="12"/>
        <v>4.2000000000000455</v>
      </c>
      <c r="AB16" s="71">
        <f t="shared" si="13"/>
        <v>4.8000000000000114</v>
      </c>
      <c r="AC16" s="71">
        <f t="shared" si="14"/>
        <v>4.8999999999999773</v>
      </c>
    </row>
    <row r="17" spans="1:39" x14ac:dyDescent="0.2">
      <c r="A17" s="3">
        <v>40634</v>
      </c>
      <c r="B17">
        <f t="shared" si="0"/>
        <v>2011</v>
      </c>
      <c r="C17" s="127">
        <v>625936.9</v>
      </c>
      <c r="D17" s="127">
        <v>6635.5</v>
      </c>
      <c r="E17" s="127">
        <v>6550</v>
      </c>
      <c r="F17">
        <v>8</v>
      </c>
      <c r="G17">
        <v>8.1999999999999993</v>
      </c>
      <c r="H17">
        <v>372</v>
      </c>
      <c r="I17">
        <v>367.1</v>
      </c>
      <c r="J17">
        <v>5.9</v>
      </c>
      <c r="K17">
        <v>6.1</v>
      </c>
      <c r="L17">
        <v>195.9</v>
      </c>
      <c r="M17">
        <v>190.7</v>
      </c>
      <c r="N17">
        <v>8.9</v>
      </c>
      <c r="O17">
        <v>9.6999999999999993</v>
      </c>
      <c r="P17" s="47">
        <f t="shared" si="5"/>
        <v>2.6512606468370059E-2</v>
      </c>
      <c r="Q17" s="47">
        <f t="shared" si="6"/>
        <v>2.3207401696222041E-2</v>
      </c>
      <c r="R17" s="47">
        <f t="shared" si="7"/>
        <v>2.3165721605198586E-2</v>
      </c>
      <c r="S17" s="47">
        <f t="shared" si="1"/>
        <v>2.0016451878256181E-2</v>
      </c>
      <c r="T17" s="47">
        <f t="shared" si="2"/>
        <v>2.4274553571428603E-2</v>
      </c>
      <c r="U17" s="47">
        <f t="shared" si="3"/>
        <v>3.1052631578947443E-2</v>
      </c>
      <c r="V17" s="47">
        <f t="shared" si="4"/>
        <v>3.1368307193077261E-2</v>
      </c>
      <c r="W17" s="72">
        <f t="shared" si="8"/>
        <v>16166.599999999977</v>
      </c>
      <c r="X17" s="71">
        <f t="shared" si="9"/>
        <v>150.5</v>
      </c>
      <c r="Y17" s="71">
        <f t="shared" si="10"/>
        <v>148.30000000000018</v>
      </c>
      <c r="Z17" s="71">
        <f t="shared" si="11"/>
        <v>7.3000000000000114</v>
      </c>
      <c r="AA17" s="71">
        <f t="shared" si="12"/>
        <v>8.7000000000000455</v>
      </c>
      <c r="AB17" s="71">
        <f t="shared" si="13"/>
        <v>5.9000000000000057</v>
      </c>
      <c r="AC17" s="71">
        <f t="shared" si="14"/>
        <v>5.7999999999999829</v>
      </c>
    </row>
    <row r="18" spans="1:39" x14ac:dyDescent="0.2">
      <c r="A18" s="3">
        <v>40664</v>
      </c>
      <c r="B18">
        <f t="shared" si="0"/>
        <v>2011</v>
      </c>
      <c r="C18" s="127">
        <v>625936.9</v>
      </c>
      <c r="D18" s="127">
        <v>6645.8</v>
      </c>
      <c r="E18" s="127">
        <v>6612</v>
      </c>
      <c r="F18">
        <v>8.1</v>
      </c>
      <c r="G18">
        <v>8.3000000000000007</v>
      </c>
      <c r="H18">
        <v>375</v>
      </c>
      <c r="I18">
        <v>374.6</v>
      </c>
      <c r="J18">
        <v>5.9</v>
      </c>
      <c r="K18">
        <v>5.9</v>
      </c>
      <c r="L18">
        <v>194.9</v>
      </c>
      <c r="M18">
        <v>193.3</v>
      </c>
      <c r="N18">
        <v>8.8000000000000007</v>
      </c>
      <c r="O18">
        <v>9.1</v>
      </c>
      <c r="P18" s="47">
        <f t="shared" si="5"/>
        <v>2.6512606468370059E-2</v>
      </c>
      <c r="Q18" s="47">
        <f t="shared" si="6"/>
        <v>2.1362267166656457E-2</v>
      </c>
      <c r="R18" s="47">
        <f t="shared" si="7"/>
        <v>2.2121226174465658E-2</v>
      </c>
      <c r="S18" s="47">
        <f t="shared" si="1"/>
        <v>2.9371397200109728E-2</v>
      </c>
      <c r="T18" s="47">
        <f t="shared" si="2"/>
        <v>3.366445916114813E-2</v>
      </c>
      <c r="U18" s="47">
        <f t="shared" si="3"/>
        <v>2.3634453781512521E-2</v>
      </c>
      <c r="V18" s="47">
        <f t="shared" si="4"/>
        <v>2.7098831030818449E-2</v>
      </c>
      <c r="W18" s="72">
        <f t="shared" si="8"/>
        <v>16166.599999999977</v>
      </c>
      <c r="X18" s="71">
        <f t="shared" si="9"/>
        <v>139</v>
      </c>
      <c r="Y18" s="71">
        <f t="shared" si="10"/>
        <v>143.10000000000036</v>
      </c>
      <c r="Z18" s="71">
        <f t="shared" si="11"/>
        <v>10.699999999999989</v>
      </c>
      <c r="AA18" s="71">
        <f t="shared" si="12"/>
        <v>12.200000000000045</v>
      </c>
      <c r="AB18" s="71">
        <f t="shared" si="13"/>
        <v>4.5</v>
      </c>
      <c r="AC18" s="71">
        <f t="shared" si="14"/>
        <v>5.1000000000000227</v>
      </c>
      <c r="AG18" s="199" t="s">
        <v>214</v>
      </c>
      <c r="AH18" t="s">
        <v>217</v>
      </c>
      <c r="AI18" t="s">
        <v>218</v>
      </c>
      <c r="AJ18" t="s">
        <v>219</v>
      </c>
      <c r="AL18" t="s">
        <v>220</v>
      </c>
      <c r="AM18" t="s">
        <v>16</v>
      </c>
    </row>
    <row r="19" spans="1:39" x14ac:dyDescent="0.2">
      <c r="A19" s="3">
        <v>40695</v>
      </c>
      <c r="B19">
        <f t="shared" si="0"/>
        <v>2011</v>
      </c>
      <c r="C19" s="127">
        <v>625936.9</v>
      </c>
      <c r="D19" s="127">
        <v>6662</v>
      </c>
      <c r="E19" s="127">
        <v>6706.8</v>
      </c>
      <c r="F19">
        <v>8</v>
      </c>
      <c r="G19">
        <v>8.1</v>
      </c>
      <c r="H19">
        <v>375.2</v>
      </c>
      <c r="I19">
        <v>379.2</v>
      </c>
      <c r="J19">
        <v>6.1</v>
      </c>
      <c r="K19">
        <v>5.9</v>
      </c>
      <c r="L19">
        <v>195.2</v>
      </c>
      <c r="M19">
        <v>197.3</v>
      </c>
      <c r="N19">
        <v>8.6</v>
      </c>
      <c r="O19">
        <v>8.1</v>
      </c>
      <c r="P19" s="47">
        <f t="shared" si="5"/>
        <v>2.6512606468370059E-2</v>
      </c>
      <c r="Q19" s="47">
        <f t="shared" si="6"/>
        <v>1.8529843444226923E-2</v>
      </c>
      <c r="R19" s="47">
        <f t="shared" si="7"/>
        <v>1.9440939974767923E-2</v>
      </c>
      <c r="S19" s="47">
        <f t="shared" si="1"/>
        <v>2.1786492374727739E-2</v>
      </c>
      <c r="T19" s="47">
        <f t="shared" si="2"/>
        <v>2.4587949202917958E-2</v>
      </c>
      <c r="U19" s="47">
        <f t="shared" si="3"/>
        <v>1.719645648775403E-2</v>
      </c>
      <c r="V19" s="47">
        <f t="shared" si="4"/>
        <v>1.9638242894056912E-2</v>
      </c>
      <c r="W19" s="72">
        <f t="shared" si="8"/>
        <v>16166.599999999977</v>
      </c>
      <c r="X19" s="71">
        <f t="shared" si="9"/>
        <v>121.19999999999982</v>
      </c>
      <c r="Y19" s="71">
        <f t="shared" si="10"/>
        <v>127.90000000000055</v>
      </c>
      <c r="Z19" s="71">
        <f t="shared" si="11"/>
        <v>8</v>
      </c>
      <c r="AA19" s="71">
        <f t="shared" si="12"/>
        <v>9.0999999999999659</v>
      </c>
      <c r="AB19" s="71">
        <f t="shared" si="13"/>
        <v>3.2999999999999829</v>
      </c>
      <c r="AC19" s="71">
        <f t="shared" si="14"/>
        <v>3.8000000000000114</v>
      </c>
      <c r="AG19" s="202">
        <v>44274</v>
      </c>
      <c r="AH19" s="202">
        <v>44281</v>
      </c>
      <c r="AI19" s="202">
        <v>44265</v>
      </c>
      <c r="AJ19" s="202">
        <v>44265</v>
      </c>
    </row>
    <row r="20" spans="1:39" x14ac:dyDescent="0.2">
      <c r="A20" s="3">
        <v>40725</v>
      </c>
      <c r="B20">
        <f t="shared" si="0"/>
        <v>2011</v>
      </c>
      <c r="C20" s="127">
        <v>625936.9</v>
      </c>
      <c r="D20" s="127">
        <v>6665.8</v>
      </c>
      <c r="E20" s="127">
        <v>6755.3</v>
      </c>
      <c r="F20">
        <v>7.9</v>
      </c>
      <c r="G20">
        <v>8.1999999999999993</v>
      </c>
      <c r="H20">
        <v>375.3</v>
      </c>
      <c r="I20">
        <v>379.4</v>
      </c>
      <c r="J20">
        <v>6.5</v>
      </c>
      <c r="K20">
        <v>6.4</v>
      </c>
      <c r="L20">
        <v>194.8</v>
      </c>
      <c r="M20">
        <v>200.1</v>
      </c>
      <c r="N20">
        <v>8.4</v>
      </c>
      <c r="O20">
        <v>7.7</v>
      </c>
      <c r="P20" s="47">
        <f t="shared" si="5"/>
        <v>2.6512606468370059E-2</v>
      </c>
      <c r="Q20" s="47">
        <f t="shared" si="6"/>
        <v>1.597317482091154E-2</v>
      </c>
      <c r="R20" s="47">
        <f t="shared" si="7"/>
        <v>1.7226580734539088E-2</v>
      </c>
      <c r="S20" s="47">
        <f t="shared" si="1"/>
        <v>8.3288554540570381E-3</v>
      </c>
      <c r="T20" s="47">
        <f t="shared" si="2"/>
        <v>9.8482832046844493E-3</v>
      </c>
      <c r="U20" s="47">
        <f t="shared" si="3"/>
        <v>1.7232375979112424E-2</v>
      </c>
      <c r="V20" s="47">
        <f t="shared" si="4"/>
        <v>2.0397756246812948E-2</v>
      </c>
      <c r="W20" s="72">
        <f t="shared" si="8"/>
        <v>16166.599999999977</v>
      </c>
      <c r="X20" s="71">
        <f t="shared" si="9"/>
        <v>104.80000000000018</v>
      </c>
      <c r="Y20" s="71">
        <f t="shared" si="10"/>
        <v>114.40000000000055</v>
      </c>
      <c r="Z20" s="71">
        <f t="shared" si="11"/>
        <v>3.1000000000000227</v>
      </c>
      <c r="AA20" s="71">
        <f t="shared" si="12"/>
        <v>3.6999999999999886</v>
      </c>
      <c r="AB20" s="71">
        <f t="shared" si="13"/>
        <v>3.3000000000000114</v>
      </c>
      <c r="AC20" s="71">
        <f t="shared" si="14"/>
        <v>4</v>
      </c>
      <c r="AF20">
        <v>2020</v>
      </c>
      <c r="AG20" s="59">
        <v>-5.6000000000000001E-2</v>
      </c>
      <c r="AH20" s="59">
        <v>-5.8000000000000003E-2</v>
      </c>
      <c r="AI20" s="59">
        <v>-5.7000000000000002E-2</v>
      </c>
      <c r="AJ20" s="59">
        <v>-5.6000000000000001E-2</v>
      </c>
      <c r="AL20" s="59">
        <f>AVERAGE(AG20,AH20,AI20,AJ20)</f>
        <v>-5.6750000000000002E-2</v>
      </c>
      <c r="AM20" s="59">
        <f>AVERAGE(AG20:AJ20)</f>
        <v>-5.6750000000000002E-2</v>
      </c>
    </row>
    <row r="21" spans="1:39" x14ac:dyDescent="0.2">
      <c r="A21" s="3">
        <v>40756</v>
      </c>
      <c r="B21">
        <f t="shared" si="0"/>
        <v>2011</v>
      </c>
      <c r="C21" s="127">
        <v>625936.9</v>
      </c>
      <c r="D21" s="127">
        <v>6677.5</v>
      </c>
      <c r="E21" s="127">
        <v>6778</v>
      </c>
      <c r="F21">
        <v>7.7</v>
      </c>
      <c r="G21">
        <v>8.1</v>
      </c>
      <c r="H21">
        <v>371.4</v>
      </c>
      <c r="I21">
        <v>372.8</v>
      </c>
      <c r="J21">
        <v>6.7</v>
      </c>
      <c r="K21">
        <v>7.2</v>
      </c>
      <c r="L21">
        <v>196.7</v>
      </c>
      <c r="M21">
        <v>201.8</v>
      </c>
      <c r="N21">
        <v>8.1</v>
      </c>
      <c r="O21">
        <v>7.7</v>
      </c>
      <c r="P21" s="47">
        <f t="shared" si="5"/>
        <v>2.6512606468370059E-2</v>
      </c>
      <c r="Q21" s="47">
        <f t="shared" si="6"/>
        <v>1.6532448355127904E-2</v>
      </c>
      <c r="R21" s="47">
        <f t="shared" si="7"/>
        <v>1.7320565544982403E-2</v>
      </c>
      <c r="S21" s="47">
        <f t="shared" si="1"/>
        <v>-1.4854111405835591E-2</v>
      </c>
      <c r="T21" s="47">
        <f t="shared" si="2"/>
        <v>-1.661830651543128E-2</v>
      </c>
      <c r="U21" s="47">
        <f t="shared" si="3"/>
        <v>3.2545931758530156E-2</v>
      </c>
      <c r="V21" s="47">
        <f t="shared" si="4"/>
        <v>3.1697341513292621E-2</v>
      </c>
      <c r="W21" s="72">
        <f t="shared" si="8"/>
        <v>16166.599999999977</v>
      </c>
      <c r="X21" s="71">
        <f t="shared" si="9"/>
        <v>108.60000000000036</v>
      </c>
      <c r="Y21" s="71">
        <f t="shared" si="10"/>
        <v>115.39999999999964</v>
      </c>
      <c r="Z21" s="71">
        <f t="shared" si="11"/>
        <v>-5.6000000000000227</v>
      </c>
      <c r="AA21" s="71">
        <f t="shared" si="12"/>
        <v>-6.3000000000000114</v>
      </c>
      <c r="AB21" s="71">
        <f t="shared" si="13"/>
        <v>6.1999999999999886</v>
      </c>
      <c r="AC21" s="71">
        <f t="shared" si="14"/>
        <v>6.2000000000000171</v>
      </c>
      <c r="AE21" s="55" t="s">
        <v>215</v>
      </c>
      <c r="AF21">
        <v>2021</v>
      </c>
      <c r="AG21" s="59">
        <v>6.2E-2</v>
      </c>
      <c r="AH21" s="59">
        <v>5.8999999999999997E-2</v>
      </c>
      <c r="AI21" s="59">
        <v>6.3E-2</v>
      </c>
      <c r="AJ21" s="59">
        <v>6.2E-2</v>
      </c>
      <c r="AL21" s="59">
        <f>AVERAGE(AG21,AH21,AI21,AJ21)</f>
        <v>6.1499999999999999E-2</v>
      </c>
      <c r="AM21" s="59">
        <f>AVERAGE(AG21:AJ21)</f>
        <v>6.1499999999999999E-2</v>
      </c>
    </row>
    <row r="22" spans="1:39" x14ac:dyDescent="0.2">
      <c r="A22" s="3">
        <v>40787</v>
      </c>
      <c r="B22">
        <f t="shared" si="0"/>
        <v>2011</v>
      </c>
      <c r="C22" s="127">
        <v>625936.9</v>
      </c>
      <c r="D22" s="127">
        <v>6674.4</v>
      </c>
      <c r="E22" s="127">
        <v>6734.6</v>
      </c>
      <c r="F22">
        <v>7.7</v>
      </c>
      <c r="G22">
        <v>8</v>
      </c>
      <c r="H22">
        <v>372.6</v>
      </c>
      <c r="I22">
        <v>371.1</v>
      </c>
      <c r="J22">
        <v>6.7</v>
      </c>
      <c r="K22">
        <v>7.2</v>
      </c>
      <c r="L22">
        <v>197.7</v>
      </c>
      <c r="M22">
        <v>201.6</v>
      </c>
      <c r="N22">
        <v>8</v>
      </c>
      <c r="O22">
        <v>7.9</v>
      </c>
      <c r="P22" s="47">
        <f t="shared" si="5"/>
        <v>2.6512606468370059E-2</v>
      </c>
      <c r="Q22" s="47">
        <f t="shared" si="6"/>
        <v>1.8059792556436749E-2</v>
      </c>
      <c r="R22" s="47">
        <f t="shared" si="7"/>
        <v>1.8665295256534487E-2</v>
      </c>
      <c r="S22" s="47">
        <f t="shared" si="1"/>
        <v>-1.2456930824277679E-2</v>
      </c>
      <c r="T22" s="47">
        <f t="shared" si="2"/>
        <v>-1.4865941067162103E-2</v>
      </c>
      <c r="U22" s="47">
        <f t="shared" si="3"/>
        <v>5.2155401809472979E-2</v>
      </c>
      <c r="V22" s="47">
        <f t="shared" si="4"/>
        <v>5.274151436031338E-2</v>
      </c>
      <c r="W22" s="72">
        <f t="shared" si="8"/>
        <v>16166.599999999977</v>
      </c>
      <c r="X22" s="71">
        <f t="shared" si="9"/>
        <v>118.39999999999964</v>
      </c>
      <c r="Y22" s="71">
        <f t="shared" si="10"/>
        <v>123.40000000000055</v>
      </c>
      <c r="Z22" s="71">
        <f t="shared" si="11"/>
        <v>-4.6999999999999886</v>
      </c>
      <c r="AA22" s="71">
        <f t="shared" si="12"/>
        <v>-5.5999999999999659</v>
      </c>
      <c r="AB22" s="71">
        <f t="shared" si="13"/>
        <v>9.7999999999999829</v>
      </c>
      <c r="AC22" s="71">
        <f t="shared" si="14"/>
        <v>10.099999999999994</v>
      </c>
      <c r="AF22">
        <v>2022</v>
      </c>
      <c r="AG22" s="59">
        <v>4.2000000000000003E-2</v>
      </c>
      <c r="AH22" s="59">
        <v>4.2999999999999997E-2</v>
      </c>
      <c r="AI22" s="59">
        <v>4.2000000000000003E-2</v>
      </c>
      <c r="AJ22" s="59">
        <v>4.2000000000000003E-2</v>
      </c>
      <c r="AL22" s="59">
        <f>AVERAGE(AG22,AH22,AI22,AJ22)</f>
        <v>4.2250000000000003E-2</v>
      </c>
      <c r="AM22" s="59">
        <f>AVERAGE(AG22:AJ22)</f>
        <v>4.2250000000000003E-2</v>
      </c>
    </row>
    <row r="23" spans="1:39" x14ac:dyDescent="0.2">
      <c r="A23" s="3">
        <v>40817</v>
      </c>
      <c r="B23">
        <f t="shared" si="0"/>
        <v>2011</v>
      </c>
      <c r="C23" s="127">
        <v>625936.9</v>
      </c>
      <c r="D23" s="127">
        <v>6668.1</v>
      </c>
      <c r="E23" s="127">
        <v>6702.2</v>
      </c>
      <c r="F23">
        <v>7.8</v>
      </c>
      <c r="G23">
        <v>7.7</v>
      </c>
      <c r="H23">
        <v>374.6</v>
      </c>
      <c r="I23">
        <v>373.4</v>
      </c>
      <c r="J23">
        <v>6.6</v>
      </c>
      <c r="K23">
        <v>7</v>
      </c>
      <c r="L23">
        <v>197.1</v>
      </c>
      <c r="M23">
        <v>200.6</v>
      </c>
      <c r="N23">
        <v>8</v>
      </c>
      <c r="O23">
        <v>7.3</v>
      </c>
      <c r="P23" s="47">
        <f t="shared" si="5"/>
        <v>2.6512606468370059E-2</v>
      </c>
      <c r="Q23" s="47">
        <f t="shared" si="6"/>
        <v>1.7781915867879583E-2</v>
      </c>
      <c r="R23" s="47">
        <f t="shared" si="7"/>
        <v>1.747354678082913E-2</v>
      </c>
      <c r="S23" s="47">
        <f t="shared" si="1"/>
        <v>2.6766595289078321E-3</v>
      </c>
      <c r="T23" s="47">
        <f t="shared" si="2"/>
        <v>1.3408420488065786E-3</v>
      </c>
      <c r="U23" s="47">
        <f t="shared" si="3"/>
        <v>4.6733935209771538E-2</v>
      </c>
      <c r="V23" s="47">
        <f t="shared" si="4"/>
        <v>4.806687565308243E-2</v>
      </c>
      <c r="W23" s="72">
        <f t="shared" si="8"/>
        <v>16166.599999999977</v>
      </c>
      <c r="X23" s="71">
        <f t="shared" si="9"/>
        <v>116.5</v>
      </c>
      <c r="Y23" s="71">
        <f t="shared" si="10"/>
        <v>115.09999999999945</v>
      </c>
      <c r="Z23" s="71">
        <f t="shared" si="11"/>
        <v>1</v>
      </c>
      <c r="AA23" s="71">
        <f t="shared" si="12"/>
        <v>0.5</v>
      </c>
      <c r="AB23" s="71">
        <f t="shared" si="13"/>
        <v>8.7999999999999829</v>
      </c>
      <c r="AC23" s="71">
        <f t="shared" si="14"/>
        <v>9.1999999999999886</v>
      </c>
    </row>
    <row r="24" spans="1:39" x14ac:dyDescent="0.2">
      <c r="A24" s="3">
        <v>40848</v>
      </c>
      <c r="B24">
        <f t="shared" si="0"/>
        <v>2011</v>
      </c>
      <c r="C24" s="127">
        <v>625936.9</v>
      </c>
      <c r="D24" s="127">
        <v>6662.8</v>
      </c>
      <c r="E24" s="127">
        <v>6669.4</v>
      </c>
      <c r="F24">
        <v>8</v>
      </c>
      <c r="G24">
        <v>7.4</v>
      </c>
      <c r="H24">
        <v>383.7</v>
      </c>
      <c r="I24">
        <v>381.7</v>
      </c>
      <c r="J24">
        <v>6.6</v>
      </c>
      <c r="K24">
        <v>6.4</v>
      </c>
      <c r="L24">
        <v>196.6</v>
      </c>
      <c r="M24">
        <v>198.2</v>
      </c>
      <c r="N24">
        <v>7.7</v>
      </c>
      <c r="O24">
        <v>6.6</v>
      </c>
      <c r="P24" s="47">
        <f t="shared" si="5"/>
        <v>2.6512606468370059E-2</v>
      </c>
      <c r="Q24" s="47">
        <f t="shared" si="6"/>
        <v>1.6336928169379483E-2</v>
      </c>
      <c r="R24" s="47">
        <f t="shared" si="7"/>
        <v>1.5654981268845347E-2</v>
      </c>
      <c r="S24" s="47">
        <f t="shared" si="1"/>
        <v>3.0620467365028103E-2</v>
      </c>
      <c r="T24" s="47">
        <f t="shared" si="2"/>
        <v>2.7456258411843848E-2</v>
      </c>
      <c r="U24" s="47">
        <f t="shared" si="3"/>
        <v>3.3648790746582558E-2</v>
      </c>
      <c r="V24" s="47">
        <f t="shared" si="4"/>
        <v>3.498694516971268E-2</v>
      </c>
      <c r="W24" s="72">
        <f t="shared" si="8"/>
        <v>16166.599999999977</v>
      </c>
      <c r="X24" s="71">
        <f t="shared" si="9"/>
        <v>107.10000000000036</v>
      </c>
      <c r="Y24" s="71">
        <f t="shared" si="10"/>
        <v>102.79999999999927</v>
      </c>
      <c r="Z24" s="71">
        <f t="shared" si="11"/>
        <v>11.399999999999977</v>
      </c>
      <c r="AA24" s="71">
        <f t="shared" si="12"/>
        <v>10.199999999999989</v>
      </c>
      <c r="AB24" s="71">
        <f t="shared" si="13"/>
        <v>6.4000000000000057</v>
      </c>
      <c r="AC24" s="71">
        <f t="shared" si="14"/>
        <v>6.6999999999999886</v>
      </c>
    </row>
    <row r="25" spans="1:39" x14ac:dyDescent="0.2">
      <c r="A25" s="3">
        <v>40878</v>
      </c>
      <c r="B25">
        <f t="shared" si="0"/>
        <v>2011</v>
      </c>
      <c r="C25" s="127">
        <v>625936.9</v>
      </c>
      <c r="D25" s="127">
        <v>6667.5</v>
      </c>
      <c r="E25" s="127">
        <v>6668.3</v>
      </c>
      <c r="F25">
        <v>7.9</v>
      </c>
      <c r="G25">
        <v>7.2</v>
      </c>
      <c r="H25">
        <v>387.6</v>
      </c>
      <c r="I25">
        <v>386.4</v>
      </c>
      <c r="J25">
        <v>6.5</v>
      </c>
      <c r="K25">
        <v>6.3</v>
      </c>
      <c r="L25">
        <v>195.6</v>
      </c>
      <c r="M25">
        <v>195.7</v>
      </c>
      <c r="N25">
        <v>7.6</v>
      </c>
      <c r="O25">
        <v>6.7</v>
      </c>
      <c r="P25" s="47">
        <f t="shared" si="5"/>
        <v>2.6512606468370059E-2</v>
      </c>
      <c r="Q25" s="47">
        <f t="shared" si="6"/>
        <v>1.3559734277852842E-2</v>
      </c>
      <c r="R25" s="47">
        <f t="shared" si="7"/>
        <v>1.2788384137543352E-2</v>
      </c>
      <c r="S25" s="47">
        <f t="shared" si="1"/>
        <v>4.5025613372876805E-2</v>
      </c>
      <c r="T25" s="47">
        <f t="shared" si="2"/>
        <v>4.3760129659643487E-2</v>
      </c>
      <c r="U25" s="47">
        <f t="shared" si="3"/>
        <v>1.9280875455966573E-2</v>
      </c>
      <c r="V25" s="47">
        <f t="shared" si="4"/>
        <v>1.9270833333333348E-2</v>
      </c>
      <c r="W25" s="72">
        <f t="shared" si="8"/>
        <v>16166.599999999977</v>
      </c>
      <c r="X25" s="71">
        <f t="shared" si="9"/>
        <v>89.199999999999818</v>
      </c>
      <c r="Y25" s="71">
        <f t="shared" si="10"/>
        <v>84.199999999999818</v>
      </c>
      <c r="Z25" s="71">
        <f t="shared" si="11"/>
        <v>16.700000000000045</v>
      </c>
      <c r="AA25" s="71">
        <f t="shared" si="12"/>
        <v>16.199999999999989</v>
      </c>
      <c r="AB25" s="71">
        <f t="shared" si="13"/>
        <v>3.6999999999999886</v>
      </c>
      <c r="AC25" s="71">
        <f t="shared" si="14"/>
        <v>3.6999999999999886</v>
      </c>
      <c r="AG25" s="202">
        <v>44274</v>
      </c>
      <c r="AH25" s="202">
        <v>44188</v>
      </c>
      <c r="AI25" s="202">
        <v>44265</v>
      </c>
      <c r="AJ25" s="202">
        <v>44265</v>
      </c>
    </row>
    <row r="26" spans="1:39" x14ac:dyDescent="0.2">
      <c r="A26" s="3">
        <v>40909</v>
      </c>
      <c r="B26">
        <f t="shared" si="0"/>
        <v>2012</v>
      </c>
      <c r="C26" s="127">
        <v>634944.30000000005</v>
      </c>
      <c r="D26" s="127">
        <v>6673.6</v>
      </c>
      <c r="E26" s="127">
        <v>6635.9</v>
      </c>
      <c r="F26">
        <v>7.9</v>
      </c>
      <c r="G26">
        <v>7.4</v>
      </c>
      <c r="H26">
        <v>390.1</v>
      </c>
      <c r="I26">
        <v>387.2</v>
      </c>
      <c r="J26">
        <v>6.3</v>
      </c>
      <c r="K26">
        <v>6.1</v>
      </c>
      <c r="L26">
        <v>195.7</v>
      </c>
      <c r="M26">
        <v>193.8</v>
      </c>
      <c r="N26">
        <v>7.6</v>
      </c>
      <c r="O26">
        <v>7.4</v>
      </c>
      <c r="P26" s="47">
        <f t="shared" si="5"/>
        <v>1.4390268412039608E-2</v>
      </c>
      <c r="Q26" s="47">
        <f t="shared" si="6"/>
        <v>1.0187245508075593E-2</v>
      </c>
      <c r="R26" s="47">
        <f t="shared" si="7"/>
        <v>9.8459946432918333E-3</v>
      </c>
      <c r="S26" s="47">
        <f t="shared" si="1"/>
        <v>4.8374092985756567E-2</v>
      </c>
      <c r="T26" s="47">
        <f t="shared" si="2"/>
        <v>4.8186247969680629E-2</v>
      </c>
      <c r="U26" s="47">
        <f t="shared" si="3"/>
        <v>1.2939958592132594E-2</v>
      </c>
      <c r="V26" s="47">
        <f t="shared" si="4"/>
        <v>1.3068478829064256E-2</v>
      </c>
      <c r="W26" s="72">
        <f t="shared" si="8"/>
        <v>9007.4000000000233</v>
      </c>
      <c r="X26" s="71">
        <f t="shared" si="9"/>
        <v>67.300000000000182</v>
      </c>
      <c r="Y26" s="71">
        <f t="shared" si="10"/>
        <v>64.699999999999818</v>
      </c>
      <c r="Z26" s="71">
        <f t="shared" si="11"/>
        <v>18</v>
      </c>
      <c r="AA26" s="71">
        <f t="shared" si="12"/>
        <v>17.800000000000011</v>
      </c>
      <c r="AB26" s="71">
        <f t="shared" si="13"/>
        <v>2.5</v>
      </c>
      <c r="AC26" s="71">
        <f t="shared" si="14"/>
        <v>2.5</v>
      </c>
      <c r="AF26">
        <v>2020</v>
      </c>
      <c r="AG26" s="59">
        <v>-4.7E-2</v>
      </c>
      <c r="AH26" s="59">
        <v>-5.0999999999999997E-2</v>
      </c>
      <c r="AI26" s="59">
        <v>-4.8000000000000001E-2</v>
      </c>
      <c r="AJ26" s="59">
        <v>-4.8000000000000001E-2</v>
      </c>
      <c r="AL26" s="59">
        <f>AVERAGE(AG26,AI26,AJ26)</f>
        <v>-4.766666666666667E-2</v>
      </c>
      <c r="AM26" s="59">
        <f>AVERAGE(AG26:AJ26)</f>
        <v>-4.8500000000000001E-2</v>
      </c>
    </row>
    <row r="27" spans="1:39" x14ac:dyDescent="0.2">
      <c r="A27" s="3">
        <v>40940</v>
      </c>
      <c r="B27">
        <f t="shared" si="0"/>
        <v>2012</v>
      </c>
      <c r="C27" s="127">
        <v>634944.30000000005</v>
      </c>
      <c r="D27" s="127">
        <v>6670.7</v>
      </c>
      <c r="E27" s="127">
        <v>6598</v>
      </c>
      <c r="F27">
        <v>7.8</v>
      </c>
      <c r="G27">
        <v>7.5</v>
      </c>
      <c r="H27">
        <v>388.4</v>
      </c>
      <c r="I27">
        <v>385.8</v>
      </c>
      <c r="J27">
        <v>6.4</v>
      </c>
      <c r="K27">
        <v>6.2</v>
      </c>
      <c r="L27">
        <v>196.5</v>
      </c>
      <c r="M27">
        <v>193</v>
      </c>
      <c r="N27">
        <v>7.7</v>
      </c>
      <c r="O27">
        <v>8.4</v>
      </c>
      <c r="P27" s="47">
        <f t="shared" si="5"/>
        <v>1.4390268412039608E-2</v>
      </c>
      <c r="Q27" s="47">
        <f t="shared" si="6"/>
        <v>7.7347231664022242E-3</v>
      </c>
      <c r="R27" s="47">
        <f t="shared" si="7"/>
        <v>7.6205311464394576E-3</v>
      </c>
      <c r="S27" s="47">
        <f t="shared" si="1"/>
        <v>5.0865800865800725E-2</v>
      </c>
      <c r="T27" s="47">
        <f t="shared" si="2"/>
        <v>5.58292282430215E-2</v>
      </c>
      <c r="U27" s="47">
        <f t="shared" si="3"/>
        <v>1.6028955532574996E-2</v>
      </c>
      <c r="V27" s="47">
        <f t="shared" si="4"/>
        <v>1.7395888244596813E-2</v>
      </c>
      <c r="W27" s="72">
        <f t="shared" si="8"/>
        <v>9007.4000000000233</v>
      </c>
      <c r="X27" s="71">
        <f t="shared" si="9"/>
        <v>51.199999999999818</v>
      </c>
      <c r="Y27" s="71">
        <f t="shared" si="10"/>
        <v>49.899999999999636</v>
      </c>
      <c r="Z27" s="71">
        <f t="shared" si="11"/>
        <v>18.799999999999955</v>
      </c>
      <c r="AA27" s="71">
        <f t="shared" si="12"/>
        <v>20.400000000000034</v>
      </c>
      <c r="AB27" s="71">
        <f t="shared" si="13"/>
        <v>3.0999999999999943</v>
      </c>
      <c r="AC27" s="71">
        <f t="shared" si="14"/>
        <v>3.3000000000000114</v>
      </c>
      <c r="AE27" s="55" t="s">
        <v>216</v>
      </c>
      <c r="AF27">
        <v>2021</v>
      </c>
      <c r="AG27" s="59">
        <v>4.9000000000000002E-2</v>
      </c>
      <c r="AH27" s="59">
        <v>5.0999999999999997E-2</v>
      </c>
      <c r="AI27" s="59">
        <v>4.2999999999999997E-2</v>
      </c>
      <c r="AJ27" s="59">
        <v>5.5E-2</v>
      </c>
      <c r="AL27" s="59">
        <f>AVERAGE(AG27,AI27,AJ27)</f>
        <v>4.8999999999999995E-2</v>
      </c>
      <c r="AM27" s="59">
        <f>AVERAGE(AG27:AJ27)</f>
        <v>4.9500000000000002E-2</v>
      </c>
    </row>
    <row r="28" spans="1:39" x14ac:dyDescent="0.2">
      <c r="A28" s="3">
        <v>40969</v>
      </c>
      <c r="B28">
        <f t="shared" si="0"/>
        <v>2012</v>
      </c>
      <c r="C28" s="127">
        <v>634944.30000000005</v>
      </c>
      <c r="D28" s="127">
        <v>6674</v>
      </c>
      <c r="E28" s="127">
        <v>6569.8</v>
      </c>
      <c r="F28">
        <v>7.8</v>
      </c>
      <c r="G28">
        <v>8</v>
      </c>
      <c r="H28">
        <v>385</v>
      </c>
      <c r="I28">
        <v>380.7</v>
      </c>
      <c r="J28">
        <v>6.4</v>
      </c>
      <c r="K28">
        <v>6.5</v>
      </c>
      <c r="L28">
        <v>197</v>
      </c>
      <c r="M28">
        <v>192.5</v>
      </c>
      <c r="N28">
        <v>7.5</v>
      </c>
      <c r="O28">
        <v>8.4</v>
      </c>
      <c r="P28" s="47">
        <f t="shared" si="5"/>
        <v>1.4390268412039608E-2</v>
      </c>
      <c r="Q28" s="47">
        <f t="shared" si="6"/>
        <v>6.8491084090154253E-3</v>
      </c>
      <c r="R28" s="47">
        <f t="shared" si="7"/>
        <v>7.066541993040909E-3</v>
      </c>
      <c r="S28" s="47">
        <f t="shared" si="1"/>
        <v>4.1103299080583966E-2</v>
      </c>
      <c r="T28" s="47">
        <f t="shared" si="2"/>
        <v>4.7029702970296849E-2</v>
      </c>
      <c r="U28" s="47">
        <f t="shared" si="3"/>
        <v>1.3896037056098764E-2</v>
      </c>
      <c r="V28" s="47">
        <f t="shared" si="4"/>
        <v>1.4760147601476037E-2</v>
      </c>
      <c r="W28" s="72">
        <f t="shared" si="8"/>
        <v>9007.4000000000233</v>
      </c>
      <c r="X28" s="71">
        <f t="shared" si="9"/>
        <v>45.399999999999636</v>
      </c>
      <c r="Y28" s="71">
        <f t="shared" si="10"/>
        <v>46.100000000000364</v>
      </c>
      <c r="Z28" s="71">
        <f t="shared" si="11"/>
        <v>15.199999999999989</v>
      </c>
      <c r="AA28" s="71">
        <f t="shared" si="12"/>
        <v>17.099999999999966</v>
      </c>
      <c r="AB28" s="71">
        <f t="shared" si="13"/>
        <v>2.6999999999999886</v>
      </c>
      <c r="AC28" s="71">
        <f t="shared" si="14"/>
        <v>2.8000000000000114</v>
      </c>
      <c r="AF28">
        <v>2022</v>
      </c>
      <c r="AG28" s="59">
        <v>3.2000000000000001E-2</v>
      </c>
      <c r="AH28" s="59">
        <v>3.6999999999999998E-2</v>
      </c>
      <c r="AI28" s="59">
        <v>3.7999999999999999E-2</v>
      </c>
      <c r="AJ28" s="59">
        <v>2.4E-2</v>
      </c>
      <c r="AL28" s="59">
        <f>AVERAGE(AG28,AI28,AJ28)</f>
        <v>3.1333333333333331E-2</v>
      </c>
      <c r="AM28" s="59">
        <f>AVERAGE(AG28:AJ28)</f>
        <v>3.2750000000000001E-2</v>
      </c>
    </row>
    <row r="29" spans="1:39" x14ac:dyDescent="0.2">
      <c r="A29" s="3">
        <v>41000</v>
      </c>
      <c r="B29">
        <f t="shared" si="0"/>
        <v>2012</v>
      </c>
      <c r="C29" s="127">
        <v>634944.30000000005</v>
      </c>
      <c r="D29" s="127">
        <v>6685.8</v>
      </c>
      <c r="E29" s="127">
        <v>6603.3</v>
      </c>
      <c r="F29">
        <v>7.7</v>
      </c>
      <c r="G29">
        <v>7.9</v>
      </c>
      <c r="H29">
        <v>382.5</v>
      </c>
      <c r="I29">
        <v>378.9</v>
      </c>
      <c r="J29">
        <v>6.7</v>
      </c>
      <c r="K29">
        <v>6.6</v>
      </c>
      <c r="L29">
        <v>198.4</v>
      </c>
      <c r="M29">
        <v>193.4</v>
      </c>
      <c r="N29">
        <v>7.7</v>
      </c>
      <c r="O29">
        <v>8.6</v>
      </c>
      <c r="P29" s="47">
        <f t="shared" si="5"/>
        <v>1.4390268412039608E-2</v>
      </c>
      <c r="Q29" s="47">
        <f t="shared" si="6"/>
        <v>7.5804385502222793E-3</v>
      </c>
      <c r="R29" s="47">
        <f t="shared" si="7"/>
        <v>8.1374045801527739E-3</v>
      </c>
      <c r="S29" s="47">
        <f t="shared" si="1"/>
        <v>2.8225806451612989E-2</v>
      </c>
      <c r="T29" s="47">
        <f t="shared" si="2"/>
        <v>3.2143830019068176E-2</v>
      </c>
      <c r="U29" s="47">
        <f t="shared" si="3"/>
        <v>1.2761613067891808E-2</v>
      </c>
      <c r="V29" s="47">
        <f t="shared" si="4"/>
        <v>1.4158363922391226E-2</v>
      </c>
      <c r="W29" s="72">
        <f t="shared" si="8"/>
        <v>9007.4000000000233</v>
      </c>
      <c r="X29" s="71">
        <f t="shared" si="9"/>
        <v>50.300000000000182</v>
      </c>
      <c r="Y29" s="71">
        <f t="shared" si="10"/>
        <v>53.300000000000182</v>
      </c>
      <c r="Z29" s="71">
        <f t="shared" si="11"/>
        <v>10.5</v>
      </c>
      <c r="AA29" s="71">
        <f t="shared" si="12"/>
        <v>11.799999999999955</v>
      </c>
      <c r="AB29" s="71">
        <f t="shared" si="13"/>
        <v>2.5</v>
      </c>
      <c r="AC29" s="71">
        <f t="shared" si="14"/>
        <v>2.7000000000000171</v>
      </c>
    </row>
    <row r="30" spans="1:39" x14ac:dyDescent="0.2">
      <c r="A30" s="3">
        <v>41030</v>
      </c>
      <c r="B30">
        <f t="shared" si="0"/>
        <v>2012</v>
      </c>
      <c r="C30" s="127">
        <v>634944.30000000005</v>
      </c>
      <c r="D30" s="127">
        <v>6690.1</v>
      </c>
      <c r="E30" s="127">
        <v>6658.1</v>
      </c>
      <c r="F30">
        <v>7.9</v>
      </c>
      <c r="G30">
        <v>8.1999999999999993</v>
      </c>
      <c r="H30">
        <v>376.3</v>
      </c>
      <c r="I30">
        <v>375.1</v>
      </c>
      <c r="J30">
        <v>6.9</v>
      </c>
      <c r="K30">
        <v>6.8</v>
      </c>
      <c r="L30">
        <v>200.2</v>
      </c>
      <c r="M30">
        <v>199</v>
      </c>
      <c r="N30">
        <v>7.9</v>
      </c>
      <c r="O30">
        <v>8.4</v>
      </c>
      <c r="P30" s="47">
        <f t="shared" si="5"/>
        <v>1.4390268412039608E-2</v>
      </c>
      <c r="Q30" s="47">
        <f t="shared" si="6"/>
        <v>6.6658641548045239E-3</v>
      </c>
      <c r="R30" s="47">
        <f t="shared" si="7"/>
        <v>6.9721718088324725E-3</v>
      </c>
      <c r="S30" s="47">
        <f t="shared" si="1"/>
        <v>3.466666666666729E-3</v>
      </c>
      <c r="T30" s="47">
        <f t="shared" si="2"/>
        <v>1.3347570742126003E-3</v>
      </c>
      <c r="U30" s="47">
        <f t="shared" si="3"/>
        <v>2.7193432529502237E-2</v>
      </c>
      <c r="V30" s="47">
        <f t="shared" si="4"/>
        <v>2.9487842731505287E-2</v>
      </c>
      <c r="W30" s="72">
        <f t="shared" si="8"/>
        <v>9007.4000000000233</v>
      </c>
      <c r="X30" s="71">
        <f t="shared" si="9"/>
        <v>44.300000000000182</v>
      </c>
      <c r="Y30" s="71">
        <f t="shared" si="10"/>
        <v>46.100000000000364</v>
      </c>
      <c r="Z30" s="71">
        <f t="shared" si="11"/>
        <v>1.3000000000000114</v>
      </c>
      <c r="AA30" s="71">
        <f t="shared" si="12"/>
        <v>0.5</v>
      </c>
      <c r="AB30" s="71">
        <f t="shared" si="13"/>
        <v>5.2999999999999829</v>
      </c>
      <c r="AC30" s="71">
        <f t="shared" si="14"/>
        <v>5.6999999999999886</v>
      </c>
    </row>
    <row r="31" spans="1:39" x14ac:dyDescent="0.2">
      <c r="A31" s="3">
        <v>41061</v>
      </c>
      <c r="B31">
        <f t="shared" si="0"/>
        <v>2012</v>
      </c>
      <c r="C31" s="127">
        <v>634944.30000000005</v>
      </c>
      <c r="D31" s="127">
        <v>6693.3</v>
      </c>
      <c r="E31" s="127">
        <v>6737.2</v>
      </c>
      <c r="F31">
        <v>7.9</v>
      </c>
      <c r="G31">
        <v>8</v>
      </c>
      <c r="H31">
        <v>371.5</v>
      </c>
      <c r="I31">
        <v>373.8</v>
      </c>
      <c r="J31">
        <v>7.3</v>
      </c>
      <c r="K31">
        <v>6.9</v>
      </c>
      <c r="L31">
        <v>203</v>
      </c>
      <c r="M31">
        <v>205.3</v>
      </c>
      <c r="N31">
        <v>8.1999999999999993</v>
      </c>
      <c r="O31">
        <v>7.8</v>
      </c>
      <c r="P31" s="47">
        <f t="shared" si="5"/>
        <v>1.4390268412039608E-2</v>
      </c>
      <c r="Q31" s="47">
        <f t="shared" si="6"/>
        <v>4.6982888021616098E-3</v>
      </c>
      <c r="R31" s="47">
        <f t="shared" si="7"/>
        <v>4.5327130673344929E-3</v>
      </c>
      <c r="S31" s="47">
        <f t="shared" si="1"/>
        <v>-9.8614072494669358E-3</v>
      </c>
      <c r="T31" s="47">
        <f t="shared" si="2"/>
        <v>-1.4240506329113889E-2</v>
      </c>
      <c r="U31" s="47">
        <f t="shared" si="3"/>
        <v>3.9959016393442681E-2</v>
      </c>
      <c r="V31" s="47">
        <f t="shared" si="4"/>
        <v>4.054738976178407E-2</v>
      </c>
      <c r="W31" s="72">
        <f t="shared" si="8"/>
        <v>9007.4000000000233</v>
      </c>
      <c r="X31" s="71">
        <f t="shared" si="9"/>
        <v>31.300000000000182</v>
      </c>
      <c r="Y31" s="71">
        <f t="shared" si="10"/>
        <v>30.399999999999636</v>
      </c>
      <c r="Z31" s="71">
        <f t="shared" si="11"/>
        <v>-3.6999999999999886</v>
      </c>
      <c r="AA31" s="71">
        <f t="shared" si="12"/>
        <v>-5.3999999999999773</v>
      </c>
      <c r="AB31" s="71">
        <f t="shared" si="13"/>
        <v>7.8000000000000114</v>
      </c>
      <c r="AC31" s="71">
        <f t="shared" si="14"/>
        <v>8</v>
      </c>
    </row>
    <row r="32" spans="1:39" x14ac:dyDescent="0.2">
      <c r="A32" s="3">
        <v>41091</v>
      </c>
      <c r="B32">
        <f t="shared" si="0"/>
        <v>2012</v>
      </c>
      <c r="C32" s="127">
        <v>634944.30000000005</v>
      </c>
      <c r="D32" s="127">
        <v>6694.6</v>
      </c>
      <c r="E32" s="127">
        <v>6778.6</v>
      </c>
      <c r="F32">
        <v>8</v>
      </c>
      <c r="G32">
        <v>8.3000000000000007</v>
      </c>
      <c r="H32">
        <v>368.7</v>
      </c>
      <c r="I32">
        <v>372.6</v>
      </c>
      <c r="J32">
        <v>7.4</v>
      </c>
      <c r="K32">
        <v>7.5</v>
      </c>
      <c r="L32">
        <v>204.4</v>
      </c>
      <c r="M32">
        <v>209.1</v>
      </c>
      <c r="N32">
        <v>8.3000000000000007</v>
      </c>
      <c r="O32">
        <v>7.9</v>
      </c>
      <c r="P32" s="47">
        <f t="shared" si="5"/>
        <v>1.4390268412039608E-2</v>
      </c>
      <c r="Q32" s="47">
        <f t="shared" si="6"/>
        <v>4.3205616730175311E-3</v>
      </c>
      <c r="R32" s="47">
        <f t="shared" si="7"/>
        <v>3.4491436353678573E-3</v>
      </c>
      <c r="S32" s="47">
        <f t="shared" si="1"/>
        <v>-1.7585931254996079E-2</v>
      </c>
      <c r="T32" s="47">
        <f t="shared" si="2"/>
        <v>-1.7923036373220791E-2</v>
      </c>
      <c r="U32" s="47">
        <f t="shared" si="3"/>
        <v>4.9281314168377888E-2</v>
      </c>
      <c r="V32" s="47">
        <f t="shared" si="4"/>
        <v>4.4977511244377766E-2</v>
      </c>
      <c r="W32" s="72">
        <f t="shared" si="8"/>
        <v>9007.4000000000233</v>
      </c>
      <c r="X32" s="71">
        <f t="shared" si="9"/>
        <v>28.800000000000182</v>
      </c>
      <c r="Y32" s="71">
        <f t="shared" si="10"/>
        <v>23.300000000000182</v>
      </c>
      <c r="Z32" s="71">
        <f t="shared" si="11"/>
        <v>-6.6000000000000227</v>
      </c>
      <c r="AA32" s="71">
        <f t="shared" si="12"/>
        <v>-6.7999999999999545</v>
      </c>
      <c r="AB32" s="71">
        <f t="shared" si="13"/>
        <v>9.5999999999999943</v>
      </c>
      <c r="AC32" s="71">
        <f t="shared" si="14"/>
        <v>9</v>
      </c>
    </row>
    <row r="33" spans="1:29" x14ac:dyDescent="0.2">
      <c r="A33" s="3">
        <v>41122</v>
      </c>
      <c r="B33">
        <f t="shared" si="0"/>
        <v>2012</v>
      </c>
      <c r="C33" s="127">
        <v>634944.30000000005</v>
      </c>
      <c r="D33" s="127">
        <v>6703.3</v>
      </c>
      <c r="E33" s="127">
        <v>6797.9</v>
      </c>
      <c r="F33">
        <v>7.9</v>
      </c>
      <c r="G33">
        <v>8.3000000000000007</v>
      </c>
      <c r="H33">
        <v>371.3</v>
      </c>
      <c r="I33">
        <v>374.1</v>
      </c>
      <c r="J33">
        <v>6.9</v>
      </c>
      <c r="K33">
        <v>7.5</v>
      </c>
      <c r="L33">
        <v>205.2</v>
      </c>
      <c r="M33">
        <v>209.5</v>
      </c>
      <c r="N33">
        <v>8.3000000000000007</v>
      </c>
      <c r="O33">
        <v>8</v>
      </c>
      <c r="P33" s="47">
        <f t="shared" si="5"/>
        <v>1.4390268412039608E-2</v>
      </c>
      <c r="Q33" s="47">
        <f t="shared" si="6"/>
        <v>3.8637214526395791E-3</v>
      </c>
      <c r="R33" s="47">
        <f t="shared" si="7"/>
        <v>2.9359693124815234E-3</v>
      </c>
      <c r="S33" s="47">
        <f t="shared" si="1"/>
        <v>-2.6925148088308148E-4</v>
      </c>
      <c r="T33" s="47">
        <f t="shared" si="2"/>
        <v>3.4871244635192866E-3</v>
      </c>
      <c r="U33" s="47">
        <f t="shared" si="3"/>
        <v>4.3213014743263889E-2</v>
      </c>
      <c r="V33" s="47">
        <f t="shared" si="4"/>
        <v>3.8156590683845248E-2</v>
      </c>
      <c r="W33" s="72">
        <f t="shared" si="8"/>
        <v>9007.4000000000233</v>
      </c>
      <c r="X33" s="71">
        <f t="shared" si="9"/>
        <v>25.800000000000182</v>
      </c>
      <c r="Y33" s="71">
        <f t="shared" si="10"/>
        <v>19.899999999999636</v>
      </c>
      <c r="Z33" s="71">
        <f t="shared" si="11"/>
        <v>-9.9999999999965894E-2</v>
      </c>
      <c r="AA33" s="71">
        <f t="shared" si="12"/>
        <v>1.3000000000000114</v>
      </c>
      <c r="AB33" s="71">
        <f t="shared" si="13"/>
        <v>8.5</v>
      </c>
      <c r="AC33" s="71">
        <f t="shared" si="14"/>
        <v>7.6999999999999886</v>
      </c>
    </row>
    <row r="34" spans="1:29" x14ac:dyDescent="0.2">
      <c r="A34" s="3">
        <v>41153</v>
      </c>
      <c r="B34">
        <f t="shared" si="0"/>
        <v>2012</v>
      </c>
      <c r="C34" s="127">
        <v>634944.30000000005</v>
      </c>
      <c r="D34" s="127">
        <v>6707.4</v>
      </c>
      <c r="E34" s="127">
        <v>6763.1</v>
      </c>
      <c r="F34">
        <v>7.9</v>
      </c>
      <c r="G34">
        <v>8.1999999999999993</v>
      </c>
      <c r="H34">
        <v>376.3</v>
      </c>
      <c r="I34">
        <v>376.1</v>
      </c>
      <c r="J34">
        <v>6.4</v>
      </c>
      <c r="K34">
        <v>7.1</v>
      </c>
      <c r="L34">
        <v>204.9</v>
      </c>
      <c r="M34">
        <v>208.7</v>
      </c>
      <c r="N34">
        <v>8.4</v>
      </c>
      <c r="O34">
        <v>8.3000000000000007</v>
      </c>
      <c r="P34" s="47">
        <f t="shared" si="5"/>
        <v>1.4390268412039608E-2</v>
      </c>
      <c r="Q34" s="47">
        <f t="shared" si="6"/>
        <v>4.9442646530024614E-3</v>
      </c>
      <c r="R34" s="47">
        <f t="shared" si="7"/>
        <v>4.2318771716212122E-3</v>
      </c>
      <c r="S34" s="47">
        <f t="shared" si="1"/>
        <v>9.9302200751476555E-3</v>
      </c>
      <c r="T34" s="47">
        <f t="shared" si="2"/>
        <v>1.34734572891404E-2</v>
      </c>
      <c r="U34" s="47">
        <f t="shared" si="3"/>
        <v>3.6418816388467556E-2</v>
      </c>
      <c r="V34" s="47">
        <f t="shared" si="4"/>
        <v>3.5218253968253954E-2</v>
      </c>
      <c r="W34" s="72">
        <f t="shared" si="8"/>
        <v>9007.4000000000233</v>
      </c>
      <c r="X34" s="71">
        <f t="shared" si="9"/>
        <v>33</v>
      </c>
      <c r="Y34" s="71">
        <f t="shared" si="10"/>
        <v>28.5</v>
      </c>
      <c r="Z34" s="71">
        <f t="shared" si="11"/>
        <v>3.6999999999999886</v>
      </c>
      <c r="AA34" s="71">
        <f t="shared" si="12"/>
        <v>5</v>
      </c>
      <c r="AB34" s="71">
        <f t="shared" si="13"/>
        <v>7.2000000000000171</v>
      </c>
      <c r="AC34" s="71">
        <f t="shared" si="14"/>
        <v>7.0999999999999943</v>
      </c>
    </row>
    <row r="35" spans="1:29" x14ac:dyDescent="0.2">
      <c r="A35" s="3">
        <v>41183</v>
      </c>
      <c r="B35">
        <f t="shared" si="0"/>
        <v>2012</v>
      </c>
      <c r="C35" s="127">
        <v>634944.30000000005</v>
      </c>
      <c r="D35" s="127">
        <v>6710</v>
      </c>
      <c r="E35" s="127">
        <v>6740.9</v>
      </c>
      <c r="F35">
        <v>8</v>
      </c>
      <c r="G35">
        <v>7.9</v>
      </c>
      <c r="H35">
        <v>377.5</v>
      </c>
      <c r="I35">
        <v>375.9</v>
      </c>
      <c r="J35">
        <v>6</v>
      </c>
      <c r="K35">
        <v>6.6</v>
      </c>
      <c r="L35">
        <v>203.9</v>
      </c>
      <c r="M35">
        <v>207.9</v>
      </c>
      <c r="N35">
        <v>8.6999999999999993</v>
      </c>
      <c r="O35">
        <v>8</v>
      </c>
      <c r="P35" s="47">
        <f t="shared" si="5"/>
        <v>1.4390268412039608E-2</v>
      </c>
      <c r="Q35" s="47">
        <f t="shared" si="6"/>
        <v>6.2836490154616342E-3</v>
      </c>
      <c r="R35" s="47">
        <f t="shared" si="7"/>
        <v>5.7742233893347539E-3</v>
      </c>
      <c r="S35" s="47">
        <f t="shared" si="1"/>
        <v>7.741591030432371E-3</v>
      </c>
      <c r="T35" s="47">
        <f t="shared" si="2"/>
        <v>6.6952329941081246E-3</v>
      </c>
      <c r="U35" s="47">
        <f t="shared" si="3"/>
        <v>3.4500253678335868E-2</v>
      </c>
      <c r="V35" s="47">
        <f t="shared" si="4"/>
        <v>3.6390827517447821E-2</v>
      </c>
      <c r="W35" s="72">
        <f t="shared" si="8"/>
        <v>9007.4000000000233</v>
      </c>
      <c r="X35" s="71">
        <f t="shared" si="9"/>
        <v>41.899999999999636</v>
      </c>
      <c r="Y35" s="71">
        <f t="shared" si="10"/>
        <v>38.699999999999818</v>
      </c>
      <c r="Z35" s="71">
        <f t="shared" si="11"/>
        <v>2.8999999999999773</v>
      </c>
      <c r="AA35" s="71">
        <f t="shared" si="12"/>
        <v>2.5</v>
      </c>
      <c r="AB35" s="71">
        <f t="shared" si="13"/>
        <v>6.8000000000000114</v>
      </c>
      <c r="AC35" s="71">
        <f t="shared" si="14"/>
        <v>7.3000000000000114</v>
      </c>
    </row>
    <row r="36" spans="1:29" x14ac:dyDescent="0.2">
      <c r="A36" s="3">
        <v>41214</v>
      </c>
      <c r="B36">
        <f t="shared" si="0"/>
        <v>2012</v>
      </c>
      <c r="C36" s="127">
        <v>634944.30000000005</v>
      </c>
      <c r="D36" s="127">
        <v>6722.4</v>
      </c>
      <c r="E36" s="127">
        <v>6727.4</v>
      </c>
      <c r="F36">
        <v>8.1</v>
      </c>
      <c r="G36">
        <v>7.4</v>
      </c>
      <c r="H36">
        <v>377.9</v>
      </c>
      <c r="I36">
        <v>373.6</v>
      </c>
      <c r="J36">
        <v>6</v>
      </c>
      <c r="K36">
        <v>6.1</v>
      </c>
      <c r="L36">
        <v>201.6</v>
      </c>
      <c r="M36">
        <v>204</v>
      </c>
      <c r="N36">
        <v>8.6</v>
      </c>
      <c r="O36">
        <v>7.3</v>
      </c>
      <c r="P36" s="47">
        <f t="shared" si="5"/>
        <v>1.4390268412039608E-2</v>
      </c>
      <c r="Q36" s="47">
        <f t="shared" si="6"/>
        <v>8.9451882091611257E-3</v>
      </c>
      <c r="R36" s="47">
        <f t="shared" si="7"/>
        <v>8.696434461870739E-3</v>
      </c>
      <c r="S36" s="47">
        <f t="shared" si="1"/>
        <v>-1.5115976022934574E-2</v>
      </c>
      <c r="T36" s="47">
        <f t="shared" si="2"/>
        <v>-2.1220854073879969E-2</v>
      </c>
      <c r="U36" s="47">
        <f t="shared" si="3"/>
        <v>2.5432349949135347E-2</v>
      </c>
      <c r="V36" s="47">
        <f t="shared" si="4"/>
        <v>2.9263370332996974E-2</v>
      </c>
      <c r="W36" s="72">
        <f t="shared" si="8"/>
        <v>9007.4000000000233</v>
      </c>
      <c r="X36" s="71">
        <f t="shared" si="9"/>
        <v>59.599999999999454</v>
      </c>
      <c r="Y36" s="71">
        <f t="shared" si="10"/>
        <v>58</v>
      </c>
      <c r="Z36" s="71">
        <f t="shared" si="11"/>
        <v>-5.8000000000000114</v>
      </c>
      <c r="AA36" s="71">
        <f t="shared" si="12"/>
        <v>-8.0999999999999659</v>
      </c>
      <c r="AB36" s="71">
        <f t="shared" si="13"/>
        <v>5</v>
      </c>
      <c r="AC36" s="71">
        <f t="shared" si="14"/>
        <v>5.8000000000000114</v>
      </c>
    </row>
    <row r="37" spans="1:29" x14ac:dyDescent="0.2">
      <c r="A37" s="3">
        <v>41244</v>
      </c>
      <c r="B37">
        <f t="shared" si="0"/>
        <v>2012</v>
      </c>
      <c r="C37" s="127">
        <v>634944.30000000005</v>
      </c>
      <c r="D37" s="127">
        <v>6740.6</v>
      </c>
      <c r="E37" s="127">
        <v>6740.2</v>
      </c>
      <c r="F37">
        <v>8.1</v>
      </c>
      <c r="G37">
        <v>7.3</v>
      </c>
      <c r="H37">
        <v>378.6</v>
      </c>
      <c r="I37">
        <v>375.8</v>
      </c>
      <c r="J37">
        <v>6.1</v>
      </c>
      <c r="K37">
        <v>6.1</v>
      </c>
      <c r="L37">
        <v>200.2</v>
      </c>
      <c r="M37">
        <v>200.5</v>
      </c>
      <c r="N37">
        <v>8.4</v>
      </c>
      <c r="O37">
        <v>7.3</v>
      </c>
      <c r="P37" s="47">
        <f t="shared" si="5"/>
        <v>1.4390268412039608E-2</v>
      </c>
      <c r="Q37" s="47">
        <f t="shared" si="6"/>
        <v>1.0963629546306697E-2</v>
      </c>
      <c r="R37" s="47">
        <f t="shared" si="7"/>
        <v>1.0782358322211083E-2</v>
      </c>
      <c r="S37" s="47">
        <f t="shared" si="1"/>
        <v>-2.3219814241486114E-2</v>
      </c>
      <c r="T37" s="47">
        <f t="shared" si="2"/>
        <v>-2.7432712215320842E-2</v>
      </c>
      <c r="U37" s="47">
        <f t="shared" si="3"/>
        <v>2.3517382413087873E-2</v>
      </c>
      <c r="V37" s="47">
        <f t="shared" si="4"/>
        <v>2.452733776188043E-2</v>
      </c>
      <c r="W37" s="72">
        <f t="shared" si="8"/>
        <v>9007.4000000000233</v>
      </c>
      <c r="X37" s="71">
        <f t="shared" si="9"/>
        <v>73.100000000000364</v>
      </c>
      <c r="Y37" s="71">
        <f t="shared" si="10"/>
        <v>71.899999999999636</v>
      </c>
      <c r="Z37" s="71">
        <f t="shared" si="11"/>
        <v>-9</v>
      </c>
      <c r="AA37" s="71">
        <f t="shared" si="12"/>
        <v>-10.599999999999966</v>
      </c>
      <c r="AB37" s="71">
        <f t="shared" si="13"/>
        <v>4.5999999999999943</v>
      </c>
      <c r="AC37" s="71">
        <f t="shared" si="14"/>
        <v>4.8000000000000114</v>
      </c>
    </row>
    <row r="38" spans="1:29" x14ac:dyDescent="0.2">
      <c r="A38" s="3">
        <v>41275</v>
      </c>
      <c r="B38">
        <f t="shared" si="0"/>
        <v>2013</v>
      </c>
      <c r="C38" s="127">
        <v>643937</v>
      </c>
      <c r="D38" s="127">
        <v>6758.8</v>
      </c>
      <c r="E38" s="127">
        <v>6721.7</v>
      </c>
      <c r="F38">
        <v>7.8</v>
      </c>
      <c r="G38">
        <v>7.3</v>
      </c>
      <c r="H38">
        <v>380.4</v>
      </c>
      <c r="I38">
        <v>378.6</v>
      </c>
      <c r="J38">
        <v>6.1</v>
      </c>
      <c r="K38">
        <v>5.9</v>
      </c>
      <c r="L38">
        <v>200.1</v>
      </c>
      <c r="M38">
        <v>197.4</v>
      </c>
      <c r="N38">
        <v>7.6</v>
      </c>
      <c r="O38">
        <v>7.5</v>
      </c>
      <c r="P38" s="47">
        <f t="shared" si="5"/>
        <v>1.4162974610528734E-2</v>
      </c>
      <c r="Q38" s="47">
        <f t="shared" si="6"/>
        <v>1.2766722608487102E-2</v>
      </c>
      <c r="R38" s="47">
        <f t="shared" si="7"/>
        <v>1.2929670429030038E-2</v>
      </c>
      <c r="S38" s="47">
        <f t="shared" si="1"/>
        <v>-2.4865419123301868E-2</v>
      </c>
      <c r="T38" s="47">
        <f t="shared" si="2"/>
        <v>-2.2210743801652777E-2</v>
      </c>
      <c r="U38" s="47">
        <f t="shared" si="3"/>
        <v>2.2483392948390524E-2</v>
      </c>
      <c r="V38" s="47">
        <f t="shared" si="4"/>
        <v>1.8575851393188847E-2</v>
      </c>
      <c r="W38" s="72">
        <f t="shared" si="8"/>
        <v>8992.6999999999534</v>
      </c>
      <c r="X38" s="71">
        <f t="shared" si="9"/>
        <v>85.199999999999818</v>
      </c>
      <c r="Y38" s="71">
        <f t="shared" si="10"/>
        <v>85.800000000000182</v>
      </c>
      <c r="Z38" s="71">
        <f t="shared" si="11"/>
        <v>-9.7000000000000455</v>
      </c>
      <c r="AA38" s="71">
        <f t="shared" si="12"/>
        <v>-8.5999999999999659</v>
      </c>
      <c r="AB38" s="71">
        <f t="shared" si="13"/>
        <v>4.4000000000000057</v>
      </c>
      <c r="AC38" s="71">
        <f t="shared" si="14"/>
        <v>3.5999999999999943</v>
      </c>
    </row>
    <row r="39" spans="1:29" x14ac:dyDescent="0.2">
      <c r="A39" s="3">
        <v>41306</v>
      </c>
      <c r="B39">
        <f t="shared" si="0"/>
        <v>2013</v>
      </c>
      <c r="C39" s="127">
        <v>643937</v>
      </c>
      <c r="D39" s="127">
        <v>6775.5</v>
      </c>
      <c r="E39" s="127">
        <v>6702</v>
      </c>
      <c r="F39">
        <v>7.8</v>
      </c>
      <c r="G39">
        <v>7.5</v>
      </c>
      <c r="H39">
        <v>381.8</v>
      </c>
      <c r="I39">
        <v>382.7</v>
      </c>
      <c r="J39">
        <v>6.1</v>
      </c>
      <c r="K39">
        <v>5.8</v>
      </c>
      <c r="L39">
        <v>199.6</v>
      </c>
      <c r="M39">
        <v>195.2</v>
      </c>
      <c r="N39">
        <v>7.7</v>
      </c>
      <c r="O39">
        <v>8.5</v>
      </c>
      <c r="P39" s="47">
        <f t="shared" si="5"/>
        <v>1.4162974610528734E-2</v>
      </c>
      <c r="Q39" s="47">
        <f t="shared" si="6"/>
        <v>1.5710495150434101E-2</v>
      </c>
      <c r="R39" s="47">
        <f t="shared" si="7"/>
        <v>1.5762352227947973E-2</v>
      </c>
      <c r="S39" s="47">
        <f t="shared" si="1"/>
        <v>-1.6992790937178093E-2</v>
      </c>
      <c r="T39" s="47">
        <f t="shared" si="2"/>
        <v>-8.0352514256092356E-3</v>
      </c>
      <c r="U39" s="47">
        <f t="shared" si="3"/>
        <v>1.5776081424936361E-2</v>
      </c>
      <c r="V39" s="47">
        <f t="shared" si="4"/>
        <v>1.1398963730569811E-2</v>
      </c>
      <c r="W39" s="72">
        <f t="shared" si="8"/>
        <v>8992.6999999999534</v>
      </c>
      <c r="X39" s="71">
        <f t="shared" si="9"/>
        <v>104.80000000000018</v>
      </c>
      <c r="Y39" s="71">
        <f t="shared" si="10"/>
        <v>104</v>
      </c>
      <c r="Z39" s="71">
        <f t="shared" si="11"/>
        <v>-6.5999999999999659</v>
      </c>
      <c r="AA39" s="71">
        <f t="shared" si="12"/>
        <v>-3.1000000000000227</v>
      </c>
      <c r="AB39" s="71">
        <f t="shared" si="13"/>
        <v>3.0999999999999943</v>
      </c>
      <c r="AC39" s="71">
        <f t="shared" si="14"/>
        <v>2.1999999999999886</v>
      </c>
    </row>
    <row r="40" spans="1:29" x14ac:dyDescent="0.2">
      <c r="A40" s="3">
        <v>41334</v>
      </c>
      <c r="B40">
        <f t="shared" si="0"/>
        <v>2013</v>
      </c>
      <c r="C40" s="127">
        <v>643937</v>
      </c>
      <c r="D40" s="127">
        <v>6781.1</v>
      </c>
      <c r="E40" s="127">
        <v>6675.8</v>
      </c>
      <c r="F40">
        <v>7.8</v>
      </c>
      <c r="G40">
        <v>7.9</v>
      </c>
      <c r="H40">
        <v>380.1</v>
      </c>
      <c r="I40">
        <v>379.3</v>
      </c>
      <c r="J40">
        <v>6.7</v>
      </c>
      <c r="K40">
        <v>6.6</v>
      </c>
      <c r="L40">
        <v>198.6</v>
      </c>
      <c r="M40">
        <v>193.3</v>
      </c>
      <c r="N40">
        <v>8.3000000000000007</v>
      </c>
      <c r="O40">
        <v>9.5</v>
      </c>
      <c r="P40" s="47">
        <f t="shared" si="5"/>
        <v>1.4162974610528734E-2</v>
      </c>
      <c r="Q40" s="47">
        <f t="shared" si="6"/>
        <v>1.6047347917291122E-2</v>
      </c>
      <c r="R40" s="47">
        <f t="shared" si="7"/>
        <v>1.6134433316082664E-2</v>
      </c>
      <c r="S40" s="47">
        <f t="shared" si="1"/>
        <v>-1.2727272727272698E-2</v>
      </c>
      <c r="T40" s="47">
        <f t="shared" si="2"/>
        <v>-3.677436301549708E-3</v>
      </c>
      <c r="U40" s="47">
        <f t="shared" si="3"/>
        <v>8.1218274111674038E-3</v>
      </c>
      <c r="V40" s="47">
        <f t="shared" si="4"/>
        <v>4.155844155844246E-3</v>
      </c>
      <c r="W40" s="72">
        <f t="shared" si="8"/>
        <v>8992.6999999999534</v>
      </c>
      <c r="X40" s="71">
        <f t="shared" si="9"/>
        <v>107.10000000000036</v>
      </c>
      <c r="Y40" s="71">
        <f t="shared" si="10"/>
        <v>106</v>
      </c>
      <c r="Z40" s="71">
        <f t="shared" si="11"/>
        <v>-4.8999999999999773</v>
      </c>
      <c r="AA40" s="71">
        <f t="shared" si="12"/>
        <v>-1.3999999999999773</v>
      </c>
      <c r="AB40" s="71">
        <f t="shared" si="13"/>
        <v>1.5999999999999943</v>
      </c>
      <c r="AC40" s="71">
        <f t="shared" si="14"/>
        <v>0.80000000000001137</v>
      </c>
    </row>
    <row r="41" spans="1:29" x14ac:dyDescent="0.2">
      <c r="A41" s="3">
        <v>41365</v>
      </c>
      <c r="B41">
        <f t="shared" si="0"/>
        <v>2013</v>
      </c>
      <c r="C41" s="127">
        <v>643937</v>
      </c>
      <c r="D41" s="127">
        <v>6788.9</v>
      </c>
      <c r="E41" s="127">
        <v>6703.7</v>
      </c>
      <c r="F41">
        <v>7.8</v>
      </c>
      <c r="G41">
        <v>7.9</v>
      </c>
      <c r="H41">
        <v>377.1</v>
      </c>
      <c r="I41">
        <v>375.4</v>
      </c>
      <c r="J41">
        <v>7</v>
      </c>
      <c r="K41">
        <v>6.8</v>
      </c>
      <c r="L41">
        <v>196.4</v>
      </c>
      <c r="M41">
        <v>191.8</v>
      </c>
      <c r="N41">
        <v>9</v>
      </c>
      <c r="O41">
        <v>10</v>
      </c>
      <c r="P41" s="47">
        <f t="shared" si="5"/>
        <v>1.4162974610528734E-2</v>
      </c>
      <c r="Q41" s="47">
        <f t="shared" si="6"/>
        <v>1.5420742469113513E-2</v>
      </c>
      <c r="R41" s="47">
        <f t="shared" si="7"/>
        <v>1.5204518952644852E-2</v>
      </c>
      <c r="S41" s="47">
        <f t="shared" si="1"/>
        <v>-1.4117647058823457E-2</v>
      </c>
      <c r="T41" s="47">
        <f t="shared" si="2"/>
        <v>-9.2372657693322591E-3</v>
      </c>
      <c r="U41" s="47">
        <f t="shared" si="3"/>
        <v>-1.0080645161290369E-2</v>
      </c>
      <c r="V41" s="47">
        <f t="shared" si="4"/>
        <v>-8.2730093071354815E-3</v>
      </c>
      <c r="W41" s="72">
        <f t="shared" si="8"/>
        <v>8992.6999999999534</v>
      </c>
      <c r="X41" s="71">
        <f t="shared" si="9"/>
        <v>103.09999999999945</v>
      </c>
      <c r="Y41" s="71">
        <f t="shared" si="10"/>
        <v>100.39999999999964</v>
      </c>
      <c r="Z41" s="71">
        <f t="shared" si="11"/>
        <v>-5.3999999999999773</v>
      </c>
      <c r="AA41" s="71">
        <f t="shared" si="12"/>
        <v>-3.5</v>
      </c>
      <c r="AB41" s="71">
        <f t="shared" si="13"/>
        <v>-2</v>
      </c>
      <c r="AC41" s="71">
        <f t="shared" si="14"/>
        <v>-1.5999999999999943</v>
      </c>
    </row>
    <row r="42" spans="1:29" x14ac:dyDescent="0.2">
      <c r="A42" s="3">
        <v>41395</v>
      </c>
      <c r="B42">
        <f t="shared" si="0"/>
        <v>2013</v>
      </c>
      <c r="C42" s="127">
        <v>643937</v>
      </c>
      <c r="D42" s="127">
        <v>6801.1</v>
      </c>
      <c r="E42" s="127">
        <v>6770.3</v>
      </c>
      <c r="F42">
        <v>7.7</v>
      </c>
      <c r="G42">
        <v>7.9</v>
      </c>
      <c r="H42">
        <v>378.2</v>
      </c>
      <c r="I42">
        <v>376.4</v>
      </c>
      <c r="J42">
        <v>6.9</v>
      </c>
      <c r="K42">
        <v>6.8</v>
      </c>
      <c r="L42">
        <v>196.2</v>
      </c>
      <c r="M42">
        <v>195.4</v>
      </c>
      <c r="N42">
        <v>8.8000000000000007</v>
      </c>
      <c r="O42">
        <v>9.1999999999999993</v>
      </c>
      <c r="P42" s="47">
        <f t="shared" si="5"/>
        <v>1.4162974610528734E-2</v>
      </c>
      <c r="Q42" s="47">
        <f t="shared" si="6"/>
        <v>1.659168024394253E-2</v>
      </c>
      <c r="R42" s="47">
        <f t="shared" si="7"/>
        <v>1.6851654375872993E-2</v>
      </c>
      <c r="S42" s="47">
        <f t="shared" si="1"/>
        <v>5.0491629019397966E-3</v>
      </c>
      <c r="T42" s="47">
        <f t="shared" si="2"/>
        <v>3.4657424686748151E-3</v>
      </c>
      <c r="U42" s="47">
        <f t="shared" si="3"/>
        <v>-1.998001998001997E-2</v>
      </c>
      <c r="V42" s="47">
        <f t="shared" si="4"/>
        <v>-1.8090452261306456E-2</v>
      </c>
      <c r="W42" s="72">
        <f t="shared" si="8"/>
        <v>8992.6999999999534</v>
      </c>
      <c r="X42" s="71">
        <f t="shared" si="9"/>
        <v>111</v>
      </c>
      <c r="Y42" s="71">
        <f t="shared" si="10"/>
        <v>112.19999999999982</v>
      </c>
      <c r="Z42" s="71">
        <f t="shared" si="11"/>
        <v>1.8999999999999773</v>
      </c>
      <c r="AA42" s="71">
        <f t="shared" si="12"/>
        <v>1.2999999999999545</v>
      </c>
      <c r="AB42" s="71">
        <f t="shared" si="13"/>
        <v>-4</v>
      </c>
      <c r="AC42" s="71">
        <f t="shared" si="14"/>
        <v>-3.5999999999999943</v>
      </c>
    </row>
    <row r="43" spans="1:29" x14ac:dyDescent="0.2">
      <c r="A43" s="3">
        <v>41426</v>
      </c>
      <c r="B43">
        <f t="shared" si="0"/>
        <v>2013</v>
      </c>
      <c r="C43" s="127">
        <v>643937</v>
      </c>
      <c r="D43" s="127">
        <v>6815.2</v>
      </c>
      <c r="E43" s="127">
        <v>6861.8</v>
      </c>
      <c r="F43">
        <v>7.6</v>
      </c>
      <c r="G43">
        <v>7.6</v>
      </c>
      <c r="H43">
        <v>376.8</v>
      </c>
      <c r="I43">
        <v>378.6</v>
      </c>
      <c r="J43">
        <v>6.2</v>
      </c>
      <c r="K43">
        <v>5.8</v>
      </c>
      <c r="L43">
        <v>194.3</v>
      </c>
      <c r="M43">
        <v>196.8</v>
      </c>
      <c r="N43">
        <v>8.5</v>
      </c>
      <c r="O43">
        <v>7.9</v>
      </c>
      <c r="P43" s="47">
        <f t="shared" si="5"/>
        <v>1.4162974610528734E-2</v>
      </c>
      <c r="Q43" s="47">
        <f t="shared" si="6"/>
        <v>1.8212242092839004E-2</v>
      </c>
      <c r="R43" s="47">
        <f t="shared" si="7"/>
        <v>1.8494329988719471E-2</v>
      </c>
      <c r="S43" s="47">
        <f t="shared" si="1"/>
        <v>1.4266487213997259E-2</v>
      </c>
      <c r="T43" s="47">
        <f t="shared" si="2"/>
        <v>1.2841091492777013E-2</v>
      </c>
      <c r="U43" s="47">
        <f t="shared" si="3"/>
        <v>-4.2857142857142816E-2</v>
      </c>
      <c r="V43" s="47">
        <f t="shared" si="4"/>
        <v>-4.1402825133950327E-2</v>
      </c>
      <c r="W43" s="72">
        <f t="shared" si="8"/>
        <v>8992.6999999999534</v>
      </c>
      <c r="X43" s="71">
        <f t="shared" si="9"/>
        <v>121.89999999999964</v>
      </c>
      <c r="Y43" s="71">
        <f t="shared" si="10"/>
        <v>124.60000000000036</v>
      </c>
      <c r="Z43" s="71">
        <f t="shared" si="11"/>
        <v>5.3000000000000114</v>
      </c>
      <c r="AA43" s="71">
        <f t="shared" si="12"/>
        <v>4.8000000000000114</v>
      </c>
      <c r="AB43" s="71">
        <f t="shared" si="13"/>
        <v>-8.6999999999999886</v>
      </c>
      <c r="AC43" s="71">
        <f t="shared" si="14"/>
        <v>-8.5</v>
      </c>
    </row>
    <row r="44" spans="1:29" x14ac:dyDescent="0.2">
      <c r="A44" s="3">
        <v>41456</v>
      </c>
      <c r="B44">
        <f t="shared" si="0"/>
        <v>2013</v>
      </c>
      <c r="C44" s="127">
        <v>643937</v>
      </c>
      <c r="D44" s="127">
        <v>6826.2</v>
      </c>
      <c r="E44" s="127">
        <v>6917.1</v>
      </c>
      <c r="F44">
        <v>7.6</v>
      </c>
      <c r="G44">
        <v>7.8</v>
      </c>
      <c r="H44">
        <v>375.3</v>
      </c>
      <c r="I44">
        <v>378.7</v>
      </c>
      <c r="J44">
        <v>6</v>
      </c>
      <c r="K44">
        <v>6.1</v>
      </c>
      <c r="L44">
        <v>193.1</v>
      </c>
      <c r="M44">
        <v>197.6</v>
      </c>
      <c r="N44">
        <v>8.6</v>
      </c>
      <c r="O44">
        <v>8</v>
      </c>
      <c r="P44" s="47">
        <f t="shared" si="5"/>
        <v>1.4162974610528734E-2</v>
      </c>
      <c r="Q44" s="47">
        <f t="shared" si="6"/>
        <v>1.9657634511397237E-2</v>
      </c>
      <c r="R44" s="47">
        <f t="shared" si="7"/>
        <v>2.0431947599799383E-2</v>
      </c>
      <c r="S44" s="47">
        <f t="shared" si="1"/>
        <v>1.7900732302685185E-2</v>
      </c>
      <c r="T44" s="47">
        <f t="shared" si="2"/>
        <v>1.6371443907675642E-2</v>
      </c>
      <c r="U44" s="47">
        <f t="shared" si="3"/>
        <v>-5.5283757338551953E-2</v>
      </c>
      <c r="V44" s="47">
        <f t="shared" si="4"/>
        <v>-5.4997608799617459E-2</v>
      </c>
      <c r="W44" s="72">
        <f t="shared" si="8"/>
        <v>8992.6999999999534</v>
      </c>
      <c r="X44" s="71">
        <f t="shared" si="9"/>
        <v>131.59999999999945</v>
      </c>
      <c r="Y44" s="71">
        <f t="shared" si="10"/>
        <v>138.5</v>
      </c>
      <c r="Z44" s="71">
        <f t="shared" si="11"/>
        <v>6.6000000000000227</v>
      </c>
      <c r="AA44" s="71">
        <f t="shared" si="12"/>
        <v>6.0999999999999659</v>
      </c>
      <c r="AB44" s="71">
        <f t="shared" si="13"/>
        <v>-11.300000000000011</v>
      </c>
      <c r="AC44" s="71">
        <f t="shared" si="14"/>
        <v>-11.5</v>
      </c>
    </row>
    <row r="45" spans="1:29" x14ac:dyDescent="0.2">
      <c r="A45" s="3">
        <v>41487</v>
      </c>
      <c r="B45">
        <f t="shared" si="0"/>
        <v>2013</v>
      </c>
      <c r="C45" s="127">
        <v>643937</v>
      </c>
      <c r="D45" s="127">
        <v>6833.9</v>
      </c>
      <c r="E45" s="127">
        <v>6934.7</v>
      </c>
      <c r="F45">
        <v>7.6</v>
      </c>
      <c r="G45">
        <v>8</v>
      </c>
      <c r="H45">
        <v>364.2</v>
      </c>
      <c r="I45">
        <v>368.3</v>
      </c>
      <c r="J45">
        <v>6.8</v>
      </c>
      <c r="K45">
        <v>7.3</v>
      </c>
      <c r="L45">
        <v>191.1</v>
      </c>
      <c r="M45">
        <v>194.9</v>
      </c>
      <c r="N45">
        <v>8.8000000000000007</v>
      </c>
      <c r="O45">
        <v>8.5</v>
      </c>
      <c r="P45" s="47">
        <f t="shared" si="5"/>
        <v>1.4162974610528734E-2</v>
      </c>
      <c r="Q45" s="47">
        <f t="shared" si="6"/>
        <v>1.9482941237897622E-2</v>
      </c>
      <c r="R45" s="47">
        <f t="shared" si="7"/>
        <v>2.0123861780844132E-2</v>
      </c>
      <c r="S45" s="47">
        <f t="shared" si="1"/>
        <v>-1.9122003770535967E-2</v>
      </c>
      <c r="T45" s="47">
        <f t="shared" si="2"/>
        <v>-1.5503875968992276E-2</v>
      </c>
      <c r="U45" s="47">
        <f t="shared" si="3"/>
        <v>-6.8713450292397615E-2</v>
      </c>
      <c r="V45" s="47">
        <f t="shared" si="4"/>
        <v>-6.9689737470167046E-2</v>
      </c>
      <c r="W45" s="72">
        <f t="shared" si="8"/>
        <v>8992.6999999999534</v>
      </c>
      <c r="X45" s="71">
        <f t="shared" si="9"/>
        <v>130.59999999999945</v>
      </c>
      <c r="Y45" s="71">
        <f t="shared" si="10"/>
        <v>136.80000000000018</v>
      </c>
      <c r="Z45" s="71">
        <f t="shared" si="11"/>
        <v>-7.1000000000000227</v>
      </c>
      <c r="AA45" s="71">
        <f t="shared" si="12"/>
        <v>-5.8000000000000114</v>
      </c>
      <c r="AB45" s="71">
        <f t="shared" si="13"/>
        <v>-14.099999999999994</v>
      </c>
      <c r="AC45" s="71">
        <f t="shared" si="14"/>
        <v>-14.599999999999994</v>
      </c>
    </row>
    <row r="46" spans="1:29" x14ac:dyDescent="0.2">
      <c r="A46" s="3">
        <v>41518</v>
      </c>
      <c r="B46">
        <f t="shared" si="0"/>
        <v>2013</v>
      </c>
      <c r="C46" s="127">
        <v>643937</v>
      </c>
      <c r="D46" s="127">
        <v>6843.3</v>
      </c>
      <c r="E46" s="127">
        <v>6906.9</v>
      </c>
      <c r="F46">
        <v>7.5</v>
      </c>
      <c r="G46">
        <v>7.9</v>
      </c>
      <c r="H46">
        <v>362.4</v>
      </c>
      <c r="I46">
        <v>364.6</v>
      </c>
      <c r="J46">
        <v>7.1</v>
      </c>
      <c r="K46">
        <v>7.5</v>
      </c>
      <c r="L46">
        <v>190.2</v>
      </c>
      <c r="M46">
        <v>192</v>
      </c>
      <c r="N46">
        <v>8.9</v>
      </c>
      <c r="O46">
        <v>8.8000000000000007</v>
      </c>
      <c r="P46" s="47">
        <f t="shared" si="5"/>
        <v>1.4162974610528734E-2</v>
      </c>
      <c r="Q46" s="47">
        <f t="shared" si="6"/>
        <v>2.0261204043295455E-2</v>
      </c>
      <c r="R46" s="47">
        <f t="shared" si="7"/>
        <v>2.1262438822433394E-2</v>
      </c>
      <c r="S46" s="47">
        <f t="shared" ref="S46:S77" si="15">H46/H34-1</f>
        <v>-3.6938612808929183E-2</v>
      </c>
      <c r="T46" s="47">
        <f t="shared" ref="T46:T77" si="16">I46/I34-1</f>
        <v>-3.0576974208986973E-2</v>
      </c>
      <c r="U46" s="47">
        <f t="shared" ref="U46:U77" si="17">L46/L34-1</f>
        <v>-7.1742313323572504E-2</v>
      </c>
      <c r="V46" s="47">
        <f t="shared" ref="V46:V77" si="18">M46/M34-1</f>
        <v>-8.0019166267369379E-2</v>
      </c>
      <c r="W46" s="72">
        <f t="shared" si="8"/>
        <v>8992.6999999999534</v>
      </c>
      <c r="X46" s="71">
        <f t="shared" si="9"/>
        <v>135.90000000000055</v>
      </c>
      <c r="Y46" s="71">
        <f t="shared" si="10"/>
        <v>143.79999999999927</v>
      </c>
      <c r="Z46" s="71">
        <f t="shared" si="11"/>
        <v>-13.900000000000034</v>
      </c>
      <c r="AA46" s="71">
        <f t="shared" si="12"/>
        <v>-11.5</v>
      </c>
      <c r="AB46" s="71">
        <f t="shared" si="13"/>
        <v>-14.700000000000017</v>
      </c>
      <c r="AC46" s="71">
        <f t="shared" si="14"/>
        <v>-16.699999999999989</v>
      </c>
    </row>
    <row r="47" spans="1:29" x14ac:dyDescent="0.2">
      <c r="A47" s="3">
        <v>41548</v>
      </c>
      <c r="B47">
        <f t="shared" si="0"/>
        <v>2013</v>
      </c>
      <c r="C47" s="127">
        <v>643937</v>
      </c>
      <c r="D47" s="127">
        <v>6850.3</v>
      </c>
      <c r="E47" s="127">
        <v>6889</v>
      </c>
      <c r="F47">
        <v>7.4</v>
      </c>
      <c r="G47">
        <v>7.4</v>
      </c>
      <c r="H47">
        <v>363.6</v>
      </c>
      <c r="I47">
        <v>366.5</v>
      </c>
      <c r="J47">
        <v>7.3</v>
      </c>
      <c r="K47">
        <v>7.2</v>
      </c>
      <c r="L47">
        <v>190.7</v>
      </c>
      <c r="M47">
        <v>192.2</v>
      </c>
      <c r="N47">
        <v>8.6</v>
      </c>
      <c r="O47">
        <v>8</v>
      </c>
      <c r="P47" s="47">
        <f t="shared" si="5"/>
        <v>1.4162974610528734E-2</v>
      </c>
      <c r="Q47" s="47">
        <f t="shared" si="6"/>
        <v>2.0909090909090988E-2</v>
      </c>
      <c r="R47" s="47">
        <f t="shared" si="7"/>
        <v>2.1970360040944215E-2</v>
      </c>
      <c r="S47" s="47">
        <f t="shared" si="15"/>
        <v>-3.6821192052980067E-2</v>
      </c>
      <c r="T47" s="47">
        <f t="shared" si="16"/>
        <v>-2.5006650704974653E-2</v>
      </c>
      <c r="U47" s="47">
        <f t="shared" si="17"/>
        <v>-6.4737616478666049E-2</v>
      </c>
      <c r="V47" s="47">
        <f t="shared" si="18"/>
        <v>-7.5517075517075649E-2</v>
      </c>
      <c r="W47" s="72">
        <f t="shared" si="8"/>
        <v>8992.6999999999534</v>
      </c>
      <c r="X47" s="71">
        <f t="shared" si="9"/>
        <v>140.30000000000018</v>
      </c>
      <c r="Y47" s="71">
        <f t="shared" si="10"/>
        <v>148.10000000000036</v>
      </c>
      <c r="Z47" s="71">
        <f t="shared" si="11"/>
        <v>-13.899999999999977</v>
      </c>
      <c r="AA47" s="71">
        <f t="shared" si="12"/>
        <v>-9.3999999999999773</v>
      </c>
      <c r="AB47" s="71">
        <f t="shared" si="13"/>
        <v>-13.200000000000017</v>
      </c>
      <c r="AC47" s="71">
        <f t="shared" si="14"/>
        <v>-15.700000000000017</v>
      </c>
    </row>
    <row r="48" spans="1:29" x14ac:dyDescent="0.2">
      <c r="A48" s="3">
        <v>41579</v>
      </c>
      <c r="B48">
        <f t="shared" si="0"/>
        <v>2013</v>
      </c>
      <c r="C48" s="127">
        <v>643937</v>
      </c>
      <c r="D48" s="127">
        <v>6854</v>
      </c>
      <c r="E48" s="127">
        <v>6863.8</v>
      </c>
      <c r="F48">
        <v>7.4</v>
      </c>
      <c r="G48">
        <v>6.9</v>
      </c>
      <c r="H48">
        <v>369.8</v>
      </c>
      <c r="I48">
        <v>371.8</v>
      </c>
      <c r="J48">
        <v>6.6</v>
      </c>
      <c r="K48">
        <v>5.9</v>
      </c>
      <c r="L48">
        <v>191.6</v>
      </c>
      <c r="M48">
        <v>191.1</v>
      </c>
      <c r="N48">
        <v>8.6</v>
      </c>
      <c r="O48">
        <v>7.9</v>
      </c>
      <c r="P48" s="47">
        <f t="shared" si="5"/>
        <v>1.4162974610528734E-2</v>
      </c>
      <c r="Q48" s="47">
        <f t="shared" si="6"/>
        <v>1.9576341782696627E-2</v>
      </c>
      <c r="R48" s="47">
        <f t="shared" si="7"/>
        <v>2.0275292089068753E-2</v>
      </c>
      <c r="S48" s="47">
        <f t="shared" si="15"/>
        <v>-2.143424186292664E-2</v>
      </c>
      <c r="T48" s="47">
        <f t="shared" si="16"/>
        <v>-4.8179871520342976E-3</v>
      </c>
      <c r="U48" s="47">
        <f t="shared" si="17"/>
        <v>-4.9603174603174649E-2</v>
      </c>
      <c r="V48" s="47">
        <f t="shared" si="18"/>
        <v>-6.3235294117647056E-2</v>
      </c>
      <c r="W48" s="72">
        <f t="shared" si="8"/>
        <v>8992.6999999999534</v>
      </c>
      <c r="X48" s="71">
        <f t="shared" si="9"/>
        <v>131.60000000000036</v>
      </c>
      <c r="Y48" s="71">
        <f t="shared" si="10"/>
        <v>136.40000000000055</v>
      </c>
      <c r="Z48" s="71">
        <f t="shared" si="11"/>
        <v>-8.0999999999999659</v>
      </c>
      <c r="AA48" s="71">
        <f t="shared" si="12"/>
        <v>-1.8000000000000114</v>
      </c>
      <c r="AB48" s="71">
        <f t="shared" si="13"/>
        <v>-10</v>
      </c>
      <c r="AC48" s="71">
        <f t="shared" si="14"/>
        <v>-12.900000000000006</v>
      </c>
    </row>
    <row r="49" spans="1:29" x14ac:dyDescent="0.2">
      <c r="A49" s="3">
        <v>41609</v>
      </c>
      <c r="B49">
        <f t="shared" si="0"/>
        <v>2013</v>
      </c>
      <c r="C49" s="127">
        <v>643937</v>
      </c>
      <c r="D49" s="127">
        <v>6850.4</v>
      </c>
      <c r="E49" s="127">
        <v>6849.3</v>
      </c>
      <c r="F49">
        <v>7.5</v>
      </c>
      <c r="G49">
        <v>6.9</v>
      </c>
      <c r="H49">
        <v>373.6</v>
      </c>
      <c r="I49">
        <v>376.6</v>
      </c>
      <c r="J49">
        <v>6.6</v>
      </c>
      <c r="K49">
        <v>5.9</v>
      </c>
      <c r="L49">
        <v>193.6</v>
      </c>
      <c r="M49">
        <v>192.1</v>
      </c>
      <c r="N49">
        <v>8.6</v>
      </c>
      <c r="O49">
        <v>8.3000000000000007</v>
      </c>
      <c r="P49" s="47">
        <f t="shared" si="5"/>
        <v>1.4162974610528734E-2</v>
      </c>
      <c r="Q49" s="47">
        <f t="shared" si="6"/>
        <v>1.6289351096341553E-2</v>
      </c>
      <c r="R49" s="47">
        <f t="shared" si="7"/>
        <v>1.6186463309694199E-2</v>
      </c>
      <c r="S49" s="47">
        <f t="shared" si="15"/>
        <v>-1.3206550449022747E-2</v>
      </c>
      <c r="T49" s="47">
        <f t="shared" si="16"/>
        <v>2.1287919105907882E-3</v>
      </c>
      <c r="U49" s="47">
        <f t="shared" si="17"/>
        <v>-3.2967032967032961E-2</v>
      </c>
      <c r="V49" s="47">
        <f t="shared" si="18"/>
        <v>-4.1895261845386611E-2</v>
      </c>
      <c r="W49" s="72">
        <f t="shared" si="8"/>
        <v>8992.6999999999534</v>
      </c>
      <c r="X49" s="71">
        <f t="shared" si="9"/>
        <v>109.79999999999927</v>
      </c>
      <c r="Y49" s="71">
        <f t="shared" si="10"/>
        <v>109.10000000000036</v>
      </c>
      <c r="Z49" s="71">
        <f t="shared" si="11"/>
        <v>-5</v>
      </c>
      <c r="AA49" s="71">
        <f t="shared" si="12"/>
        <v>0.80000000000001137</v>
      </c>
      <c r="AB49" s="71">
        <f t="shared" si="13"/>
        <v>-6.5999999999999943</v>
      </c>
      <c r="AC49" s="71">
        <f t="shared" si="14"/>
        <v>-8.4000000000000057</v>
      </c>
    </row>
    <row r="50" spans="1:29" x14ac:dyDescent="0.2">
      <c r="A50" s="3">
        <v>41640</v>
      </c>
      <c r="B50">
        <f t="shared" si="0"/>
        <v>2014</v>
      </c>
      <c r="C50" s="127">
        <v>659861.19999999995</v>
      </c>
      <c r="D50" s="127">
        <v>6848.3</v>
      </c>
      <c r="E50" s="127">
        <v>6806.1</v>
      </c>
      <c r="F50">
        <v>7.5</v>
      </c>
      <c r="G50">
        <v>7.1</v>
      </c>
      <c r="H50">
        <v>375.1</v>
      </c>
      <c r="I50">
        <v>376.3</v>
      </c>
      <c r="J50">
        <v>6</v>
      </c>
      <c r="K50">
        <v>5.5</v>
      </c>
      <c r="L50">
        <v>194.4</v>
      </c>
      <c r="M50">
        <v>190.4</v>
      </c>
      <c r="N50">
        <v>8.6</v>
      </c>
      <c r="O50">
        <v>9.1</v>
      </c>
      <c r="P50" s="47">
        <f t="shared" si="5"/>
        <v>2.472943781767456E-2</v>
      </c>
      <c r="Q50" s="47">
        <f t="shared" si="6"/>
        <v>1.3241995620524305E-2</v>
      </c>
      <c r="R50" s="47">
        <f t="shared" si="7"/>
        <v>1.2556347352604247E-2</v>
      </c>
      <c r="S50" s="47">
        <f t="shared" si="15"/>
        <v>-1.3932702418506748E-2</v>
      </c>
      <c r="T50" s="47">
        <f t="shared" si="16"/>
        <v>-6.0750132065504614E-3</v>
      </c>
      <c r="U50" s="47">
        <f t="shared" si="17"/>
        <v>-2.8485757121439192E-2</v>
      </c>
      <c r="V50" s="47">
        <f t="shared" si="18"/>
        <v>-3.546099290780147E-2</v>
      </c>
      <c r="W50" s="72">
        <f t="shared" si="8"/>
        <v>15924.199999999953</v>
      </c>
      <c r="X50" s="71">
        <f t="shared" si="9"/>
        <v>89.5</v>
      </c>
      <c r="Y50" s="71">
        <f t="shared" si="10"/>
        <v>84.400000000000546</v>
      </c>
      <c r="Z50" s="71">
        <f t="shared" si="11"/>
        <v>-5.2999999999999545</v>
      </c>
      <c r="AA50" s="71">
        <f t="shared" si="12"/>
        <v>-2.3000000000000114</v>
      </c>
      <c r="AB50" s="71">
        <f t="shared" si="13"/>
        <v>-5.6999999999999886</v>
      </c>
      <c r="AC50" s="71">
        <f t="shared" si="14"/>
        <v>-7</v>
      </c>
    </row>
    <row r="51" spans="1:29" x14ac:dyDescent="0.2">
      <c r="A51" s="3">
        <v>41671</v>
      </c>
      <c r="B51">
        <f t="shared" si="0"/>
        <v>2014</v>
      </c>
      <c r="C51" s="127">
        <v>659861.19999999995</v>
      </c>
      <c r="D51" s="127">
        <v>6850</v>
      </c>
      <c r="E51" s="127">
        <v>6772.3</v>
      </c>
      <c r="F51">
        <v>7.5</v>
      </c>
      <c r="G51">
        <v>7.4</v>
      </c>
      <c r="H51">
        <v>379.9</v>
      </c>
      <c r="I51">
        <v>382.3</v>
      </c>
      <c r="J51">
        <v>5.9</v>
      </c>
      <c r="K51">
        <v>5.4</v>
      </c>
      <c r="L51">
        <v>196.6</v>
      </c>
      <c r="M51">
        <v>191.6</v>
      </c>
      <c r="N51">
        <v>8.3000000000000007</v>
      </c>
      <c r="O51">
        <v>9.4</v>
      </c>
      <c r="P51" s="47">
        <f t="shared" si="5"/>
        <v>2.472943781767456E-2</v>
      </c>
      <c r="Q51" s="47">
        <f t="shared" si="6"/>
        <v>1.0995498487196498E-2</v>
      </c>
      <c r="R51" s="47">
        <f t="shared" si="7"/>
        <v>1.0489406147418778E-2</v>
      </c>
      <c r="S51" s="47">
        <f t="shared" si="15"/>
        <v>-4.976427448926235E-3</v>
      </c>
      <c r="T51" s="47">
        <f t="shared" si="16"/>
        <v>-1.0452051215050773E-3</v>
      </c>
      <c r="U51" s="47">
        <f t="shared" si="17"/>
        <v>-1.503006012024044E-2</v>
      </c>
      <c r="V51" s="47">
        <f t="shared" si="18"/>
        <v>-1.8442622950819665E-2</v>
      </c>
      <c r="W51" s="72">
        <f t="shared" si="8"/>
        <v>15924.199999999953</v>
      </c>
      <c r="X51" s="71">
        <f t="shared" si="9"/>
        <v>74.5</v>
      </c>
      <c r="Y51" s="71">
        <f t="shared" si="10"/>
        <v>70.300000000000182</v>
      </c>
      <c r="Z51" s="71">
        <f t="shared" si="11"/>
        <v>-1.9000000000000341</v>
      </c>
      <c r="AA51" s="71">
        <f t="shared" si="12"/>
        <v>-0.39999999999997726</v>
      </c>
      <c r="AB51" s="71">
        <f t="shared" si="13"/>
        <v>-3</v>
      </c>
      <c r="AC51" s="71">
        <f t="shared" si="14"/>
        <v>-3.5999999999999943</v>
      </c>
    </row>
    <row r="52" spans="1:29" x14ac:dyDescent="0.2">
      <c r="A52" s="3">
        <v>41699</v>
      </c>
      <c r="B52">
        <f t="shared" si="0"/>
        <v>2014</v>
      </c>
      <c r="C52" s="127">
        <v>659861.19999999995</v>
      </c>
      <c r="D52" s="127">
        <v>6856.4</v>
      </c>
      <c r="E52" s="127">
        <v>6751.3</v>
      </c>
      <c r="F52">
        <v>7.4</v>
      </c>
      <c r="G52">
        <v>7.6</v>
      </c>
      <c r="H52">
        <v>382.2</v>
      </c>
      <c r="I52">
        <v>382.2</v>
      </c>
      <c r="J52">
        <v>5.9</v>
      </c>
      <c r="K52">
        <v>5.6</v>
      </c>
      <c r="L52">
        <v>197.6</v>
      </c>
      <c r="M52">
        <v>192.2</v>
      </c>
      <c r="N52">
        <v>8.1</v>
      </c>
      <c r="O52">
        <v>9.4</v>
      </c>
      <c r="P52" s="47">
        <f t="shared" si="5"/>
        <v>2.472943781767456E-2</v>
      </c>
      <c r="Q52" s="47">
        <f t="shared" si="6"/>
        <v>1.1104393092566056E-2</v>
      </c>
      <c r="R52" s="47">
        <f t="shared" si="7"/>
        <v>1.1309505976811796E-2</v>
      </c>
      <c r="S52" s="47">
        <f t="shared" si="15"/>
        <v>5.5248618784529135E-3</v>
      </c>
      <c r="T52" s="47">
        <f t="shared" si="16"/>
        <v>7.6456630635379774E-3</v>
      </c>
      <c r="U52" s="47">
        <f t="shared" si="17"/>
        <v>-5.0352467270896595E-3</v>
      </c>
      <c r="V52" s="47">
        <f t="shared" si="18"/>
        <v>-5.6906363166063789E-3</v>
      </c>
      <c r="W52" s="72">
        <f t="shared" si="8"/>
        <v>15924.199999999953</v>
      </c>
      <c r="X52" s="71">
        <f t="shared" si="9"/>
        <v>75.299999999999272</v>
      </c>
      <c r="Y52" s="71">
        <f t="shared" si="10"/>
        <v>75.5</v>
      </c>
      <c r="Z52" s="71">
        <f t="shared" si="11"/>
        <v>2.0999999999999659</v>
      </c>
      <c r="AA52" s="71">
        <f t="shared" si="12"/>
        <v>2.8999999999999773</v>
      </c>
      <c r="AB52" s="71">
        <f t="shared" si="13"/>
        <v>-1</v>
      </c>
      <c r="AC52" s="71">
        <f t="shared" si="14"/>
        <v>-1.1000000000000227</v>
      </c>
    </row>
    <row r="53" spans="1:29" x14ac:dyDescent="0.2">
      <c r="A53" s="3">
        <v>41730</v>
      </c>
      <c r="B53">
        <f t="shared" si="0"/>
        <v>2014</v>
      </c>
      <c r="C53" s="127">
        <v>659861.19999999995</v>
      </c>
      <c r="D53" s="127">
        <v>6869.6</v>
      </c>
      <c r="E53" s="127">
        <v>6785</v>
      </c>
      <c r="F53">
        <v>7.4</v>
      </c>
      <c r="G53">
        <v>7.5</v>
      </c>
      <c r="H53">
        <v>383.2</v>
      </c>
      <c r="I53">
        <v>382.5</v>
      </c>
      <c r="J53">
        <v>6.1</v>
      </c>
      <c r="K53">
        <v>5.9</v>
      </c>
      <c r="L53">
        <v>198.1</v>
      </c>
      <c r="M53">
        <v>193.4</v>
      </c>
      <c r="N53">
        <v>8.1</v>
      </c>
      <c r="O53">
        <v>9.1999999999999993</v>
      </c>
      <c r="P53" s="47">
        <f t="shared" si="5"/>
        <v>2.472943781767456E-2</v>
      </c>
      <c r="Q53" s="47">
        <f t="shared" si="6"/>
        <v>1.1887050921357112E-2</v>
      </c>
      <c r="R53" s="47">
        <f t="shared" si="7"/>
        <v>1.2127631009740902E-2</v>
      </c>
      <c r="S53" s="47">
        <f t="shared" si="15"/>
        <v>1.6176080615221355E-2</v>
      </c>
      <c r="T53" s="47">
        <f t="shared" si="16"/>
        <v>1.8913159296750193E-2</v>
      </c>
      <c r="U53" s="47">
        <f t="shared" si="17"/>
        <v>8.6558044806517298E-3</v>
      </c>
      <c r="V53" s="47">
        <f t="shared" si="18"/>
        <v>8.3420229405630764E-3</v>
      </c>
      <c r="W53" s="72">
        <f t="shared" si="8"/>
        <v>15924.199999999953</v>
      </c>
      <c r="X53" s="71">
        <f t="shared" si="9"/>
        <v>80.700000000000728</v>
      </c>
      <c r="Y53" s="71">
        <f t="shared" si="10"/>
        <v>81.300000000000182</v>
      </c>
      <c r="Z53" s="71">
        <f t="shared" si="11"/>
        <v>6.0999999999999659</v>
      </c>
      <c r="AA53" s="71">
        <f t="shared" si="12"/>
        <v>7.1000000000000227</v>
      </c>
      <c r="AB53" s="71">
        <f t="shared" si="13"/>
        <v>1.6999999999999886</v>
      </c>
      <c r="AC53" s="71">
        <f t="shared" si="14"/>
        <v>1.5999999999999943</v>
      </c>
    </row>
    <row r="54" spans="1:29" x14ac:dyDescent="0.2">
      <c r="A54" s="3">
        <v>41760</v>
      </c>
      <c r="B54">
        <f t="shared" si="0"/>
        <v>2014</v>
      </c>
      <c r="C54" s="127">
        <v>659861.19999999995</v>
      </c>
      <c r="D54" s="127">
        <v>6870.6</v>
      </c>
      <c r="E54" s="127">
        <v>6842.6</v>
      </c>
      <c r="F54">
        <v>7.3</v>
      </c>
      <c r="G54">
        <v>7.6</v>
      </c>
      <c r="H54">
        <v>381.5</v>
      </c>
      <c r="I54">
        <v>379.7</v>
      </c>
      <c r="J54">
        <v>6.4</v>
      </c>
      <c r="K54">
        <v>6.4</v>
      </c>
      <c r="L54">
        <v>197.1</v>
      </c>
      <c r="M54">
        <v>195.7</v>
      </c>
      <c r="N54">
        <v>7.9</v>
      </c>
      <c r="O54">
        <v>8.5</v>
      </c>
      <c r="P54" s="47">
        <f t="shared" si="5"/>
        <v>2.472943781767456E-2</v>
      </c>
      <c r="Q54" s="47">
        <f t="shared" si="6"/>
        <v>1.0218935172251475E-2</v>
      </c>
      <c r="R54" s="47">
        <f t="shared" si="7"/>
        <v>1.0678995022377125E-2</v>
      </c>
      <c r="S54" s="47">
        <f t="shared" si="15"/>
        <v>8.7255420412479801E-3</v>
      </c>
      <c r="T54" s="47">
        <f t="shared" si="16"/>
        <v>8.7672688629119033E-3</v>
      </c>
      <c r="U54" s="47">
        <f t="shared" si="17"/>
        <v>4.5871559633028358E-3</v>
      </c>
      <c r="V54" s="47">
        <f t="shared" si="18"/>
        <v>1.5353121801431335E-3</v>
      </c>
      <c r="W54" s="72">
        <f t="shared" si="8"/>
        <v>15924.199999999953</v>
      </c>
      <c r="X54" s="71">
        <f t="shared" si="9"/>
        <v>69.5</v>
      </c>
      <c r="Y54" s="71">
        <f t="shared" si="10"/>
        <v>72.300000000000182</v>
      </c>
      <c r="Z54" s="71">
        <f t="shared" si="11"/>
        <v>3.3000000000000114</v>
      </c>
      <c r="AA54" s="71">
        <f t="shared" si="12"/>
        <v>3.3000000000000114</v>
      </c>
      <c r="AB54" s="71">
        <f t="shared" si="13"/>
        <v>0.90000000000000568</v>
      </c>
      <c r="AC54" s="71">
        <f t="shared" si="14"/>
        <v>0.29999999999998295</v>
      </c>
    </row>
    <row r="55" spans="1:29" x14ac:dyDescent="0.2">
      <c r="A55" s="3">
        <v>41791</v>
      </c>
      <c r="B55">
        <f t="shared" si="0"/>
        <v>2014</v>
      </c>
      <c r="C55" s="127">
        <v>659861.19999999995</v>
      </c>
      <c r="D55" s="127">
        <v>6865.4</v>
      </c>
      <c r="E55" s="127">
        <v>6912.9</v>
      </c>
      <c r="F55">
        <v>7.3</v>
      </c>
      <c r="G55">
        <v>7.5</v>
      </c>
      <c r="H55">
        <v>382</v>
      </c>
      <c r="I55">
        <v>383.3</v>
      </c>
      <c r="J55">
        <v>6.5</v>
      </c>
      <c r="K55">
        <v>6.6</v>
      </c>
      <c r="L55">
        <v>195.3</v>
      </c>
      <c r="M55">
        <v>197.1</v>
      </c>
      <c r="N55">
        <v>8</v>
      </c>
      <c r="O55">
        <v>7.6</v>
      </c>
      <c r="P55" s="47">
        <f t="shared" si="5"/>
        <v>2.472943781767456E-2</v>
      </c>
      <c r="Q55" s="47">
        <f t="shared" si="6"/>
        <v>7.3658880150251349E-3</v>
      </c>
      <c r="R55" s="47">
        <f t="shared" si="7"/>
        <v>7.4470255618057646E-3</v>
      </c>
      <c r="S55" s="47">
        <f t="shared" si="15"/>
        <v>1.3800424628449992E-2</v>
      </c>
      <c r="T55" s="47">
        <f t="shared" si="16"/>
        <v>1.2414157422081296E-2</v>
      </c>
      <c r="U55" s="47">
        <f t="shared" si="17"/>
        <v>5.1466803911477399E-3</v>
      </c>
      <c r="V55" s="47">
        <f t="shared" si="18"/>
        <v>1.5243902439023849E-3</v>
      </c>
      <c r="W55" s="72">
        <f t="shared" si="8"/>
        <v>15924.199999999953</v>
      </c>
      <c r="X55" s="71">
        <f t="shared" si="9"/>
        <v>50.199999999999818</v>
      </c>
      <c r="Y55" s="71">
        <f t="shared" si="10"/>
        <v>51.099999999999454</v>
      </c>
      <c r="Z55" s="71">
        <f t="shared" si="11"/>
        <v>5.1999999999999886</v>
      </c>
      <c r="AA55" s="71">
        <f t="shared" si="12"/>
        <v>4.6999999999999886</v>
      </c>
      <c r="AB55" s="71">
        <f t="shared" si="13"/>
        <v>1</v>
      </c>
      <c r="AC55" s="71">
        <f t="shared" si="14"/>
        <v>0.29999999999998295</v>
      </c>
    </row>
    <row r="56" spans="1:29" x14ac:dyDescent="0.2">
      <c r="A56" s="3">
        <v>41821</v>
      </c>
      <c r="B56">
        <f t="shared" si="0"/>
        <v>2014</v>
      </c>
      <c r="C56" s="127">
        <v>659861.19999999995</v>
      </c>
      <c r="D56" s="127">
        <v>6864.4</v>
      </c>
      <c r="E56" s="127">
        <v>6957.8</v>
      </c>
      <c r="F56">
        <v>7.4</v>
      </c>
      <c r="G56">
        <v>7.8</v>
      </c>
      <c r="H56">
        <v>383.8</v>
      </c>
      <c r="I56">
        <v>386.4</v>
      </c>
      <c r="J56">
        <v>6.4</v>
      </c>
      <c r="K56">
        <v>6.8</v>
      </c>
      <c r="L56">
        <v>194</v>
      </c>
      <c r="M56">
        <v>197.9</v>
      </c>
      <c r="N56">
        <v>7.8</v>
      </c>
      <c r="O56">
        <v>7.4</v>
      </c>
      <c r="P56" s="47">
        <f t="shared" si="5"/>
        <v>2.472943781767456E-2</v>
      </c>
      <c r="Q56" s="47">
        <f t="shared" si="6"/>
        <v>5.596085669918871E-3</v>
      </c>
      <c r="R56" s="47">
        <f t="shared" si="7"/>
        <v>5.8839687152130171E-3</v>
      </c>
      <c r="S56" s="47">
        <f t="shared" si="15"/>
        <v>2.2648547828403975E-2</v>
      </c>
      <c r="T56" s="47">
        <f t="shared" si="16"/>
        <v>2.0332717190388205E-2</v>
      </c>
      <c r="U56" s="47">
        <f t="shared" si="17"/>
        <v>4.6607975142414215E-3</v>
      </c>
      <c r="V56" s="47">
        <f t="shared" si="18"/>
        <v>1.5182186234818928E-3</v>
      </c>
      <c r="W56" s="72">
        <f t="shared" si="8"/>
        <v>15924.199999999953</v>
      </c>
      <c r="X56" s="71">
        <f t="shared" si="9"/>
        <v>38.199999999999818</v>
      </c>
      <c r="Y56" s="71">
        <f t="shared" si="10"/>
        <v>40.699999999999818</v>
      </c>
      <c r="Z56" s="71">
        <f t="shared" si="11"/>
        <v>8.5</v>
      </c>
      <c r="AA56" s="71">
        <f t="shared" si="12"/>
        <v>7.6999999999999886</v>
      </c>
      <c r="AB56" s="71">
        <f t="shared" si="13"/>
        <v>0.90000000000000568</v>
      </c>
      <c r="AC56" s="71">
        <f t="shared" si="14"/>
        <v>0.30000000000001137</v>
      </c>
    </row>
    <row r="57" spans="1:29" x14ac:dyDescent="0.2">
      <c r="A57" s="3">
        <v>41852</v>
      </c>
      <c r="B57">
        <f t="shared" si="0"/>
        <v>2014</v>
      </c>
      <c r="C57" s="127">
        <v>659861.19999999995</v>
      </c>
      <c r="D57" s="127">
        <v>6869.9</v>
      </c>
      <c r="E57" s="127">
        <v>6969.7</v>
      </c>
      <c r="F57">
        <v>7.4</v>
      </c>
      <c r="G57">
        <v>7.9</v>
      </c>
      <c r="H57">
        <v>385.2</v>
      </c>
      <c r="I57">
        <v>388.9</v>
      </c>
      <c r="J57">
        <v>6.2</v>
      </c>
      <c r="K57">
        <v>6.9</v>
      </c>
      <c r="L57">
        <v>193.1</v>
      </c>
      <c r="M57">
        <v>196.7</v>
      </c>
      <c r="N57">
        <v>7.9</v>
      </c>
      <c r="O57">
        <v>7.6</v>
      </c>
      <c r="P57" s="47">
        <f t="shared" si="5"/>
        <v>2.472943781767456E-2</v>
      </c>
      <c r="Q57" s="47">
        <f t="shared" si="6"/>
        <v>5.2678558363452588E-3</v>
      </c>
      <c r="R57" s="47">
        <f t="shared" si="7"/>
        <v>5.0470820655543758E-3</v>
      </c>
      <c r="S57" s="47">
        <f t="shared" si="15"/>
        <v>5.7660626029653939E-2</v>
      </c>
      <c r="T57" s="47">
        <f t="shared" si="16"/>
        <v>5.5932663589465026E-2</v>
      </c>
      <c r="U57" s="47">
        <f t="shared" si="17"/>
        <v>1.0465724751439032E-2</v>
      </c>
      <c r="V57" s="47">
        <f t="shared" si="18"/>
        <v>9.2355053873780513E-3</v>
      </c>
      <c r="W57" s="72">
        <f t="shared" si="8"/>
        <v>15924.199999999953</v>
      </c>
      <c r="X57" s="71">
        <f t="shared" si="9"/>
        <v>36</v>
      </c>
      <c r="Y57" s="71">
        <f t="shared" si="10"/>
        <v>35</v>
      </c>
      <c r="Z57" s="71">
        <f t="shared" si="11"/>
        <v>21</v>
      </c>
      <c r="AA57" s="71">
        <f t="shared" si="12"/>
        <v>20.599999999999966</v>
      </c>
      <c r="AB57" s="71">
        <f t="shared" si="13"/>
        <v>2</v>
      </c>
      <c r="AC57" s="71">
        <f t="shared" si="14"/>
        <v>1.7999999999999829</v>
      </c>
    </row>
    <row r="58" spans="1:29" x14ac:dyDescent="0.2">
      <c r="A58" s="3">
        <v>41883</v>
      </c>
      <c r="B58">
        <f t="shared" si="0"/>
        <v>2014</v>
      </c>
      <c r="C58" s="127">
        <v>659861.19999999995</v>
      </c>
      <c r="D58" s="127">
        <v>6884.5</v>
      </c>
      <c r="E58" s="127">
        <v>6944.1</v>
      </c>
      <c r="F58">
        <v>7.3</v>
      </c>
      <c r="G58">
        <v>7.7</v>
      </c>
      <c r="H58">
        <v>385.2</v>
      </c>
      <c r="I58">
        <v>386.9</v>
      </c>
      <c r="J58">
        <v>5.8</v>
      </c>
      <c r="K58">
        <v>6.4</v>
      </c>
      <c r="L58">
        <v>194.2</v>
      </c>
      <c r="M58">
        <v>196.3</v>
      </c>
      <c r="N58">
        <v>7.4</v>
      </c>
      <c r="O58">
        <v>7.3</v>
      </c>
      <c r="P58" s="47">
        <f t="shared" si="5"/>
        <v>2.472943781767456E-2</v>
      </c>
      <c r="Q58" s="47">
        <f t="shared" si="6"/>
        <v>6.0204871918518865E-3</v>
      </c>
      <c r="R58" s="47">
        <f t="shared" si="7"/>
        <v>5.3859184293967299E-3</v>
      </c>
      <c r="S58" s="47">
        <f t="shared" si="15"/>
        <v>6.29139072847682E-2</v>
      </c>
      <c r="T58" s="47">
        <f t="shared" si="16"/>
        <v>6.1162918266593369E-2</v>
      </c>
      <c r="U58" s="47">
        <f t="shared" si="17"/>
        <v>2.1030494216614182E-2</v>
      </c>
      <c r="V58" s="47">
        <f t="shared" si="18"/>
        <v>2.2395833333333393E-2</v>
      </c>
      <c r="W58" s="72">
        <f t="shared" si="8"/>
        <v>15924.199999999953</v>
      </c>
      <c r="X58" s="71">
        <f t="shared" si="9"/>
        <v>41.199999999999818</v>
      </c>
      <c r="Y58" s="71">
        <f t="shared" si="10"/>
        <v>37.200000000000728</v>
      </c>
      <c r="Z58" s="71">
        <f t="shared" si="11"/>
        <v>22.800000000000011</v>
      </c>
      <c r="AA58" s="71">
        <f t="shared" si="12"/>
        <v>22.299999999999955</v>
      </c>
      <c r="AB58" s="71">
        <f t="shared" si="13"/>
        <v>4</v>
      </c>
      <c r="AC58" s="71">
        <f t="shared" si="14"/>
        <v>4.3000000000000114</v>
      </c>
    </row>
    <row r="59" spans="1:29" x14ac:dyDescent="0.2">
      <c r="A59" s="3">
        <v>41913</v>
      </c>
      <c r="B59">
        <f t="shared" si="0"/>
        <v>2014</v>
      </c>
      <c r="C59" s="127">
        <v>659861.19999999995</v>
      </c>
      <c r="D59" s="127">
        <v>6901.5</v>
      </c>
      <c r="E59" s="127">
        <v>6936.6</v>
      </c>
      <c r="F59">
        <v>7</v>
      </c>
      <c r="G59">
        <v>7</v>
      </c>
      <c r="H59">
        <v>385.1</v>
      </c>
      <c r="I59">
        <v>387.2</v>
      </c>
      <c r="J59">
        <v>5.4</v>
      </c>
      <c r="K59">
        <v>5.5</v>
      </c>
      <c r="L59">
        <v>194.9</v>
      </c>
      <c r="M59">
        <v>197.1</v>
      </c>
      <c r="N59">
        <v>7.2</v>
      </c>
      <c r="O59">
        <v>6.5</v>
      </c>
      <c r="P59" s="47">
        <f t="shared" si="5"/>
        <v>2.472943781767456E-2</v>
      </c>
      <c r="Q59" s="47">
        <f t="shared" si="6"/>
        <v>7.4741252207932707E-3</v>
      </c>
      <c r="R59" s="47">
        <f t="shared" si="7"/>
        <v>6.9095659747424598E-3</v>
      </c>
      <c r="S59" s="47">
        <f t="shared" si="15"/>
        <v>5.9130913091309134E-2</v>
      </c>
      <c r="T59" s="47">
        <f t="shared" si="16"/>
        <v>5.6480218281036887E-2</v>
      </c>
      <c r="U59" s="47">
        <f t="shared" si="17"/>
        <v>2.2024121657053142E-2</v>
      </c>
      <c r="V59" s="47">
        <f t="shared" si="18"/>
        <v>2.5494276795005266E-2</v>
      </c>
      <c r="W59" s="72">
        <f t="shared" si="8"/>
        <v>15924.199999999953</v>
      </c>
      <c r="X59" s="71">
        <f t="shared" si="9"/>
        <v>51.199999999999818</v>
      </c>
      <c r="Y59" s="71">
        <f t="shared" si="10"/>
        <v>47.600000000000364</v>
      </c>
      <c r="Z59" s="71">
        <f t="shared" si="11"/>
        <v>21.5</v>
      </c>
      <c r="AA59" s="71">
        <f t="shared" si="12"/>
        <v>20.699999999999989</v>
      </c>
      <c r="AB59" s="71">
        <f t="shared" si="13"/>
        <v>4.2000000000000171</v>
      </c>
      <c r="AC59" s="71">
        <f t="shared" si="14"/>
        <v>4.9000000000000057</v>
      </c>
    </row>
    <row r="60" spans="1:29" x14ac:dyDescent="0.2">
      <c r="A60" s="3">
        <v>41944</v>
      </c>
      <c r="B60">
        <f t="shared" si="0"/>
        <v>2014</v>
      </c>
      <c r="C60" s="127">
        <v>659861.19999999995</v>
      </c>
      <c r="D60" s="127">
        <v>6907.5</v>
      </c>
      <c r="E60" s="127">
        <v>6914.3</v>
      </c>
      <c r="F60">
        <v>7</v>
      </c>
      <c r="G60">
        <v>6.5</v>
      </c>
      <c r="H60">
        <v>383</v>
      </c>
      <c r="I60">
        <v>384.2</v>
      </c>
      <c r="J60">
        <v>5.0999999999999996</v>
      </c>
      <c r="K60">
        <v>4.7</v>
      </c>
      <c r="L60">
        <v>196.3</v>
      </c>
      <c r="M60">
        <v>197.2</v>
      </c>
      <c r="N60">
        <v>6.6</v>
      </c>
      <c r="O60">
        <v>5.8</v>
      </c>
      <c r="P60" s="47">
        <f t="shared" si="5"/>
        <v>2.472943781767456E-2</v>
      </c>
      <c r="Q60" s="47">
        <f t="shared" si="6"/>
        <v>7.8056609279253397E-3</v>
      </c>
      <c r="R60" s="47">
        <f t="shared" si="7"/>
        <v>7.3574404848626429E-3</v>
      </c>
      <c r="S60" s="47">
        <f t="shared" si="15"/>
        <v>3.5694970254191327E-2</v>
      </c>
      <c r="T60" s="47">
        <f t="shared" si="16"/>
        <v>3.3351264120494717E-2</v>
      </c>
      <c r="U60" s="47">
        <f t="shared" si="17"/>
        <v>2.4530271398747416E-2</v>
      </c>
      <c r="V60" s="47">
        <f t="shared" si="18"/>
        <v>3.1920460491889013E-2</v>
      </c>
      <c r="W60" s="72">
        <f t="shared" si="8"/>
        <v>15924.199999999953</v>
      </c>
      <c r="X60" s="71">
        <f t="shared" si="9"/>
        <v>53.5</v>
      </c>
      <c r="Y60" s="71">
        <f t="shared" si="10"/>
        <v>50.5</v>
      </c>
      <c r="Z60" s="71">
        <f t="shared" si="11"/>
        <v>13.199999999999989</v>
      </c>
      <c r="AA60" s="71">
        <f t="shared" si="12"/>
        <v>12.399999999999977</v>
      </c>
      <c r="AB60" s="71">
        <f t="shared" si="13"/>
        <v>4.7000000000000171</v>
      </c>
      <c r="AC60" s="71">
        <f t="shared" si="14"/>
        <v>6.0999999999999943</v>
      </c>
    </row>
    <row r="61" spans="1:29" x14ac:dyDescent="0.2">
      <c r="A61" s="3">
        <v>41974</v>
      </c>
      <c r="B61">
        <f t="shared" si="0"/>
        <v>2014</v>
      </c>
      <c r="C61" s="127">
        <v>659861.19999999995</v>
      </c>
      <c r="D61" s="127">
        <v>6903.1</v>
      </c>
      <c r="E61" s="127">
        <v>6903.2</v>
      </c>
      <c r="F61">
        <v>6.9</v>
      </c>
      <c r="G61">
        <v>6.4</v>
      </c>
      <c r="H61">
        <v>380</v>
      </c>
      <c r="I61">
        <v>382.5</v>
      </c>
      <c r="J61">
        <v>5.3</v>
      </c>
      <c r="K61">
        <v>4.7</v>
      </c>
      <c r="L61">
        <v>196.2</v>
      </c>
      <c r="M61">
        <v>196</v>
      </c>
      <c r="N61">
        <v>6.7</v>
      </c>
      <c r="O61">
        <v>6.4</v>
      </c>
      <c r="P61" s="47">
        <f t="shared" si="5"/>
        <v>2.472943781767456E-2</v>
      </c>
      <c r="Q61" s="47">
        <f t="shared" si="6"/>
        <v>7.6929814317412415E-3</v>
      </c>
      <c r="R61" s="47">
        <f t="shared" si="7"/>
        <v>7.8694173127180633E-3</v>
      </c>
      <c r="S61" s="47">
        <f t="shared" si="15"/>
        <v>1.7130620985010614E-2</v>
      </c>
      <c r="T61" s="47">
        <f t="shared" si="16"/>
        <v>1.5666489644184711E-2</v>
      </c>
      <c r="U61" s="47">
        <f t="shared" si="17"/>
        <v>1.3429752066115741E-2</v>
      </c>
      <c r="V61" s="47">
        <f t="shared" si="18"/>
        <v>2.0301926080166677E-2</v>
      </c>
      <c r="W61" s="72">
        <f t="shared" si="8"/>
        <v>15924.199999999953</v>
      </c>
      <c r="X61" s="71">
        <f t="shared" si="9"/>
        <v>52.700000000000728</v>
      </c>
      <c r="Y61" s="71">
        <f t="shared" si="10"/>
        <v>53.899999999999636</v>
      </c>
      <c r="Z61" s="71">
        <f t="shared" si="11"/>
        <v>6.3999999999999773</v>
      </c>
      <c r="AA61" s="71">
        <f t="shared" si="12"/>
        <v>5.8999999999999773</v>
      </c>
      <c r="AB61" s="71">
        <f t="shared" si="13"/>
        <v>2.5999999999999943</v>
      </c>
      <c r="AC61" s="71">
        <f t="shared" si="14"/>
        <v>3.9000000000000057</v>
      </c>
    </row>
    <row r="62" spans="1:29" x14ac:dyDescent="0.2">
      <c r="A62" s="3">
        <v>42005</v>
      </c>
      <c r="B62">
        <f t="shared" si="0"/>
        <v>2015</v>
      </c>
      <c r="C62" s="127">
        <v>677384</v>
      </c>
      <c r="D62" s="127">
        <v>6885.7</v>
      </c>
      <c r="E62" s="127">
        <v>6845.1</v>
      </c>
      <c r="F62">
        <v>7</v>
      </c>
      <c r="G62">
        <v>6.6</v>
      </c>
      <c r="H62">
        <v>379.5</v>
      </c>
      <c r="I62">
        <v>379.3</v>
      </c>
      <c r="J62">
        <v>5.4</v>
      </c>
      <c r="K62">
        <v>5.0999999999999996</v>
      </c>
      <c r="L62">
        <v>196.6</v>
      </c>
      <c r="M62">
        <v>193.5</v>
      </c>
      <c r="N62">
        <v>6.6</v>
      </c>
      <c r="O62">
        <v>7</v>
      </c>
      <c r="P62" s="47">
        <f t="shared" si="5"/>
        <v>2.6555281625893601E-2</v>
      </c>
      <c r="Q62" s="47">
        <f t="shared" si="6"/>
        <v>5.4612093512258486E-3</v>
      </c>
      <c r="R62" s="47">
        <f t="shared" si="7"/>
        <v>5.7301538325913448E-3</v>
      </c>
      <c r="S62" s="47">
        <f t="shared" si="15"/>
        <v>1.1730205278592365E-2</v>
      </c>
      <c r="T62" s="47">
        <f t="shared" si="16"/>
        <v>7.9723624767473744E-3</v>
      </c>
      <c r="U62" s="47">
        <f t="shared" si="17"/>
        <v>1.1316872427983515E-2</v>
      </c>
      <c r="V62" s="47">
        <f t="shared" si="18"/>
        <v>1.6281512605041959E-2</v>
      </c>
      <c r="W62" s="72">
        <f t="shared" si="8"/>
        <v>17522.800000000047</v>
      </c>
      <c r="X62" s="71">
        <f t="shared" si="9"/>
        <v>37.399999999999636</v>
      </c>
      <c r="Y62" s="71">
        <f t="shared" si="10"/>
        <v>39</v>
      </c>
      <c r="Z62" s="71">
        <f t="shared" si="11"/>
        <v>4.3999999999999773</v>
      </c>
      <c r="AA62" s="71">
        <f t="shared" si="12"/>
        <v>3</v>
      </c>
      <c r="AB62" s="71">
        <f t="shared" si="13"/>
        <v>2.1999999999999886</v>
      </c>
      <c r="AC62" s="71">
        <f t="shared" si="14"/>
        <v>3.0999999999999943</v>
      </c>
    </row>
    <row r="63" spans="1:29" x14ac:dyDescent="0.2">
      <c r="A63" s="3">
        <v>42036</v>
      </c>
      <c r="B63">
        <f t="shared" si="0"/>
        <v>2015</v>
      </c>
      <c r="C63" s="127">
        <v>677384</v>
      </c>
      <c r="D63" s="127">
        <v>6885.3</v>
      </c>
      <c r="E63" s="127">
        <v>6810.3</v>
      </c>
      <c r="F63">
        <v>6.9</v>
      </c>
      <c r="G63">
        <v>6.8</v>
      </c>
      <c r="H63">
        <v>378.6</v>
      </c>
      <c r="I63">
        <v>376.2</v>
      </c>
      <c r="J63">
        <v>5.4</v>
      </c>
      <c r="K63">
        <v>5.0999999999999996</v>
      </c>
      <c r="L63">
        <v>196.7</v>
      </c>
      <c r="M63">
        <v>192.8</v>
      </c>
      <c r="N63">
        <v>6.7</v>
      </c>
      <c r="O63">
        <v>7.6</v>
      </c>
      <c r="P63" s="47">
        <f t="shared" si="5"/>
        <v>2.6555281625893601E-2</v>
      </c>
      <c r="Q63" s="47">
        <f t="shared" si="6"/>
        <v>5.1532846715329761E-3</v>
      </c>
      <c r="R63" s="47">
        <f t="shared" si="7"/>
        <v>5.6110922434031707E-3</v>
      </c>
      <c r="S63" s="47">
        <f t="shared" si="15"/>
        <v>-3.4219531455644825E-3</v>
      </c>
      <c r="T63" s="47">
        <f t="shared" si="16"/>
        <v>-1.5956055453832163E-2</v>
      </c>
      <c r="U63" s="47">
        <f t="shared" si="17"/>
        <v>5.0864699898278687E-4</v>
      </c>
      <c r="V63" s="47">
        <f t="shared" si="18"/>
        <v>6.2630480167016334E-3</v>
      </c>
      <c r="W63" s="72">
        <f t="shared" si="8"/>
        <v>17522.800000000047</v>
      </c>
      <c r="X63" s="71">
        <f t="shared" si="9"/>
        <v>35.300000000000182</v>
      </c>
      <c r="Y63" s="71">
        <f t="shared" si="10"/>
        <v>38</v>
      </c>
      <c r="Z63" s="71">
        <f t="shared" si="11"/>
        <v>-1.2999999999999545</v>
      </c>
      <c r="AA63" s="71">
        <f t="shared" si="12"/>
        <v>-6.1000000000000227</v>
      </c>
      <c r="AB63" s="71">
        <f t="shared" si="13"/>
        <v>9.9999999999994316E-2</v>
      </c>
      <c r="AC63" s="71">
        <f t="shared" si="14"/>
        <v>1.2000000000000171</v>
      </c>
    </row>
    <row r="64" spans="1:29" x14ac:dyDescent="0.2">
      <c r="A64" s="3">
        <v>42064</v>
      </c>
      <c r="B64">
        <f t="shared" si="0"/>
        <v>2015</v>
      </c>
      <c r="C64" s="127">
        <v>677384</v>
      </c>
      <c r="D64" s="127">
        <v>6892.1</v>
      </c>
      <c r="E64" s="127">
        <v>6783.7</v>
      </c>
      <c r="F64">
        <v>6.9</v>
      </c>
      <c r="G64">
        <v>7.1</v>
      </c>
      <c r="H64">
        <v>379.4</v>
      </c>
      <c r="I64">
        <v>373.1</v>
      </c>
      <c r="J64">
        <v>5.4</v>
      </c>
      <c r="K64">
        <v>5.5</v>
      </c>
      <c r="L64">
        <v>199.2</v>
      </c>
      <c r="M64">
        <v>195</v>
      </c>
      <c r="N64">
        <v>6.6</v>
      </c>
      <c r="O64">
        <v>7.6</v>
      </c>
      <c r="P64" s="47">
        <f t="shared" si="5"/>
        <v>2.6555281625893601E-2</v>
      </c>
      <c r="Q64" s="47">
        <f t="shared" si="6"/>
        <v>5.2068140715244571E-3</v>
      </c>
      <c r="R64" s="47">
        <f t="shared" si="7"/>
        <v>4.799075733562308E-3</v>
      </c>
      <c r="S64" s="47">
        <f t="shared" si="15"/>
        <v>-7.326007326007411E-3</v>
      </c>
      <c r="T64" s="47">
        <f t="shared" si="16"/>
        <v>-2.3809523809523725E-2</v>
      </c>
      <c r="U64" s="47">
        <f t="shared" si="17"/>
        <v>8.0971659919029104E-3</v>
      </c>
      <c r="V64" s="47">
        <f t="shared" si="18"/>
        <v>1.4568158168574374E-2</v>
      </c>
      <c r="W64" s="72">
        <f t="shared" si="8"/>
        <v>17522.800000000047</v>
      </c>
      <c r="X64" s="71">
        <f t="shared" si="9"/>
        <v>35.700000000000728</v>
      </c>
      <c r="Y64" s="71">
        <f t="shared" si="10"/>
        <v>32.399999999999636</v>
      </c>
      <c r="Z64" s="71">
        <f t="shared" si="11"/>
        <v>-2.8000000000000114</v>
      </c>
      <c r="AA64" s="71">
        <f t="shared" si="12"/>
        <v>-9.0999999999999659</v>
      </c>
      <c r="AB64" s="71">
        <f t="shared" si="13"/>
        <v>1.5999999999999943</v>
      </c>
      <c r="AC64" s="71">
        <f t="shared" si="14"/>
        <v>2.8000000000000114</v>
      </c>
    </row>
    <row r="65" spans="1:29" x14ac:dyDescent="0.2">
      <c r="A65" s="3">
        <v>42095</v>
      </c>
      <c r="B65">
        <f t="shared" si="0"/>
        <v>2015</v>
      </c>
      <c r="C65" s="127">
        <v>677384</v>
      </c>
      <c r="D65" s="127">
        <v>6897.3</v>
      </c>
      <c r="E65" s="127">
        <v>6805.6</v>
      </c>
      <c r="F65">
        <v>6.8</v>
      </c>
      <c r="G65">
        <v>7</v>
      </c>
      <c r="H65">
        <v>379.6</v>
      </c>
      <c r="I65">
        <v>374.7</v>
      </c>
      <c r="J65">
        <v>5.3</v>
      </c>
      <c r="K65">
        <v>5.2</v>
      </c>
      <c r="L65">
        <v>202.1</v>
      </c>
      <c r="M65">
        <v>198.1</v>
      </c>
      <c r="N65">
        <v>6.3</v>
      </c>
      <c r="O65">
        <v>7.2</v>
      </c>
      <c r="P65" s="47">
        <f t="shared" si="5"/>
        <v>2.6555281625893601E-2</v>
      </c>
      <c r="Q65" s="47">
        <f t="shared" si="6"/>
        <v>4.0322580645160144E-3</v>
      </c>
      <c r="R65" s="47">
        <f t="shared" si="7"/>
        <v>3.0361090641120025E-3</v>
      </c>
      <c r="S65" s="47">
        <f t="shared" si="15"/>
        <v>-9.394572025052117E-3</v>
      </c>
      <c r="T65" s="47">
        <f t="shared" si="16"/>
        <v>-2.0392156862745092E-2</v>
      </c>
      <c r="U65" s="47">
        <f t="shared" si="17"/>
        <v>2.0191822311963703E-2</v>
      </c>
      <c r="V65" s="47">
        <f t="shared" si="18"/>
        <v>2.4301964839710477E-2</v>
      </c>
      <c r="W65" s="72">
        <f t="shared" si="8"/>
        <v>17522.800000000047</v>
      </c>
      <c r="X65" s="71">
        <f t="shared" si="9"/>
        <v>27.699999999999818</v>
      </c>
      <c r="Y65" s="71">
        <f t="shared" si="10"/>
        <v>20.600000000000364</v>
      </c>
      <c r="Z65" s="71">
        <f t="shared" si="11"/>
        <v>-3.5999999999999659</v>
      </c>
      <c r="AA65" s="71">
        <f t="shared" si="12"/>
        <v>-7.8000000000000114</v>
      </c>
      <c r="AB65" s="71">
        <f t="shared" si="13"/>
        <v>4</v>
      </c>
      <c r="AC65" s="71">
        <f t="shared" si="14"/>
        <v>4.6999999999999886</v>
      </c>
    </row>
    <row r="66" spans="1:29" x14ac:dyDescent="0.2">
      <c r="A66" s="3">
        <v>42125</v>
      </c>
      <c r="B66">
        <f t="shared" si="0"/>
        <v>2015</v>
      </c>
      <c r="C66" s="127">
        <v>677384</v>
      </c>
      <c r="D66" s="127">
        <v>6906.5</v>
      </c>
      <c r="E66" s="127">
        <v>6870.9</v>
      </c>
      <c r="F66">
        <v>6.7</v>
      </c>
      <c r="G66">
        <v>7</v>
      </c>
      <c r="H66">
        <v>385</v>
      </c>
      <c r="I66">
        <v>382.4</v>
      </c>
      <c r="J66">
        <v>5.0999999999999996</v>
      </c>
      <c r="K66">
        <v>5.2</v>
      </c>
      <c r="L66">
        <v>202.7</v>
      </c>
      <c r="M66">
        <v>200.6</v>
      </c>
      <c r="N66">
        <v>6.2</v>
      </c>
      <c r="O66">
        <v>6.6</v>
      </c>
      <c r="P66" s="47">
        <f t="shared" si="5"/>
        <v>2.6555281625893601E-2</v>
      </c>
      <c r="Q66" s="47">
        <f t="shared" si="6"/>
        <v>5.2251622856809288E-3</v>
      </c>
      <c r="R66" s="47">
        <f t="shared" si="7"/>
        <v>4.1358547920380406E-3</v>
      </c>
      <c r="S66" s="47">
        <f t="shared" si="15"/>
        <v>9.1743119266054496E-3</v>
      </c>
      <c r="T66" s="47">
        <f t="shared" si="16"/>
        <v>7.1108770081642625E-3</v>
      </c>
      <c r="U66" s="47">
        <f t="shared" si="17"/>
        <v>2.8411973617453068E-2</v>
      </c>
      <c r="V66" s="47">
        <f t="shared" si="18"/>
        <v>2.5038323965252962E-2</v>
      </c>
      <c r="W66" s="72">
        <f t="shared" si="8"/>
        <v>17522.800000000047</v>
      </c>
      <c r="X66" s="71">
        <f t="shared" si="9"/>
        <v>35.899999999999636</v>
      </c>
      <c r="Y66" s="71">
        <f t="shared" si="10"/>
        <v>28.299999999999272</v>
      </c>
      <c r="Z66" s="71">
        <f t="shared" si="11"/>
        <v>3.5</v>
      </c>
      <c r="AA66" s="71">
        <f t="shared" si="12"/>
        <v>2.6999999999999886</v>
      </c>
      <c r="AB66" s="71">
        <f t="shared" si="13"/>
        <v>5.5999999999999943</v>
      </c>
      <c r="AC66" s="71">
        <f t="shared" si="14"/>
        <v>4.9000000000000057</v>
      </c>
    </row>
    <row r="67" spans="1:29" x14ac:dyDescent="0.2">
      <c r="A67" s="3">
        <v>42156</v>
      </c>
      <c r="B67">
        <f t="shared" ref="B67:B130" si="19">YEAR(A67)</f>
        <v>2015</v>
      </c>
      <c r="C67" s="127">
        <v>677384</v>
      </c>
      <c r="D67" s="127">
        <v>6921.3</v>
      </c>
      <c r="E67" s="127">
        <v>6965.8</v>
      </c>
      <c r="F67">
        <v>6.6</v>
      </c>
      <c r="G67">
        <v>6.7</v>
      </c>
      <c r="H67">
        <v>387.9</v>
      </c>
      <c r="I67">
        <v>389.3</v>
      </c>
      <c r="J67">
        <v>5.2</v>
      </c>
      <c r="K67">
        <v>5.3</v>
      </c>
      <c r="L67">
        <v>203.8</v>
      </c>
      <c r="M67">
        <v>204.5</v>
      </c>
      <c r="N67">
        <v>6</v>
      </c>
      <c r="O67">
        <v>5.8</v>
      </c>
      <c r="P67" s="47">
        <f t="shared" si="5"/>
        <v>2.6555281625893601E-2</v>
      </c>
      <c r="Q67" s="47">
        <f t="shared" si="6"/>
        <v>8.1422786727649576E-3</v>
      </c>
      <c r="R67" s="47">
        <f t="shared" si="7"/>
        <v>7.6523600804294656E-3</v>
      </c>
      <c r="S67" s="47">
        <f t="shared" si="15"/>
        <v>1.5445026178010357E-2</v>
      </c>
      <c r="T67" s="47">
        <f t="shared" si="16"/>
        <v>1.5653535090007775E-2</v>
      </c>
      <c r="U67" s="47">
        <f t="shared" si="17"/>
        <v>4.3522785458269375E-2</v>
      </c>
      <c r="V67" s="47">
        <f t="shared" si="18"/>
        <v>3.7544393708777379E-2</v>
      </c>
      <c r="W67" s="72">
        <f t="shared" si="8"/>
        <v>17522.800000000047</v>
      </c>
      <c r="X67" s="71">
        <f t="shared" si="9"/>
        <v>55.900000000000546</v>
      </c>
      <c r="Y67" s="71">
        <f t="shared" si="10"/>
        <v>52.900000000000546</v>
      </c>
      <c r="Z67" s="71">
        <f t="shared" si="11"/>
        <v>5.8999999999999773</v>
      </c>
      <c r="AA67" s="71">
        <f t="shared" si="12"/>
        <v>6</v>
      </c>
      <c r="AB67" s="71">
        <f t="shared" si="13"/>
        <v>8.5</v>
      </c>
      <c r="AC67" s="71">
        <f t="shared" si="14"/>
        <v>7.4000000000000057</v>
      </c>
    </row>
    <row r="68" spans="1:29" x14ac:dyDescent="0.2">
      <c r="A68" s="3">
        <v>42186</v>
      </c>
      <c r="B68">
        <f t="shared" si="19"/>
        <v>2015</v>
      </c>
      <c r="C68" s="127">
        <v>677384</v>
      </c>
      <c r="D68" s="127">
        <v>6941.2</v>
      </c>
      <c r="E68" s="127">
        <v>7032.3</v>
      </c>
      <c r="F68">
        <v>6.5</v>
      </c>
      <c r="G68">
        <v>6.8</v>
      </c>
      <c r="H68">
        <v>392.4</v>
      </c>
      <c r="I68">
        <v>395.3</v>
      </c>
      <c r="J68">
        <v>5.3</v>
      </c>
      <c r="K68">
        <v>5.7</v>
      </c>
      <c r="L68">
        <v>205.4</v>
      </c>
      <c r="M68">
        <v>209.6</v>
      </c>
      <c r="N68">
        <v>6.4</v>
      </c>
      <c r="O68">
        <v>6</v>
      </c>
      <c r="P68" s="47">
        <f t="shared" si="5"/>
        <v>2.6555281625893601E-2</v>
      </c>
      <c r="Q68" s="47">
        <f t="shared" si="6"/>
        <v>1.1188159198181946E-2</v>
      </c>
      <c r="R68" s="47">
        <f t="shared" si="7"/>
        <v>1.0707407513869338E-2</v>
      </c>
      <c r="S68" s="47">
        <f t="shared" si="15"/>
        <v>2.2407503908285387E-2</v>
      </c>
      <c r="T68" s="47">
        <f t="shared" si="16"/>
        <v>2.3033126293996009E-2</v>
      </c>
      <c r="U68" s="47">
        <f t="shared" si="17"/>
        <v>5.8762886597938158E-2</v>
      </c>
      <c r="V68" s="47">
        <f t="shared" si="18"/>
        <v>5.912076806467903E-2</v>
      </c>
      <c r="W68" s="72">
        <f t="shared" si="8"/>
        <v>17522.800000000047</v>
      </c>
      <c r="X68" s="71">
        <f t="shared" si="9"/>
        <v>76.800000000000182</v>
      </c>
      <c r="Y68" s="71">
        <f t="shared" si="10"/>
        <v>74.5</v>
      </c>
      <c r="Z68" s="71">
        <f t="shared" si="11"/>
        <v>8.5999999999999659</v>
      </c>
      <c r="AA68" s="71">
        <f t="shared" si="12"/>
        <v>8.9000000000000341</v>
      </c>
      <c r="AB68" s="71">
        <f t="shared" si="13"/>
        <v>11.400000000000006</v>
      </c>
      <c r="AC68" s="71">
        <f t="shared" si="14"/>
        <v>11.699999999999989</v>
      </c>
    </row>
    <row r="69" spans="1:29" x14ac:dyDescent="0.2">
      <c r="A69" s="3">
        <v>42217</v>
      </c>
      <c r="B69">
        <f t="shared" si="19"/>
        <v>2015</v>
      </c>
      <c r="C69" s="127">
        <v>677384</v>
      </c>
      <c r="D69" s="127">
        <v>6949.2</v>
      </c>
      <c r="E69" s="127">
        <v>7045.7</v>
      </c>
      <c r="F69">
        <v>6.6</v>
      </c>
      <c r="G69">
        <v>7.1</v>
      </c>
      <c r="H69">
        <v>392.6</v>
      </c>
      <c r="I69">
        <v>397.2</v>
      </c>
      <c r="J69">
        <v>5.2</v>
      </c>
      <c r="K69">
        <v>5.9</v>
      </c>
      <c r="L69">
        <v>206.9</v>
      </c>
      <c r="M69">
        <v>211.4</v>
      </c>
      <c r="N69">
        <v>6.8</v>
      </c>
      <c r="O69">
        <v>6.4</v>
      </c>
      <c r="P69" s="47">
        <f t="shared" si="5"/>
        <v>2.6555281625893601E-2</v>
      </c>
      <c r="Q69" s="47">
        <f t="shared" si="6"/>
        <v>1.1543108342188413E-2</v>
      </c>
      <c r="R69" s="47">
        <f t="shared" si="7"/>
        <v>1.0904343085068158E-2</v>
      </c>
      <c r="S69" s="47">
        <f t="shared" si="15"/>
        <v>1.9210799584631344E-2</v>
      </c>
      <c r="T69" s="47">
        <f t="shared" si="16"/>
        <v>2.1342247364360967E-2</v>
      </c>
      <c r="U69" s="47">
        <f t="shared" si="17"/>
        <v>7.1465561885033724E-2</v>
      </c>
      <c r="V69" s="47">
        <f t="shared" si="18"/>
        <v>7.4733096085409345E-2</v>
      </c>
      <c r="W69" s="72">
        <f t="shared" si="8"/>
        <v>17522.800000000047</v>
      </c>
      <c r="X69" s="71">
        <f t="shared" si="9"/>
        <v>79.300000000000182</v>
      </c>
      <c r="Y69" s="71">
        <f t="shared" si="10"/>
        <v>76</v>
      </c>
      <c r="Z69" s="71">
        <f t="shared" si="11"/>
        <v>7.4000000000000341</v>
      </c>
      <c r="AA69" s="71">
        <f t="shared" si="12"/>
        <v>8.3000000000000114</v>
      </c>
      <c r="AB69" s="71">
        <f t="shared" si="13"/>
        <v>13.800000000000011</v>
      </c>
      <c r="AC69" s="71">
        <f t="shared" si="14"/>
        <v>14.700000000000017</v>
      </c>
    </row>
    <row r="70" spans="1:29" x14ac:dyDescent="0.2">
      <c r="A70" s="3">
        <v>42248</v>
      </c>
      <c r="B70">
        <f t="shared" si="19"/>
        <v>2015</v>
      </c>
      <c r="C70" s="127">
        <v>677384</v>
      </c>
      <c r="D70" s="127">
        <v>6941.1</v>
      </c>
      <c r="E70" s="127">
        <v>6994.9</v>
      </c>
      <c r="F70">
        <v>6.8</v>
      </c>
      <c r="G70">
        <v>7.1</v>
      </c>
      <c r="H70">
        <v>390.5</v>
      </c>
      <c r="I70">
        <v>393.9</v>
      </c>
      <c r="J70">
        <v>5.3</v>
      </c>
      <c r="K70">
        <v>5.7</v>
      </c>
      <c r="L70">
        <v>207.2</v>
      </c>
      <c r="M70">
        <v>210.4</v>
      </c>
      <c r="N70">
        <v>7.3</v>
      </c>
      <c r="O70">
        <v>6.9</v>
      </c>
      <c r="P70" s="47">
        <f t="shared" si="5"/>
        <v>2.6555281625893601E-2</v>
      </c>
      <c r="Q70" s="47">
        <f t="shared" si="6"/>
        <v>8.221366838550459E-3</v>
      </c>
      <c r="R70" s="47">
        <f t="shared" si="7"/>
        <v>7.3155628519172566E-3</v>
      </c>
      <c r="S70" s="47">
        <f t="shared" si="15"/>
        <v>1.3759086188992686E-2</v>
      </c>
      <c r="T70" s="47">
        <f t="shared" si="16"/>
        <v>1.8092530369604454E-2</v>
      </c>
      <c r="U70" s="47">
        <f t="shared" si="17"/>
        <v>6.6941297631307961E-2</v>
      </c>
      <c r="V70" s="47">
        <f t="shared" si="18"/>
        <v>7.1828833418237314E-2</v>
      </c>
      <c r="W70" s="72">
        <f t="shared" si="8"/>
        <v>17522.800000000047</v>
      </c>
      <c r="X70" s="71">
        <f t="shared" si="9"/>
        <v>56.600000000000364</v>
      </c>
      <c r="Y70" s="71">
        <f t="shared" si="10"/>
        <v>50.799999999999272</v>
      </c>
      <c r="Z70" s="71">
        <f t="shared" si="11"/>
        <v>5.3000000000000114</v>
      </c>
      <c r="AA70" s="71">
        <f t="shared" si="12"/>
        <v>7</v>
      </c>
      <c r="AB70" s="71">
        <f t="shared" si="13"/>
        <v>13</v>
      </c>
      <c r="AC70" s="71">
        <f t="shared" si="14"/>
        <v>14.099999999999994</v>
      </c>
    </row>
    <row r="71" spans="1:29" x14ac:dyDescent="0.2">
      <c r="A71" s="3">
        <v>42278</v>
      </c>
      <c r="B71">
        <f t="shared" si="19"/>
        <v>2015</v>
      </c>
      <c r="C71" s="127">
        <v>677384</v>
      </c>
      <c r="D71" s="127">
        <v>6934.8</v>
      </c>
      <c r="E71" s="127">
        <v>6969</v>
      </c>
      <c r="F71">
        <v>6.8</v>
      </c>
      <c r="G71">
        <v>6.8</v>
      </c>
      <c r="H71">
        <v>385.6</v>
      </c>
      <c r="I71">
        <v>388.2</v>
      </c>
      <c r="J71">
        <v>5.7</v>
      </c>
      <c r="K71">
        <v>5.6</v>
      </c>
      <c r="L71">
        <v>205.6</v>
      </c>
      <c r="M71">
        <v>208.5</v>
      </c>
      <c r="N71">
        <v>7.6</v>
      </c>
      <c r="O71">
        <v>6.8</v>
      </c>
      <c r="P71" s="47">
        <f t="shared" si="5"/>
        <v>2.6555281625893601E-2</v>
      </c>
      <c r="Q71" s="47">
        <f t="shared" si="6"/>
        <v>4.8250380352097277E-3</v>
      </c>
      <c r="R71" s="47">
        <f t="shared" si="7"/>
        <v>4.6708762217799737E-3</v>
      </c>
      <c r="S71" s="47">
        <f t="shared" si="15"/>
        <v>1.2983640612826974E-3</v>
      </c>
      <c r="T71" s="47">
        <f t="shared" si="16"/>
        <v>2.5826446280992066E-3</v>
      </c>
      <c r="U71" s="47">
        <f t="shared" si="17"/>
        <v>5.4899948691636613E-2</v>
      </c>
      <c r="V71" s="47">
        <f t="shared" si="18"/>
        <v>5.7838660578386714E-2</v>
      </c>
      <c r="W71" s="72">
        <f t="shared" si="8"/>
        <v>17522.800000000047</v>
      </c>
      <c r="X71" s="71">
        <f t="shared" si="9"/>
        <v>33.300000000000182</v>
      </c>
      <c r="Y71" s="71">
        <f t="shared" si="10"/>
        <v>32.399999999999636</v>
      </c>
      <c r="Z71" s="71">
        <f t="shared" si="11"/>
        <v>0.5</v>
      </c>
      <c r="AA71" s="71">
        <f t="shared" si="12"/>
        <v>1</v>
      </c>
      <c r="AB71" s="71">
        <f t="shared" si="13"/>
        <v>10.699999999999989</v>
      </c>
      <c r="AC71" s="71">
        <f t="shared" si="14"/>
        <v>11.400000000000006</v>
      </c>
    </row>
    <row r="72" spans="1:29" x14ac:dyDescent="0.2">
      <c r="A72" s="3">
        <v>42309</v>
      </c>
      <c r="B72">
        <f t="shared" si="19"/>
        <v>2015</v>
      </c>
      <c r="C72" s="127">
        <v>677384</v>
      </c>
      <c r="D72" s="127">
        <v>6928.3</v>
      </c>
      <c r="E72" s="127">
        <v>6936.9</v>
      </c>
      <c r="F72">
        <v>6.9</v>
      </c>
      <c r="G72">
        <v>6.4</v>
      </c>
      <c r="H72">
        <v>384.5</v>
      </c>
      <c r="I72">
        <v>385.6</v>
      </c>
      <c r="J72">
        <v>6.1</v>
      </c>
      <c r="K72">
        <v>5.6</v>
      </c>
      <c r="L72">
        <v>205.8</v>
      </c>
      <c r="M72">
        <v>207.7</v>
      </c>
      <c r="N72">
        <v>7.9</v>
      </c>
      <c r="O72">
        <v>7.1</v>
      </c>
      <c r="P72" s="47">
        <f t="shared" si="5"/>
        <v>2.6555281625893601E-2</v>
      </c>
      <c r="Q72" s="47">
        <f t="shared" si="6"/>
        <v>3.0112196887441822E-3</v>
      </c>
      <c r="R72" s="47">
        <f t="shared" si="7"/>
        <v>3.2685882880405526E-3</v>
      </c>
      <c r="S72" s="47">
        <f t="shared" si="15"/>
        <v>3.916449086161844E-3</v>
      </c>
      <c r="T72" s="47">
        <f t="shared" si="16"/>
        <v>3.6439354502864063E-3</v>
      </c>
      <c r="U72" s="47">
        <f t="shared" si="17"/>
        <v>4.8395313295975573E-2</v>
      </c>
      <c r="V72" s="47">
        <f t="shared" si="18"/>
        <v>5.3245436105476607E-2</v>
      </c>
      <c r="W72" s="72">
        <f t="shared" si="8"/>
        <v>17522.800000000047</v>
      </c>
      <c r="X72" s="71">
        <f t="shared" si="9"/>
        <v>20.800000000000182</v>
      </c>
      <c r="Y72" s="71">
        <f t="shared" si="10"/>
        <v>22.599999999999454</v>
      </c>
      <c r="Z72" s="71">
        <f t="shared" si="11"/>
        <v>1.5</v>
      </c>
      <c r="AA72" s="71">
        <f t="shared" si="12"/>
        <v>1.4000000000000341</v>
      </c>
      <c r="AB72" s="71">
        <f t="shared" si="13"/>
        <v>9.5</v>
      </c>
      <c r="AC72" s="71">
        <f t="shared" si="14"/>
        <v>10.5</v>
      </c>
    </row>
    <row r="73" spans="1:29" x14ac:dyDescent="0.2">
      <c r="A73" s="3">
        <v>42339</v>
      </c>
      <c r="B73">
        <f t="shared" si="19"/>
        <v>2015</v>
      </c>
      <c r="C73" s="127">
        <v>677384</v>
      </c>
      <c r="D73" s="127">
        <v>6942.8</v>
      </c>
      <c r="E73" s="127">
        <v>6948.2</v>
      </c>
      <c r="F73">
        <v>6.8</v>
      </c>
      <c r="G73">
        <v>6.2</v>
      </c>
      <c r="H73">
        <v>383.7</v>
      </c>
      <c r="I73">
        <v>385.4</v>
      </c>
      <c r="J73">
        <v>6</v>
      </c>
      <c r="K73">
        <v>5.4</v>
      </c>
      <c r="L73">
        <v>205.4</v>
      </c>
      <c r="M73">
        <v>206.4</v>
      </c>
      <c r="N73">
        <v>8</v>
      </c>
      <c r="O73">
        <v>7.7</v>
      </c>
      <c r="P73" s="47">
        <f t="shared" si="5"/>
        <v>2.6555281625893601E-2</v>
      </c>
      <c r="Q73" s="47">
        <f t="shared" si="6"/>
        <v>5.7510393881010646E-3</v>
      </c>
      <c r="R73" s="47">
        <f t="shared" si="7"/>
        <v>6.5187159578166121E-3</v>
      </c>
      <c r="S73" s="47">
        <f t="shared" si="15"/>
        <v>9.7368421052630438E-3</v>
      </c>
      <c r="T73" s="47">
        <f t="shared" si="16"/>
        <v>7.5816993464050686E-3</v>
      </c>
      <c r="U73" s="47">
        <f t="shared" si="17"/>
        <v>4.6890927624872569E-2</v>
      </c>
      <c r="V73" s="47">
        <f t="shared" si="18"/>
        <v>5.3061224489795888E-2</v>
      </c>
      <c r="W73" s="72">
        <f t="shared" si="8"/>
        <v>17522.800000000047</v>
      </c>
      <c r="X73" s="71">
        <f t="shared" si="9"/>
        <v>39.699999999999818</v>
      </c>
      <c r="Y73" s="71">
        <f t="shared" si="10"/>
        <v>45</v>
      </c>
      <c r="Z73" s="71">
        <f t="shared" si="11"/>
        <v>3.6999999999999886</v>
      </c>
      <c r="AA73" s="71">
        <f t="shared" si="12"/>
        <v>2.8999999999999773</v>
      </c>
      <c r="AB73" s="71">
        <f t="shared" si="13"/>
        <v>9.2000000000000171</v>
      </c>
      <c r="AC73" s="71">
        <f t="shared" si="14"/>
        <v>10.400000000000006</v>
      </c>
    </row>
    <row r="74" spans="1:29" x14ac:dyDescent="0.2">
      <c r="A74" s="3">
        <v>42370</v>
      </c>
      <c r="B74">
        <f t="shared" si="19"/>
        <v>2016</v>
      </c>
      <c r="C74" s="127">
        <v>692620.80000000005</v>
      </c>
      <c r="D74" s="127">
        <v>6957.7</v>
      </c>
      <c r="E74" s="127">
        <v>6919.2</v>
      </c>
      <c r="F74">
        <v>6.8</v>
      </c>
      <c r="G74">
        <v>6.4</v>
      </c>
      <c r="H74">
        <v>382.6</v>
      </c>
      <c r="I74">
        <v>381.7</v>
      </c>
      <c r="J74">
        <v>6.4</v>
      </c>
      <c r="K74">
        <v>6.1</v>
      </c>
      <c r="L74">
        <v>204.7</v>
      </c>
      <c r="M74">
        <v>202.3</v>
      </c>
      <c r="N74">
        <v>8.6999999999999993</v>
      </c>
      <c r="O74">
        <v>9</v>
      </c>
      <c r="P74" s="47">
        <f t="shared" si="5"/>
        <v>2.249359299894893E-2</v>
      </c>
      <c r="Q74" s="47">
        <f t="shared" si="6"/>
        <v>1.0456453229156004E-2</v>
      </c>
      <c r="R74" s="47">
        <f t="shared" si="7"/>
        <v>1.0825261866152402E-2</v>
      </c>
      <c r="S74" s="47">
        <f t="shared" si="15"/>
        <v>8.1686429512517478E-3</v>
      </c>
      <c r="T74" s="47">
        <f t="shared" si="16"/>
        <v>6.3274452939625636E-3</v>
      </c>
      <c r="U74" s="47">
        <f t="shared" si="17"/>
        <v>4.1200406917599075E-2</v>
      </c>
      <c r="V74" s="47">
        <f t="shared" si="18"/>
        <v>4.5478036175710557E-2</v>
      </c>
      <c r="W74" s="72">
        <f t="shared" si="8"/>
        <v>15236.800000000047</v>
      </c>
      <c r="X74" s="71">
        <f t="shared" si="9"/>
        <v>72</v>
      </c>
      <c r="Y74" s="71">
        <f t="shared" si="10"/>
        <v>74.099999999999454</v>
      </c>
      <c r="Z74" s="71">
        <f t="shared" si="11"/>
        <v>3.1000000000000227</v>
      </c>
      <c r="AA74" s="71">
        <f t="shared" si="12"/>
        <v>2.3999999999999773</v>
      </c>
      <c r="AB74" s="71">
        <f t="shared" si="13"/>
        <v>8.0999999999999943</v>
      </c>
      <c r="AC74" s="71">
        <f t="shared" si="14"/>
        <v>8.8000000000000114</v>
      </c>
    </row>
    <row r="75" spans="1:29" x14ac:dyDescent="0.2">
      <c r="A75" s="3">
        <v>42401</v>
      </c>
      <c r="B75">
        <f t="shared" si="19"/>
        <v>2016</v>
      </c>
      <c r="C75" s="127">
        <v>692620.80000000005</v>
      </c>
      <c r="D75" s="127">
        <v>6970.6</v>
      </c>
      <c r="E75" s="127">
        <v>6896.8</v>
      </c>
      <c r="F75">
        <v>6.8</v>
      </c>
      <c r="G75">
        <v>6.6</v>
      </c>
      <c r="H75">
        <v>384.2</v>
      </c>
      <c r="I75">
        <v>380.8</v>
      </c>
      <c r="J75">
        <v>5.9</v>
      </c>
      <c r="K75">
        <v>5.8</v>
      </c>
      <c r="L75">
        <v>205.4</v>
      </c>
      <c r="M75">
        <v>201.5</v>
      </c>
      <c r="N75">
        <v>8.6</v>
      </c>
      <c r="O75">
        <v>9.3000000000000007</v>
      </c>
      <c r="P75" s="47">
        <f t="shared" si="5"/>
        <v>2.249359299894893E-2</v>
      </c>
      <c r="Q75" s="47">
        <f t="shared" si="6"/>
        <v>1.2388712183928119E-2</v>
      </c>
      <c r="R75" s="47">
        <f t="shared" si="7"/>
        <v>1.2701349426603725E-2</v>
      </c>
      <c r="S75" s="47">
        <f t="shared" si="15"/>
        <v>1.4791336502905317E-2</v>
      </c>
      <c r="T75" s="47">
        <f t="shared" si="16"/>
        <v>1.2227538543328142E-2</v>
      </c>
      <c r="U75" s="47">
        <f t="shared" si="17"/>
        <v>4.4229791560752574E-2</v>
      </c>
      <c r="V75" s="47">
        <f t="shared" si="18"/>
        <v>4.512448132780067E-2</v>
      </c>
      <c r="W75" s="72">
        <f t="shared" si="8"/>
        <v>15236.800000000047</v>
      </c>
      <c r="X75" s="71">
        <f t="shared" si="9"/>
        <v>85.300000000000182</v>
      </c>
      <c r="Y75" s="71">
        <f t="shared" si="10"/>
        <v>86.5</v>
      </c>
      <c r="Z75" s="71">
        <f t="shared" si="11"/>
        <v>5.5999999999999659</v>
      </c>
      <c r="AA75" s="71">
        <f t="shared" si="12"/>
        <v>4.6000000000000227</v>
      </c>
      <c r="AB75" s="71">
        <f t="shared" si="13"/>
        <v>8.7000000000000171</v>
      </c>
      <c r="AC75" s="71">
        <f t="shared" si="14"/>
        <v>8.6999999999999886</v>
      </c>
    </row>
    <row r="76" spans="1:29" x14ac:dyDescent="0.2">
      <c r="A76" s="3">
        <v>42430</v>
      </c>
      <c r="B76">
        <f t="shared" si="19"/>
        <v>2016</v>
      </c>
      <c r="C76" s="127">
        <v>692620.80000000005</v>
      </c>
      <c r="D76" s="127">
        <v>6978.1</v>
      </c>
      <c r="E76" s="127">
        <v>6872.4</v>
      </c>
      <c r="F76">
        <v>6.8</v>
      </c>
      <c r="G76">
        <v>6.9</v>
      </c>
      <c r="H76">
        <v>385.2</v>
      </c>
      <c r="I76">
        <v>378.9</v>
      </c>
      <c r="J76">
        <v>5.7</v>
      </c>
      <c r="K76">
        <v>5.8</v>
      </c>
      <c r="L76">
        <v>203.4</v>
      </c>
      <c r="M76">
        <v>198.5</v>
      </c>
      <c r="N76">
        <v>8.4</v>
      </c>
      <c r="O76">
        <v>9.3000000000000007</v>
      </c>
      <c r="P76" s="47">
        <f t="shared" si="5"/>
        <v>2.249359299894893E-2</v>
      </c>
      <c r="Q76" s="47">
        <f t="shared" si="6"/>
        <v>1.2478054584234233E-2</v>
      </c>
      <c r="R76" s="47">
        <f t="shared" si="7"/>
        <v>1.3075460294529551E-2</v>
      </c>
      <c r="S76" s="47">
        <f t="shared" si="15"/>
        <v>1.5287295730100237E-2</v>
      </c>
      <c r="T76" s="47">
        <f t="shared" si="16"/>
        <v>1.5545430179576325E-2</v>
      </c>
      <c r="U76" s="47">
        <f t="shared" si="17"/>
        <v>2.108433734939763E-2</v>
      </c>
      <c r="V76" s="47">
        <f t="shared" si="18"/>
        <v>1.7948717948717885E-2</v>
      </c>
      <c r="W76" s="72">
        <f t="shared" si="8"/>
        <v>15236.800000000047</v>
      </c>
      <c r="X76" s="71">
        <f t="shared" si="9"/>
        <v>86</v>
      </c>
      <c r="Y76" s="71">
        <f t="shared" si="10"/>
        <v>88.699999999999818</v>
      </c>
      <c r="Z76" s="71">
        <f t="shared" si="11"/>
        <v>5.8000000000000114</v>
      </c>
      <c r="AA76" s="71">
        <f t="shared" si="12"/>
        <v>5.7999999999999545</v>
      </c>
      <c r="AB76" s="71">
        <f t="shared" si="13"/>
        <v>4.2000000000000171</v>
      </c>
      <c r="AC76" s="71">
        <f t="shared" si="14"/>
        <v>3.5</v>
      </c>
    </row>
    <row r="77" spans="1:29" x14ac:dyDescent="0.2">
      <c r="A77" s="3">
        <v>42461</v>
      </c>
      <c r="B77">
        <f t="shared" si="19"/>
        <v>2016</v>
      </c>
      <c r="C77" s="127">
        <v>692620.80000000005</v>
      </c>
      <c r="D77" s="127">
        <v>6981.8</v>
      </c>
      <c r="E77" s="127">
        <v>6890.3</v>
      </c>
      <c r="F77">
        <v>6.9</v>
      </c>
      <c r="G77">
        <v>7</v>
      </c>
      <c r="H77">
        <v>387.9</v>
      </c>
      <c r="I77">
        <v>383.7</v>
      </c>
      <c r="J77">
        <v>5.6</v>
      </c>
      <c r="K77">
        <v>5.5</v>
      </c>
      <c r="L77">
        <v>201.4</v>
      </c>
      <c r="M77">
        <v>196.6</v>
      </c>
      <c r="N77">
        <v>7.5</v>
      </c>
      <c r="O77">
        <v>8.3000000000000007</v>
      </c>
      <c r="P77" s="47">
        <f t="shared" si="5"/>
        <v>2.249359299894893E-2</v>
      </c>
      <c r="Q77" s="47">
        <f t="shared" si="6"/>
        <v>1.2251170747973772E-2</v>
      </c>
      <c r="R77" s="47">
        <f t="shared" si="7"/>
        <v>1.2445633008110857E-2</v>
      </c>
      <c r="S77" s="47">
        <f t="shared" si="15"/>
        <v>2.1865121180189462E-2</v>
      </c>
      <c r="T77" s="47">
        <f t="shared" si="16"/>
        <v>2.4019215372297786E-2</v>
      </c>
      <c r="U77" s="47">
        <f t="shared" si="17"/>
        <v>-3.4636318654130971E-3</v>
      </c>
      <c r="V77" s="47">
        <f t="shared" si="18"/>
        <v>-7.5719333669863609E-3</v>
      </c>
      <c r="W77" s="72">
        <f t="shared" si="8"/>
        <v>15236.800000000047</v>
      </c>
      <c r="X77" s="71">
        <f t="shared" si="9"/>
        <v>84.5</v>
      </c>
      <c r="Y77" s="71">
        <f t="shared" si="10"/>
        <v>84.699999999999818</v>
      </c>
      <c r="Z77" s="71">
        <f t="shared" si="11"/>
        <v>8.2999999999999545</v>
      </c>
      <c r="AA77" s="71">
        <f t="shared" si="12"/>
        <v>9</v>
      </c>
      <c r="AB77" s="71">
        <f t="shared" si="13"/>
        <v>-0.69999999999998863</v>
      </c>
      <c r="AC77" s="71">
        <f t="shared" si="14"/>
        <v>-1.5</v>
      </c>
    </row>
    <row r="78" spans="1:29" x14ac:dyDescent="0.2">
      <c r="A78" s="3">
        <v>42491</v>
      </c>
      <c r="B78">
        <f t="shared" si="19"/>
        <v>2016</v>
      </c>
      <c r="C78" s="127">
        <v>692620.80000000005</v>
      </c>
      <c r="D78" s="127">
        <v>6994.4</v>
      </c>
      <c r="E78" s="127">
        <v>6962.5</v>
      </c>
      <c r="F78">
        <v>6.7</v>
      </c>
      <c r="G78">
        <v>6.9</v>
      </c>
      <c r="H78">
        <v>383.2</v>
      </c>
      <c r="I78">
        <v>382.3</v>
      </c>
      <c r="J78">
        <v>6</v>
      </c>
      <c r="K78">
        <v>6</v>
      </c>
      <c r="L78">
        <v>198.4</v>
      </c>
      <c r="M78">
        <v>196.3</v>
      </c>
      <c r="N78">
        <v>7.8</v>
      </c>
      <c r="O78">
        <v>8.1</v>
      </c>
      <c r="P78" s="47">
        <f t="shared" si="5"/>
        <v>2.249359299894893E-2</v>
      </c>
      <c r="Q78" s="47">
        <f t="shared" si="6"/>
        <v>1.2727141098964667E-2</v>
      </c>
      <c r="R78" s="47">
        <f t="shared" si="7"/>
        <v>1.3331586837241227E-2</v>
      </c>
      <c r="S78" s="47">
        <f t="shared" ref="S78:S109" si="20">H78/H66-1</f>
        <v>-4.6753246753247213E-3</v>
      </c>
      <c r="T78" s="47">
        <f t="shared" ref="T78:T109" si="21">I78/I66-1</f>
        <v>-2.6150627615051381E-4</v>
      </c>
      <c r="U78" s="47">
        <f t="shared" ref="U78:U109" si="22">L78/L66-1</f>
        <v>-2.1213616181549044E-2</v>
      </c>
      <c r="V78" s="47">
        <f t="shared" ref="V78:V109" si="23">M78/M66-1</f>
        <v>-2.143569292123626E-2</v>
      </c>
      <c r="W78" s="72">
        <f t="shared" si="8"/>
        <v>15236.800000000047</v>
      </c>
      <c r="X78" s="71">
        <f t="shared" si="9"/>
        <v>87.899999999999636</v>
      </c>
      <c r="Y78" s="71">
        <f t="shared" si="10"/>
        <v>91.600000000000364</v>
      </c>
      <c r="Z78" s="71">
        <f t="shared" si="11"/>
        <v>-1.8000000000000114</v>
      </c>
      <c r="AA78" s="71">
        <f t="shared" si="12"/>
        <v>-9.9999999999965894E-2</v>
      </c>
      <c r="AB78" s="71">
        <f t="shared" si="13"/>
        <v>-4.2999999999999829</v>
      </c>
      <c r="AC78" s="71">
        <f t="shared" si="14"/>
        <v>-4.2999999999999829</v>
      </c>
    </row>
    <row r="79" spans="1:29" x14ac:dyDescent="0.2">
      <c r="A79" s="3">
        <v>42522</v>
      </c>
      <c r="B79">
        <f t="shared" si="19"/>
        <v>2016</v>
      </c>
      <c r="C79" s="127">
        <v>692620.80000000005</v>
      </c>
      <c r="D79" s="127">
        <v>7001.9</v>
      </c>
      <c r="E79" s="127">
        <v>7047.3</v>
      </c>
      <c r="F79">
        <v>6.6</v>
      </c>
      <c r="G79">
        <v>6.6</v>
      </c>
      <c r="H79">
        <v>382.1</v>
      </c>
      <c r="I79">
        <v>384.6</v>
      </c>
      <c r="J79">
        <v>6.1</v>
      </c>
      <c r="K79">
        <v>6.1</v>
      </c>
      <c r="L79">
        <v>198.6</v>
      </c>
      <c r="M79">
        <v>199.5</v>
      </c>
      <c r="N79">
        <v>8</v>
      </c>
      <c r="O79">
        <v>7.7</v>
      </c>
      <c r="P79" s="47">
        <f t="shared" ref="P79:P133" si="24">C79/C67-1</f>
        <v>2.249359299894893E-2</v>
      </c>
      <c r="Q79" s="47">
        <f t="shared" ref="Q79:Q133" si="25">D79/D67-1</f>
        <v>1.1645211159753144E-2</v>
      </c>
      <c r="R79" s="47">
        <f t="shared" ref="R79:R133" si="26">E79/E67-1</f>
        <v>1.1700020098194042E-2</v>
      </c>
      <c r="S79" s="47">
        <f t="shared" si="20"/>
        <v>-1.4952307295694633E-2</v>
      </c>
      <c r="T79" s="47">
        <f t="shared" si="21"/>
        <v>-1.2072951451322811E-2</v>
      </c>
      <c r="U79" s="47">
        <f t="shared" si="22"/>
        <v>-2.5515210991167936E-2</v>
      </c>
      <c r="V79" s="47">
        <f t="shared" si="23"/>
        <v>-2.4449877750611249E-2</v>
      </c>
      <c r="W79" s="72">
        <f t="shared" ref="W79:W133" si="27">C79-C67</f>
        <v>15236.800000000047</v>
      </c>
      <c r="X79" s="71">
        <f t="shared" ref="X79:X133" si="28">D79-D67</f>
        <v>80.599999999999454</v>
      </c>
      <c r="Y79" s="71">
        <f t="shared" ref="Y79:Y133" si="29">E79-E67</f>
        <v>81.5</v>
      </c>
      <c r="Z79" s="71">
        <f t="shared" ref="Z79:Z133" si="30">H79-H67</f>
        <v>-5.7999999999999545</v>
      </c>
      <c r="AA79" s="71">
        <f t="shared" ref="AA79:AA133" si="31">I79-I67</f>
        <v>-4.6999999999999886</v>
      </c>
      <c r="AB79" s="71">
        <f t="shared" ref="AB79:AB133" si="32">L79-L67</f>
        <v>-5.2000000000000171</v>
      </c>
      <c r="AC79" s="71">
        <f t="shared" ref="AC79:AC133" si="33">M79-M67</f>
        <v>-5</v>
      </c>
    </row>
    <row r="80" spans="1:29" x14ac:dyDescent="0.2">
      <c r="A80" s="3">
        <v>42552</v>
      </c>
      <c r="B80">
        <f t="shared" si="19"/>
        <v>2016</v>
      </c>
      <c r="C80" s="127">
        <v>692620.80000000005</v>
      </c>
      <c r="D80" s="127">
        <v>6995.7</v>
      </c>
      <c r="E80" s="127">
        <v>7090.8</v>
      </c>
      <c r="F80">
        <v>6.4</v>
      </c>
      <c r="G80">
        <v>6.5</v>
      </c>
      <c r="H80">
        <v>379.1</v>
      </c>
      <c r="I80">
        <v>382.2</v>
      </c>
      <c r="J80">
        <v>6</v>
      </c>
      <c r="K80">
        <v>6.3</v>
      </c>
      <c r="L80">
        <v>199.2</v>
      </c>
      <c r="M80">
        <v>204</v>
      </c>
      <c r="N80">
        <v>7.7</v>
      </c>
      <c r="O80">
        <v>7.1</v>
      </c>
      <c r="P80" s="47">
        <f t="shared" si="24"/>
        <v>2.249359299894893E-2</v>
      </c>
      <c r="Q80" s="47">
        <f t="shared" si="25"/>
        <v>7.851668299429404E-3</v>
      </c>
      <c r="R80" s="47">
        <f t="shared" si="26"/>
        <v>8.3187577321786055E-3</v>
      </c>
      <c r="S80" s="47">
        <f t="shared" si="20"/>
        <v>-3.3893985728848053E-2</v>
      </c>
      <c r="T80" s="47">
        <f t="shared" si="21"/>
        <v>-3.3139387806729093E-2</v>
      </c>
      <c r="U80" s="47">
        <f t="shared" si="22"/>
        <v>-3.0185004868549248E-2</v>
      </c>
      <c r="V80" s="47">
        <f t="shared" si="23"/>
        <v>-2.6717557251908386E-2</v>
      </c>
      <c r="W80" s="72">
        <f t="shared" si="27"/>
        <v>15236.800000000047</v>
      </c>
      <c r="X80" s="71">
        <f t="shared" si="28"/>
        <v>54.5</v>
      </c>
      <c r="Y80" s="71">
        <f t="shared" si="29"/>
        <v>58.5</v>
      </c>
      <c r="Z80" s="71">
        <f t="shared" si="30"/>
        <v>-13.299999999999955</v>
      </c>
      <c r="AA80" s="71">
        <f t="shared" si="31"/>
        <v>-13.100000000000023</v>
      </c>
      <c r="AB80" s="71">
        <f t="shared" si="32"/>
        <v>-6.2000000000000171</v>
      </c>
      <c r="AC80" s="71">
        <f t="shared" si="33"/>
        <v>-5.5999999999999943</v>
      </c>
    </row>
    <row r="81" spans="1:29" x14ac:dyDescent="0.2">
      <c r="A81" s="3">
        <v>42583</v>
      </c>
      <c r="B81">
        <f t="shared" si="19"/>
        <v>2016</v>
      </c>
      <c r="C81" s="127">
        <v>692620.80000000005</v>
      </c>
      <c r="D81" s="127">
        <v>6990.6</v>
      </c>
      <c r="E81" s="127">
        <v>7083.3</v>
      </c>
      <c r="F81">
        <v>6.5</v>
      </c>
      <c r="G81">
        <v>6.9</v>
      </c>
      <c r="H81">
        <v>379.5</v>
      </c>
      <c r="I81">
        <v>380.6</v>
      </c>
      <c r="J81">
        <v>6.3</v>
      </c>
      <c r="K81">
        <v>7</v>
      </c>
      <c r="L81">
        <v>201.3</v>
      </c>
      <c r="M81">
        <v>206.4</v>
      </c>
      <c r="N81">
        <v>6.8</v>
      </c>
      <c r="O81">
        <v>6.4</v>
      </c>
      <c r="P81" s="47">
        <f t="shared" si="24"/>
        <v>2.249359299894893E-2</v>
      </c>
      <c r="Q81" s="47">
        <f t="shared" si="25"/>
        <v>5.9575202901054336E-3</v>
      </c>
      <c r="R81" s="47">
        <f t="shared" si="26"/>
        <v>5.3365882736988723E-3</v>
      </c>
      <c r="S81" s="47">
        <f t="shared" si="20"/>
        <v>-3.336729495669899E-2</v>
      </c>
      <c r="T81" s="47">
        <f t="shared" si="21"/>
        <v>-4.1792547834843874E-2</v>
      </c>
      <c r="U81" s="47">
        <f t="shared" si="22"/>
        <v>-2.706621556307387E-2</v>
      </c>
      <c r="V81" s="47">
        <f t="shared" si="23"/>
        <v>-2.3651844843897818E-2</v>
      </c>
      <c r="W81" s="72">
        <f t="shared" si="27"/>
        <v>15236.800000000047</v>
      </c>
      <c r="X81" s="71">
        <f t="shared" si="28"/>
        <v>41.400000000000546</v>
      </c>
      <c r="Y81" s="71">
        <f t="shared" si="29"/>
        <v>37.600000000000364</v>
      </c>
      <c r="Z81" s="71">
        <f t="shared" si="30"/>
        <v>-13.100000000000023</v>
      </c>
      <c r="AA81" s="71">
        <f t="shared" si="31"/>
        <v>-16.599999999999966</v>
      </c>
      <c r="AB81" s="71">
        <f t="shared" si="32"/>
        <v>-5.5999999999999943</v>
      </c>
      <c r="AC81" s="71">
        <f t="shared" si="33"/>
        <v>-5</v>
      </c>
    </row>
    <row r="82" spans="1:29" x14ac:dyDescent="0.2">
      <c r="A82" s="3">
        <v>42614</v>
      </c>
      <c r="B82">
        <f t="shared" si="19"/>
        <v>2016</v>
      </c>
      <c r="C82" s="127">
        <v>692620.80000000005</v>
      </c>
      <c r="D82" s="127">
        <v>6988.9</v>
      </c>
      <c r="E82" s="127">
        <v>7037</v>
      </c>
      <c r="F82">
        <v>6.6</v>
      </c>
      <c r="G82">
        <v>6.9</v>
      </c>
      <c r="H82">
        <v>382.3</v>
      </c>
      <c r="I82">
        <v>381.7</v>
      </c>
      <c r="J82">
        <v>6.5</v>
      </c>
      <c r="K82">
        <v>7.2</v>
      </c>
      <c r="L82">
        <v>203.2</v>
      </c>
      <c r="M82">
        <v>207.5</v>
      </c>
      <c r="N82">
        <v>6.1</v>
      </c>
      <c r="O82">
        <v>5.6</v>
      </c>
      <c r="P82" s="47">
        <f t="shared" si="24"/>
        <v>2.249359299894893E-2</v>
      </c>
      <c r="Q82" s="47">
        <f t="shared" si="25"/>
        <v>6.8865165463685152E-3</v>
      </c>
      <c r="R82" s="47">
        <f t="shared" si="26"/>
        <v>6.0186707458291799E-3</v>
      </c>
      <c r="S82" s="47">
        <f t="shared" si="20"/>
        <v>-2.0998719590268888E-2</v>
      </c>
      <c r="T82" s="47">
        <f t="shared" si="21"/>
        <v>-3.097232800203098E-2</v>
      </c>
      <c r="U82" s="47">
        <f t="shared" si="22"/>
        <v>-1.9305019305019266E-2</v>
      </c>
      <c r="V82" s="47">
        <f t="shared" si="23"/>
        <v>-1.3783269961977207E-2</v>
      </c>
      <c r="W82" s="72">
        <f t="shared" si="27"/>
        <v>15236.800000000047</v>
      </c>
      <c r="X82" s="71">
        <f t="shared" si="28"/>
        <v>47.799999999999272</v>
      </c>
      <c r="Y82" s="71">
        <f t="shared" si="29"/>
        <v>42.100000000000364</v>
      </c>
      <c r="Z82" s="71">
        <f t="shared" si="30"/>
        <v>-8.1999999999999886</v>
      </c>
      <c r="AA82" s="71">
        <f t="shared" si="31"/>
        <v>-12.199999999999989</v>
      </c>
      <c r="AB82" s="71">
        <f t="shared" si="32"/>
        <v>-4</v>
      </c>
      <c r="AC82" s="71">
        <f t="shared" si="33"/>
        <v>-2.9000000000000057</v>
      </c>
    </row>
    <row r="83" spans="1:29" x14ac:dyDescent="0.2">
      <c r="A83" s="3">
        <v>42644</v>
      </c>
      <c r="B83">
        <f t="shared" si="19"/>
        <v>2016</v>
      </c>
      <c r="C83" s="127">
        <v>692620.80000000005</v>
      </c>
      <c r="D83" s="127">
        <v>7006.2</v>
      </c>
      <c r="E83" s="127">
        <v>7033.4</v>
      </c>
      <c r="F83">
        <v>6.5</v>
      </c>
      <c r="G83">
        <v>6.6</v>
      </c>
      <c r="H83">
        <v>386.2</v>
      </c>
      <c r="I83">
        <v>384.6</v>
      </c>
      <c r="J83">
        <v>6.6</v>
      </c>
      <c r="K83">
        <v>6.9</v>
      </c>
      <c r="L83">
        <v>206.4</v>
      </c>
      <c r="M83">
        <v>210.2</v>
      </c>
      <c r="N83">
        <v>6</v>
      </c>
      <c r="O83">
        <v>5.3</v>
      </c>
      <c r="P83" s="47">
        <f t="shared" si="24"/>
        <v>2.249359299894893E-2</v>
      </c>
      <c r="Q83" s="47">
        <f t="shared" si="25"/>
        <v>1.029589894445393E-2</v>
      </c>
      <c r="R83" s="47">
        <f t="shared" si="26"/>
        <v>9.2409240924091751E-3</v>
      </c>
      <c r="S83" s="47">
        <f t="shared" si="20"/>
        <v>1.5560165975103679E-3</v>
      </c>
      <c r="T83" s="47">
        <f t="shared" si="21"/>
        <v>-9.2735703245748757E-3</v>
      </c>
      <c r="U83" s="47">
        <f t="shared" si="22"/>
        <v>3.8910505836575737E-3</v>
      </c>
      <c r="V83" s="47">
        <f t="shared" si="23"/>
        <v>8.1534772182254578E-3</v>
      </c>
      <c r="W83" s="72">
        <f t="shared" si="27"/>
        <v>15236.800000000047</v>
      </c>
      <c r="X83" s="71">
        <f t="shared" si="28"/>
        <v>71.399999999999636</v>
      </c>
      <c r="Y83" s="71">
        <f t="shared" si="29"/>
        <v>64.399999999999636</v>
      </c>
      <c r="Z83" s="71">
        <f t="shared" si="30"/>
        <v>0.59999999999996589</v>
      </c>
      <c r="AA83" s="71">
        <f t="shared" si="31"/>
        <v>-3.5999999999999659</v>
      </c>
      <c r="AB83" s="71">
        <f t="shared" si="32"/>
        <v>0.80000000000001137</v>
      </c>
      <c r="AC83" s="71">
        <f t="shared" si="33"/>
        <v>1.6999999999999886</v>
      </c>
    </row>
    <row r="84" spans="1:29" x14ac:dyDescent="0.2">
      <c r="A84" s="3">
        <v>42675</v>
      </c>
      <c r="B84">
        <f t="shared" si="19"/>
        <v>2016</v>
      </c>
      <c r="C84" s="127">
        <v>692620.80000000005</v>
      </c>
      <c r="D84" s="127">
        <v>7018.5</v>
      </c>
      <c r="E84" s="127">
        <v>7026.9</v>
      </c>
      <c r="F84">
        <v>6.4</v>
      </c>
      <c r="G84">
        <v>5.9</v>
      </c>
      <c r="H84">
        <v>392.2</v>
      </c>
      <c r="I84">
        <v>391.8</v>
      </c>
      <c r="J84">
        <v>6.4</v>
      </c>
      <c r="K84">
        <v>6.2</v>
      </c>
      <c r="L84">
        <v>206.4</v>
      </c>
      <c r="M84">
        <v>209</v>
      </c>
      <c r="N84">
        <v>6.1</v>
      </c>
      <c r="O84">
        <v>5.3</v>
      </c>
      <c r="P84" s="47">
        <f t="shared" si="24"/>
        <v>2.249359299894893E-2</v>
      </c>
      <c r="Q84" s="47">
        <f t="shared" si="25"/>
        <v>1.3019066726325246E-2</v>
      </c>
      <c r="R84" s="47">
        <f t="shared" si="26"/>
        <v>1.297409505686975E-2</v>
      </c>
      <c r="S84" s="47">
        <f t="shared" si="20"/>
        <v>2.0026007802340651E-2</v>
      </c>
      <c r="T84" s="47">
        <f t="shared" si="21"/>
        <v>1.6078838174273802E-2</v>
      </c>
      <c r="U84" s="47">
        <f t="shared" si="22"/>
        <v>2.9154518950436081E-3</v>
      </c>
      <c r="V84" s="47">
        <f t="shared" si="23"/>
        <v>6.2590274434279891E-3</v>
      </c>
      <c r="W84" s="72">
        <f t="shared" si="27"/>
        <v>15236.800000000047</v>
      </c>
      <c r="X84" s="71">
        <f t="shared" si="28"/>
        <v>90.199999999999818</v>
      </c>
      <c r="Y84" s="71">
        <f t="shared" si="29"/>
        <v>90</v>
      </c>
      <c r="Z84" s="71">
        <f t="shared" si="30"/>
        <v>7.6999999999999886</v>
      </c>
      <c r="AA84" s="71">
        <f t="shared" si="31"/>
        <v>6.1999999999999886</v>
      </c>
      <c r="AB84" s="71">
        <f t="shared" si="32"/>
        <v>0.59999999999999432</v>
      </c>
      <c r="AC84" s="71">
        <f t="shared" si="33"/>
        <v>1.3000000000000114</v>
      </c>
    </row>
    <row r="85" spans="1:29" x14ac:dyDescent="0.2">
      <c r="A85" s="3">
        <v>42705</v>
      </c>
      <c r="B85">
        <f t="shared" si="19"/>
        <v>2016</v>
      </c>
      <c r="C85" s="127">
        <v>692620.80000000005</v>
      </c>
      <c r="D85" s="127">
        <v>7028.8</v>
      </c>
      <c r="E85" s="127">
        <v>7041.6</v>
      </c>
      <c r="F85">
        <v>6.4</v>
      </c>
      <c r="G85">
        <v>5.7</v>
      </c>
      <c r="H85">
        <v>397.1</v>
      </c>
      <c r="I85">
        <v>398</v>
      </c>
      <c r="J85">
        <v>6</v>
      </c>
      <c r="K85">
        <v>5.5</v>
      </c>
      <c r="L85">
        <v>205</v>
      </c>
      <c r="M85">
        <v>206.8</v>
      </c>
      <c r="N85">
        <v>6.3</v>
      </c>
      <c r="O85">
        <v>5.8</v>
      </c>
      <c r="P85" s="47">
        <f t="shared" si="24"/>
        <v>2.249359299894893E-2</v>
      </c>
      <c r="Q85" s="47">
        <f t="shared" si="25"/>
        <v>1.2386933225787766E-2</v>
      </c>
      <c r="R85" s="47">
        <f t="shared" si="26"/>
        <v>1.3442330387726464E-2</v>
      </c>
      <c r="S85" s="47">
        <f t="shared" si="20"/>
        <v>3.4923117018504035E-2</v>
      </c>
      <c r="T85" s="47">
        <f t="shared" si="21"/>
        <v>3.2693305656460891E-2</v>
      </c>
      <c r="U85" s="47">
        <f t="shared" si="22"/>
        <v>-1.9474196689386325E-3</v>
      </c>
      <c r="V85" s="47">
        <f t="shared" si="23"/>
        <v>1.9379844961240345E-3</v>
      </c>
      <c r="W85" s="72">
        <f t="shared" si="27"/>
        <v>15236.800000000047</v>
      </c>
      <c r="X85" s="71">
        <f t="shared" si="28"/>
        <v>86</v>
      </c>
      <c r="Y85" s="71">
        <f t="shared" si="29"/>
        <v>93.400000000000546</v>
      </c>
      <c r="Z85" s="71">
        <f t="shared" si="30"/>
        <v>13.400000000000034</v>
      </c>
      <c r="AA85" s="71">
        <f t="shared" si="31"/>
        <v>12.600000000000023</v>
      </c>
      <c r="AB85" s="71">
        <f t="shared" si="32"/>
        <v>-0.40000000000000568</v>
      </c>
      <c r="AC85" s="71">
        <f t="shared" si="33"/>
        <v>0.40000000000000568</v>
      </c>
    </row>
    <row r="86" spans="1:29" x14ac:dyDescent="0.2">
      <c r="A86" s="3">
        <v>42736</v>
      </c>
      <c r="B86">
        <f t="shared" si="19"/>
        <v>2017</v>
      </c>
      <c r="C86" s="127">
        <v>711695.1</v>
      </c>
      <c r="D86" s="127">
        <v>7045.6</v>
      </c>
      <c r="E86" s="127">
        <v>7018.6</v>
      </c>
      <c r="F86">
        <v>6.4</v>
      </c>
      <c r="G86">
        <v>6</v>
      </c>
      <c r="H86">
        <v>398.1</v>
      </c>
      <c r="I86">
        <v>397.6</v>
      </c>
      <c r="J86">
        <v>5.9</v>
      </c>
      <c r="K86">
        <v>5.6</v>
      </c>
      <c r="L86">
        <v>201.3</v>
      </c>
      <c r="M86">
        <v>199.4</v>
      </c>
      <c r="N86">
        <v>6.6</v>
      </c>
      <c r="O86">
        <v>6.7</v>
      </c>
      <c r="P86" s="47">
        <f t="shared" si="24"/>
        <v>2.7539311554027668E-2</v>
      </c>
      <c r="Q86" s="47">
        <f t="shared" si="25"/>
        <v>1.2633485203443762E-2</v>
      </c>
      <c r="R86" s="47">
        <f t="shared" si="26"/>
        <v>1.4365822638455317E-2</v>
      </c>
      <c r="S86" s="47">
        <f t="shared" si="20"/>
        <v>4.051228437009935E-2</v>
      </c>
      <c r="T86" s="47">
        <f t="shared" si="21"/>
        <v>4.1655750589468354E-2</v>
      </c>
      <c r="U86" s="47">
        <f t="shared" si="22"/>
        <v>-1.660967269174396E-2</v>
      </c>
      <c r="V86" s="47">
        <f t="shared" si="23"/>
        <v>-1.4335145823035078E-2</v>
      </c>
      <c r="W86" s="72">
        <f t="shared" si="27"/>
        <v>19074.29999999993</v>
      </c>
      <c r="X86" s="71">
        <f t="shared" si="28"/>
        <v>87.900000000000546</v>
      </c>
      <c r="Y86" s="71">
        <f t="shared" si="29"/>
        <v>99.400000000000546</v>
      </c>
      <c r="Z86" s="71">
        <f t="shared" si="30"/>
        <v>15.5</v>
      </c>
      <c r="AA86" s="71">
        <f t="shared" si="31"/>
        <v>15.900000000000034</v>
      </c>
      <c r="AB86" s="71">
        <f t="shared" si="32"/>
        <v>-3.3999999999999773</v>
      </c>
      <c r="AC86" s="71">
        <f t="shared" si="33"/>
        <v>-2.9000000000000057</v>
      </c>
    </row>
    <row r="87" spans="1:29" x14ac:dyDescent="0.2">
      <c r="A87" s="3">
        <v>42767</v>
      </c>
      <c r="B87">
        <f t="shared" si="19"/>
        <v>2017</v>
      </c>
      <c r="C87" s="127">
        <v>711695.1</v>
      </c>
      <c r="D87" s="127">
        <v>7060.7</v>
      </c>
      <c r="E87" s="127">
        <v>6996</v>
      </c>
      <c r="F87">
        <v>6.4</v>
      </c>
      <c r="G87">
        <v>6.2</v>
      </c>
      <c r="H87">
        <v>398.6</v>
      </c>
      <c r="I87">
        <v>396.1</v>
      </c>
      <c r="J87">
        <v>5.8</v>
      </c>
      <c r="K87">
        <v>5.6</v>
      </c>
      <c r="L87">
        <v>197.7</v>
      </c>
      <c r="M87">
        <v>194.1</v>
      </c>
      <c r="N87">
        <v>6.8</v>
      </c>
      <c r="O87">
        <v>7.2</v>
      </c>
      <c r="P87" s="47">
        <f t="shared" si="24"/>
        <v>2.7539311554027668E-2</v>
      </c>
      <c r="Q87" s="47">
        <f t="shared" si="25"/>
        <v>1.2925716581069002E-2</v>
      </c>
      <c r="R87" s="47">
        <f t="shared" si="26"/>
        <v>1.4383482194640917E-2</v>
      </c>
      <c r="S87" s="47">
        <f t="shared" si="20"/>
        <v>3.748047891723072E-2</v>
      </c>
      <c r="T87" s="47">
        <f t="shared" si="21"/>
        <v>4.0178571428571397E-2</v>
      </c>
      <c r="U87" s="47">
        <f t="shared" si="22"/>
        <v>-3.7487828627069231E-2</v>
      </c>
      <c r="V87" s="47">
        <f t="shared" si="23"/>
        <v>-3.6724565756823813E-2</v>
      </c>
      <c r="W87" s="72">
        <f t="shared" si="27"/>
        <v>19074.29999999993</v>
      </c>
      <c r="X87" s="71">
        <f t="shared" si="28"/>
        <v>90.099999999999454</v>
      </c>
      <c r="Y87" s="71">
        <f t="shared" si="29"/>
        <v>99.199999999999818</v>
      </c>
      <c r="Z87" s="71">
        <f t="shared" si="30"/>
        <v>14.400000000000034</v>
      </c>
      <c r="AA87" s="71">
        <f t="shared" si="31"/>
        <v>15.300000000000011</v>
      </c>
      <c r="AB87" s="71">
        <f t="shared" si="32"/>
        <v>-7.7000000000000171</v>
      </c>
      <c r="AC87" s="71">
        <f t="shared" si="33"/>
        <v>-7.4000000000000057</v>
      </c>
    </row>
    <row r="88" spans="1:29" x14ac:dyDescent="0.2">
      <c r="A88" s="3">
        <v>42795</v>
      </c>
      <c r="B88">
        <f t="shared" si="19"/>
        <v>2017</v>
      </c>
      <c r="C88" s="127">
        <v>711695.1</v>
      </c>
      <c r="D88" s="127">
        <v>7074.2</v>
      </c>
      <c r="E88" s="127">
        <v>6972</v>
      </c>
      <c r="F88">
        <v>6.3</v>
      </c>
      <c r="G88">
        <v>6.5</v>
      </c>
      <c r="H88">
        <v>402</v>
      </c>
      <c r="I88">
        <v>396.5</v>
      </c>
      <c r="J88">
        <v>5.8</v>
      </c>
      <c r="K88">
        <v>5.8</v>
      </c>
      <c r="L88">
        <v>196.4</v>
      </c>
      <c r="M88">
        <v>191</v>
      </c>
      <c r="N88">
        <v>6.8</v>
      </c>
      <c r="O88">
        <v>7.7</v>
      </c>
      <c r="P88" s="47">
        <f t="shared" si="24"/>
        <v>2.7539311554027668E-2</v>
      </c>
      <c r="Q88" s="47">
        <f t="shared" si="25"/>
        <v>1.3771657041314889E-2</v>
      </c>
      <c r="R88" s="47">
        <f t="shared" si="26"/>
        <v>1.449275362318847E-2</v>
      </c>
      <c r="S88" s="47">
        <f t="shared" si="20"/>
        <v>4.3613707165109039E-2</v>
      </c>
      <c r="T88" s="47">
        <f t="shared" si="21"/>
        <v>4.6450250725785125E-2</v>
      </c>
      <c r="U88" s="47">
        <f t="shared" si="22"/>
        <v>-3.4414945919370665E-2</v>
      </c>
      <c r="V88" s="47">
        <f t="shared" si="23"/>
        <v>-3.7783375314861423E-2</v>
      </c>
      <c r="W88" s="72">
        <f t="shared" si="27"/>
        <v>19074.29999999993</v>
      </c>
      <c r="X88" s="71">
        <f t="shared" si="28"/>
        <v>96.099999999999454</v>
      </c>
      <c r="Y88" s="71">
        <f t="shared" si="29"/>
        <v>99.600000000000364</v>
      </c>
      <c r="Z88" s="71">
        <f t="shared" si="30"/>
        <v>16.800000000000011</v>
      </c>
      <c r="AA88" s="71">
        <f t="shared" si="31"/>
        <v>17.600000000000023</v>
      </c>
      <c r="AB88" s="71">
        <f t="shared" si="32"/>
        <v>-7</v>
      </c>
      <c r="AC88" s="71">
        <f t="shared" si="33"/>
        <v>-7.5</v>
      </c>
    </row>
    <row r="89" spans="1:29" x14ac:dyDescent="0.2">
      <c r="A89" s="3">
        <v>42826</v>
      </c>
      <c r="B89">
        <f t="shared" si="19"/>
        <v>2017</v>
      </c>
      <c r="C89" s="127">
        <v>711695.1</v>
      </c>
      <c r="D89" s="127">
        <v>7074.8</v>
      </c>
      <c r="E89" s="127">
        <v>6982.8</v>
      </c>
      <c r="F89">
        <v>6.2</v>
      </c>
      <c r="G89">
        <v>6.3</v>
      </c>
      <c r="H89">
        <v>411</v>
      </c>
      <c r="I89">
        <v>406.8</v>
      </c>
      <c r="J89">
        <v>5.4</v>
      </c>
      <c r="K89">
        <v>5.2</v>
      </c>
      <c r="L89">
        <v>196.3</v>
      </c>
      <c r="M89">
        <v>191</v>
      </c>
      <c r="N89">
        <v>7.1</v>
      </c>
      <c r="O89">
        <v>7.9</v>
      </c>
      <c r="P89" s="47">
        <f t="shared" si="24"/>
        <v>2.7539311554027668E-2</v>
      </c>
      <c r="Q89" s="47">
        <f t="shared" si="25"/>
        <v>1.3320347188404247E-2</v>
      </c>
      <c r="R89" s="47">
        <f t="shared" si="26"/>
        <v>1.3424669462868133E-2</v>
      </c>
      <c r="S89" s="47">
        <f t="shared" si="20"/>
        <v>5.9551430781129122E-2</v>
      </c>
      <c r="T89" s="47">
        <f t="shared" si="21"/>
        <v>6.0203283815480901E-2</v>
      </c>
      <c r="U89" s="47">
        <f t="shared" si="22"/>
        <v>-2.532274081429986E-2</v>
      </c>
      <c r="V89" s="47">
        <f t="shared" si="23"/>
        <v>-2.8484231943031513E-2</v>
      </c>
      <c r="W89" s="72">
        <f t="shared" si="27"/>
        <v>19074.29999999993</v>
      </c>
      <c r="X89" s="71">
        <f t="shared" si="28"/>
        <v>93</v>
      </c>
      <c r="Y89" s="71">
        <f t="shared" si="29"/>
        <v>92.5</v>
      </c>
      <c r="Z89" s="71">
        <f t="shared" si="30"/>
        <v>23.100000000000023</v>
      </c>
      <c r="AA89" s="71">
        <f t="shared" si="31"/>
        <v>23.100000000000023</v>
      </c>
      <c r="AB89" s="71">
        <f t="shared" si="32"/>
        <v>-5.0999999999999943</v>
      </c>
      <c r="AC89" s="71">
        <f t="shared" si="33"/>
        <v>-5.5999999999999943</v>
      </c>
    </row>
    <row r="90" spans="1:29" x14ac:dyDescent="0.2">
      <c r="A90" s="3">
        <v>42856</v>
      </c>
      <c r="B90">
        <f t="shared" si="19"/>
        <v>2017</v>
      </c>
      <c r="C90" s="127">
        <v>711695.1</v>
      </c>
      <c r="D90" s="127">
        <v>7080.7</v>
      </c>
      <c r="E90" s="127">
        <v>7047.4</v>
      </c>
      <c r="F90">
        <v>6.2</v>
      </c>
      <c r="G90">
        <v>6.4</v>
      </c>
      <c r="H90">
        <v>416.7</v>
      </c>
      <c r="I90">
        <v>414.8</v>
      </c>
      <c r="J90">
        <v>5.2</v>
      </c>
      <c r="K90">
        <v>5.3</v>
      </c>
      <c r="L90">
        <v>198.2</v>
      </c>
      <c r="M90">
        <v>195.1</v>
      </c>
      <c r="N90">
        <v>7</v>
      </c>
      <c r="O90">
        <v>7.4</v>
      </c>
      <c r="P90" s="47">
        <f t="shared" si="24"/>
        <v>2.7539311554027668E-2</v>
      </c>
      <c r="Q90" s="47">
        <f t="shared" si="25"/>
        <v>1.2338442182317388E-2</v>
      </c>
      <c r="R90" s="47">
        <f t="shared" si="26"/>
        <v>1.2193895870735938E-2</v>
      </c>
      <c r="S90" s="47">
        <f t="shared" si="20"/>
        <v>8.742171189979131E-2</v>
      </c>
      <c r="T90" s="47">
        <f t="shared" si="21"/>
        <v>8.5011770860580649E-2</v>
      </c>
      <c r="U90" s="47">
        <f t="shared" si="22"/>
        <v>-1.0080645161291146E-3</v>
      </c>
      <c r="V90" s="47">
        <f t="shared" si="23"/>
        <v>-6.1130922058074688E-3</v>
      </c>
      <c r="W90" s="72">
        <f t="shared" si="27"/>
        <v>19074.29999999993</v>
      </c>
      <c r="X90" s="71">
        <f t="shared" si="28"/>
        <v>86.300000000000182</v>
      </c>
      <c r="Y90" s="71">
        <f t="shared" si="29"/>
        <v>84.899999999999636</v>
      </c>
      <c r="Z90" s="71">
        <f t="shared" si="30"/>
        <v>33.5</v>
      </c>
      <c r="AA90" s="71">
        <f t="shared" si="31"/>
        <v>32.5</v>
      </c>
      <c r="AB90" s="71">
        <f t="shared" si="32"/>
        <v>-0.20000000000001705</v>
      </c>
      <c r="AC90" s="71">
        <f t="shared" si="33"/>
        <v>-1.2000000000000171</v>
      </c>
    </row>
    <row r="91" spans="1:29" x14ac:dyDescent="0.2">
      <c r="A91" s="3">
        <v>42887</v>
      </c>
      <c r="B91">
        <f t="shared" si="19"/>
        <v>2017</v>
      </c>
      <c r="C91" s="127">
        <v>711695.1</v>
      </c>
      <c r="D91" s="127">
        <v>7085.4</v>
      </c>
      <c r="E91" s="127">
        <v>7129.6</v>
      </c>
      <c r="F91">
        <v>6.2</v>
      </c>
      <c r="G91">
        <v>6.2</v>
      </c>
      <c r="H91">
        <v>417.8</v>
      </c>
      <c r="I91">
        <v>419.3</v>
      </c>
      <c r="J91">
        <v>5</v>
      </c>
      <c r="K91">
        <v>5.0999999999999996</v>
      </c>
      <c r="L91">
        <v>198.7</v>
      </c>
      <c r="M91">
        <v>198.8</v>
      </c>
      <c r="N91">
        <v>7</v>
      </c>
      <c r="O91">
        <v>6.7</v>
      </c>
      <c r="P91" s="47">
        <f t="shared" si="24"/>
        <v>2.7539311554027668E-2</v>
      </c>
      <c r="Q91" s="47">
        <f t="shared" si="25"/>
        <v>1.1925334552050249E-2</v>
      </c>
      <c r="R91" s="47">
        <f t="shared" si="26"/>
        <v>1.16782313793935E-2</v>
      </c>
      <c r="S91" s="47">
        <f t="shared" si="20"/>
        <v>9.3431038995027471E-2</v>
      </c>
      <c r="T91" s="47">
        <f t="shared" si="21"/>
        <v>9.0223608944357769E-2</v>
      </c>
      <c r="U91" s="47">
        <f t="shared" si="22"/>
        <v>5.0352467270897705E-4</v>
      </c>
      <c r="V91" s="47">
        <f t="shared" si="23"/>
        <v>-3.5087719298244613E-3</v>
      </c>
      <c r="W91" s="72">
        <f t="shared" si="27"/>
        <v>19074.29999999993</v>
      </c>
      <c r="X91" s="71">
        <f t="shared" si="28"/>
        <v>83.5</v>
      </c>
      <c r="Y91" s="71">
        <f t="shared" si="29"/>
        <v>82.300000000000182</v>
      </c>
      <c r="Z91" s="71">
        <f t="shared" si="30"/>
        <v>35.699999999999989</v>
      </c>
      <c r="AA91" s="71">
        <f t="shared" si="31"/>
        <v>34.699999999999989</v>
      </c>
      <c r="AB91" s="71">
        <f t="shared" si="32"/>
        <v>9.9999999999994316E-2</v>
      </c>
      <c r="AC91" s="71">
        <f t="shared" si="33"/>
        <v>-0.69999999999998863</v>
      </c>
    </row>
    <row r="92" spans="1:29" x14ac:dyDescent="0.2">
      <c r="A92" s="3">
        <v>42917</v>
      </c>
      <c r="B92">
        <f t="shared" si="19"/>
        <v>2017</v>
      </c>
      <c r="C92" s="127">
        <v>711695.1</v>
      </c>
      <c r="D92" s="127">
        <v>7099.9</v>
      </c>
      <c r="E92" s="127">
        <v>7195</v>
      </c>
      <c r="F92">
        <v>6.3</v>
      </c>
      <c r="G92">
        <v>6.4</v>
      </c>
      <c r="H92">
        <v>421.3</v>
      </c>
      <c r="I92">
        <v>422.9</v>
      </c>
      <c r="J92">
        <v>5</v>
      </c>
      <c r="K92">
        <v>5.4</v>
      </c>
      <c r="L92">
        <v>200.4</v>
      </c>
      <c r="M92">
        <v>204.6</v>
      </c>
      <c r="N92">
        <v>6.4</v>
      </c>
      <c r="O92">
        <v>5.8</v>
      </c>
      <c r="P92" s="47">
        <f t="shared" si="24"/>
        <v>2.7539311554027668E-2</v>
      </c>
      <c r="Q92" s="47">
        <f t="shared" si="25"/>
        <v>1.4894863987878315E-2</v>
      </c>
      <c r="R92" s="47">
        <f t="shared" si="26"/>
        <v>1.46950978733007E-2</v>
      </c>
      <c r="S92" s="47">
        <f t="shared" si="20"/>
        <v>0.11131627538907929</v>
      </c>
      <c r="T92" s="47">
        <f t="shared" si="21"/>
        <v>0.10648874934589214</v>
      </c>
      <c r="U92" s="47">
        <f t="shared" si="22"/>
        <v>6.0240963855422436E-3</v>
      </c>
      <c r="V92" s="47">
        <f t="shared" si="23"/>
        <v>2.9411764705882248E-3</v>
      </c>
      <c r="W92" s="72">
        <f t="shared" si="27"/>
        <v>19074.29999999993</v>
      </c>
      <c r="X92" s="71">
        <f t="shared" si="28"/>
        <v>104.19999999999982</v>
      </c>
      <c r="Y92" s="71">
        <f t="shared" si="29"/>
        <v>104.19999999999982</v>
      </c>
      <c r="Z92" s="71">
        <f t="shared" si="30"/>
        <v>42.199999999999989</v>
      </c>
      <c r="AA92" s="71">
        <f t="shared" si="31"/>
        <v>40.699999999999989</v>
      </c>
      <c r="AB92" s="71">
        <f t="shared" si="32"/>
        <v>1.2000000000000171</v>
      </c>
      <c r="AC92" s="71">
        <f t="shared" si="33"/>
        <v>0.59999999999999432</v>
      </c>
    </row>
    <row r="93" spans="1:29" x14ac:dyDescent="0.2">
      <c r="A93" s="3">
        <v>42948</v>
      </c>
      <c r="B93">
        <f t="shared" si="19"/>
        <v>2017</v>
      </c>
      <c r="C93" s="127">
        <v>711695.1</v>
      </c>
      <c r="D93" s="127">
        <v>7121.3</v>
      </c>
      <c r="E93" s="127">
        <v>7213.7</v>
      </c>
      <c r="F93">
        <v>5.9</v>
      </c>
      <c r="G93">
        <v>6.3</v>
      </c>
      <c r="H93">
        <v>427.8</v>
      </c>
      <c r="I93">
        <v>429.1</v>
      </c>
      <c r="J93">
        <v>4.4000000000000004</v>
      </c>
      <c r="K93">
        <v>5</v>
      </c>
      <c r="L93">
        <v>200.1</v>
      </c>
      <c r="M93">
        <v>204.9</v>
      </c>
      <c r="N93">
        <v>6.3</v>
      </c>
      <c r="O93">
        <v>5.9</v>
      </c>
      <c r="P93" s="47">
        <f t="shared" si="24"/>
        <v>2.7539311554027668E-2</v>
      </c>
      <c r="Q93" s="47">
        <f t="shared" si="25"/>
        <v>1.8696535347466625E-2</v>
      </c>
      <c r="R93" s="47">
        <f t="shared" si="26"/>
        <v>1.8409498397639501E-2</v>
      </c>
      <c r="S93" s="47">
        <f t="shared" si="20"/>
        <v>0.1272727272727272</v>
      </c>
      <c r="T93" s="47">
        <f t="shared" si="21"/>
        <v>0.12743037309511296</v>
      </c>
      <c r="U93" s="47">
        <f t="shared" si="22"/>
        <v>-5.9612518628913147E-3</v>
      </c>
      <c r="V93" s="47">
        <f t="shared" si="23"/>
        <v>-7.2674418604651292E-3</v>
      </c>
      <c r="W93" s="72">
        <f t="shared" si="27"/>
        <v>19074.29999999993</v>
      </c>
      <c r="X93" s="71">
        <f t="shared" si="28"/>
        <v>130.69999999999982</v>
      </c>
      <c r="Y93" s="71">
        <f t="shared" si="29"/>
        <v>130.39999999999964</v>
      </c>
      <c r="Z93" s="71">
        <f t="shared" si="30"/>
        <v>48.300000000000011</v>
      </c>
      <c r="AA93" s="71">
        <f t="shared" si="31"/>
        <v>48.5</v>
      </c>
      <c r="AB93" s="71">
        <f t="shared" si="32"/>
        <v>-1.2000000000000171</v>
      </c>
      <c r="AC93" s="71">
        <f t="shared" si="33"/>
        <v>-1.5</v>
      </c>
    </row>
    <row r="94" spans="1:29" x14ac:dyDescent="0.2">
      <c r="A94" s="3">
        <v>42979</v>
      </c>
      <c r="B94">
        <f t="shared" si="19"/>
        <v>2017</v>
      </c>
      <c r="C94" s="127">
        <v>711695.1</v>
      </c>
      <c r="D94" s="127">
        <v>7150.1</v>
      </c>
      <c r="E94" s="127">
        <v>7197</v>
      </c>
      <c r="F94">
        <v>5.7</v>
      </c>
      <c r="G94">
        <v>6</v>
      </c>
      <c r="H94">
        <v>432.9</v>
      </c>
      <c r="I94">
        <v>432.4</v>
      </c>
      <c r="J94">
        <v>4</v>
      </c>
      <c r="K94">
        <v>4.7</v>
      </c>
      <c r="L94">
        <v>197.8</v>
      </c>
      <c r="M94">
        <v>202.2</v>
      </c>
      <c r="N94">
        <v>6.3</v>
      </c>
      <c r="O94">
        <v>5.7</v>
      </c>
      <c r="P94" s="47">
        <f t="shared" si="24"/>
        <v>2.7539311554027668E-2</v>
      </c>
      <c r="Q94" s="47">
        <f t="shared" si="25"/>
        <v>2.3065146160340166E-2</v>
      </c>
      <c r="R94" s="47">
        <f t="shared" si="26"/>
        <v>2.2736961773482944E-2</v>
      </c>
      <c r="S94" s="47">
        <f t="shared" si="20"/>
        <v>0.13235678786293481</v>
      </c>
      <c r="T94" s="47">
        <f t="shared" si="21"/>
        <v>0.1328268273513229</v>
      </c>
      <c r="U94" s="47">
        <f t="shared" si="22"/>
        <v>-2.6574803149606141E-2</v>
      </c>
      <c r="V94" s="47">
        <f t="shared" si="23"/>
        <v>-2.5542168674698829E-2</v>
      </c>
      <c r="W94" s="72">
        <f t="shared" si="27"/>
        <v>19074.29999999993</v>
      </c>
      <c r="X94" s="71">
        <f t="shared" si="28"/>
        <v>161.20000000000073</v>
      </c>
      <c r="Y94" s="71">
        <f t="shared" si="29"/>
        <v>160</v>
      </c>
      <c r="Z94" s="71">
        <f t="shared" si="30"/>
        <v>50.599999999999966</v>
      </c>
      <c r="AA94" s="71">
        <f t="shared" si="31"/>
        <v>50.699999999999989</v>
      </c>
      <c r="AB94" s="71">
        <f t="shared" si="32"/>
        <v>-5.3999999999999773</v>
      </c>
      <c r="AC94" s="71">
        <f t="shared" si="33"/>
        <v>-5.3000000000000114</v>
      </c>
    </row>
    <row r="95" spans="1:29" x14ac:dyDescent="0.2">
      <c r="A95" s="3">
        <v>43009</v>
      </c>
      <c r="B95">
        <f t="shared" si="19"/>
        <v>2017</v>
      </c>
      <c r="C95" s="127">
        <v>711695.1</v>
      </c>
      <c r="D95" s="127">
        <v>7170.5</v>
      </c>
      <c r="E95" s="127">
        <v>7193.7</v>
      </c>
      <c r="F95">
        <v>5.6</v>
      </c>
      <c r="G95">
        <v>5.7</v>
      </c>
      <c r="H95">
        <v>430.7</v>
      </c>
      <c r="I95">
        <v>430.3</v>
      </c>
      <c r="J95">
        <v>3.9</v>
      </c>
      <c r="K95">
        <v>4.3</v>
      </c>
      <c r="L95">
        <v>195</v>
      </c>
      <c r="M95">
        <v>198.9</v>
      </c>
      <c r="N95">
        <v>6.7</v>
      </c>
      <c r="O95">
        <v>6.1</v>
      </c>
      <c r="P95" s="47">
        <f t="shared" si="24"/>
        <v>2.7539311554027668E-2</v>
      </c>
      <c r="Q95" s="47">
        <f t="shared" si="25"/>
        <v>2.3450657988638657E-2</v>
      </c>
      <c r="R95" s="47">
        <f t="shared" si="26"/>
        <v>2.2791253163477077E-2</v>
      </c>
      <c r="S95" s="47">
        <f t="shared" si="20"/>
        <v>0.11522527187985498</v>
      </c>
      <c r="T95" s="47">
        <f t="shared" si="21"/>
        <v>0.11882475299011963</v>
      </c>
      <c r="U95" s="47">
        <f t="shared" si="22"/>
        <v>-5.5232558139534871E-2</v>
      </c>
      <c r="V95" s="47">
        <f t="shared" si="23"/>
        <v>-5.375832540437675E-2</v>
      </c>
      <c r="W95" s="72">
        <f t="shared" si="27"/>
        <v>19074.29999999993</v>
      </c>
      <c r="X95" s="71">
        <f t="shared" si="28"/>
        <v>164.30000000000018</v>
      </c>
      <c r="Y95" s="71">
        <f t="shared" si="29"/>
        <v>160.30000000000018</v>
      </c>
      <c r="Z95" s="71">
        <f t="shared" si="30"/>
        <v>44.5</v>
      </c>
      <c r="AA95" s="71">
        <f t="shared" si="31"/>
        <v>45.699999999999989</v>
      </c>
      <c r="AB95" s="71">
        <f t="shared" si="32"/>
        <v>-11.400000000000006</v>
      </c>
      <c r="AC95" s="71">
        <f t="shared" si="33"/>
        <v>-11.299999999999983</v>
      </c>
    </row>
    <row r="96" spans="1:29" x14ac:dyDescent="0.2">
      <c r="A96" s="3">
        <v>43040</v>
      </c>
      <c r="B96">
        <f t="shared" si="19"/>
        <v>2017</v>
      </c>
      <c r="C96" s="127">
        <v>711695.1</v>
      </c>
      <c r="D96" s="127">
        <v>7189.6</v>
      </c>
      <c r="E96" s="127">
        <v>7194.2</v>
      </c>
      <c r="F96">
        <v>5.7</v>
      </c>
      <c r="G96">
        <v>5.2</v>
      </c>
      <c r="H96">
        <v>426.2</v>
      </c>
      <c r="I96">
        <v>426.2</v>
      </c>
      <c r="J96">
        <v>4.2</v>
      </c>
      <c r="K96">
        <v>4.2</v>
      </c>
      <c r="L96">
        <v>194.4</v>
      </c>
      <c r="M96">
        <v>197.4</v>
      </c>
      <c r="N96">
        <v>6.9</v>
      </c>
      <c r="O96">
        <v>6</v>
      </c>
      <c r="P96" s="47">
        <f t="shared" si="24"/>
        <v>2.7539311554027668E-2</v>
      </c>
      <c r="Q96" s="47">
        <f t="shared" si="25"/>
        <v>2.4378428439125299E-2</v>
      </c>
      <c r="R96" s="47">
        <f t="shared" si="26"/>
        <v>2.3808507307632176E-2</v>
      </c>
      <c r="S96" s="47">
        <f t="shared" si="20"/>
        <v>8.669046404895453E-2</v>
      </c>
      <c r="T96" s="47">
        <f t="shared" si="21"/>
        <v>8.7799897907095303E-2</v>
      </c>
      <c r="U96" s="47">
        <f t="shared" si="22"/>
        <v>-5.8139534883720922E-2</v>
      </c>
      <c r="V96" s="47">
        <f t="shared" si="23"/>
        <v>-5.5502392344497609E-2</v>
      </c>
      <c r="W96" s="72">
        <f t="shared" si="27"/>
        <v>19074.29999999993</v>
      </c>
      <c r="X96" s="71">
        <f t="shared" si="28"/>
        <v>171.10000000000036</v>
      </c>
      <c r="Y96" s="71">
        <f t="shared" si="29"/>
        <v>167.30000000000018</v>
      </c>
      <c r="Z96" s="71">
        <f t="shared" si="30"/>
        <v>34</v>
      </c>
      <c r="AA96" s="71">
        <f t="shared" si="31"/>
        <v>34.399999999999977</v>
      </c>
      <c r="AB96" s="71">
        <f t="shared" si="32"/>
        <v>-12</v>
      </c>
      <c r="AC96" s="71">
        <f t="shared" si="33"/>
        <v>-11.599999999999994</v>
      </c>
    </row>
    <row r="97" spans="1:29" x14ac:dyDescent="0.2">
      <c r="A97" s="3">
        <v>43070</v>
      </c>
      <c r="B97">
        <f t="shared" si="19"/>
        <v>2017</v>
      </c>
      <c r="C97" s="127">
        <v>711695.1</v>
      </c>
      <c r="D97" s="127">
        <v>7203.1</v>
      </c>
      <c r="E97" s="127">
        <v>7213.4</v>
      </c>
      <c r="F97">
        <v>5.7</v>
      </c>
      <c r="G97">
        <v>5.0999999999999996</v>
      </c>
      <c r="H97">
        <v>421.4</v>
      </c>
      <c r="I97">
        <v>423.3</v>
      </c>
      <c r="J97">
        <v>4.7</v>
      </c>
      <c r="K97">
        <v>4.3</v>
      </c>
      <c r="L97">
        <v>196</v>
      </c>
      <c r="M97">
        <v>198.5</v>
      </c>
      <c r="N97">
        <v>6.6</v>
      </c>
      <c r="O97">
        <v>6.1</v>
      </c>
      <c r="P97" s="47">
        <f t="shared" si="24"/>
        <v>2.7539311554027668E-2</v>
      </c>
      <c r="Q97" s="47">
        <f t="shared" si="25"/>
        <v>2.4797974049624472E-2</v>
      </c>
      <c r="R97" s="47">
        <f t="shared" si="26"/>
        <v>2.4397864121790347E-2</v>
      </c>
      <c r="S97" s="47">
        <f t="shared" si="20"/>
        <v>6.1193653991437724E-2</v>
      </c>
      <c r="T97" s="47">
        <f t="shared" si="21"/>
        <v>6.3567839195979969E-2</v>
      </c>
      <c r="U97" s="47">
        <f t="shared" si="22"/>
        <v>-4.3902439024390283E-2</v>
      </c>
      <c r="V97" s="47">
        <f t="shared" si="23"/>
        <v>-4.0135396518375277E-2</v>
      </c>
      <c r="W97" s="72">
        <f t="shared" si="27"/>
        <v>19074.29999999993</v>
      </c>
      <c r="X97" s="71">
        <f t="shared" si="28"/>
        <v>174.30000000000018</v>
      </c>
      <c r="Y97" s="71">
        <f t="shared" si="29"/>
        <v>171.79999999999927</v>
      </c>
      <c r="Z97" s="71">
        <f t="shared" si="30"/>
        <v>24.299999999999955</v>
      </c>
      <c r="AA97" s="71">
        <f t="shared" si="31"/>
        <v>25.300000000000011</v>
      </c>
      <c r="AB97" s="71">
        <f t="shared" si="32"/>
        <v>-9</v>
      </c>
      <c r="AC97" s="71">
        <f t="shared" si="33"/>
        <v>-8.3000000000000114</v>
      </c>
    </row>
    <row r="98" spans="1:29" x14ac:dyDescent="0.2">
      <c r="A98" s="3">
        <v>43101</v>
      </c>
      <c r="B98">
        <f t="shared" si="19"/>
        <v>2018</v>
      </c>
      <c r="C98" s="127">
        <v>732426.3</v>
      </c>
      <c r="D98" s="127">
        <v>7199.8</v>
      </c>
      <c r="E98" s="127">
        <v>7172.6</v>
      </c>
      <c r="F98">
        <v>5.6</v>
      </c>
      <c r="G98">
        <v>5.2</v>
      </c>
      <c r="H98">
        <v>420.4</v>
      </c>
      <c r="I98">
        <v>420.7</v>
      </c>
      <c r="J98">
        <v>4.9000000000000004</v>
      </c>
      <c r="K98">
        <v>4.5999999999999996</v>
      </c>
      <c r="L98">
        <v>198.5</v>
      </c>
      <c r="M98">
        <v>197.8</v>
      </c>
      <c r="N98">
        <v>5.9</v>
      </c>
      <c r="O98">
        <v>5.8</v>
      </c>
      <c r="P98" s="47">
        <f t="shared" si="24"/>
        <v>2.9129327994530385E-2</v>
      </c>
      <c r="Q98" s="47">
        <f t="shared" si="25"/>
        <v>2.1885999772907949E-2</v>
      </c>
      <c r="R98" s="47">
        <f t="shared" si="26"/>
        <v>2.1941697774484847E-2</v>
      </c>
      <c r="S98" s="47">
        <f t="shared" si="20"/>
        <v>5.6016076362722877E-2</v>
      </c>
      <c r="T98" s="47">
        <f t="shared" si="21"/>
        <v>5.8098591549295753E-2</v>
      </c>
      <c r="U98" s="47">
        <f t="shared" si="22"/>
        <v>-1.3909587680079549E-2</v>
      </c>
      <c r="V98" s="47">
        <f t="shared" si="23"/>
        <v>-8.0240722166499134E-3</v>
      </c>
      <c r="W98" s="72">
        <f t="shared" si="27"/>
        <v>20731.20000000007</v>
      </c>
      <c r="X98" s="71">
        <f t="shared" si="28"/>
        <v>154.19999999999982</v>
      </c>
      <c r="Y98" s="71">
        <f t="shared" si="29"/>
        <v>154</v>
      </c>
      <c r="Z98" s="71">
        <f t="shared" si="30"/>
        <v>22.299999999999955</v>
      </c>
      <c r="AA98" s="71">
        <f t="shared" si="31"/>
        <v>23.099999999999966</v>
      </c>
      <c r="AB98" s="71">
        <f t="shared" si="32"/>
        <v>-2.8000000000000114</v>
      </c>
      <c r="AC98" s="71">
        <f t="shared" si="33"/>
        <v>-1.5999999999999943</v>
      </c>
    </row>
    <row r="99" spans="1:29" x14ac:dyDescent="0.2">
      <c r="A99" s="3">
        <v>43132</v>
      </c>
      <c r="B99">
        <f t="shared" si="19"/>
        <v>2018</v>
      </c>
      <c r="C99" s="127">
        <v>732426.3</v>
      </c>
      <c r="D99" s="127">
        <v>7189.2</v>
      </c>
      <c r="E99" s="127">
        <v>7125.8</v>
      </c>
      <c r="F99">
        <v>5.6</v>
      </c>
      <c r="G99">
        <v>5.4</v>
      </c>
      <c r="H99">
        <v>415.9</v>
      </c>
      <c r="I99">
        <v>413.8</v>
      </c>
      <c r="J99">
        <v>5.4</v>
      </c>
      <c r="K99">
        <v>5.2</v>
      </c>
      <c r="L99">
        <v>199.8</v>
      </c>
      <c r="M99">
        <v>196.8</v>
      </c>
      <c r="N99">
        <v>5.3</v>
      </c>
      <c r="O99">
        <v>5.6</v>
      </c>
      <c r="P99" s="47">
        <f t="shared" si="24"/>
        <v>2.9129327994530385E-2</v>
      </c>
      <c r="Q99" s="47">
        <f t="shared" si="25"/>
        <v>1.8199328678459636E-2</v>
      </c>
      <c r="R99" s="47">
        <f t="shared" si="26"/>
        <v>1.8553459119496907E-2</v>
      </c>
      <c r="S99" s="47">
        <f t="shared" si="20"/>
        <v>4.3401906673356638E-2</v>
      </c>
      <c r="T99" s="47">
        <f t="shared" si="21"/>
        <v>4.4685685432971356E-2</v>
      </c>
      <c r="U99" s="47">
        <f t="shared" si="22"/>
        <v>1.0622154779969861E-2</v>
      </c>
      <c r="V99" s="47">
        <f t="shared" si="23"/>
        <v>1.391035548686248E-2</v>
      </c>
      <c r="W99" s="72">
        <f t="shared" si="27"/>
        <v>20731.20000000007</v>
      </c>
      <c r="X99" s="71">
        <f t="shared" si="28"/>
        <v>128.5</v>
      </c>
      <c r="Y99" s="71">
        <f t="shared" si="29"/>
        <v>129.80000000000018</v>
      </c>
      <c r="Z99" s="71">
        <f t="shared" si="30"/>
        <v>17.299999999999955</v>
      </c>
      <c r="AA99" s="71">
        <f t="shared" si="31"/>
        <v>17.699999999999989</v>
      </c>
      <c r="AB99" s="71">
        <f t="shared" si="32"/>
        <v>2.1000000000000227</v>
      </c>
      <c r="AC99" s="71">
        <f t="shared" si="33"/>
        <v>2.7000000000000171</v>
      </c>
    </row>
    <row r="100" spans="1:29" x14ac:dyDescent="0.2">
      <c r="A100" s="3">
        <v>43160</v>
      </c>
      <c r="B100">
        <f t="shared" si="19"/>
        <v>2018</v>
      </c>
      <c r="C100" s="127">
        <v>732426.3</v>
      </c>
      <c r="D100" s="127">
        <v>7185</v>
      </c>
      <c r="E100" s="127">
        <v>7082.3</v>
      </c>
      <c r="F100">
        <v>5.5</v>
      </c>
      <c r="G100">
        <v>5.7</v>
      </c>
      <c r="H100">
        <v>413.4</v>
      </c>
      <c r="I100">
        <v>407.7</v>
      </c>
      <c r="J100">
        <v>5.5</v>
      </c>
      <c r="K100">
        <v>5.5</v>
      </c>
      <c r="L100">
        <v>201.2</v>
      </c>
      <c r="M100">
        <v>195.4</v>
      </c>
      <c r="N100">
        <v>5.8</v>
      </c>
      <c r="O100">
        <v>6.6</v>
      </c>
      <c r="P100" s="47">
        <f t="shared" si="24"/>
        <v>2.9129327994530385E-2</v>
      </c>
      <c r="Q100" s="47">
        <f t="shared" si="25"/>
        <v>1.5662548415368516E-2</v>
      </c>
      <c r="R100" s="47">
        <f t="shared" si="26"/>
        <v>1.5820424555364365E-2</v>
      </c>
      <c r="S100" s="47">
        <f t="shared" si="20"/>
        <v>2.8358208955223896E-2</v>
      </c>
      <c r="T100" s="47">
        <f t="shared" si="21"/>
        <v>2.8247162673392223E-2</v>
      </c>
      <c r="U100" s="47">
        <f t="shared" si="22"/>
        <v>2.4439918533604832E-2</v>
      </c>
      <c r="V100" s="47">
        <f t="shared" si="23"/>
        <v>2.3036649214659644E-2</v>
      </c>
      <c r="W100" s="72">
        <f t="shared" si="27"/>
        <v>20731.20000000007</v>
      </c>
      <c r="X100" s="71">
        <f t="shared" si="28"/>
        <v>110.80000000000018</v>
      </c>
      <c r="Y100" s="71">
        <f t="shared" si="29"/>
        <v>110.30000000000018</v>
      </c>
      <c r="Z100" s="71">
        <f t="shared" si="30"/>
        <v>11.399999999999977</v>
      </c>
      <c r="AA100" s="71">
        <f t="shared" si="31"/>
        <v>11.199999999999989</v>
      </c>
      <c r="AB100" s="71">
        <f t="shared" si="32"/>
        <v>4.7999999999999829</v>
      </c>
      <c r="AC100" s="71">
        <f t="shared" si="33"/>
        <v>4.4000000000000057</v>
      </c>
    </row>
    <row r="101" spans="1:29" x14ac:dyDescent="0.2">
      <c r="A101" s="3">
        <v>43191</v>
      </c>
      <c r="B101">
        <f t="shared" si="19"/>
        <v>2018</v>
      </c>
      <c r="C101" s="127">
        <v>732426.3</v>
      </c>
      <c r="D101" s="127">
        <v>7198.2</v>
      </c>
      <c r="E101" s="127">
        <v>7108.4</v>
      </c>
      <c r="F101">
        <v>5.5</v>
      </c>
      <c r="G101">
        <v>5.7</v>
      </c>
      <c r="H101">
        <v>410</v>
      </c>
      <c r="I101">
        <v>403.8</v>
      </c>
      <c r="J101">
        <v>5.3</v>
      </c>
      <c r="K101">
        <v>4.9000000000000004</v>
      </c>
      <c r="L101">
        <v>202.6</v>
      </c>
      <c r="M101">
        <v>197.1</v>
      </c>
      <c r="N101">
        <v>5.9</v>
      </c>
      <c r="O101">
        <v>6.7</v>
      </c>
      <c r="P101" s="47">
        <f t="shared" si="24"/>
        <v>2.9129327994530385E-2</v>
      </c>
      <c r="Q101" s="47">
        <f t="shared" si="25"/>
        <v>1.7442189178492606E-2</v>
      </c>
      <c r="R101" s="47">
        <f t="shared" si="26"/>
        <v>1.7987053903878003E-2</v>
      </c>
      <c r="S101" s="47">
        <f t="shared" si="20"/>
        <v>-2.4330900243308973E-3</v>
      </c>
      <c r="T101" s="47">
        <f t="shared" si="21"/>
        <v>-7.3746312684366266E-3</v>
      </c>
      <c r="U101" s="47">
        <f t="shared" si="22"/>
        <v>3.2093734080488989E-2</v>
      </c>
      <c r="V101" s="47">
        <f t="shared" si="23"/>
        <v>3.1937172774869182E-2</v>
      </c>
      <c r="W101" s="72">
        <f t="shared" si="27"/>
        <v>20731.20000000007</v>
      </c>
      <c r="X101" s="71">
        <f t="shared" si="28"/>
        <v>123.39999999999964</v>
      </c>
      <c r="Y101" s="71">
        <f t="shared" si="29"/>
        <v>125.59999999999945</v>
      </c>
      <c r="Z101" s="71">
        <f t="shared" si="30"/>
        <v>-1</v>
      </c>
      <c r="AA101" s="71">
        <f t="shared" si="31"/>
        <v>-3</v>
      </c>
      <c r="AB101" s="71">
        <f t="shared" si="32"/>
        <v>6.2999999999999829</v>
      </c>
      <c r="AC101" s="71">
        <f t="shared" si="33"/>
        <v>6.0999999999999943</v>
      </c>
    </row>
    <row r="102" spans="1:29" x14ac:dyDescent="0.2">
      <c r="A102" s="3">
        <v>43221</v>
      </c>
      <c r="B102">
        <f t="shared" si="19"/>
        <v>2018</v>
      </c>
      <c r="C102" s="127">
        <v>732426.3</v>
      </c>
      <c r="D102" s="127">
        <v>7208.1</v>
      </c>
      <c r="E102" s="127">
        <v>7174.7</v>
      </c>
      <c r="F102">
        <v>5.6</v>
      </c>
      <c r="G102">
        <v>5.8</v>
      </c>
      <c r="H102">
        <v>412.2</v>
      </c>
      <c r="I102">
        <v>408.1</v>
      </c>
      <c r="J102">
        <v>4.8</v>
      </c>
      <c r="K102">
        <v>4.5999999999999996</v>
      </c>
      <c r="L102">
        <v>203.9</v>
      </c>
      <c r="M102">
        <v>200.9</v>
      </c>
      <c r="N102">
        <v>6.5</v>
      </c>
      <c r="O102">
        <v>6.9</v>
      </c>
      <c r="P102" s="47">
        <f t="shared" si="24"/>
        <v>2.9129327994530385E-2</v>
      </c>
      <c r="Q102" s="47">
        <f t="shared" si="25"/>
        <v>1.7992571355939457E-2</v>
      </c>
      <c r="R102" s="47">
        <f t="shared" si="26"/>
        <v>1.8063399267815194E-2</v>
      </c>
      <c r="S102" s="47">
        <f t="shared" si="20"/>
        <v>-1.0799136069114423E-2</v>
      </c>
      <c r="T102" s="47">
        <f t="shared" si="21"/>
        <v>-1.6152362584378022E-2</v>
      </c>
      <c r="U102" s="47">
        <f t="shared" si="22"/>
        <v>2.8758829465186819E-2</v>
      </c>
      <c r="V102" s="47">
        <f t="shared" si="23"/>
        <v>2.9728344438749499E-2</v>
      </c>
      <c r="W102" s="72">
        <f t="shared" si="27"/>
        <v>20731.20000000007</v>
      </c>
      <c r="X102" s="71">
        <f t="shared" si="28"/>
        <v>127.40000000000055</v>
      </c>
      <c r="Y102" s="71">
        <f t="shared" si="29"/>
        <v>127.30000000000018</v>
      </c>
      <c r="Z102" s="71">
        <f t="shared" si="30"/>
        <v>-4.5</v>
      </c>
      <c r="AA102" s="71">
        <f t="shared" si="31"/>
        <v>-6.6999999999999886</v>
      </c>
      <c r="AB102" s="71">
        <f t="shared" si="32"/>
        <v>5.7000000000000171</v>
      </c>
      <c r="AC102" s="71">
        <f t="shared" si="33"/>
        <v>5.8000000000000114</v>
      </c>
    </row>
    <row r="103" spans="1:29" x14ac:dyDescent="0.2">
      <c r="A103" s="3">
        <v>43252</v>
      </c>
      <c r="B103">
        <f t="shared" si="19"/>
        <v>2018</v>
      </c>
      <c r="C103" s="127">
        <v>732426.3</v>
      </c>
      <c r="D103" s="127">
        <v>7224.1</v>
      </c>
      <c r="E103" s="127">
        <v>7269.2</v>
      </c>
      <c r="F103">
        <v>5.8</v>
      </c>
      <c r="G103">
        <v>5.8</v>
      </c>
      <c r="H103">
        <v>414.9</v>
      </c>
      <c r="I103">
        <v>414.3</v>
      </c>
      <c r="J103">
        <v>4.5</v>
      </c>
      <c r="K103">
        <v>4.3</v>
      </c>
      <c r="L103">
        <v>203.8</v>
      </c>
      <c r="M103">
        <v>204.4</v>
      </c>
      <c r="N103">
        <v>6.5</v>
      </c>
      <c r="O103">
        <v>6.2</v>
      </c>
      <c r="P103" s="47">
        <f t="shared" si="24"/>
        <v>2.9129327994530385E-2</v>
      </c>
      <c r="Q103" s="47">
        <f t="shared" si="25"/>
        <v>1.957546504078822E-2</v>
      </c>
      <c r="R103" s="47">
        <f t="shared" si="26"/>
        <v>1.9580341113105915E-2</v>
      </c>
      <c r="S103" s="47">
        <f t="shared" si="20"/>
        <v>-6.9411201531833777E-3</v>
      </c>
      <c r="T103" s="47">
        <f t="shared" si="21"/>
        <v>-1.1924636298592861E-2</v>
      </c>
      <c r="U103" s="47">
        <f t="shared" si="22"/>
        <v>2.5666834423754503E-2</v>
      </c>
      <c r="V103" s="47">
        <f t="shared" si="23"/>
        <v>2.8169014084507005E-2</v>
      </c>
      <c r="W103" s="72">
        <f t="shared" si="27"/>
        <v>20731.20000000007</v>
      </c>
      <c r="X103" s="71">
        <f t="shared" si="28"/>
        <v>138.70000000000073</v>
      </c>
      <c r="Y103" s="71">
        <f t="shared" si="29"/>
        <v>139.59999999999945</v>
      </c>
      <c r="Z103" s="71">
        <f t="shared" si="30"/>
        <v>-2.9000000000000341</v>
      </c>
      <c r="AA103" s="71">
        <f t="shared" si="31"/>
        <v>-5</v>
      </c>
      <c r="AB103" s="71">
        <f t="shared" si="32"/>
        <v>5.1000000000000227</v>
      </c>
      <c r="AC103" s="71">
        <f t="shared" si="33"/>
        <v>5.5999999999999943</v>
      </c>
    </row>
    <row r="104" spans="1:29" x14ac:dyDescent="0.2">
      <c r="A104" s="3">
        <v>43282</v>
      </c>
      <c r="B104">
        <f t="shared" si="19"/>
        <v>2018</v>
      </c>
      <c r="C104" s="127">
        <v>732426.3</v>
      </c>
      <c r="D104" s="127">
        <v>7258.6</v>
      </c>
      <c r="E104" s="127">
        <v>7352.5</v>
      </c>
      <c r="F104">
        <v>5.7</v>
      </c>
      <c r="G104">
        <v>5.9</v>
      </c>
      <c r="H104">
        <v>416.4</v>
      </c>
      <c r="I104">
        <v>418.9</v>
      </c>
      <c r="J104">
        <v>4.5999999999999996</v>
      </c>
      <c r="K104">
        <v>5.0999999999999996</v>
      </c>
      <c r="L104">
        <v>202.7</v>
      </c>
      <c r="M104">
        <v>206.1</v>
      </c>
      <c r="N104">
        <v>7.1</v>
      </c>
      <c r="O104">
        <v>6.9</v>
      </c>
      <c r="P104" s="47">
        <f t="shared" si="24"/>
        <v>2.9129327994530385E-2</v>
      </c>
      <c r="Q104" s="47">
        <f t="shared" si="25"/>
        <v>2.2352427498979033E-2</v>
      </c>
      <c r="R104" s="47">
        <f t="shared" si="26"/>
        <v>2.1890201528839581E-2</v>
      </c>
      <c r="S104" s="47">
        <f t="shared" si="20"/>
        <v>-1.163066698314752E-2</v>
      </c>
      <c r="T104" s="47">
        <f t="shared" si="21"/>
        <v>-9.4585008276187876E-3</v>
      </c>
      <c r="U104" s="47">
        <f t="shared" si="22"/>
        <v>1.1477045908183436E-2</v>
      </c>
      <c r="V104" s="47">
        <f t="shared" si="23"/>
        <v>7.3313782991202281E-3</v>
      </c>
      <c r="W104" s="72">
        <f t="shared" si="27"/>
        <v>20731.20000000007</v>
      </c>
      <c r="X104" s="71">
        <f t="shared" si="28"/>
        <v>158.70000000000073</v>
      </c>
      <c r="Y104" s="71">
        <f t="shared" si="29"/>
        <v>157.5</v>
      </c>
      <c r="Z104" s="71">
        <f t="shared" si="30"/>
        <v>-4.9000000000000341</v>
      </c>
      <c r="AA104" s="71">
        <f t="shared" si="31"/>
        <v>-4</v>
      </c>
      <c r="AB104" s="71">
        <f t="shared" si="32"/>
        <v>2.2999999999999829</v>
      </c>
      <c r="AC104" s="71">
        <f t="shared" si="33"/>
        <v>1.5</v>
      </c>
    </row>
    <row r="105" spans="1:29" x14ac:dyDescent="0.2">
      <c r="A105" s="3">
        <v>43313</v>
      </c>
      <c r="B105">
        <f t="shared" si="19"/>
        <v>2018</v>
      </c>
      <c r="C105" s="127">
        <v>732426.3</v>
      </c>
      <c r="D105" s="127">
        <v>7264.8</v>
      </c>
      <c r="E105" s="127">
        <v>7356</v>
      </c>
      <c r="F105">
        <v>5.7</v>
      </c>
      <c r="G105">
        <v>6.1</v>
      </c>
      <c r="H105">
        <v>413.1</v>
      </c>
      <c r="I105">
        <v>416.3</v>
      </c>
      <c r="J105">
        <v>4.8</v>
      </c>
      <c r="K105">
        <v>5.5</v>
      </c>
      <c r="L105">
        <v>201.2</v>
      </c>
      <c r="M105">
        <v>205.4</v>
      </c>
      <c r="N105">
        <v>7.4</v>
      </c>
      <c r="O105">
        <v>7.3</v>
      </c>
      <c r="P105" s="47">
        <f t="shared" si="24"/>
        <v>2.9129327994530385E-2</v>
      </c>
      <c r="Q105" s="47">
        <f t="shared" si="25"/>
        <v>2.0150815160153268E-2</v>
      </c>
      <c r="R105" s="47">
        <f t="shared" si="26"/>
        <v>1.9726354020821457E-2</v>
      </c>
      <c r="S105" s="47">
        <f t="shared" si="20"/>
        <v>-3.436185133239833E-2</v>
      </c>
      <c r="T105" s="47">
        <f t="shared" si="21"/>
        <v>-2.9829876485667706E-2</v>
      </c>
      <c r="U105" s="47">
        <f t="shared" si="22"/>
        <v>5.4972513743127838E-3</v>
      </c>
      <c r="V105" s="47">
        <f t="shared" si="23"/>
        <v>2.4402147388971063E-3</v>
      </c>
      <c r="W105" s="72">
        <f t="shared" si="27"/>
        <v>20731.20000000007</v>
      </c>
      <c r="X105" s="71">
        <f t="shared" si="28"/>
        <v>143.5</v>
      </c>
      <c r="Y105" s="71">
        <f t="shared" si="29"/>
        <v>142.30000000000018</v>
      </c>
      <c r="Z105" s="71">
        <f t="shared" si="30"/>
        <v>-14.699999999999989</v>
      </c>
      <c r="AA105" s="71">
        <f t="shared" si="31"/>
        <v>-12.800000000000011</v>
      </c>
      <c r="AB105" s="71">
        <f t="shared" si="32"/>
        <v>1.0999999999999943</v>
      </c>
      <c r="AC105" s="71">
        <f t="shared" si="33"/>
        <v>0.5</v>
      </c>
    </row>
    <row r="106" spans="1:29" x14ac:dyDescent="0.2">
      <c r="A106" s="3">
        <v>43344</v>
      </c>
      <c r="B106">
        <f t="shared" si="19"/>
        <v>2018</v>
      </c>
      <c r="C106" s="127">
        <v>732426.3</v>
      </c>
      <c r="D106" s="127">
        <v>7268.1</v>
      </c>
      <c r="E106" s="127">
        <v>7315.2</v>
      </c>
      <c r="F106">
        <v>5.6</v>
      </c>
      <c r="G106">
        <v>6</v>
      </c>
      <c r="H106">
        <v>411.2</v>
      </c>
      <c r="I106">
        <v>412.4</v>
      </c>
      <c r="J106">
        <v>4.9000000000000004</v>
      </c>
      <c r="K106">
        <v>5.8</v>
      </c>
      <c r="L106">
        <v>200.9</v>
      </c>
      <c r="M106">
        <v>205.1</v>
      </c>
      <c r="N106">
        <v>7.3</v>
      </c>
      <c r="O106">
        <v>7.1</v>
      </c>
      <c r="P106" s="47">
        <f t="shared" si="24"/>
        <v>2.9129327994530385E-2</v>
      </c>
      <c r="Q106" s="47">
        <f t="shared" si="25"/>
        <v>1.6503265688591728E-2</v>
      </c>
      <c r="R106" s="47">
        <f t="shared" si="26"/>
        <v>1.6423509795748137E-2</v>
      </c>
      <c r="S106" s="47">
        <f t="shared" si="20"/>
        <v>-5.0127050127050099E-2</v>
      </c>
      <c r="T106" s="47">
        <f t="shared" si="21"/>
        <v>-4.6253469010175796E-2</v>
      </c>
      <c r="U106" s="47">
        <f t="shared" si="22"/>
        <v>1.5672396359959428E-2</v>
      </c>
      <c r="V106" s="47">
        <f t="shared" si="23"/>
        <v>1.4342235410484738E-2</v>
      </c>
      <c r="W106" s="72">
        <f t="shared" si="27"/>
        <v>20731.20000000007</v>
      </c>
      <c r="X106" s="71">
        <f t="shared" si="28"/>
        <v>118</v>
      </c>
      <c r="Y106" s="71">
        <f t="shared" si="29"/>
        <v>118.19999999999982</v>
      </c>
      <c r="Z106" s="71">
        <f t="shared" si="30"/>
        <v>-21.699999999999989</v>
      </c>
      <c r="AA106" s="71">
        <f t="shared" si="31"/>
        <v>-20</v>
      </c>
      <c r="AB106" s="71">
        <f t="shared" si="32"/>
        <v>3.0999999999999943</v>
      </c>
      <c r="AC106" s="71">
        <f t="shared" si="33"/>
        <v>2.9000000000000057</v>
      </c>
    </row>
    <row r="107" spans="1:29" x14ac:dyDescent="0.2">
      <c r="A107" s="3">
        <v>43374</v>
      </c>
      <c r="B107">
        <f t="shared" si="19"/>
        <v>2018</v>
      </c>
      <c r="C107" s="127">
        <v>732426.3</v>
      </c>
      <c r="D107" s="127">
        <v>7253</v>
      </c>
      <c r="E107" s="127">
        <v>7274.4</v>
      </c>
      <c r="F107">
        <v>5.7</v>
      </c>
      <c r="G107">
        <v>5.8</v>
      </c>
      <c r="H107">
        <v>411.9</v>
      </c>
      <c r="I107">
        <v>412.1</v>
      </c>
      <c r="J107">
        <v>4.9000000000000004</v>
      </c>
      <c r="K107">
        <v>5.3</v>
      </c>
      <c r="L107">
        <v>200.4</v>
      </c>
      <c r="M107">
        <v>204.7</v>
      </c>
      <c r="N107">
        <v>7.2</v>
      </c>
      <c r="O107">
        <v>6.5</v>
      </c>
      <c r="P107" s="47">
        <f t="shared" si="24"/>
        <v>2.9129327994530385E-2</v>
      </c>
      <c r="Q107" s="47">
        <f t="shared" si="25"/>
        <v>1.1505473816330714E-2</v>
      </c>
      <c r="R107" s="47">
        <f t="shared" si="26"/>
        <v>1.1218149213895412E-2</v>
      </c>
      <c r="S107" s="47">
        <f t="shared" si="20"/>
        <v>-4.3649872300905557E-2</v>
      </c>
      <c r="T107" s="47">
        <f t="shared" si="21"/>
        <v>-4.2296072507552851E-2</v>
      </c>
      <c r="U107" s="47">
        <f t="shared" si="22"/>
        <v>2.7692307692307683E-2</v>
      </c>
      <c r="V107" s="47">
        <f t="shared" si="23"/>
        <v>2.9160382101558469E-2</v>
      </c>
      <c r="W107" s="72">
        <f t="shared" si="27"/>
        <v>20731.20000000007</v>
      </c>
      <c r="X107" s="71">
        <f t="shared" si="28"/>
        <v>82.5</v>
      </c>
      <c r="Y107" s="71">
        <f t="shared" si="29"/>
        <v>80.699999999999818</v>
      </c>
      <c r="Z107" s="71">
        <f t="shared" si="30"/>
        <v>-18.800000000000011</v>
      </c>
      <c r="AA107" s="71">
        <f t="shared" si="31"/>
        <v>-18.199999999999989</v>
      </c>
      <c r="AB107" s="71">
        <f t="shared" si="32"/>
        <v>5.4000000000000057</v>
      </c>
      <c r="AC107" s="71">
        <f t="shared" si="33"/>
        <v>5.7999999999999829</v>
      </c>
    </row>
    <row r="108" spans="1:29" x14ac:dyDescent="0.2">
      <c r="A108" s="3">
        <v>43405</v>
      </c>
      <c r="B108">
        <f t="shared" si="19"/>
        <v>2018</v>
      </c>
      <c r="C108" s="127">
        <v>732426.3</v>
      </c>
      <c r="D108" s="127">
        <v>7273.5</v>
      </c>
      <c r="E108" s="127">
        <v>7279</v>
      </c>
      <c r="F108">
        <v>5.7</v>
      </c>
      <c r="G108">
        <v>5.2</v>
      </c>
      <c r="H108">
        <v>416</v>
      </c>
      <c r="I108">
        <v>415.5</v>
      </c>
      <c r="J108">
        <v>4.5</v>
      </c>
      <c r="K108">
        <v>4.5999999999999996</v>
      </c>
      <c r="L108">
        <v>199.2</v>
      </c>
      <c r="M108">
        <v>202.6</v>
      </c>
      <c r="N108">
        <v>6.9</v>
      </c>
      <c r="O108">
        <v>6.1</v>
      </c>
      <c r="P108" s="47">
        <f t="shared" si="24"/>
        <v>2.9129327994530385E-2</v>
      </c>
      <c r="Q108" s="47">
        <f t="shared" si="25"/>
        <v>1.1669633915655897E-2</v>
      </c>
      <c r="R108" s="47">
        <f t="shared" si="26"/>
        <v>1.1787273081093064E-2</v>
      </c>
      <c r="S108" s="47">
        <f t="shared" si="20"/>
        <v>-2.3932426091037073E-2</v>
      </c>
      <c r="T108" s="47">
        <f t="shared" si="21"/>
        <v>-2.5105584232754552E-2</v>
      </c>
      <c r="U108" s="47">
        <f t="shared" si="22"/>
        <v>2.4691358024691246E-2</v>
      </c>
      <c r="V108" s="47">
        <f t="shared" si="23"/>
        <v>2.6342451874366679E-2</v>
      </c>
      <c r="W108" s="72">
        <f t="shared" si="27"/>
        <v>20731.20000000007</v>
      </c>
      <c r="X108" s="71">
        <f t="shared" si="28"/>
        <v>83.899999999999636</v>
      </c>
      <c r="Y108" s="71">
        <f t="shared" si="29"/>
        <v>84.800000000000182</v>
      </c>
      <c r="Z108" s="71">
        <f t="shared" si="30"/>
        <v>-10.199999999999989</v>
      </c>
      <c r="AA108" s="71">
        <f t="shared" si="31"/>
        <v>-10.699999999999989</v>
      </c>
      <c r="AB108" s="71">
        <f t="shared" si="32"/>
        <v>4.7999999999999829</v>
      </c>
      <c r="AC108" s="71">
        <f t="shared" si="33"/>
        <v>5.1999999999999886</v>
      </c>
    </row>
    <row r="109" spans="1:29" x14ac:dyDescent="0.2">
      <c r="A109" s="3">
        <v>43435</v>
      </c>
      <c r="B109">
        <f t="shared" si="19"/>
        <v>2018</v>
      </c>
      <c r="C109" s="127">
        <v>732426.3</v>
      </c>
      <c r="D109" s="127">
        <v>7289.2</v>
      </c>
      <c r="E109" s="127">
        <v>7302.7</v>
      </c>
      <c r="F109">
        <v>5.6</v>
      </c>
      <c r="G109">
        <v>4.9000000000000004</v>
      </c>
      <c r="H109">
        <v>419.2</v>
      </c>
      <c r="I109">
        <v>420.7</v>
      </c>
      <c r="J109">
        <v>4.2</v>
      </c>
      <c r="K109">
        <v>3.9</v>
      </c>
      <c r="L109">
        <v>198.8</v>
      </c>
      <c r="M109">
        <v>201.8</v>
      </c>
      <c r="N109">
        <v>6.9</v>
      </c>
      <c r="O109">
        <v>6.3</v>
      </c>
      <c r="P109" s="47">
        <f t="shared" si="24"/>
        <v>2.9129327994530385E-2</v>
      </c>
      <c r="Q109" s="47">
        <f t="shared" si="25"/>
        <v>1.1953186822340367E-2</v>
      </c>
      <c r="R109" s="47">
        <f t="shared" si="26"/>
        <v>1.2379737710372485E-2</v>
      </c>
      <c r="S109" s="47">
        <f t="shared" si="20"/>
        <v>-5.2206929283340475E-3</v>
      </c>
      <c r="T109" s="47">
        <f t="shared" si="21"/>
        <v>-6.1422159225136275E-3</v>
      </c>
      <c r="U109" s="47">
        <f t="shared" si="22"/>
        <v>1.4285714285714235E-2</v>
      </c>
      <c r="V109" s="47">
        <f t="shared" si="23"/>
        <v>1.6624685138539208E-2</v>
      </c>
      <c r="W109" s="72">
        <f t="shared" si="27"/>
        <v>20731.20000000007</v>
      </c>
      <c r="X109" s="71">
        <f t="shared" si="28"/>
        <v>86.099999999999454</v>
      </c>
      <c r="Y109" s="71">
        <f t="shared" si="29"/>
        <v>89.300000000000182</v>
      </c>
      <c r="Z109" s="71">
        <f t="shared" si="30"/>
        <v>-2.1999999999999886</v>
      </c>
      <c r="AA109" s="71">
        <f t="shared" si="31"/>
        <v>-2.6000000000000227</v>
      </c>
      <c r="AB109" s="71">
        <f t="shared" si="32"/>
        <v>2.8000000000000114</v>
      </c>
      <c r="AC109" s="71">
        <f t="shared" si="33"/>
        <v>3.3000000000000114</v>
      </c>
    </row>
    <row r="110" spans="1:29" x14ac:dyDescent="0.2">
      <c r="A110" s="3">
        <v>43466</v>
      </c>
      <c r="B110">
        <f t="shared" si="19"/>
        <v>2019</v>
      </c>
      <c r="C110" s="127">
        <v>747589.4</v>
      </c>
      <c r="D110" s="127">
        <v>7315.7</v>
      </c>
      <c r="E110" s="127">
        <v>7293.3</v>
      </c>
      <c r="F110">
        <v>5.6</v>
      </c>
      <c r="G110">
        <v>5.2</v>
      </c>
      <c r="H110">
        <v>420.6</v>
      </c>
      <c r="I110">
        <v>420.6</v>
      </c>
      <c r="J110">
        <v>3.9</v>
      </c>
      <c r="K110">
        <v>3.6</v>
      </c>
      <c r="L110">
        <v>199.1</v>
      </c>
      <c r="M110">
        <v>199.1</v>
      </c>
      <c r="N110">
        <v>6.7</v>
      </c>
      <c r="O110">
        <v>6.5</v>
      </c>
      <c r="P110" s="47">
        <f t="shared" si="24"/>
        <v>2.0702560790075264E-2</v>
      </c>
      <c r="Q110" s="47">
        <f t="shared" si="25"/>
        <v>1.6097669379705026E-2</v>
      </c>
      <c r="R110" s="47">
        <f t="shared" si="26"/>
        <v>1.682792850570225E-2</v>
      </c>
      <c r="S110" s="47">
        <f t="shared" ref="S110:S133" si="34">H110/H98-1</f>
        <v>4.757373929591413E-4</v>
      </c>
      <c r="T110" s="47">
        <f t="shared" ref="T110:T133" si="35">I110/I98-1</f>
        <v>-2.3769907297355175E-4</v>
      </c>
      <c r="U110" s="47">
        <f t="shared" ref="U110:U133" si="36">L110/L98-1</f>
        <v>3.0226700251889671E-3</v>
      </c>
      <c r="V110" s="47">
        <f t="shared" ref="V110:V133" si="37">M110/M98-1</f>
        <v>6.5722952477249574E-3</v>
      </c>
      <c r="W110" s="72">
        <f t="shared" si="27"/>
        <v>15163.099999999977</v>
      </c>
      <c r="X110" s="71">
        <f t="shared" si="28"/>
        <v>115.89999999999964</v>
      </c>
      <c r="Y110" s="71">
        <f t="shared" si="29"/>
        <v>120.69999999999982</v>
      </c>
      <c r="Z110" s="71">
        <f t="shared" si="30"/>
        <v>0.20000000000004547</v>
      </c>
      <c r="AA110" s="71">
        <f t="shared" si="31"/>
        <v>-9.9999999999965894E-2</v>
      </c>
      <c r="AB110" s="71">
        <f t="shared" si="32"/>
        <v>0.59999999999999432</v>
      </c>
      <c r="AC110" s="71">
        <f t="shared" si="33"/>
        <v>1.2999999999999829</v>
      </c>
    </row>
    <row r="111" spans="1:29" x14ac:dyDescent="0.2">
      <c r="A111" s="3">
        <v>43497</v>
      </c>
      <c r="B111">
        <f t="shared" si="19"/>
        <v>2019</v>
      </c>
      <c r="C111" s="127">
        <v>747589.4</v>
      </c>
      <c r="D111" s="127">
        <v>7346.7</v>
      </c>
      <c r="E111" s="127">
        <v>7286.5</v>
      </c>
      <c r="F111">
        <v>5.6</v>
      </c>
      <c r="G111">
        <v>5.4</v>
      </c>
      <c r="H111">
        <v>421.7</v>
      </c>
      <c r="I111">
        <v>419.8</v>
      </c>
      <c r="J111">
        <v>3.7</v>
      </c>
      <c r="K111">
        <v>3.5</v>
      </c>
      <c r="L111">
        <v>199.8</v>
      </c>
      <c r="M111">
        <v>197.4</v>
      </c>
      <c r="N111">
        <v>6.8</v>
      </c>
      <c r="O111">
        <v>7</v>
      </c>
      <c r="P111" s="47">
        <f t="shared" si="24"/>
        <v>2.0702560790075264E-2</v>
      </c>
      <c r="Q111" s="47">
        <f t="shared" si="25"/>
        <v>2.1907861792689109E-2</v>
      </c>
      <c r="R111" s="47">
        <f t="shared" si="26"/>
        <v>2.2551853826938695E-2</v>
      </c>
      <c r="S111" s="47">
        <f t="shared" si="34"/>
        <v>1.3945660014426542E-2</v>
      </c>
      <c r="T111" s="47">
        <f t="shared" si="35"/>
        <v>1.4499758337360946E-2</v>
      </c>
      <c r="U111" s="47">
        <f t="shared" si="36"/>
        <v>0</v>
      </c>
      <c r="V111" s="47">
        <f t="shared" si="37"/>
        <v>3.0487804878047697E-3</v>
      </c>
      <c r="W111" s="72">
        <f t="shared" si="27"/>
        <v>15163.099999999977</v>
      </c>
      <c r="X111" s="71">
        <f t="shared" si="28"/>
        <v>157.5</v>
      </c>
      <c r="Y111" s="71">
        <f t="shared" si="29"/>
        <v>160.69999999999982</v>
      </c>
      <c r="Z111" s="71">
        <f t="shared" si="30"/>
        <v>5.8000000000000114</v>
      </c>
      <c r="AA111" s="71">
        <f t="shared" si="31"/>
        <v>6</v>
      </c>
      <c r="AB111" s="71">
        <f t="shared" si="32"/>
        <v>0</v>
      </c>
      <c r="AC111" s="71">
        <f t="shared" si="33"/>
        <v>0.59999999999999432</v>
      </c>
    </row>
    <row r="112" spans="1:29" x14ac:dyDescent="0.2">
      <c r="A112" s="3">
        <v>43525</v>
      </c>
      <c r="B112">
        <f t="shared" si="19"/>
        <v>2019</v>
      </c>
      <c r="C112" s="127">
        <v>747589.4</v>
      </c>
      <c r="D112" s="127">
        <v>7371</v>
      </c>
      <c r="E112" s="127">
        <v>7268.2</v>
      </c>
      <c r="F112">
        <v>5.8</v>
      </c>
      <c r="G112">
        <v>5.9</v>
      </c>
      <c r="H112">
        <v>420.5</v>
      </c>
      <c r="I112">
        <v>415.1</v>
      </c>
      <c r="J112">
        <v>3.6</v>
      </c>
      <c r="K112">
        <v>3.5</v>
      </c>
      <c r="L112">
        <v>198</v>
      </c>
      <c r="M112">
        <v>192.4</v>
      </c>
      <c r="N112">
        <v>6.5</v>
      </c>
      <c r="O112">
        <v>7.3</v>
      </c>
      <c r="P112" s="47">
        <f t="shared" si="24"/>
        <v>2.0702560790075264E-2</v>
      </c>
      <c r="Q112" s="47">
        <f t="shared" si="25"/>
        <v>2.5887265135699389E-2</v>
      </c>
      <c r="R112" s="47">
        <f t="shared" si="26"/>
        <v>2.6248535080411584E-2</v>
      </c>
      <c r="S112" s="47">
        <f t="shared" si="34"/>
        <v>1.7174649250121021E-2</v>
      </c>
      <c r="T112" s="47">
        <f t="shared" si="35"/>
        <v>1.8150600932058003E-2</v>
      </c>
      <c r="U112" s="47">
        <f t="shared" si="36"/>
        <v>-1.5904572564612307E-2</v>
      </c>
      <c r="V112" s="47">
        <f t="shared" si="37"/>
        <v>-1.5353121801433001E-2</v>
      </c>
      <c r="W112" s="72">
        <f t="shared" si="27"/>
        <v>15163.099999999977</v>
      </c>
      <c r="X112" s="71">
        <f t="shared" si="28"/>
        <v>186</v>
      </c>
      <c r="Y112" s="71">
        <f t="shared" si="29"/>
        <v>185.89999999999964</v>
      </c>
      <c r="Z112" s="71">
        <f t="shared" si="30"/>
        <v>7.1000000000000227</v>
      </c>
      <c r="AA112" s="71">
        <f t="shared" si="31"/>
        <v>7.4000000000000341</v>
      </c>
      <c r="AB112" s="71">
        <f t="shared" si="32"/>
        <v>-3.1999999999999886</v>
      </c>
      <c r="AC112" s="71">
        <f t="shared" si="33"/>
        <v>-3</v>
      </c>
    </row>
    <row r="113" spans="1:29" x14ac:dyDescent="0.2">
      <c r="A113" s="3">
        <v>43556</v>
      </c>
      <c r="B113">
        <f t="shared" si="19"/>
        <v>2019</v>
      </c>
      <c r="C113" s="127">
        <v>747589.4</v>
      </c>
      <c r="D113" s="127">
        <v>7395.4</v>
      </c>
      <c r="E113" s="127">
        <v>7304.3</v>
      </c>
      <c r="F113">
        <v>5.8</v>
      </c>
      <c r="G113">
        <v>6</v>
      </c>
      <c r="H113">
        <v>417.5</v>
      </c>
      <c r="I113">
        <v>411.2</v>
      </c>
      <c r="J113">
        <v>4</v>
      </c>
      <c r="K113">
        <v>3.6</v>
      </c>
      <c r="L113">
        <v>196</v>
      </c>
      <c r="M113">
        <v>190.2</v>
      </c>
      <c r="N113">
        <v>6.4</v>
      </c>
      <c r="O113">
        <v>7.2</v>
      </c>
      <c r="P113" s="47">
        <f t="shared" si="24"/>
        <v>2.0702560790075264E-2</v>
      </c>
      <c r="Q113" s="47">
        <f t="shared" si="25"/>
        <v>2.7395737823344701E-2</v>
      </c>
      <c r="R113" s="47">
        <f t="shared" si="26"/>
        <v>2.7558944347532588E-2</v>
      </c>
      <c r="S113" s="47">
        <f t="shared" si="34"/>
        <v>1.8292682926829285E-2</v>
      </c>
      <c r="T113" s="47">
        <f t="shared" si="35"/>
        <v>1.8325903912828068E-2</v>
      </c>
      <c r="U113" s="47">
        <f t="shared" si="36"/>
        <v>-3.257650542941759E-2</v>
      </c>
      <c r="V113" s="47">
        <f t="shared" si="37"/>
        <v>-3.5007610350076157E-2</v>
      </c>
      <c r="W113" s="72">
        <f t="shared" si="27"/>
        <v>15163.099999999977</v>
      </c>
      <c r="X113" s="71">
        <f t="shared" si="28"/>
        <v>197.19999999999982</v>
      </c>
      <c r="Y113" s="71">
        <f t="shared" si="29"/>
        <v>195.90000000000055</v>
      </c>
      <c r="Z113" s="71">
        <f t="shared" si="30"/>
        <v>7.5</v>
      </c>
      <c r="AA113" s="71">
        <f t="shared" si="31"/>
        <v>7.3999999999999773</v>
      </c>
      <c r="AB113" s="71">
        <f t="shared" si="32"/>
        <v>-6.5999999999999943</v>
      </c>
      <c r="AC113" s="71">
        <f t="shared" si="33"/>
        <v>-6.9000000000000057</v>
      </c>
    </row>
    <row r="114" spans="1:29" x14ac:dyDescent="0.2">
      <c r="A114" s="3">
        <v>43586</v>
      </c>
      <c r="B114">
        <f t="shared" si="19"/>
        <v>2019</v>
      </c>
      <c r="C114" s="127">
        <v>747589.4</v>
      </c>
      <c r="D114" s="127">
        <v>7412.6</v>
      </c>
      <c r="E114" s="127">
        <v>7376.9</v>
      </c>
      <c r="F114">
        <v>5.7</v>
      </c>
      <c r="G114">
        <v>5.9</v>
      </c>
      <c r="H114">
        <v>415.7</v>
      </c>
      <c r="I114">
        <v>411.2</v>
      </c>
      <c r="J114">
        <v>4.3</v>
      </c>
      <c r="K114">
        <v>4.0999999999999996</v>
      </c>
      <c r="L114">
        <v>195</v>
      </c>
      <c r="M114">
        <v>191.9</v>
      </c>
      <c r="N114">
        <v>5.8</v>
      </c>
      <c r="O114">
        <v>6.2</v>
      </c>
      <c r="P114" s="47">
        <f t="shared" si="24"/>
        <v>2.0702560790075264E-2</v>
      </c>
      <c r="Q114" s="47">
        <f t="shared" si="25"/>
        <v>2.8370860559648214E-2</v>
      </c>
      <c r="R114" s="47">
        <f t="shared" si="26"/>
        <v>2.8182363025631707E-2</v>
      </c>
      <c r="S114" s="47">
        <f t="shared" si="34"/>
        <v>8.4910237748665462E-3</v>
      </c>
      <c r="T114" s="47">
        <f t="shared" si="35"/>
        <v>7.5961774074981836E-3</v>
      </c>
      <c r="U114" s="47">
        <f t="shared" si="36"/>
        <v>-4.3648847474252128E-2</v>
      </c>
      <c r="V114" s="47">
        <f t="shared" si="37"/>
        <v>-4.4798407167745191E-2</v>
      </c>
      <c r="W114" s="72">
        <f t="shared" si="27"/>
        <v>15163.099999999977</v>
      </c>
      <c r="X114" s="71">
        <f t="shared" si="28"/>
        <v>204.5</v>
      </c>
      <c r="Y114" s="71">
        <f t="shared" si="29"/>
        <v>202.19999999999982</v>
      </c>
      <c r="Z114" s="71">
        <f t="shared" si="30"/>
        <v>3.5</v>
      </c>
      <c r="AA114" s="71">
        <f t="shared" si="31"/>
        <v>3.0999999999999659</v>
      </c>
      <c r="AB114" s="71">
        <f t="shared" si="32"/>
        <v>-8.9000000000000057</v>
      </c>
      <c r="AC114" s="71">
        <f t="shared" si="33"/>
        <v>-9</v>
      </c>
    </row>
    <row r="115" spans="1:29" x14ac:dyDescent="0.2">
      <c r="A115" s="3">
        <v>43617</v>
      </c>
      <c r="B115">
        <f t="shared" si="19"/>
        <v>2019</v>
      </c>
      <c r="C115" s="127">
        <v>747589.4</v>
      </c>
      <c r="D115" s="127">
        <v>7430.3</v>
      </c>
      <c r="E115" s="127">
        <v>7472.1</v>
      </c>
      <c r="F115">
        <v>5.5</v>
      </c>
      <c r="G115">
        <v>5.6</v>
      </c>
      <c r="H115">
        <v>416.3</v>
      </c>
      <c r="I115">
        <v>415.4</v>
      </c>
      <c r="J115">
        <v>4.7</v>
      </c>
      <c r="K115">
        <v>4.5999999999999996</v>
      </c>
      <c r="L115">
        <v>195.7</v>
      </c>
      <c r="M115">
        <v>196</v>
      </c>
      <c r="N115">
        <v>5.6</v>
      </c>
      <c r="O115">
        <v>5.4</v>
      </c>
      <c r="P115" s="47">
        <f t="shared" si="24"/>
        <v>2.0702560790075264E-2</v>
      </c>
      <c r="Q115" s="47">
        <f t="shared" si="25"/>
        <v>2.8543347960299448E-2</v>
      </c>
      <c r="R115" s="47">
        <f t="shared" si="26"/>
        <v>2.7912287459417984E-2</v>
      </c>
      <c r="S115" s="47">
        <f t="shared" si="34"/>
        <v>3.3743070619427495E-3</v>
      </c>
      <c r="T115" s="47">
        <f t="shared" si="35"/>
        <v>2.6550808592806785E-3</v>
      </c>
      <c r="U115" s="47">
        <f t="shared" si="36"/>
        <v>-3.9744847890088475E-2</v>
      </c>
      <c r="V115" s="47">
        <f t="shared" si="37"/>
        <v>-4.1095890410958957E-2</v>
      </c>
      <c r="W115" s="72">
        <f t="shared" si="27"/>
        <v>15163.099999999977</v>
      </c>
      <c r="X115" s="71">
        <f t="shared" si="28"/>
        <v>206.19999999999982</v>
      </c>
      <c r="Y115" s="71">
        <f t="shared" si="29"/>
        <v>202.90000000000055</v>
      </c>
      <c r="Z115" s="71">
        <f t="shared" si="30"/>
        <v>1.4000000000000341</v>
      </c>
      <c r="AA115" s="71">
        <f t="shared" si="31"/>
        <v>1.0999999999999659</v>
      </c>
      <c r="AB115" s="71">
        <f t="shared" si="32"/>
        <v>-8.1000000000000227</v>
      </c>
      <c r="AC115" s="71">
        <f t="shared" si="33"/>
        <v>-8.4000000000000057</v>
      </c>
    </row>
    <row r="116" spans="1:29" x14ac:dyDescent="0.2">
      <c r="A116" s="3">
        <v>43647</v>
      </c>
      <c r="B116">
        <f t="shared" si="19"/>
        <v>2019</v>
      </c>
      <c r="C116" s="127">
        <v>747589.4</v>
      </c>
      <c r="D116" s="127">
        <v>7432.9</v>
      </c>
      <c r="E116" s="127">
        <v>7524.4</v>
      </c>
      <c r="F116">
        <v>5.5</v>
      </c>
      <c r="G116">
        <v>5.7</v>
      </c>
      <c r="H116">
        <v>415.9</v>
      </c>
      <c r="I116">
        <v>417.8</v>
      </c>
      <c r="J116">
        <v>4.8</v>
      </c>
      <c r="K116">
        <v>5.3</v>
      </c>
      <c r="L116">
        <v>196.1</v>
      </c>
      <c r="M116">
        <v>199.2</v>
      </c>
      <c r="N116">
        <v>5.6</v>
      </c>
      <c r="O116">
        <v>5.4</v>
      </c>
      <c r="P116" s="47">
        <f t="shared" si="24"/>
        <v>2.0702560790075264E-2</v>
      </c>
      <c r="Q116" s="47">
        <f t="shared" si="25"/>
        <v>2.4012895048631799E-2</v>
      </c>
      <c r="R116" s="47">
        <f t="shared" si="26"/>
        <v>2.3379802788167314E-2</v>
      </c>
      <c r="S116" s="47">
        <f t="shared" si="34"/>
        <v>-1.2007684918348138E-3</v>
      </c>
      <c r="T116" s="47">
        <f t="shared" si="35"/>
        <v>-2.625925041775945E-3</v>
      </c>
      <c r="U116" s="47">
        <f t="shared" si="36"/>
        <v>-3.2560434139121797E-2</v>
      </c>
      <c r="V116" s="47">
        <f t="shared" si="37"/>
        <v>-3.3478893740902516E-2</v>
      </c>
      <c r="W116" s="72">
        <f t="shared" si="27"/>
        <v>15163.099999999977</v>
      </c>
      <c r="X116" s="71">
        <f t="shared" si="28"/>
        <v>174.29999999999927</v>
      </c>
      <c r="Y116" s="71">
        <f t="shared" si="29"/>
        <v>171.89999999999964</v>
      </c>
      <c r="Z116" s="71">
        <f t="shared" si="30"/>
        <v>-0.5</v>
      </c>
      <c r="AA116" s="71">
        <f t="shared" si="31"/>
        <v>-1.0999999999999659</v>
      </c>
      <c r="AB116" s="71">
        <f t="shared" si="32"/>
        <v>-6.5999999999999943</v>
      </c>
      <c r="AC116" s="71">
        <f t="shared" si="33"/>
        <v>-6.9000000000000057</v>
      </c>
    </row>
    <row r="117" spans="1:29" x14ac:dyDescent="0.2">
      <c r="A117" s="3">
        <v>43678</v>
      </c>
      <c r="B117">
        <f t="shared" si="19"/>
        <v>2019</v>
      </c>
      <c r="C117" s="127">
        <v>747589.4</v>
      </c>
      <c r="D117" s="127">
        <v>7449.6</v>
      </c>
      <c r="E117" s="127">
        <v>7540.9</v>
      </c>
      <c r="F117">
        <v>5.6</v>
      </c>
      <c r="G117">
        <v>6</v>
      </c>
      <c r="H117">
        <v>418.8</v>
      </c>
      <c r="I117">
        <v>422.3</v>
      </c>
      <c r="J117">
        <v>4.9000000000000004</v>
      </c>
      <c r="K117">
        <v>5.4</v>
      </c>
      <c r="L117">
        <v>198</v>
      </c>
      <c r="M117">
        <v>202</v>
      </c>
      <c r="N117">
        <v>5.7</v>
      </c>
      <c r="O117">
        <v>5.7</v>
      </c>
      <c r="P117" s="47">
        <f t="shared" si="24"/>
        <v>2.0702560790075264E-2</v>
      </c>
      <c r="Q117" s="47">
        <f t="shared" si="25"/>
        <v>2.5437727122563647E-2</v>
      </c>
      <c r="R117" s="47">
        <f t="shared" si="26"/>
        <v>2.5135943447525788E-2</v>
      </c>
      <c r="S117" s="47">
        <f t="shared" si="34"/>
        <v>1.3798111837327598E-2</v>
      </c>
      <c r="T117" s="47">
        <f t="shared" si="35"/>
        <v>1.4412683161181938E-2</v>
      </c>
      <c r="U117" s="47">
        <f t="shared" si="36"/>
        <v>-1.5904572564612307E-2</v>
      </c>
      <c r="V117" s="47">
        <f t="shared" si="37"/>
        <v>-1.6553067185978598E-2</v>
      </c>
      <c r="W117" s="72">
        <f t="shared" si="27"/>
        <v>15163.099999999977</v>
      </c>
      <c r="X117" s="71">
        <f t="shared" si="28"/>
        <v>184.80000000000018</v>
      </c>
      <c r="Y117" s="71">
        <f t="shared" si="29"/>
        <v>184.89999999999964</v>
      </c>
      <c r="Z117" s="71">
        <f t="shared" si="30"/>
        <v>5.6999999999999886</v>
      </c>
      <c r="AA117" s="71">
        <f t="shared" si="31"/>
        <v>6</v>
      </c>
      <c r="AB117" s="71">
        <f t="shared" si="32"/>
        <v>-3.1999999999999886</v>
      </c>
      <c r="AC117" s="71">
        <f t="shared" si="33"/>
        <v>-3.4000000000000057</v>
      </c>
    </row>
    <row r="118" spans="1:29" x14ac:dyDescent="0.2">
      <c r="A118" s="3">
        <v>43709</v>
      </c>
      <c r="B118">
        <f t="shared" si="19"/>
        <v>2019</v>
      </c>
      <c r="C118" s="127">
        <v>747589.4</v>
      </c>
      <c r="D118" s="127">
        <v>7478.3</v>
      </c>
      <c r="E118" s="127">
        <v>7535</v>
      </c>
      <c r="F118">
        <v>5.5</v>
      </c>
      <c r="G118">
        <v>5.8</v>
      </c>
      <c r="H118">
        <v>419.9</v>
      </c>
      <c r="I118">
        <v>423.1</v>
      </c>
      <c r="J118">
        <v>5</v>
      </c>
      <c r="K118">
        <v>5.6</v>
      </c>
      <c r="L118">
        <v>200.2</v>
      </c>
      <c r="M118">
        <v>203.1</v>
      </c>
      <c r="N118">
        <v>5.8</v>
      </c>
      <c r="O118">
        <v>5.7</v>
      </c>
      <c r="P118" s="47">
        <f t="shared" si="24"/>
        <v>2.0702560790075264E-2</v>
      </c>
      <c r="Q118" s="47">
        <f t="shared" si="25"/>
        <v>2.8920900923212312E-2</v>
      </c>
      <c r="R118" s="47">
        <f t="shared" si="26"/>
        <v>3.0047025371828573E-2</v>
      </c>
      <c r="S118" s="47">
        <f t="shared" si="34"/>
        <v>2.1157587548638057E-2</v>
      </c>
      <c r="T118" s="47">
        <f t="shared" si="35"/>
        <v>2.5945683802133912E-2</v>
      </c>
      <c r="U118" s="47">
        <f t="shared" si="36"/>
        <v>-3.4843205574913716E-3</v>
      </c>
      <c r="V118" s="47">
        <f t="shared" si="37"/>
        <v>-9.7513408093612419E-3</v>
      </c>
      <c r="W118" s="72">
        <f t="shared" si="27"/>
        <v>15163.099999999977</v>
      </c>
      <c r="X118" s="71">
        <f t="shared" si="28"/>
        <v>210.19999999999982</v>
      </c>
      <c r="Y118" s="71">
        <f t="shared" si="29"/>
        <v>219.80000000000018</v>
      </c>
      <c r="Z118" s="71">
        <f t="shared" si="30"/>
        <v>8.6999999999999886</v>
      </c>
      <c r="AA118" s="71">
        <f t="shared" si="31"/>
        <v>10.700000000000045</v>
      </c>
      <c r="AB118" s="71">
        <f t="shared" si="32"/>
        <v>-0.70000000000001705</v>
      </c>
      <c r="AC118" s="71">
        <f t="shared" si="33"/>
        <v>-2</v>
      </c>
    </row>
    <row r="119" spans="1:29" x14ac:dyDescent="0.2">
      <c r="A119" s="3">
        <v>43739</v>
      </c>
      <c r="B119">
        <f t="shared" si="19"/>
        <v>2019</v>
      </c>
      <c r="C119" s="127">
        <v>747589.4</v>
      </c>
      <c r="D119" s="127">
        <v>7504</v>
      </c>
      <c r="E119" s="127">
        <v>7538.5</v>
      </c>
      <c r="F119">
        <v>5.4</v>
      </c>
      <c r="G119">
        <v>5.4</v>
      </c>
      <c r="H119">
        <v>427.3</v>
      </c>
      <c r="I119">
        <v>433.4</v>
      </c>
      <c r="J119">
        <v>4.7</v>
      </c>
      <c r="K119">
        <v>4.7</v>
      </c>
      <c r="L119">
        <v>202.4</v>
      </c>
      <c r="M119">
        <v>204.3</v>
      </c>
      <c r="N119">
        <v>5.4</v>
      </c>
      <c r="O119">
        <v>5</v>
      </c>
      <c r="P119" s="47">
        <f t="shared" si="24"/>
        <v>2.0702560790075264E-2</v>
      </c>
      <c r="Q119" s="47">
        <f t="shared" si="25"/>
        <v>3.4606369778022783E-2</v>
      </c>
      <c r="R119" s="47">
        <f t="shared" si="26"/>
        <v>3.6305399758055801E-2</v>
      </c>
      <c r="S119" s="47">
        <f t="shared" si="34"/>
        <v>3.7387715464918703E-2</v>
      </c>
      <c r="T119" s="47">
        <f t="shared" si="35"/>
        <v>5.1686483863139898E-2</v>
      </c>
      <c r="U119" s="47">
        <f t="shared" si="36"/>
        <v>9.9800399201597223E-3</v>
      </c>
      <c r="V119" s="47">
        <f t="shared" si="37"/>
        <v>-1.9540791402050672E-3</v>
      </c>
      <c r="W119" s="72">
        <f t="shared" si="27"/>
        <v>15163.099999999977</v>
      </c>
      <c r="X119" s="71">
        <f t="shared" si="28"/>
        <v>251</v>
      </c>
      <c r="Y119" s="71">
        <f t="shared" si="29"/>
        <v>264.10000000000036</v>
      </c>
      <c r="Z119" s="71">
        <f t="shared" si="30"/>
        <v>15.400000000000034</v>
      </c>
      <c r="AA119" s="71">
        <f t="shared" si="31"/>
        <v>21.299999999999955</v>
      </c>
      <c r="AB119" s="71">
        <f t="shared" si="32"/>
        <v>2</v>
      </c>
      <c r="AC119" s="71">
        <f t="shared" si="33"/>
        <v>-0.39999999999997726</v>
      </c>
    </row>
    <row r="120" spans="1:29" x14ac:dyDescent="0.2">
      <c r="A120" s="3">
        <v>43770</v>
      </c>
      <c r="B120">
        <f t="shared" si="19"/>
        <v>2019</v>
      </c>
      <c r="C120" s="127">
        <v>747589.4</v>
      </c>
      <c r="D120" s="127">
        <v>7517.3</v>
      </c>
      <c r="E120" s="127">
        <v>7530.1</v>
      </c>
      <c r="F120">
        <v>5.4</v>
      </c>
      <c r="G120">
        <v>4.9000000000000004</v>
      </c>
      <c r="H120">
        <v>427.5</v>
      </c>
      <c r="I120">
        <v>434.3</v>
      </c>
      <c r="J120">
        <v>4.7</v>
      </c>
      <c r="K120">
        <v>4.0999999999999996</v>
      </c>
      <c r="L120">
        <v>204.9</v>
      </c>
      <c r="M120">
        <v>205.2</v>
      </c>
      <c r="N120">
        <v>5.2</v>
      </c>
      <c r="O120">
        <v>4.9000000000000004</v>
      </c>
      <c r="P120" s="47">
        <f t="shared" si="24"/>
        <v>2.0702560790075264E-2</v>
      </c>
      <c r="Q120" s="47">
        <f t="shared" si="25"/>
        <v>3.3518938612772331E-2</v>
      </c>
      <c r="R120" s="47">
        <f t="shared" si="26"/>
        <v>3.4496496771534657E-2</v>
      </c>
      <c r="S120" s="47">
        <f t="shared" si="34"/>
        <v>2.7644230769230838E-2</v>
      </c>
      <c r="T120" s="47">
        <f t="shared" si="35"/>
        <v>4.5246690734055406E-2</v>
      </c>
      <c r="U120" s="47">
        <f t="shared" si="36"/>
        <v>2.8614457831325435E-2</v>
      </c>
      <c r="V120" s="47">
        <f t="shared" si="37"/>
        <v>1.2833168805528095E-2</v>
      </c>
      <c r="W120" s="72">
        <f t="shared" si="27"/>
        <v>15163.099999999977</v>
      </c>
      <c r="X120" s="71">
        <f t="shared" si="28"/>
        <v>243.80000000000018</v>
      </c>
      <c r="Y120" s="71">
        <f t="shared" si="29"/>
        <v>251.10000000000036</v>
      </c>
      <c r="Z120" s="71">
        <f t="shared" si="30"/>
        <v>11.5</v>
      </c>
      <c r="AA120" s="71">
        <f t="shared" si="31"/>
        <v>18.800000000000011</v>
      </c>
      <c r="AB120" s="71">
        <f t="shared" si="32"/>
        <v>5.7000000000000171</v>
      </c>
      <c r="AC120" s="71">
        <f t="shared" si="33"/>
        <v>2.5999999999999943</v>
      </c>
    </row>
    <row r="121" spans="1:29" x14ac:dyDescent="0.2">
      <c r="A121" s="3">
        <v>43800</v>
      </c>
      <c r="B121">
        <f t="shared" si="19"/>
        <v>2019</v>
      </c>
      <c r="C121" s="127">
        <v>747589.4</v>
      </c>
      <c r="D121" s="127">
        <v>7525</v>
      </c>
      <c r="E121" s="127">
        <v>7535.2</v>
      </c>
      <c r="F121">
        <v>5.4</v>
      </c>
      <c r="G121">
        <v>4.8</v>
      </c>
      <c r="H121">
        <v>429.5</v>
      </c>
      <c r="I121">
        <v>437.6</v>
      </c>
      <c r="J121">
        <v>4.5</v>
      </c>
      <c r="K121">
        <v>3.6</v>
      </c>
      <c r="L121">
        <v>206.5</v>
      </c>
      <c r="M121">
        <v>206.8</v>
      </c>
      <c r="N121">
        <v>4.8</v>
      </c>
      <c r="O121">
        <v>4.7</v>
      </c>
      <c r="P121" s="47">
        <f t="shared" si="24"/>
        <v>2.0702560790075264E-2</v>
      </c>
      <c r="Q121" s="47">
        <f t="shared" si="25"/>
        <v>3.234922899632342E-2</v>
      </c>
      <c r="R121" s="47">
        <f t="shared" si="26"/>
        <v>3.183753954016999E-2</v>
      </c>
      <c r="S121" s="47">
        <f t="shared" si="34"/>
        <v>2.4570610687022931E-2</v>
      </c>
      <c r="T121" s="47">
        <f t="shared" si="35"/>
        <v>4.0171143332541126E-2</v>
      </c>
      <c r="U121" s="47">
        <f t="shared" si="36"/>
        <v>3.873239436619702E-2</v>
      </c>
      <c r="V121" s="47">
        <f t="shared" si="37"/>
        <v>2.4777006937561907E-2</v>
      </c>
      <c r="W121" s="72">
        <f t="shared" si="27"/>
        <v>15163.099999999977</v>
      </c>
      <c r="X121" s="71">
        <f t="shared" si="28"/>
        <v>235.80000000000018</v>
      </c>
      <c r="Y121" s="71">
        <f t="shared" si="29"/>
        <v>232.5</v>
      </c>
      <c r="Z121" s="71">
        <f t="shared" si="30"/>
        <v>10.300000000000011</v>
      </c>
      <c r="AA121" s="71">
        <f t="shared" si="31"/>
        <v>16.900000000000034</v>
      </c>
      <c r="AB121" s="71">
        <f t="shared" si="32"/>
        <v>7.6999999999999886</v>
      </c>
      <c r="AC121" s="71">
        <f t="shared" si="33"/>
        <v>5</v>
      </c>
    </row>
    <row r="122" spans="1:29" x14ac:dyDescent="0.2">
      <c r="A122" s="3">
        <v>43831</v>
      </c>
      <c r="B122">
        <f t="shared" si="19"/>
        <v>2020</v>
      </c>
      <c r="C122" s="71">
        <f t="shared" ref="C122:C133" si="38">C110*(1+$AF$8)</f>
        <v>747589.4</v>
      </c>
      <c r="D122" s="155">
        <v>7542</v>
      </c>
      <c r="E122" s="155">
        <v>7512.5</v>
      </c>
      <c r="F122">
        <v>5.4</v>
      </c>
      <c r="G122">
        <v>5</v>
      </c>
      <c r="H122">
        <v>426.7</v>
      </c>
      <c r="I122">
        <v>430.1</v>
      </c>
      <c r="J122">
        <v>4.8</v>
      </c>
      <c r="K122">
        <v>4.3</v>
      </c>
      <c r="L122">
        <v>205</v>
      </c>
      <c r="M122">
        <v>203.4</v>
      </c>
      <c r="N122">
        <v>5.2</v>
      </c>
      <c r="O122">
        <v>5.4</v>
      </c>
      <c r="P122" s="47">
        <f t="shared" si="24"/>
        <v>0</v>
      </c>
      <c r="Q122" s="47">
        <f t="shared" si="25"/>
        <v>3.093347184821682E-2</v>
      </c>
      <c r="R122" s="47">
        <f t="shared" si="26"/>
        <v>3.0054981969753092E-2</v>
      </c>
      <c r="S122" s="47">
        <f t="shared" si="34"/>
        <v>1.4503090822634235E-2</v>
      </c>
      <c r="T122" s="47">
        <f t="shared" si="35"/>
        <v>2.2586780789348504E-2</v>
      </c>
      <c r="U122" s="47">
        <f t="shared" si="36"/>
        <v>2.963335007533896E-2</v>
      </c>
      <c r="V122" s="47">
        <f t="shared" si="37"/>
        <v>2.1597187343043833E-2</v>
      </c>
      <c r="W122" s="72">
        <f t="shared" si="27"/>
        <v>0</v>
      </c>
      <c r="X122" s="71">
        <f t="shared" si="28"/>
        <v>226.30000000000018</v>
      </c>
      <c r="Y122" s="71">
        <f t="shared" si="29"/>
        <v>219.19999999999982</v>
      </c>
      <c r="Z122" s="71">
        <f t="shared" si="30"/>
        <v>6.0999999999999659</v>
      </c>
      <c r="AA122" s="71">
        <f t="shared" si="31"/>
        <v>9.5</v>
      </c>
      <c r="AB122" s="71">
        <f t="shared" si="32"/>
        <v>5.9000000000000057</v>
      </c>
      <c r="AC122" s="71">
        <f t="shared" si="33"/>
        <v>4.3000000000000114</v>
      </c>
    </row>
    <row r="123" spans="1:29" x14ac:dyDescent="0.2">
      <c r="A123" s="3">
        <v>43862</v>
      </c>
      <c r="B123">
        <f t="shared" si="19"/>
        <v>2020</v>
      </c>
      <c r="C123" s="71">
        <f t="shared" si="38"/>
        <v>747589.4</v>
      </c>
      <c r="D123" s="155">
        <v>7551.9</v>
      </c>
      <c r="E123" s="155">
        <v>7488.9</v>
      </c>
      <c r="F123">
        <v>5.3</v>
      </c>
      <c r="G123">
        <v>5.0999999999999996</v>
      </c>
      <c r="H123">
        <v>427.9</v>
      </c>
      <c r="I123">
        <v>427.9</v>
      </c>
      <c r="J123">
        <v>4.9000000000000004</v>
      </c>
      <c r="K123">
        <v>4.5999999999999996</v>
      </c>
      <c r="L123">
        <v>202.9</v>
      </c>
      <c r="M123">
        <v>199.2</v>
      </c>
      <c r="N123">
        <v>5.5</v>
      </c>
      <c r="O123">
        <v>5.9</v>
      </c>
      <c r="P123" s="47">
        <f t="shared" si="24"/>
        <v>0</v>
      </c>
      <c r="Q123" s="47">
        <f t="shared" si="25"/>
        <v>2.7930907754502021E-2</v>
      </c>
      <c r="R123" s="47">
        <f t="shared" si="26"/>
        <v>2.7777396555273448E-2</v>
      </c>
      <c r="S123" s="47">
        <f t="shared" si="34"/>
        <v>1.4702395067583529E-2</v>
      </c>
      <c r="T123" s="47">
        <f t="shared" si="35"/>
        <v>1.9294902334444863E-2</v>
      </c>
      <c r="U123" s="47">
        <f t="shared" si="36"/>
        <v>1.5515515515515554E-2</v>
      </c>
      <c r="V123" s="47">
        <f t="shared" si="37"/>
        <v>9.1185410334344574E-3</v>
      </c>
      <c r="W123" s="72">
        <f t="shared" si="27"/>
        <v>0</v>
      </c>
      <c r="X123" s="71">
        <f t="shared" si="28"/>
        <v>205.19999999999982</v>
      </c>
      <c r="Y123" s="71">
        <f t="shared" si="29"/>
        <v>202.39999999999964</v>
      </c>
      <c r="Z123" s="71">
        <f t="shared" si="30"/>
        <v>6.1999999999999886</v>
      </c>
      <c r="AA123" s="71">
        <f t="shared" si="31"/>
        <v>8.0999999999999659</v>
      </c>
      <c r="AB123" s="71">
        <f t="shared" si="32"/>
        <v>3.0999999999999943</v>
      </c>
      <c r="AC123" s="71">
        <f t="shared" si="33"/>
        <v>1.7999999999999829</v>
      </c>
    </row>
    <row r="124" spans="1:29" x14ac:dyDescent="0.2">
      <c r="A124" s="3">
        <v>43891</v>
      </c>
      <c r="B124">
        <f t="shared" si="19"/>
        <v>2020</v>
      </c>
      <c r="C124" s="71">
        <f t="shared" si="38"/>
        <v>747589.4</v>
      </c>
      <c r="D124" s="155">
        <v>7421.9</v>
      </c>
      <c r="E124" s="155">
        <v>7317</v>
      </c>
      <c r="F124">
        <v>6.1</v>
      </c>
      <c r="G124">
        <v>6.2</v>
      </c>
      <c r="H124">
        <v>424</v>
      </c>
      <c r="I124">
        <v>417</v>
      </c>
      <c r="J124">
        <v>5.7</v>
      </c>
      <c r="K124">
        <v>5.9</v>
      </c>
      <c r="L124">
        <v>193.7</v>
      </c>
      <c r="M124">
        <v>188.2</v>
      </c>
      <c r="N124">
        <v>7.8</v>
      </c>
      <c r="O124">
        <v>8.6</v>
      </c>
      <c r="P124" s="47">
        <f t="shared" si="24"/>
        <v>0</v>
      </c>
      <c r="Q124" s="47">
        <f t="shared" si="25"/>
        <v>6.9054402387735969E-3</v>
      </c>
      <c r="R124" s="47">
        <f t="shared" si="26"/>
        <v>6.7141795767866608E-3</v>
      </c>
      <c r="S124" s="47">
        <f t="shared" si="34"/>
        <v>8.3234244946492897E-3</v>
      </c>
      <c r="T124" s="47">
        <f t="shared" si="35"/>
        <v>4.5772103107684092E-3</v>
      </c>
      <c r="U124" s="47">
        <f t="shared" si="36"/>
        <v>-2.1717171717171802E-2</v>
      </c>
      <c r="V124" s="47">
        <f t="shared" si="37"/>
        <v>-2.1829521829521914E-2</v>
      </c>
      <c r="W124" s="72">
        <f t="shared" si="27"/>
        <v>0</v>
      </c>
      <c r="X124" s="71">
        <f t="shared" si="28"/>
        <v>50.899999999999636</v>
      </c>
      <c r="Y124" s="71">
        <f t="shared" si="29"/>
        <v>48.800000000000182</v>
      </c>
      <c r="Z124" s="71">
        <f t="shared" si="30"/>
        <v>3.5</v>
      </c>
      <c r="AA124" s="71">
        <f t="shared" si="31"/>
        <v>1.8999999999999773</v>
      </c>
      <c r="AB124" s="71">
        <f t="shared" si="32"/>
        <v>-4.3000000000000114</v>
      </c>
      <c r="AC124" s="71">
        <f t="shared" si="33"/>
        <v>-4.2000000000000171</v>
      </c>
    </row>
    <row r="125" spans="1:29" x14ac:dyDescent="0.2">
      <c r="A125" s="3">
        <v>43922</v>
      </c>
      <c r="B125">
        <f t="shared" si="19"/>
        <v>2020</v>
      </c>
      <c r="C125" s="71">
        <f t="shared" si="38"/>
        <v>747589.4</v>
      </c>
      <c r="D125" s="155">
        <v>7056.8</v>
      </c>
      <c r="E125" s="155">
        <v>6968.7</v>
      </c>
      <c r="F125">
        <v>8</v>
      </c>
      <c r="G125">
        <v>8.1999999999999993</v>
      </c>
      <c r="H125">
        <v>407.4</v>
      </c>
      <c r="I125">
        <v>399</v>
      </c>
      <c r="J125">
        <v>7.5</v>
      </c>
      <c r="K125">
        <v>7.6</v>
      </c>
      <c r="L125">
        <v>183.3</v>
      </c>
      <c r="M125">
        <v>177.7</v>
      </c>
      <c r="N125">
        <v>9.9</v>
      </c>
      <c r="O125">
        <v>10.7</v>
      </c>
      <c r="P125" s="47">
        <f t="shared" si="24"/>
        <v>0</v>
      </c>
      <c r="Q125" s="47">
        <f t="shared" si="25"/>
        <v>-4.5785217838115511E-2</v>
      </c>
      <c r="R125" s="47">
        <f t="shared" si="26"/>
        <v>-4.5945538929124008E-2</v>
      </c>
      <c r="S125" s="47">
        <f t="shared" si="34"/>
        <v>-2.4191616766467083E-2</v>
      </c>
      <c r="T125" s="47">
        <f t="shared" si="35"/>
        <v>-2.9669260700389111E-2</v>
      </c>
      <c r="U125" s="47">
        <f t="shared" si="36"/>
        <v>-6.4795918367346883E-2</v>
      </c>
      <c r="V125" s="47">
        <f t="shared" si="37"/>
        <v>-6.5720294426919068E-2</v>
      </c>
      <c r="W125" s="72">
        <f t="shared" si="27"/>
        <v>0</v>
      </c>
      <c r="X125" s="71">
        <f t="shared" si="28"/>
        <v>-338.59999999999945</v>
      </c>
      <c r="Y125" s="71">
        <f t="shared" si="29"/>
        <v>-335.60000000000036</v>
      </c>
      <c r="Z125" s="71">
        <f t="shared" si="30"/>
        <v>-10.100000000000023</v>
      </c>
      <c r="AA125" s="71">
        <f t="shared" si="31"/>
        <v>-12.199999999999989</v>
      </c>
      <c r="AB125" s="71">
        <f t="shared" si="32"/>
        <v>-12.699999999999989</v>
      </c>
      <c r="AC125" s="71">
        <f t="shared" si="33"/>
        <v>-12.5</v>
      </c>
    </row>
    <row r="126" spans="1:29" x14ac:dyDescent="0.2">
      <c r="A126" s="3">
        <v>43952</v>
      </c>
      <c r="B126">
        <f t="shared" si="19"/>
        <v>2020</v>
      </c>
      <c r="C126" s="71">
        <f t="shared" si="38"/>
        <v>747589.4</v>
      </c>
      <c r="D126" s="155">
        <v>6671.4</v>
      </c>
      <c r="E126" s="155">
        <v>6632</v>
      </c>
      <c r="F126">
        <v>10.8</v>
      </c>
      <c r="G126">
        <v>11</v>
      </c>
      <c r="H126">
        <v>382</v>
      </c>
      <c r="I126">
        <v>374</v>
      </c>
      <c r="J126">
        <v>10.3</v>
      </c>
      <c r="K126">
        <v>10.7</v>
      </c>
      <c r="L126">
        <v>171.3</v>
      </c>
      <c r="M126">
        <v>168.2</v>
      </c>
      <c r="N126">
        <v>12.6</v>
      </c>
      <c r="O126">
        <v>13</v>
      </c>
      <c r="P126" s="47">
        <f t="shared" si="24"/>
        <v>0</v>
      </c>
      <c r="Q126" s="47">
        <f t="shared" si="25"/>
        <v>-9.9991905674122528E-2</v>
      </c>
      <c r="R126" s="47">
        <f t="shared" si="26"/>
        <v>-0.10097737532025641</v>
      </c>
      <c r="S126" s="47">
        <f t="shared" si="34"/>
        <v>-8.1068077940822714E-2</v>
      </c>
      <c r="T126" s="47">
        <f t="shared" si="35"/>
        <v>-9.0466926070038922E-2</v>
      </c>
      <c r="U126" s="47">
        <f t="shared" si="36"/>
        <v>-0.12153846153846148</v>
      </c>
      <c r="V126" s="47">
        <f t="shared" si="37"/>
        <v>-0.12350182386659725</v>
      </c>
      <c r="W126" s="72">
        <f t="shared" si="27"/>
        <v>0</v>
      </c>
      <c r="X126" s="71">
        <f t="shared" si="28"/>
        <v>-741.20000000000073</v>
      </c>
      <c r="Y126" s="71">
        <f t="shared" si="29"/>
        <v>-744.89999999999964</v>
      </c>
      <c r="Z126" s="71">
        <f t="shared" si="30"/>
        <v>-33.699999999999989</v>
      </c>
      <c r="AA126" s="71">
        <f t="shared" si="31"/>
        <v>-37.199999999999989</v>
      </c>
      <c r="AB126" s="71">
        <f t="shared" si="32"/>
        <v>-23.699999999999989</v>
      </c>
      <c r="AC126" s="71">
        <f t="shared" si="33"/>
        <v>-23.700000000000017</v>
      </c>
    </row>
    <row r="127" spans="1:29" x14ac:dyDescent="0.2">
      <c r="A127" s="3">
        <v>43983</v>
      </c>
      <c r="B127">
        <f t="shared" si="19"/>
        <v>2020</v>
      </c>
      <c r="C127" s="71">
        <f t="shared" si="38"/>
        <v>747589.4</v>
      </c>
      <c r="D127" s="155">
        <v>6546.1</v>
      </c>
      <c r="E127" s="155">
        <v>6583</v>
      </c>
      <c r="F127">
        <v>12.4</v>
      </c>
      <c r="G127">
        <v>12.5</v>
      </c>
      <c r="H127">
        <v>371</v>
      </c>
      <c r="I127">
        <v>368.4</v>
      </c>
      <c r="J127">
        <v>12.1</v>
      </c>
      <c r="K127">
        <v>12.3</v>
      </c>
      <c r="L127">
        <v>170</v>
      </c>
      <c r="M127">
        <v>169.8</v>
      </c>
      <c r="N127">
        <v>12.9</v>
      </c>
      <c r="O127">
        <v>12.8</v>
      </c>
      <c r="P127" s="47">
        <f t="shared" si="24"/>
        <v>0</v>
      </c>
      <c r="Q127" s="47">
        <f t="shared" si="25"/>
        <v>-0.11899923287081271</v>
      </c>
      <c r="R127" s="47">
        <f t="shared" si="26"/>
        <v>-0.11898930688829112</v>
      </c>
      <c r="S127" s="47">
        <f t="shared" si="34"/>
        <v>-0.10881575786692288</v>
      </c>
      <c r="T127" s="47">
        <f t="shared" si="35"/>
        <v>-0.11314395763119889</v>
      </c>
      <c r="U127" s="47">
        <f t="shared" si="36"/>
        <v>-0.13132345426673475</v>
      </c>
      <c r="V127" s="47">
        <f t="shared" si="37"/>
        <v>-0.13367346938775504</v>
      </c>
      <c r="W127" s="72">
        <f t="shared" si="27"/>
        <v>0</v>
      </c>
      <c r="X127" s="71">
        <f t="shared" si="28"/>
        <v>-884.19999999999982</v>
      </c>
      <c r="Y127" s="71">
        <f t="shared" si="29"/>
        <v>-889.10000000000036</v>
      </c>
      <c r="Z127" s="71">
        <f t="shared" si="30"/>
        <v>-45.300000000000011</v>
      </c>
      <c r="AA127" s="71">
        <f t="shared" si="31"/>
        <v>-47</v>
      </c>
      <c r="AB127" s="71">
        <f t="shared" si="32"/>
        <v>-25.699999999999989</v>
      </c>
      <c r="AC127" s="71">
        <f t="shared" si="33"/>
        <v>-26.199999999999989</v>
      </c>
    </row>
    <row r="128" spans="1:29" x14ac:dyDescent="0.2">
      <c r="A128" s="3">
        <v>44013</v>
      </c>
      <c r="B128">
        <f t="shared" si="19"/>
        <v>2020</v>
      </c>
      <c r="C128" s="71">
        <f t="shared" si="38"/>
        <v>747589.4</v>
      </c>
      <c r="D128" s="155">
        <v>6700.8</v>
      </c>
      <c r="E128" s="155">
        <v>6777</v>
      </c>
      <c r="F128">
        <v>12.4</v>
      </c>
      <c r="G128">
        <v>12.8</v>
      </c>
      <c r="H128">
        <v>380.3</v>
      </c>
      <c r="I128">
        <v>379.6</v>
      </c>
      <c r="J128">
        <v>11.3</v>
      </c>
      <c r="K128">
        <v>12.1</v>
      </c>
      <c r="L128">
        <v>174.7</v>
      </c>
      <c r="M128">
        <v>176.7</v>
      </c>
      <c r="N128">
        <v>12.5</v>
      </c>
      <c r="O128">
        <v>12.3</v>
      </c>
      <c r="P128" s="47">
        <f t="shared" si="24"/>
        <v>0</v>
      </c>
      <c r="Q128" s="47">
        <f t="shared" si="25"/>
        <v>-9.8494531071318003E-2</v>
      </c>
      <c r="R128" s="47">
        <f t="shared" si="26"/>
        <v>-9.9330179150497022E-2</v>
      </c>
      <c r="S128" s="47">
        <f t="shared" si="34"/>
        <v>-8.5597499398893939E-2</v>
      </c>
      <c r="T128" s="47">
        <f t="shared" si="35"/>
        <v>-9.1431306845380589E-2</v>
      </c>
      <c r="U128" s="47">
        <f t="shared" si="36"/>
        <v>-0.10912799592044875</v>
      </c>
      <c r="V128" s="47">
        <f t="shared" si="37"/>
        <v>-0.11295180722891562</v>
      </c>
      <c r="W128" s="72">
        <f t="shared" si="27"/>
        <v>0</v>
      </c>
      <c r="X128" s="71">
        <f t="shared" si="28"/>
        <v>-732.09999999999945</v>
      </c>
      <c r="Y128" s="71">
        <f t="shared" si="29"/>
        <v>-747.39999999999964</v>
      </c>
      <c r="Z128" s="71">
        <f t="shared" si="30"/>
        <v>-35.599999999999966</v>
      </c>
      <c r="AA128" s="71">
        <f t="shared" si="31"/>
        <v>-38.199999999999989</v>
      </c>
      <c r="AB128" s="71">
        <f t="shared" si="32"/>
        <v>-21.400000000000006</v>
      </c>
      <c r="AC128" s="71">
        <f t="shared" si="33"/>
        <v>-22.5</v>
      </c>
    </row>
    <row r="129" spans="1:29" x14ac:dyDescent="0.2">
      <c r="A129" s="3">
        <v>44044</v>
      </c>
      <c r="B129">
        <f t="shared" si="19"/>
        <v>2020</v>
      </c>
      <c r="C129" s="71">
        <f t="shared" si="38"/>
        <v>747589.4</v>
      </c>
      <c r="D129" s="155">
        <v>6924.2</v>
      </c>
      <c r="E129" s="155">
        <v>7003.5</v>
      </c>
      <c r="F129">
        <v>11.4</v>
      </c>
      <c r="G129">
        <v>12.1</v>
      </c>
      <c r="H129">
        <v>391.1</v>
      </c>
      <c r="I129">
        <v>392.2</v>
      </c>
      <c r="J129">
        <v>10</v>
      </c>
      <c r="K129">
        <v>11</v>
      </c>
      <c r="L129">
        <v>182.9</v>
      </c>
      <c r="M129">
        <v>185.9</v>
      </c>
      <c r="N129">
        <v>11.3</v>
      </c>
      <c r="O129">
        <v>11.3</v>
      </c>
      <c r="P129" s="47">
        <f t="shared" si="24"/>
        <v>0</v>
      </c>
      <c r="Q129" s="47">
        <f t="shared" si="25"/>
        <v>-7.0527276632302516E-2</v>
      </c>
      <c r="R129" s="47">
        <f t="shared" si="26"/>
        <v>-7.1264703152143616E-2</v>
      </c>
      <c r="S129" s="47">
        <f t="shared" si="34"/>
        <v>-6.6141356255969397E-2</v>
      </c>
      <c r="T129" s="47">
        <f t="shared" si="35"/>
        <v>-7.127634383139958E-2</v>
      </c>
      <c r="U129" s="47">
        <f t="shared" si="36"/>
        <v>-7.6262626262626254E-2</v>
      </c>
      <c r="V129" s="47">
        <f t="shared" si="37"/>
        <v>-7.9702970297029663E-2</v>
      </c>
      <c r="W129" s="72">
        <f t="shared" si="27"/>
        <v>0</v>
      </c>
      <c r="X129" s="71">
        <f t="shared" si="28"/>
        <v>-525.40000000000055</v>
      </c>
      <c r="Y129" s="71">
        <f t="shared" si="29"/>
        <v>-537.39999999999964</v>
      </c>
      <c r="Z129" s="71">
        <f t="shared" si="30"/>
        <v>-27.699999999999989</v>
      </c>
      <c r="AA129" s="71">
        <f t="shared" si="31"/>
        <v>-30.100000000000023</v>
      </c>
      <c r="AB129" s="71">
        <f t="shared" si="32"/>
        <v>-15.099999999999994</v>
      </c>
      <c r="AC129" s="71">
        <f t="shared" si="33"/>
        <v>-16.099999999999994</v>
      </c>
    </row>
    <row r="130" spans="1:29" x14ac:dyDescent="0.2">
      <c r="A130" s="3">
        <v>44075</v>
      </c>
      <c r="B130">
        <f t="shared" si="19"/>
        <v>2020</v>
      </c>
      <c r="C130" s="71">
        <f t="shared" si="38"/>
        <v>747589.4</v>
      </c>
      <c r="D130" s="155">
        <v>7077.6</v>
      </c>
      <c r="E130" s="155">
        <v>7126.6</v>
      </c>
      <c r="F130">
        <v>10.5</v>
      </c>
      <c r="G130">
        <v>11</v>
      </c>
      <c r="H130">
        <v>391.1</v>
      </c>
      <c r="I130">
        <v>390.5</v>
      </c>
      <c r="J130">
        <v>8.9</v>
      </c>
      <c r="K130">
        <v>9.9</v>
      </c>
      <c r="L130">
        <v>189.3</v>
      </c>
      <c r="M130">
        <v>191.8</v>
      </c>
      <c r="N130">
        <v>8.6999999999999993</v>
      </c>
      <c r="O130">
        <v>8.8000000000000007</v>
      </c>
      <c r="P130" s="47">
        <f t="shared" si="24"/>
        <v>0</v>
      </c>
      <c r="Q130" s="47">
        <f t="shared" si="25"/>
        <v>-5.3581696374844556E-2</v>
      </c>
      <c r="R130" s="47">
        <f t="shared" si="26"/>
        <v>-5.4200398142003947E-2</v>
      </c>
      <c r="S130" s="47">
        <f t="shared" si="34"/>
        <v>-6.8587758990235614E-2</v>
      </c>
      <c r="T130" s="47">
        <f t="shared" si="35"/>
        <v>-7.7050342708579578E-2</v>
      </c>
      <c r="U130" s="47">
        <f t="shared" si="36"/>
        <v>-5.4445554445554323E-2</v>
      </c>
      <c r="V130" s="47">
        <f t="shared" si="37"/>
        <v>-5.5637616937469159E-2</v>
      </c>
      <c r="W130" s="72">
        <f t="shared" si="27"/>
        <v>0</v>
      </c>
      <c r="X130" s="71">
        <f t="shared" si="28"/>
        <v>-400.69999999999982</v>
      </c>
      <c r="Y130" s="71">
        <f t="shared" si="29"/>
        <v>-408.39999999999964</v>
      </c>
      <c r="Z130" s="71">
        <f t="shared" si="30"/>
        <v>-28.799999999999955</v>
      </c>
      <c r="AA130" s="71">
        <f t="shared" si="31"/>
        <v>-32.600000000000023</v>
      </c>
      <c r="AB130" s="71">
        <f t="shared" si="32"/>
        <v>-10.899999999999977</v>
      </c>
      <c r="AC130" s="71">
        <f t="shared" si="33"/>
        <v>-11.299999999999983</v>
      </c>
    </row>
    <row r="131" spans="1:29" x14ac:dyDescent="0.2">
      <c r="A131" s="3">
        <v>44105</v>
      </c>
      <c r="B131">
        <f>YEAR(A131)</f>
        <v>2020</v>
      </c>
      <c r="C131" s="71">
        <f t="shared" si="38"/>
        <v>747589.4</v>
      </c>
      <c r="D131" s="155">
        <v>7190.9</v>
      </c>
      <c r="E131" s="155">
        <v>7223.8</v>
      </c>
      <c r="F131">
        <v>9.9</v>
      </c>
      <c r="G131">
        <v>9.9</v>
      </c>
      <c r="H131">
        <v>385.5</v>
      </c>
      <c r="I131">
        <v>388.3</v>
      </c>
      <c r="J131">
        <v>9.1999999999999993</v>
      </c>
      <c r="K131">
        <v>9.5</v>
      </c>
      <c r="L131">
        <v>195.2</v>
      </c>
      <c r="M131">
        <v>198.1</v>
      </c>
      <c r="N131">
        <v>7.5</v>
      </c>
      <c r="O131">
        <v>7.2</v>
      </c>
      <c r="P131" s="47">
        <f t="shared" si="24"/>
        <v>0</v>
      </c>
      <c r="Q131" s="47">
        <f t="shared" si="25"/>
        <v>-4.1724413646055503E-2</v>
      </c>
      <c r="R131" s="47">
        <f t="shared" si="26"/>
        <v>-4.1745705379054199E-2</v>
      </c>
      <c r="S131" s="47">
        <f t="shared" si="34"/>
        <v>-9.7823543178095052E-2</v>
      </c>
      <c r="T131" s="47">
        <f t="shared" si="35"/>
        <v>-0.10406091370558368</v>
      </c>
      <c r="U131" s="47">
        <f t="shared" si="36"/>
        <v>-3.5573122529644396E-2</v>
      </c>
      <c r="V131" s="47">
        <f t="shared" si="37"/>
        <v>-3.0347528144885061E-2</v>
      </c>
      <c r="W131" s="72">
        <f t="shared" si="27"/>
        <v>0</v>
      </c>
      <c r="X131" s="71">
        <f t="shared" si="28"/>
        <v>-313.10000000000036</v>
      </c>
      <c r="Y131" s="71">
        <f t="shared" si="29"/>
        <v>-314.69999999999982</v>
      </c>
      <c r="Z131" s="71">
        <f t="shared" si="30"/>
        <v>-41.800000000000011</v>
      </c>
      <c r="AA131" s="71">
        <f t="shared" si="31"/>
        <v>-45.099999999999966</v>
      </c>
      <c r="AB131" s="71">
        <f t="shared" si="32"/>
        <v>-7.2000000000000171</v>
      </c>
      <c r="AC131" s="71">
        <f t="shared" si="33"/>
        <v>-6.2000000000000171</v>
      </c>
    </row>
    <row r="132" spans="1:29" x14ac:dyDescent="0.2">
      <c r="A132" s="3">
        <v>44136</v>
      </c>
      <c r="B132">
        <f>YEAR(A132)</f>
        <v>2020</v>
      </c>
      <c r="C132" s="71">
        <f t="shared" si="38"/>
        <v>747589.4</v>
      </c>
      <c r="D132" s="155">
        <v>7269.2</v>
      </c>
      <c r="E132" s="155">
        <v>7284.9</v>
      </c>
      <c r="F132">
        <v>9.4</v>
      </c>
      <c r="G132">
        <v>8.6999999999999993</v>
      </c>
      <c r="H132">
        <v>393.8</v>
      </c>
      <c r="I132">
        <v>397.2</v>
      </c>
      <c r="J132">
        <v>8</v>
      </c>
      <c r="K132">
        <v>7.6</v>
      </c>
      <c r="L132">
        <v>195.7</v>
      </c>
      <c r="M132">
        <v>197.8</v>
      </c>
      <c r="N132">
        <v>7.2</v>
      </c>
      <c r="O132">
        <v>6.7</v>
      </c>
      <c r="P132" s="47">
        <f t="shared" si="24"/>
        <v>0</v>
      </c>
      <c r="Q132" s="47">
        <f t="shared" si="25"/>
        <v>-3.3003871070730217E-2</v>
      </c>
      <c r="R132" s="47">
        <f t="shared" si="26"/>
        <v>-3.2562648570404251E-2</v>
      </c>
      <c r="S132" s="47">
        <f t="shared" si="34"/>
        <v>-7.883040935672514E-2</v>
      </c>
      <c r="T132" s="47">
        <f t="shared" si="35"/>
        <v>-8.5424821551922658E-2</v>
      </c>
      <c r="U132" s="47">
        <f t="shared" si="36"/>
        <v>-4.4899951195705334E-2</v>
      </c>
      <c r="V132" s="47">
        <f t="shared" si="37"/>
        <v>-3.606237816764124E-2</v>
      </c>
      <c r="W132" s="72">
        <f t="shared" si="27"/>
        <v>0</v>
      </c>
      <c r="X132" s="71">
        <f t="shared" si="28"/>
        <v>-248.10000000000036</v>
      </c>
      <c r="Y132" s="71">
        <f t="shared" si="29"/>
        <v>-245.20000000000073</v>
      </c>
      <c r="Z132" s="71">
        <f t="shared" si="30"/>
        <v>-33.699999999999989</v>
      </c>
      <c r="AA132" s="71">
        <f t="shared" si="31"/>
        <v>-37.100000000000023</v>
      </c>
      <c r="AB132" s="71">
        <f t="shared" si="32"/>
        <v>-9.2000000000000171</v>
      </c>
      <c r="AC132" s="71">
        <f t="shared" si="33"/>
        <v>-7.3999999999999773</v>
      </c>
    </row>
    <row r="133" spans="1:29" x14ac:dyDescent="0.2">
      <c r="A133" s="3">
        <v>44166</v>
      </c>
      <c r="B133">
        <f>YEAR(A133)</f>
        <v>2020</v>
      </c>
      <c r="C133" s="71">
        <f t="shared" si="38"/>
        <v>747589.4</v>
      </c>
      <c r="D133" s="155">
        <v>7287.6</v>
      </c>
      <c r="E133" s="155">
        <v>7299.1</v>
      </c>
      <c r="F133">
        <v>9.4</v>
      </c>
      <c r="G133">
        <v>8.5</v>
      </c>
      <c r="H133">
        <v>402.5</v>
      </c>
      <c r="I133">
        <v>409</v>
      </c>
      <c r="J133">
        <v>8.1</v>
      </c>
      <c r="K133">
        <v>7.2</v>
      </c>
      <c r="L133">
        <v>191.6</v>
      </c>
      <c r="M133">
        <v>193.8</v>
      </c>
      <c r="N133">
        <v>9.1</v>
      </c>
      <c r="O133">
        <v>8.6999999999999993</v>
      </c>
      <c r="P133" s="47">
        <f t="shared" si="24"/>
        <v>0</v>
      </c>
      <c r="Q133" s="47">
        <f t="shared" si="25"/>
        <v>-3.1548172757475013E-2</v>
      </c>
      <c r="R133" s="47">
        <f t="shared" si="26"/>
        <v>-3.1332944049262013E-2</v>
      </c>
      <c r="S133" s="47">
        <f t="shared" si="34"/>
        <v>-6.2863795110593701E-2</v>
      </c>
      <c r="T133" s="47">
        <f t="shared" si="35"/>
        <v>-6.5356489945155416E-2</v>
      </c>
      <c r="U133" s="47">
        <f t="shared" si="36"/>
        <v>-7.2154963680387429E-2</v>
      </c>
      <c r="V133" s="47">
        <f t="shared" si="37"/>
        <v>-6.2862669245647984E-2</v>
      </c>
      <c r="W133" s="72">
        <f t="shared" si="27"/>
        <v>0</v>
      </c>
      <c r="X133" s="71">
        <f t="shared" si="28"/>
        <v>-237.39999999999964</v>
      </c>
      <c r="Y133" s="71">
        <f t="shared" si="29"/>
        <v>-236.09999999999945</v>
      </c>
      <c r="Z133" s="71">
        <f t="shared" si="30"/>
        <v>-27</v>
      </c>
      <c r="AA133" s="71">
        <f t="shared" si="31"/>
        <v>-28.600000000000023</v>
      </c>
      <c r="AB133" s="71">
        <f t="shared" si="32"/>
        <v>-14.900000000000006</v>
      </c>
      <c r="AC133" s="71">
        <f t="shared" si="33"/>
        <v>-13</v>
      </c>
    </row>
    <row r="134" spans="1:29" s="204" customFormat="1" x14ac:dyDescent="0.2">
      <c r="A134" s="203">
        <v>44197</v>
      </c>
      <c r="B134" s="204">
        <f t="shared" ref="B134:B157" si="39">YEAR(A134)</f>
        <v>2021</v>
      </c>
      <c r="C134" s="206">
        <f>C122*(1+$AL$21)</f>
        <v>793566.14810000011</v>
      </c>
      <c r="D134" s="206">
        <f>D110*(1+$AL$26)*(1+$AL$27)</f>
        <v>7308.3672300333328</v>
      </c>
      <c r="E134" s="206">
        <f>E110*(1+$AL$26)*(1+$AL$27)</f>
        <v>7285.9896822999999</v>
      </c>
      <c r="F134" s="206"/>
      <c r="G134" s="206"/>
      <c r="H134" s="206">
        <f t="shared" ref="H134:I145" si="40">H110*(1+$AL$26)*(1+$AL$27)</f>
        <v>420.17841860000004</v>
      </c>
      <c r="I134" s="206">
        <f t="shared" si="40"/>
        <v>420.17841860000004</v>
      </c>
      <c r="J134" s="206"/>
      <c r="K134" s="206"/>
      <c r="L134" s="206">
        <f t="shared" ref="L134:M145" si="41">L110*(1+$AL$26)*(1+$AL$27)</f>
        <v>198.90043543333331</v>
      </c>
      <c r="M134" s="206">
        <f t="shared" si="41"/>
        <v>198.90043543333331</v>
      </c>
      <c r="P134" s="211">
        <f>$AL$21</f>
        <v>6.1499999999999999E-2</v>
      </c>
      <c r="Q134" s="211">
        <f t="shared" ref="Q134:V134" si="42">$AL$27</f>
        <v>4.8999999999999995E-2</v>
      </c>
      <c r="R134" s="211">
        <f t="shared" si="42"/>
        <v>4.8999999999999995E-2</v>
      </c>
      <c r="S134" s="211">
        <f t="shared" si="42"/>
        <v>4.8999999999999995E-2</v>
      </c>
      <c r="T134" s="211">
        <f t="shared" si="42"/>
        <v>4.8999999999999995E-2</v>
      </c>
      <c r="U134" s="211">
        <f t="shared" si="42"/>
        <v>4.8999999999999995E-2</v>
      </c>
      <c r="V134" s="211">
        <f t="shared" si="42"/>
        <v>4.8999999999999995E-2</v>
      </c>
      <c r="W134" s="205">
        <f>P134*C122</f>
        <v>45976.748100000004</v>
      </c>
      <c r="X134" s="209">
        <f>Q134*D122</f>
        <v>369.55799999999994</v>
      </c>
      <c r="Y134" s="209">
        <f>R134*E122</f>
        <v>368.11249999999995</v>
      </c>
      <c r="Z134" s="209">
        <f t="shared" ref="Z134:Z145" si="43">S134*H122</f>
        <v>20.908299999999997</v>
      </c>
      <c r="AA134" s="209">
        <f t="shared" ref="AA134:AA145" si="44">T134*I122</f>
        <v>21.0749</v>
      </c>
      <c r="AB134" s="209">
        <f t="shared" ref="AB134:AB157" si="45">U134*L122</f>
        <v>10.044999999999998</v>
      </c>
      <c r="AC134" s="209">
        <f t="shared" ref="AC134:AC157" si="46">V134*M122</f>
        <v>9.9665999999999997</v>
      </c>
    </row>
    <row r="135" spans="1:29" s="204" customFormat="1" x14ac:dyDescent="0.2">
      <c r="A135" s="203">
        <v>44228</v>
      </c>
      <c r="B135" s="204">
        <f t="shared" si="39"/>
        <v>2021</v>
      </c>
      <c r="C135" s="206">
        <f t="shared" ref="C135:C145" si="47">C123*(1+$AL$21)</f>
        <v>793566.14810000011</v>
      </c>
      <c r="D135" s="206">
        <f t="shared" ref="D135:E145" si="48">D111*(1+$AL$26)*(1+$AL$27)</f>
        <v>7339.3361576999996</v>
      </c>
      <c r="E135" s="206">
        <f t="shared" si="48"/>
        <v>7279.196498166667</v>
      </c>
      <c r="F135" s="206"/>
      <c r="G135" s="206"/>
      <c r="H135" s="206">
        <f t="shared" si="40"/>
        <v>421.27731603333331</v>
      </c>
      <c r="I135" s="206">
        <f t="shared" si="40"/>
        <v>419.37922046666665</v>
      </c>
      <c r="J135" s="206"/>
      <c r="K135" s="206"/>
      <c r="L135" s="206">
        <f t="shared" si="41"/>
        <v>199.5997338</v>
      </c>
      <c r="M135" s="206">
        <f t="shared" si="41"/>
        <v>197.20213939999999</v>
      </c>
      <c r="P135" s="211">
        <f t="shared" ref="P135:P145" si="49">$AL$21</f>
        <v>6.1499999999999999E-2</v>
      </c>
      <c r="Q135" s="211">
        <f t="shared" ref="Q135:V145" si="50">$AL$27</f>
        <v>4.8999999999999995E-2</v>
      </c>
      <c r="R135" s="211">
        <f t="shared" si="50"/>
        <v>4.8999999999999995E-2</v>
      </c>
      <c r="S135" s="211">
        <f t="shared" si="50"/>
        <v>4.8999999999999995E-2</v>
      </c>
      <c r="T135" s="211">
        <f t="shared" si="50"/>
        <v>4.8999999999999995E-2</v>
      </c>
      <c r="U135" s="211">
        <f t="shared" si="50"/>
        <v>4.8999999999999995E-2</v>
      </c>
      <c r="V135" s="211">
        <f t="shared" si="50"/>
        <v>4.8999999999999995E-2</v>
      </c>
      <c r="W135" s="205">
        <f t="shared" ref="W135:W157" si="51">P135*C123</f>
        <v>45976.748100000004</v>
      </c>
      <c r="X135" s="209">
        <f t="shared" ref="X135:Y157" si="52">Q135*D123</f>
        <v>370.04309999999992</v>
      </c>
      <c r="Y135" s="209">
        <f t="shared" si="52"/>
        <v>366.95609999999994</v>
      </c>
      <c r="Z135" s="209">
        <f t="shared" si="43"/>
        <v>20.967099999999995</v>
      </c>
      <c r="AA135" s="209">
        <f t="shared" si="44"/>
        <v>20.967099999999995</v>
      </c>
      <c r="AB135" s="209">
        <f t="shared" si="45"/>
        <v>9.9420999999999999</v>
      </c>
      <c r="AC135" s="209">
        <f t="shared" si="46"/>
        <v>9.7607999999999979</v>
      </c>
    </row>
    <row r="136" spans="1:29" s="204" customFormat="1" x14ac:dyDescent="0.2">
      <c r="A136" s="203">
        <v>44256</v>
      </c>
      <c r="B136" s="204">
        <f t="shared" si="39"/>
        <v>2021</v>
      </c>
      <c r="C136" s="206">
        <f t="shared" si="47"/>
        <v>793566.14810000011</v>
      </c>
      <c r="D136" s="206">
        <f t="shared" si="48"/>
        <v>7363.611801</v>
      </c>
      <c r="E136" s="206">
        <f t="shared" si="48"/>
        <v>7260.914840866667</v>
      </c>
      <c r="F136" s="206"/>
      <c r="G136" s="206"/>
      <c r="H136" s="206">
        <f t="shared" si="40"/>
        <v>420.07851883333331</v>
      </c>
      <c r="I136" s="206">
        <f t="shared" si="40"/>
        <v>414.68393143333333</v>
      </c>
      <c r="J136" s="206"/>
      <c r="K136" s="206"/>
      <c r="L136" s="206">
        <f t="shared" si="41"/>
        <v>197.80153799999999</v>
      </c>
      <c r="M136" s="206">
        <f t="shared" si="41"/>
        <v>192.20715106666665</v>
      </c>
      <c r="P136" s="211">
        <f t="shared" si="49"/>
        <v>6.1499999999999999E-2</v>
      </c>
      <c r="Q136" s="211">
        <f t="shared" si="50"/>
        <v>4.8999999999999995E-2</v>
      </c>
      <c r="R136" s="211">
        <f t="shared" si="50"/>
        <v>4.8999999999999995E-2</v>
      </c>
      <c r="S136" s="211">
        <f t="shared" si="50"/>
        <v>4.8999999999999995E-2</v>
      </c>
      <c r="T136" s="211">
        <f t="shared" si="50"/>
        <v>4.8999999999999995E-2</v>
      </c>
      <c r="U136" s="211">
        <f t="shared" si="50"/>
        <v>4.8999999999999995E-2</v>
      </c>
      <c r="V136" s="211">
        <f t="shared" si="50"/>
        <v>4.8999999999999995E-2</v>
      </c>
      <c r="W136" s="205">
        <f t="shared" si="51"/>
        <v>45976.748100000004</v>
      </c>
      <c r="X136" s="209">
        <f t="shared" si="52"/>
        <v>363.67309999999992</v>
      </c>
      <c r="Y136" s="209">
        <f t="shared" si="52"/>
        <v>358.53299999999996</v>
      </c>
      <c r="Z136" s="209">
        <f t="shared" si="43"/>
        <v>20.775999999999996</v>
      </c>
      <c r="AA136" s="209">
        <f t="shared" si="44"/>
        <v>20.432999999999996</v>
      </c>
      <c r="AB136" s="209">
        <f t="shared" si="45"/>
        <v>9.491299999999999</v>
      </c>
      <c r="AC136" s="209">
        <f t="shared" si="46"/>
        <v>9.2217999999999982</v>
      </c>
    </row>
    <row r="137" spans="1:29" s="204" customFormat="1" x14ac:dyDescent="0.2">
      <c r="A137" s="203">
        <v>44287</v>
      </c>
      <c r="B137" s="204">
        <f t="shared" si="39"/>
        <v>2021</v>
      </c>
      <c r="C137" s="206">
        <f t="shared" si="47"/>
        <v>793566.14810000011</v>
      </c>
      <c r="D137" s="206">
        <f t="shared" si="48"/>
        <v>7387.9873440666661</v>
      </c>
      <c r="E137" s="206">
        <f t="shared" si="48"/>
        <v>7296.9786566333332</v>
      </c>
      <c r="F137" s="206"/>
      <c r="G137" s="206"/>
      <c r="H137" s="206">
        <f t="shared" si="40"/>
        <v>417.08152583333333</v>
      </c>
      <c r="I137" s="206">
        <f t="shared" si="40"/>
        <v>410.78784053333334</v>
      </c>
      <c r="J137" s="206"/>
      <c r="K137" s="206"/>
      <c r="L137" s="206">
        <f t="shared" si="41"/>
        <v>195.80354266666666</v>
      </c>
      <c r="M137" s="206">
        <f t="shared" si="41"/>
        <v>190.00935619999998</v>
      </c>
      <c r="P137" s="211">
        <f t="shared" si="49"/>
        <v>6.1499999999999999E-2</v>
      </c>
      <c r="Q137" s="211">
        <f t="shared" si="50"/>
        <v>4.8999999999999995E-2</v>
      </c>
      <c r="R137" s="211">
        <f t="shared" si="50"/>
        <v>4.8999999999999995E-2</v>
      </c>
      <c r="S137" s="211">
        <f t="shared" si="50"/>
        <v>4.8999999999999995E-2</v>
      </c>
      <c r="T137" s="211">
        <f t="shared" si="50"/>
        <v>4.8999999999999995E-2</v>
      </c>
      <c r="U137" s="211">
        <f t="shared" si="50"/>
        <v>4.8999999999999995E-2</v>
      </c>
      <c r="V137" s="211">
        <f t="shared" si="50"/>
        <v>4.8999999999999995E-2</v>
      </c>
      <c r="W137" s="205">
        <f t="shared" si="51"/>
        <v>45976.748100000004</v>
      </c>
      <c r="X137" s="209">
        <f t="shared" si="52"/>
        <v>345.78319999999997</v>
      </c>
      <c r="Y137" s="209">
        <f t="shared" si="52"/>
        <v>341.46629999999993</v>
      </c>
      <c r="Z137" s="209">
        <f t="shared" si="43"/>
        <v>19.962599999999998</v>
      </c>
      <c r="AA137" s="209">
        <f t="shared" si="44"/>
        <v>19.550999999999998</v>
      </c>
      <c r="AB137" s="209">
        <f t="shared" si="45"/>
        <v>8.9817</v>
      </c>
      <c r="AC137" s="209">
        <f t="shared" si="46"/>
        <v>8.7072999999999983</v>
      </c>
    </row>
    <row r="138" spans="1:29" s="204" customFormat="1" x14ac:dyDescent="0.2">
      <c r="A138" s="203">
        <v>44317</v>
      </c>
      <c r="B138" s="204">
        <f t="shared" si="39"/>
        <v>2021</v>
      </c>
      <c r="C138" s="206">
        <f t="shared" si="47"/>
        <v>793566.14810000011</v>
      </c>
      <c r="D138" s="206">
        <f t="shared" si="48"/>
        <v>7405.1701039333329</v>
      </c>
      <c r="E138" s="206">
        <f t="shared" si="48"/>
        <v>7369.5058872333329</v>
      </c>
      <c r="F138" s="206"/>
      <c r="G138" s="206"/>
      <c r="H138" s="206">
        <f t="shared" si="40"/>
        <v>415.2833300333333</v>
      </c>
      <c r="I138" s="206">
        <f t="shared" si="40"/>
        <v>410.78784053333334</v>
      </c>
      <c r="J138" s="206"/>
      <c r="K138" s="206"/>
      <c r="L138" s="206">
        <f t="shared" si="41"/>
        <v>194.80454499999999</v>
      </c>
      <c r="M138" s="206">
        <f t="shared" si="41"/>
        <v>191.70765223333333</v>
      </c>
      <c r="P138" s="211">
        <f t="shared" si="49"/>
        <v>6.1499999999999999E-2</v>
      </c>
      <c r="Q138" s="211">
        <f t="shared" si="50"/>
        <v>4.8999999999999995E-2</v>
      </c>
      <c r="R138" s="211">
        <f t="shared" si="50"/>
        <v>4.8999999999999995E-2</v>
      </c>
      <c r="S138" s="211">
        <f t="shared" si="50"/>
        <v>4.8999999999999995E-2</v>
      </c>
      <c r="T138" s="211">
        <f t="shared" si="50"/>
        <v>4.8999999999999995E-2</v>
      </c>
      <c r="U138" s="211">
        <f t="shared" si="50"/>
        <v>4.8999999999999995E-2</v>
      </c>
      <c r="V138" s="211">
        <f t="shared" si="50"/>
        <v>4.8999999999999995E-2</v>
      </c>
      <c r="W138" s="205">
        <f t="shared" si="51"/>
        <v>45976.748100000004</v>
      </c>
      <c r="X138" s="209">
        <f t="shared" si="52"/>
        <v>326.89859999999993</v>
      </c>
      <c r="Y138" s="209">
        <f t="shared" si="52"/>
        <v>324.96799999999996</v>
      </c>
      <c r="Z138" s="209">
        <f t="shared" si="43"/>
        <v>18.717999999999996</v>
      </c>
      <c r="AA138" s="209">
        <f t="shared" si="44"/>
        <v>18.325999999999997</v>
      </c>
      <c r="AB138" s="209">
        <f t="shared" si="45"/>
        <v>8.3936999999999991</v>
      </c>
      <c r="AC138" s="209">
        <f t="shared" si="46"/>
        <v>8.2417999999999978</v>
      </c>
    </row>
    <row r="139" spans="1:29" s="204" customFormat="1" x14ac:dyDescent="0.2">
      <c r="A139" s="203">
        <v>44348</v>
      </c>
      <c r="B139" s="204">
        <f t="shared" si="39"/>
        <v>2021</v>
      </c>
      <c r="C139" s="206">
        <f t="shared" si="47"/>
        <v>793566.14810000011</v>
      </c>
      <c r="D139" s="206">
        <f t="shared" si="48"/>
        <v>7422.8523626333335</v>
      </c>
      <c r="E139" s="206">
        <f t="shared" si="48"/>
        <v>7464.6104651000005</v>
      </c>
      <c r="F139" s="206"/>
      <c r="G139" s="206"/>
      <c r="H139" s="206">
        <f t="shared" si="40"/>
        <v>415.88272863333333</v>
      </c>
      <c r="I139" s="206">
        <f t="shared" si="40"/>
        <v>414.98363073333331</v>
      </c>
      <c r="J139" s="206"/>
      <c r="K139" s="206"/>
      <c r="L139" s="206">
        <f t="shared" si="41"/>
        <v>195.50384336666664</v>
      </c>
      <c r="M139" s="206">
        <f t="shared" si="41"/>
        <v>195.80354266666666</v>
      </c>
      <c r="P139" s="211">
        <f t="shared" si="49"/>
        <v>6.1499999999999999E-2</v>
      </c>
      <c r="Q139" s="211">
        <f t="shared" si="50"/>
        <v>4.8999999999999995E-2</v>
      </c>
      <c r="R139" s="211">
        <f t="shared" si="50"/>
        <v>4.8999999999999995E-2</v>
      </c>
      <c r="S139" s="211">
        <f t="shared" si="50"/>
        <v>4.8999999999999995E-2</v>
      </c>
      <c r="T139" s="211">
        <f t="shared" si="50"/>
        <v>4.8999999999999995E-2</v>
      </c>
      <c r="U139" s="211">
        <f t="shared" si="50"/>
        <v>4.8999999999999995E-2</v>
      </c>
      <c r="V139" s="211">
        <f t="shared" si="50"/>
        <v>4.8999999999999995E-2</v>
      </c>
      <c r="W139" s="205">
        <f t="shared" si="51"/>
        <v>45976.748100000004</v>
      </c>
      <c r="X139" s="209">
        <f t="shared" si="52"/>
        <v>320.75889999999998</v>
      </c>
      <c r="Y139" s="209">
        <f t="shared" si="52"/>
        <v>322.56699999999995</v>
      </c>
      <c r="Z139" s="209">
        <f t="shared" si="43"/>
        <v>18.178999999999998</v>
      </c>
      <c r="AA139" s="209">
        <f t="shared" si="44"/>
        <v>18.051599999999997</v>
      </c>
      <c r="AB139" s="209">
        <f t="shared" si="45"/>
        <v>8.3299999999999983</v>
      </c>
      <c r="AC139" s="209">
        <f t="shared" si="46"/>
        <v>8.3201999999999998</v>
      </c>
    </row>
    <row r="140" spans="1:29" s="204" customFormat="1" x14ac:dyDescent="0.2">
      <c r="A140" s="203">
        <v>44378</v>
      </c>
      <c r="B140" s="204">
        <f t="shared" si="39"/>
        <v>2021</v>
      </c>
      <c r="C140" s="206">
        <f t="shared" si="47"/>
        <v>793566.14810000011</v>
      </c>
      <c r="D140" s="206">
        <f t="shared" si="48"/>
        <v>7425.4497565666661</v>
      </c>
      <c r="E140" s="206">
        <f t="shared" si="48"/>
        <v>7516.8580430666661</v>
      </c>
      <c r="F140" s="206"/>
      <c r="G140" s="206"/>
      <c r="H140" s="206">
        <f t="shared" si="40"/>
        <v>415.48312956666661</v>
      </c>
      <c r="I140" s="206">
        <f t="shared" si="40"/>
        <v>417.38122513333337</v>
      </c>
      <c r="J140" s="206"/>
      <c r="K140" s="206"/>
      <c r="L140" s="206">
        <f t="shared" si="41"/>
        <v>195.90344243333331</v>
      </c>
      <c r="M140" s="206">
        <f t="shared" si="41"/>
        <v>199.00033519999999</v>
      </c>
      <c r="P140" s="211">
        <f t="shared" si="49"/>
        <v>6.1499999999999999E-2</v>
      </c>
      <c r="Q140" s="211">
        <f t="shared" si="50"/>
        <v>4.8999999999999995E-2</v>
      </c>
      <c r="R140" s="211">
        <f t="shared" si="50"/>
        <v>4.8999999999999995E-2</v>
      </c>
      <c r="S140" s="211">
        <f t="shared" si="50"/>
        <v>4.8999999999999995E-2</v>
      </c>
      <c r="T140" s="211">
        <f t="shared" si="50"/>
        <v>4.8999999999999995E-2</v>
      </c>
      <c r="U140" s="211">
        <f t="shared" si="50"/>
        <v>4.8999999999999995E-2</v>
      </c>
      <c r="V140" s="211">
        <f t="shared" si="50"/>
        <v>4.8999999999999995E-2</v>
      </c>
      <c r="W140" s="205">
        <f t="shared" si="51"/>
        <v>45976.748100000004</v>
      </c>
      <c r="X140" s="209">
        <f t="shared" si="52"/>
        <v>328.33919999999995</v>
      </c>
      <c r="Y140" s="209">
        <f t="shared" si="52"/>
        <v>332.07299999999998</v>
      </c>
      <c r="Z140" s="209">
        <f t="shared" si="43"/>
        <v>18.634699999999999</v>
      </c>
      <c r="AA140" s="209">
        <f t="shared" si="44"/>
        <v>18.6004</v>
      </c>
      <c r="AB140" s="209">
        <f t="shared" si="45"/>
        <v>8.560299999999998</v>
      </c>
      <c r="AC140" s="209">
        <f t="shared" si="46"/>
        <v>8.6582999999999988</v>
      </c>
    </row>
    <row r="141" spans="1:29" s="204" customFormat="1" x14ac:dyDescent="0.2">
      <c r="A141" s="203">
        <v>44409</v>
      </c>
      <c r="B141" s="204">
        <f t="shared" si="39"/>
        <v>2021</v>
      </c>
      <c r="C141" s="206">
        <f t="shared" si="47"/>
        <v>793566.14810000011</v>
      </c>
      <c r="D141" s="206">
        <f t="shared" si="48"/>
        <v>7442.1330176000001</v>
      </c>
      <c r="E141" s="206">
        <f t="shared" si="48"/>
        <v>7533.3415045666661</v>
      </c>
      <c r="F141" s="206"/>
      <c r="G141" s="206"/>
      <c r="H141" s="206">
        <f t="shared" si="40"/>
        <v>418.38022279999996</v>
      </c>
      <c r="I141" s="206">
        <f t="shared" si="40"/>
        <v>421.87671463333328</v>
      </c>
      <c r="J141" s="206"/>
      <c r="K141" s="206"/>
      <c r="L141" s="206">
        <f t="shared" si="41"/>
        <v>197.80153799999999</v>
      </c>
      <c r="M141" s="206">
        <f t="shared" si="41"/>
        <v>201.79752866666666</v>
      </c>
      <c r="P141" s="211">
        <f t="shared" si="49"/>
        <v>6.1499999999999999E-2</v>
      </c>
      <c r="Q141" s="211">
        <f t="shared" si="50"/>
        <v>4.8999999999999995E-2</v>
      </c>
      <c r="R141" s="211">
        <f t="shared" si="50"/>
        <v>4.8999999999999995E-2</v>
      </c>
      <c r="S141" s="211">
        <f t="shared" si="50"/>
        <v>4.8999999999999995E-2</v>
      </c>
      <c r="T141" s="211">
        <f t="shared" si="50"/>
        <v>4.8999999999999995E-2</v>
      </c>
      <c r="U141" s="211">
        <f t="shared" si="50"/>
        <v>4.8999999999999995E-2</v>
      </c>
      <c r="V141" s="211">
        <f t="shared" si="50"/>
        <v>4.8999999999999995E-2</v>
      </c>
      <c r="W141" s="205">
        <f t="shared" si="51"/>
        <v>45976.748100000004</v>
      </c>
      <c r="X141" s="209">
        <f t="shared" si="52"/>
        <v>339.28579999999994</v>
      </c>
      <c r="Y141" s="209">
        <f t="shared" si="52"/>
        <v>343.17149999999998</v>
      </c>
      <c r="Z141" s="209">
        <f t="shared" si="43"/>
        <v>19.163899999999998</v>
      </c>
      <c r="AA141" s="209">
        <f t="shared" si="44"/>
        <v>19.217799999999997</v>
      </c>
      <c r="AB141" s="209">
        <f t="shared" si="45"/>
        <v>8.9620999999999995</v>
      </c>
      <c r="AC141" s="209">
        <f t="shared" si="46"/>
        <v>9.1090999999999998</v>
      </c>
    </row>
    <row r="142" spans="1:29" s="204" customFormat="1" x14ac:dyDescent="0.2">
      <c r="A142" s="203">
        <v>44440</v>
      </c>
      <c r="B142" s="204">
        <f t="shared" si="39"/>
        <v>2021</v>
      </c>
      <c r="C142" s="206">
        <f t="shared" si="47"/>
        <v>793566.14810000011</v>
      </c>
      <c r="D142" s="206">
        <f t="shared" si="48"/>
        <v>7470.8042506333331</v>
      </c>
      <c r="E142" s="206">
        <f t="shared" si="48"/>
        <v>7527.4474183333332</v>
      </c>
      <c r="F142" s="206"/>
      <c r="G142" s="206"/>
      <c r="H142" s="206">
        <f t="shared" si="40"/>
        <v>419.47912023333333</v>
      </c>
      <c r="I142" s="206">
        <f t="shared" si="40"/>
        <v>422.67591276666667</v>
      </c>
      <c r="J142" s="206"/>
      <c r="K142" s="206"/>
      <c r="L142" s="206">
        <f t="shared" si="41"/>
        <v>199.99933286666663</v>
      </c>
      <c r="M142" s="206">
        <f t="shared" si="41"/>
        <v>202.89642609999999</v>
      </c>
      <c r="P142" s="211">
        <f t="shared" si="49"/>
        <v>6.1499999999999999E-2</v>
      </c>
      <c r="Q142" s="211">
        <f t="shared" si="50"/>
        <v>4.8999999999999995E-2</v>
      </c>
      <c r="R142" s="211">
        <f t="shared" si="50"/>
        <v>4.8999999999999995E-2</v>
      </c>
      <c r="S142" s="211">
        <f t="shared" si="50"/>
        <v>4.8999999999999995E-2</v>
      </c>
      <c r="T142" s="211">
        <f t="shared" si="50"/>
        <v>4.8999999999999995E-2</v>
      </c>
      <c r="U142" s="211">
        <f t="shared" si="50"/>
        <v>4.8999999999999995E-2</v>
      </c>
      <c r="V142" s="211">
        <f t="shared" si="50"/>
        <v>4.8999999999999995E-2</v>
      </c>
      <c r="W142" s="205">
        <f t="shared" si="51"/>
        <v>45976.748100000004</v>
      </c>
      <c r="X142" s="209">
        <f t="shared" si="52"/>
        <v>346.80239999999998</v>
      </c>
      <c r="Y142" s="209">
        <f t="shared" si="52"/>
        <v>349.20339999999999</v>
      </c>
      <c r="Z142" s="209">
        <f t="shared" si="43"/>
        <v>19.163899999999998</v>
      </c>
      <c r="AA142" s="209">
        <f t="shared" si="44"/>
        <v>19.134499999999999</v>
      </c>
      <c r="AB142" s="209">
        <f t="shared" si="45"/>
        <v>9.2756999999999987</v>
      </c>
      <c r="AC142" s="209">
        <f t="shared" si="46"/>
        <v>9.3981999999999992</v>
      </c>
    </row>
    <row r="143" spans="1:29" s="204" customFormat="1" x14ac:dyDescent="0.2">
      <c r="A143" s="203">
        <v>44470</v>
      </c>
      <c r="B143" s="204">
        <f t="shared" si="39"/>
        <v>2021</v>
      </c>
      <c r="C143" s="206">
        <f t="shared" si="47"/>
        <v>793566.14810000011</v>
      </c>
      <c r="D143" s="206">
        <f t="shared" si="48"/>
        <v>7496.4784906666664</v>
      </c>
      <c r="E143" s="206">
        <f t="shared" si="48"/>
        <v>7530.9439101666658</v>
      </c>
      <c r="F143" s="206"/>
      <c r="G143" s="206"/>
      <c r="H143" s="206">
        <f t="shared" si="40"/>
        <v>426.8717029666667</v>
      </c>
      <c r="I143" s="206">
        <f t="shared" si="40"/>
        <v>432.96558873333328</v>
      </c>
      <c r="J143" s="206"/>
      <c r="K143" s="206"/>
      <c r="L143" s="206">
        <f t="shared" si="41"/>
        <v>202.19712773333333</v>
      </c>
      <c r="M143" s="206">
        <f t="shared" si="41"/>
        <v>204.09522330000001</v>
      </c>
      <c r="P143" s="211">
        <f t="shared" si="49"/>
        <v>6.1499999999999999E-2</v>
      </c>
      <c r="Q143" s="211">
        <f t="shared" si="50"/>
        <v>4.8999999999999995E-2</v>
      </c>
      <c r="R143" s="211">
        <f t="shared" si="50"/>
        <v>4.8999999999999995E-2</v>
      </c>
      <c r="S143" s="211">
        <f t="shared" si="50"/>
        <v>4.8999999999999995E-2</v>
      </c>
      <c r="T143" s="211">
        <f t="shared" si="50"/>
        <v>4.8999999999999995E-2</v>
      </c>
      <c r="U143" s="211">
        <f t="shared" si="50"/>
        <v>4.8999999999999995E-2</v>
      </c>
      <c r="V143" s="211">
        <f t="shared" si="50"/>
        <v>4.8999999999999995E-2</v>
      </c>
      <c r="W143" s="205">
        <f t="shared" si="51"/>
        <v>45976.748100000004</v>
      </c>
      <c r="X143" s="209">
        <f t="shared" si="52"/>
        <v>352.35409999999996</v>
      </c>
      <c r="Y143" s="209">
        <f t="shared" si="52"/>
        <v>353.96619999999996</v>
      </c>
      <c r="Z143" s="209">
        <f t="shared" si="43"/>
        <v>18.889499999999998</v>
      </c>
      <c r="AA143" s="209">
        <f t="shared" si="44"/>
        <v>19.026699999999998</v>
      </c>
      <c r="AB143" s="209">
        <f t="shared" si="45"/>
        <v>9.5647999999999982</v>
      </c>
      <c r="AC143" s="209">
        <f t="shared" si="46"/>
        <v>9.7068999999999992</v>
      </c>
    </row>
    <row r="144" spans="1:29" s="204" customFormat="1" x14ac:dyDescent="0.2">
      <c r="A144" s="203">
        <v>44501</v>
      </c>
      <c r="B144" s="204">
        <f t="shared" si="39"/>
        <v>2021</v>
      </c>
      <c r="C144" s="206">
        <f t="shared" si="47"/>
        <v>793566.14810000011</v>
      </c>
      <c r="D144" s="206">
        <f t="shared" si="48"/>
        <v>7509.7651596333335</v>
      </c>
      <c r="E144" s="206">
        <f t="shared" si="48"/>
        <v>7522.5523297666668</v>
      </c>
      <c r="F144" s="206"/>
      <c r="G144" s="206"/>
      <c r="H144" s="206">
        <f t="shared" si="40"/>
        <v>427.07150249999995</v>
      </c>
      <c r="I144" s="206">
        <f t="shared" si="40"/>
        <v>433.86468663333329</v>
      </c>
      <c r="J144" s="206"/>
      <c r="K144" s="206"/>
      <c r="L144" s="206">
        <f t="shared" si="41"/>
        <v>204.69462189999999</v>
      </c>
      <c r="M144" s="206">
        <f t="shared" si="41"/>
        <v>204.9943212</v>
      </c>
      <c r="P144" s="211">
        <f t="shared" si="49"/>
        <v>6.1499999999999999E-2</v>
      </c>
      <c r="Q144" s="211">
        <f t="shared" si="50"/>
        <v>4.8999999999999995E-2</v>
      </c>
      <c r="R144" s="211">
        <f t="shared" si="50"/>
        <v>4.8999999999999995E-2</v>
      </c>
      <c r="S144" s="211">
        <f t="shared" si="50"/>
        <v>4.8999999999999995E-2</v>
      </c>
      <c r="T144" s="211">
        <f t="shared" si="50"/>
        <v>4.8999999999999995E-2</v>
      </c>
      <c r="U144" s="211">
        <f t="shared" si="50"/>
        <v>4.8999999999999995E-2</v>
      </c>
      <c r="V144" s="211">
        <f t="shared" si="50"/>
        <v>4.8999999999999995E-2</v>
      </c>
      <c r="W144" s="205">
        <f t="shared" si="51"/>
        <v>45976.748100000004</v>
      </c>
      <c r="X144" s="209">
        <f t="shared" si="52"/>
        <v>356.19079999999997</v>
      </c>
      <c r="Y144" s="209">
        <f t="shared" si="52"/>
        <v>356.96009999999995</v>
      </c>
      <c r="Z144" s="209">
        <f t="shared" si="43"/>
        <v>19.296199999999999</v>
      </c>
      <c r="AA144" s="209">
        <f t="shared" si="44"/>
        <v>19.462799999999998</v>
      </c>
      <c r="AB144" s="209">
        <f t="shared" si="45"/>
        <v>9.5892999999999979</v>
      </c>
      <c r="AC144" s="209">
        <f t="shared" si="46"/>
        <v>9.6921999999999997</v>
      </c>
    </row>
    <row r="145" spans="1:29" s="204" customFormat="1" x14ac:dyDescent="0.2">
      <c r="A145" s="203">
        <v>44531</v>
      </c>
      <c r="B145" s="204">
        <f t="shared" si="39"/>
        <v>2021</v>
      </c>
      <c r="C145" s="206">
        <f t="shared" si="47"/>
        <v>793566.14810000011</v>
      </c>
      <c r="D145" s="206">
        <f t="shared" si="48"/>
        <v>7517.4574416666665</v>
      </c>
      <c r="E145" s="206">
        <f t="shared" si="48"/>
        <v>7527.6472178666663</v>
      </c>
      <c r="F145" s="206"/>
      <c r="G145" s="206"/>
      <c r="H145" s="206">
        <f t="shared" si="40"/>
        <v>429.06949783333334</v>
      </c>
      <c r="I145" s="206">
        <f t="shared" si="40"/>
        <v>437.16137893333337</v>
      </c>
      <c r="J145" s="206"/>
      <c r="K145" s="206"/>
      <c r="L145" s="206">
        <f t="shared" si="41"/>
        <v>206.29301816666666</v>
      </c>
      <c r="M145" s="206">
        <f t="shared" si="41"/>
        <v>206.59271746666667</v>
      </c>
      <c r="P145" s="211">
        <f t="shared" si="49"/>
        <v>6.1499999999999999E-2</v>
      </c>
      <c r="Q145" s="211">
        <f t="shared" si="50"/>
        <v>4.8999999999999995E-2</v>
      </c>
      <c r="R145" s="211">
        <f t="shared" si="50"/>
        <v>4.8999999999999995E-2</v>
      </c>
      <c r="S145" s="211">
        <f t="shared" si="50"/>
        <v>4.8999999999999995E-2</v>
      </c>
      <c r="T145" s="211">
        <f t="shared" si="50"/>
        <v>4.8999999999999995E-2</v>
      </c>
      <c r="U145" s="211">
        <f t="shared" si="50"/>
        <v>4.8999999999999995E-2</v>
      </c>
      <c r="V145" s="211">
        <f t="shared" si="50"/>
        <v>4.8999999999999995E-2</v>
      </c>
      <c r="W145" s="205">
        <f t="shared" si="51"/>
        <v>45976.748100000004</v>
      </c>
      <c r="X145" s="209">
        <f t="shared" si="52"/>
        <v>357.0924</v>
      </c>
      <c r="Y145" s="209">
        <f t="shared" si="52"/>
        <v>357.65589999999997</v>
      </c>
      <c r="Z145" s="209">
        <f t="shared" si="43"/>
        <v>19.722499999999997</v>
      </c>
      <c r="AA145" s="209">
        <f t="shared" si="44"/>
        <v>20.040999999999997</v>
      </c>
      <c r="AB145" s="209">
        <f t="shared" si="45"/>
        <v>9.388399999999999</v>
      </c>
      <c r="AC145" s="209">
        <f t="shared" si="46"/>
        <v>9.4962</v>
      </c>
    </row>
    <row r="146" spans="1:29" s="204" customFormat="1" x14ac:dyDescent="0.2">
      <c r="A146" s="203">
        <v>44562</v>
      </c>
      <c r="B146" s="204">
        <f t="shared" si="39"/>
        <v>2022</v>
      </c>
      <c r="C146" s="206">
        <f>C134*(1+$AL$22)</f>
        <v>827094.31785722508</v>
      </c>
      <c r="D146" s="206">
        <f t="shared" ref="D146:E157" si="53">D134*(1+$AL$28)</f>
        <v>7537.3627365743778</v>
      </c>
      <c r="E146" s="206">
        <f t="shared" si="53"/>
        <v>7514.284025678734</v>
      </c>
      <c r="F146" s="206"/>
      <c r="G146" s="206"/>
      <c r="H146" s="206">
        <f t="shared" ref="H146:I157" si="54">H134*(1+$AL$28)</f>
        <v>433.34400904946676</v>
      </c>
      <c r="I146" s="206">
        <f t="shared" si="54"/>
        <v>433.34400904946676</v>
      </c>
      <c r="J146" s="206"/>
      <c r="K146" s="206"/>
      <c r="L146" s="206">
        <f t="shared" ref="L146:M157" si="55">L134*(1+$AL$28)</f>
        <v>205.13264907691112</v>
      </c>
      <c r="M146" s="206">
        <f t="shared" si="55"/>
        <v>205.13264907691112</v>
      </c>
      <c r="P146" s="211">
        <f>$AL$22</f>
        <v>4.2250000000000003E-2</v>
      </c>
      <c r="Q146" s="211">
        <f t="shared" ref="Q146:V146" si="56">$AL$28</f>
        <v>3.1333333333333331E-2</v>
      </c>
      <c r="R146" s="211">
        <f t="shared" si="56"/>
        <v>3.1333333333333331E-2</v>
      </c>
      <c r="S146" s="211">
        <f t="shared" si="56"/>
        <v>3.1333333333333331E-2</v>
      </c>
      <c r="T146" s="211">
        <f t="shared" si="56"/>
        <v>3.1333333333333331E-2</v>
      </c>
      <c r="U146" s="211">
        <f t="shared" si="56"/>
        <v>3.1333333333333331E-2</v>
      </c>
      <c r="V146" s="211">
        <f t="shared" si="56"/>
        <v>3.1333333333333331E-2</v>
      </c>
      <c r="W146" s="205">
        <f t="shared" si="51"/>
        <v>33528.169757225005</v>
      </c>
      <c r="X146" s="209">
        <f t="shared" si="52"/>
        <v>228.99550654104442</v>
      </c>
      <c r="Y146" s="209">
        <f t="shared" si="52"/>
        <v>228.29434337873332</v>
      </c>
      <c r="Z146" s="209">
        <f t="shared" ref="Z146:Z157" si="57">S146*H134</f>
        <v>13.165590449466666</v>
      </c>
      <c r="AA146" s="209">
        <f t="shared" ref="AA146:AA157" si="58">T146*I134</f>
        <v>13.165590449466666</v>
      </c>
      <c r="AB146" s="209">
        <f t="shared" si="45"/>
        <v>6.2322136435777766</v>
      </c>
      <c r="AC146" s="209">
        <f t="shared" si="46"/>
        <v>6.2322136435777766</v>
      </c>
    </row>
    <row r="147" spans="1:29" s="204" customFormat="1" x14ac:dyDescent="0.2">
      <c r="A147" s="203">
        <v>44593</v>
      </c>
      <c r="B147" s="204">
        <f t="shared" si="39"/>
        <v>2022</v>
      </c>
      <c r="C147" s="206">
        <f t="shared" ref="C147:C157" si="59">C135*(1+$AL$22)</f>
        <v>827094.31785722508</v>
      </c>
      <c r="D147" s="206">
        <f t="shared" si="53"/>
        <v>7569.3020239746002</v>
      </c>
      <c r="E147" s="206">
        <f t="shared" si="53"/>
        <v>7507.2779884425563</v>
      </c>
      <c r="F147" s="206"/>
      <c r="G147" s="206"/>
      <c r="H147" s="206">
        <f t="shared" si="54"/>
        <v>434.47733860237781</v>
      </c>
      <c r="I147" s="206">
        <f t="shared" si="54"/>
        <v>432.51976937462223</v>
      </c>
      <c r="J147" s="206"/>
      <c r="K147" s="206"/>
      <c r="L147" s="206">
        <f t="shared" si="55"/>
        <v>205.85385879240002</v>
      </c>
      <c r="M147" s="206">
        <f t="shared" si="55"/>
        <v>203.38113976786667</v>
      </c>
      <c r="P147" s="211">
        <f t="shared" ref="P147:P157" si="60">$AL$22</f>
        <v>4.2250000000000003E-2</v>
      </c>
      <c r="Q147" s="211">
        <f t="shared" ref="Q147:V157" si="61">$AL$28</f>
        <v>3.1333333333333331E-2</v>
      </c>
      <c r="R147" s="211">
        <f t="shared" si="61"/>
        <v>3.1333333333333331E-2</v>
      </c>
      <c r="S147" s="211">
        <f t="shared" si="61"/>
        <v>3.1333333333333331E-2</v>
      </c>
      <c r="T147" s="211">
        <f t="shared" si="61"/>
        <v>3.1333333333333331E-2</v>
      </c>
      <c r="U147" s="211">
        <f t="shared" si="61"/>
        <v>3.1333333333333331E-2</v>
      </c>
      <c r="V147" s="211">
        <f t="shared" si="61"/>
        <v>3.1333333333333331E-2</v>
      </c>
      <c r="W147" s="205">
        <f t="shared" si="51"/>
        <v>33528.169757225005</v>
      </c>
      <c r="X147" s="209">
        <f t="shared" si="52"/>
        <v>229.96586627459996</v>
      </c>
      <c r="Y147" s="209">
        <f t="shared" si="52"/>
        <v>228.08149027588888</v>
      </c>
      <c r="Z147" s="209">
        <f t="shared" si="57"/>
        <v>13.200022569044442</v>
      </c>
      <c r="AA147" s="209">
        <f t="shared" si="58"/>
        <v>13.140548907955553</v>
      </c>
      <c r="AB147" s="209">
        <f t="shared" si="45"/>
        <v>6.2541249923999995</v>
      </c>
      <c r="AC147" s="209">
        <f t="shared" si="46"/>
        <v>6.1790003678666663</v>
      </c>
    </row>
    <row r="148" spans="1:29" s="204" customFormat="1" x14ac:dyDescent="0.2">
      <c r="A148" s="203">
        <v>44621</v>
      </c>
      <c r="B148" s="204">
        <f t="shared" si="39"/>
        <v>2022</v>
      </c>
      <c r="C148" s="206">
        <f t="shared" si="59"/>
        <v>827094.31785722508</v>
      </c>
      <c r="D148" s="206">
        <f t="shared" si="53"/>
        <v>7594.3383040980007</v>
      </c>
      <c r="E148" s="206">
        <f t="shared" si="53"/>
        <v>7488.4235058804898</v>
      </c>
      <c r="F148" s="206"/>
      <c r="G148" s="206"/>
      <c r="H148" s="206">
        <f t="shared" si="54"/>
        <v>433.24097909011113</v>
      </c>
      <c r="I148" s="206">
        <f t="shared" si="54"/>
        <v>427.67736128491117</v>
      </c>
      <c r="J148" s="206"/>
      <c r="K148" s="206"/>
      <c r="L148" s="206">
        <f t="shared" si="55"/>
        <v>203.99931952400001</v>
      </c>
      <c r="M148" s="206">
        <f t="shared" si="55"/>
        <v>198.2296418000889</v>
      </c>
      <c r="P148" s="211">
        <f t="shared" si="60"/>
        <v>4.2250000000000003E-2</v>
      </c>
      <c r="Q148" s="211">
        <f t="shared" si="61"/>
        <v>3.1333333333333331E-2</v>
      </c>
      <c r="R148" s="211">
        <f t="shared" si="61"/>
        <v>3.1333333333333331E-2</v>
      </c>
      <c r="S148" s="211">
        <f t="shared" si="61"/>
        <v>3.1333333333333331E-2</v>
      </c>
      <c r="T148" s="211">
        <f t="shared" si="61"/>
        <v>3.1333333333333331E-2</v>
      </c>
      <c r="U148" s="211">
        <f t="shared" si="61"/>
        <v>3.1333333333333331E-2</v>
      </c>
      <c r="V148" s="211">
        <f t="shared" si="61"/>
        <v>3.1333333333333331E-2</v>
      </c>
      <c r="W148" s="205">
        <f t="shared" si="51"/>
        <v>33528.169757225005</v>
      </c>
      <c r="X148" s="209">
        <f>Q148*D136</f>
        <v>230.72650309799999</v>
      </c>
      <c r="Y148" s="209">
        <f>R148*E136</f>
        <v>227.50866501382222</v>
      </c>
      <c r="Z148" s="209">
        <f t="shared" si="57"/>
        <v>13.162460256777775</v>
      </c>
      <c r="AA148" s="209">
        <f t="shared" si="58"/>
        <v>12.993429851577776</v>
      </c>
      <c r="AB148" s="209">
        <f t="shared" si="45"/>
        <v>6.1977815239999989</v>
      </c>
      <c r="AC148" s="209">
        <f t="shared" si="46"/>
        <v>6.0224907334222211</v>
      </c>
    </row>
    <row r="149" spans="1:29" s="204" customFormat="1" x14ac:dyDescent="0.2">
      <c r="A149" s="203">
        <v>44652</v>
      </c>
      <c r="B149" s="204">
        <f t="shared" si="39"/>
        <v>2022</v>
      </c>
      <c r="C149" s="206">
        <f t="shared" si="59"/>
        <v>827094.31785722508</v>
      </c>
      <c r="D149" s="206">
        <f t="shared" si="53"/>
        <v>7619.4776141807561</v>
      </c>
      <c r="E149" s="206">
        <f t="shared" si="53"/>
        <v>7525.6173212078447</v>
      </c>
      <c r="F149" s="206"/>
      <c r="G149" s="206"/>
      <c r="H149" s="206">
        <f t="shared" si="54"/>
        <v>430.15008030944449</v>
      </c>
      <c r="I149" s="206">
        <f t="shared" si="54"/>
        <v>423.65919287004448</v>
      </c>
      <c r="J149" s="206"/>
      <c r="K149" s="206"/>
      <c r="L149" s="206">
        <f t="shared" si="55"/>
        <v>201.93872033688891</v>
      </c>
      <c r="M149" s="206">
        <f t="shared" si="55"/>
        <v>195.96298269426666</v>
      </c>
      <c r="P149" s="211">
        <f t="shared" si="60"/>
        <v>4.2250000000000003E-2</v>
      </c>
      <c r="Q149" s="211">
        <f t="shared" si="61"/>
        <v>3.1333333333333331E-2</v>
      </c>
      <c r="R149" s="211">
        <f t="shared" si="61"/>
        <v>3.1333333333333331E-2</v>
      </c>
      <c r="S149" s="211">
        <f t="shared" si="61"/>
        <v>3.1333333333333331E-2</v>
      </c>
      <c r="T149" s="211">
        <f t="shared" si="61"/>
        <v>3.1333333333333331E-2</v>
      </c>
      <c r="U149" s="211">
        <f t="shared" si="61"/>
        <v>3.1333333333333331E-2</v>
      </c>
      <c r="V149" s="211">
        <f t="shared" si="61"/>
        <v>3.1333333333333331E-2</v>
      </c>
      <c r="W149" s="205">
        <f t="shared" si="51"/>
        <v>33528.169757225005</v>
      </c>
      <c r="X149" s="209">
        <f t="shared" si="52"/>
        <v>231.49027011408884</v>
      </c>
      <c r="Y149" s="209">
        <f t="shared" si="52"/>
        <v>228.6386645745111</v>
      </c>
      <c r="Z149" s="209">
        <f t="shared" si="57"/>
        <v>13.06855447611111</v>
      </c>
      <c r="AA149" s="209">
        <f t="shared" si="58"/>
        <v>12.87135233671111</v>
      </c>
      <c r="AB149" s="209">
        <f t="shared" si="45"/>
        <v>6.1351776702222214</v>
      </c>
      <c r="AC149" s="209">
        <f t="shared" si="46"/>
        <v>5.9536264942666657</v>
      </c>
    </row>
    <row r="150" spans="1:29" s="204" customFormat="1" x14ac:dyDescent="0.2">
      <c r="A150" s="203">
        <v>44682</v>
      </c>
      <c r="B150" s="204">
        <f t="shared" si="39"/>
        <v>2022</v>
      </c>
      <c r="C150" s="206">
        <f t="shared" si="59"/>
        <v>827094.31785722508</v>
      </c>
      <c r="D150" s="206">
        <f t="shared" si="53"/>
        <v>7637.1987671899115</v>
      </c>
      <c r="E150" s="206">
        <f t="shared" si="53"/>
        <v>7600.4170716999779</v>
      </c>
      <c r="F150" s="206"/>
      <c r="G150" s="206"/>
      <c r="H150" s="206">
        <f t="shared" si="54"/>
        <v>428.29554104104443</v>
      </c>
      <c r="I150" s="206">
        <f t="shared" si="54"/>
        <v>423.65919287004448</v>
      </c>
      <c r="J150" s="206"/>
      <c r="K150" s="206"/>
      <c r="L150" s="206">
        <f t="shared" si="55"/>
        <v>200.90842074333335</v>
      </c>
      <c r="M150" s="206">
        <f t="shared" si="55"/>
        <v>197.71449200331114</v>
      </c>
      <c r="P150" s="211">
        <f t="shared" si="60"/>
        <v>4.2250000000000003E-2</v>
      </c>
      <c r="Q150" s="211">
        <f t="shared" si="61"/>
        <v>3.1333333333333331E-2</v>
      </c>
      <c r="R150" s="211">
        <f t="shared" si="61"/>
        <v>3.1333333333333331E-2</v>
      </c>
      <c r="S150" s="211">
        <f t="shared" si="61"/>
        <v>3.1333333333333331E-2</v>
      </c>
      <c r="T150" s="211">
        <f t="shared" si="61"/>
        <v>3.1333333333333331E-2</v>
      </c>
      <c r="U150" s="211">
        <f t="shared" si="61"/>
        <v>3.1333333333333331E-2</v>
      </c>
      <c r="V150" s="211">
        <f t="shared" si="61"/>
        <v>3.1333333333333331E-2</v>
      </c>
      <c r="W150" s="205">
        <f t="shared" si="51"/>
        <v>33528.169757225005</v>
      </c>
      <c r="X150" s="209">
        <f t="shared" si="52"/>
        <v>232.02866325657774</v>
      </c>
      <c r="Y150" s="209">
        <f t="shared" si="52"/>
        <v>230.91118446664441</v>
      </c>
      <c r="Z150" s="209">
        <f t="shared" si="57"/>
        <v>13.012211007711109</v>
      </c>
      <c r="AA150" s="209">
        <f t="shared" si="58"/>
        <v>12.87135233671111</v>
      </c>
      <c r="AB150" s="209">
        <f t="shared" si="45"/>
        <v>6.1038757433333322</v>
      </c>
      <c r="AC150" s="209">
        <f t="shared" si="46"/>
        <v>6.0068397699777778</v>
      </c>
    </row>
    <row r="151" spans="1:29" s="204" customFormat="1" x14ac:dyDescent="0.2">
      <c r="A151" s="203">
        <v>44713</v>
      </c>
      <c r="B151" s="204">
        <f t="shared" si="39"/>
        <v>2022</v>
      </c>
      <c r="C151" s="206">
        <f t="shared" si="59"/>
        <v>827094.31785722508</v>
      </c>
      <c r="D151" s="206">
        <f t="shared" si="53"/>
        <v>7655.435069995845</v>
      </c>
      <c r="E151" s="206">
        <f t="shared" si="53"/>
        <v>7698.5015930064683</v>
      </c>
      <c r="F151" s="206"/>
      <c r="G151" s="206"/>
      <c r="H151" s="206">
        <f t="shared" si="54"/>
        <v>428.9137207971778</v>
      </c>
      <c r="I151" s="206">
        <f t="shared" si="54"/>
        <v>427.9864511629778</v>
      </c>
      <c r="J151" s="206"/>
      <c r="K151" s="206"/>
      <c r="L151" s="206">
        <f t="shared" si="55"/>
        <v>201.62963045882222</v>
      </c>
      <c r="M151" s="206">
        <f t="shared" si="55"/>
        <v>201.93872033688891</v>
      </c>
      <c r="P151" s="211">
        <f t="shared" si="60"/>
        <v>4.2250000000000003E-2</v>
      </c>
      <c r="Q151" s="211">
        <f t="shared" si="61"/>
        <v>3.1333333333333331E-2</v>
      </c>
      <c r="R151" s="211">
        <f t="shared" si="61"/>
        <v>3.1333333333333331E-2</v>
      </c>
      <c r="S151" s="211">
        <f t="shared" si="61"/>
        <v>3.1333333333333331E-2</v>
      </c>
      <c r="T151" s="211">
        <f t="shared" si="61"/>
        <v>3.1333333333333331E-2</v>
      </c>
      <c r="U151" s="211">
        <f t="shared" si="61"/>
        <v>3.1333333333333331E-2</v>
      </c>
      <c r="V151" s="211">
        <f t="shared" si="61"/>
        <v>3.1333333333333331E-2</v>
      </c>
      <c r="W151" s="205">
        <f t="shared" si="51"/>
        <v>33528.169757225005</v>
      </c>
      <c r="X151" s="209">
        <f t="shared" si="52"/>
        <v>232.58270736251109</v>
      </c>
      <c r="Y151" s="209">
        <f t="shared" si="52"/>
        <v>233.89112790646666</v>
      </c>
      <c r="Z151" s="209">
        <f t="shared" si="57"/>
        <v>13.030992163844443</v>
      </c>
      <c r="AA151" s="209">
        <f t="shared" si="58"/>
        <v>13.002820429644443</v>
      </c>
      <c r="AB151" s="209">
        <f t="shared" si="45"/>
        <v>6.1257870921555542</v>
      </c>
      <c r="AC151" s="209">
        <f t="shared" si="46"/>
        <v>6.1351776702222214</v>
      </c>
    </row>
    <row r="152" spans="1:29" s="204" customFormat="1" x14ac:dyDescent="0.2">
      <c r="A152" s="203">
        <v>44743</v>
      </c>
      <c r="B152" s="204">
        <f t="shared" si="39"/>
        <v>2022</v>
      </c>
      <c r="C152" s="206">
        <f t="shared" si="59"/>
        <v>827094.31785722508</v>
      </c>
      <c r="D152" s="206">
        <f t="shared" si="53"/>
        <v>7658.1138489390887</v>
      </c>
      <c r="E152" s="206">
        <f t="shared" si="53"/>
        <v>7752.3862617494224</v>
      </c>
      <c r="F152" s="206"/>
      <c r="G152" s="206"/>
      <c r="H152" s="206">
        <f t="shared" si="54"/>
        <v>428.50160095975554</v>
      </c>
      <c r="I152" s="206">
        <f t="shared" si="54"/>
        <v>430.45917018751118</v>
      </c>
      <c r="J152" s="206"/>
      <c r="K152" s="206"/>
      <c r="L152" s="206">
        <f t="shared" si="55"/>
        <v>202.04175029624443</v>
      </c>
      <c r="M152" s="206">
        <f t="shared" si="55"/>
        <v>205.23567903626667</v>
      </c>
      <c r="P152" s="211">
        <f t="shared" si="60"/>
        <v>4.2250000000000003E-2</v>
      </c>
      <c r="Q152" s="211">
        <f t="shared" si="61"/>
        <v>3.1333333333333331E-2</v>
      </c>
      <c r="R152" s="211">
        <f t="shared" si="61"/>
        <v>3.1333333333333331E-2</v>
      </c>
      <c r="S152" s="211">
        <f t="shared" si="61"/>
        <v>3.1333333333333331E-2</v>
      </c>
      <c r="T152" s="211">
        <f t="shared" si="61"/>
        <v>3.1333333333333331E-2</v>
      </c>
      <c r="U152" s="211">
        <f t="shared" si="61"/>
        <v>3.1333333333333331E-2</v>
      </c>
      <c r="V152" s="211">
        <f t="shared" si="61"/>
        <v>3.1333333333333331E-2</v>
      </c>
      <c r="W152" s="205">
        <f t="shared" si="51"/>
        <v>33528.169757225005</v>
      </c>
      <c r="X152" s="209">
        <f t="shared" si="52"/>
        <v>232.66409237242218</v>
      </c>
      <c r="Y152" s="209">
        <f t="shared" si="52"/>
        <v>235.52821868275552</v>
      </c>
      <c r="Z152" s="209">
        <f t="shared" si="57"/>
        <v>13.018471393088886</v>
      </c>
      <c r="AA152" s="209">
        <f t="shared" si="58"/>
        <v>13.077945054177778</v>
      </c>
      <c r="AB152" s="209">
        <f t="shared" si="45"/>
        <v>6.1383078629111099</v>
      </c>
      <c r="AC152" s="209">
        <f t="shared" si="46"/>
        <v>6.235343836266666</v>
      </c>
    </row>
    <row r="153" spans="1:29" s="204" customFormat="1" x14ac:dyDescent="0.2">
      <c r="A153" s="203">
        <v>44774</v>
      </c>
      <c r="B153" s="204">
        <f t="shared" si="39"/>
        <v>2022</v>
      </c>
      <c r="C153" s="206">
        <f t="shared" si="59"/>
        <v>827094.31785722508</v>
      </c>
      <c r="D153" s="206">
        <f t="shared" si="53"/>
        <v>7675.3198521514678</v>
      </c>
      <c r="E153" s="206">
        <f t="shared" si="53"/>
        <v>7769.3862050430889</v>
      </c>
      <c r="F153" s="206"/>
      <c r="G153" s="206"/>
      <c r="H153" s="206">
        <f t="shared" si="54"/>
        <v>431.48946978106665</v>
      </c>
      <c r="I153" s="206">
        <f t="shared" si="54"/>
        <v>435.09551835851107</v>
      </c>
      <c r="J153" s="206"/>
      <c r="K153" s="206"/>
      <c r="L153" s="206">
        <f t="shared" si="55"/>
        <v>203.99931952400001</v>
      </c>
      <c r="M153" s="206">
        <f t="shared" si="55"/>
        <v>208.12051789822223</v>
      </c>
      <c r="P153" s="211">
        <f t="shared" si="60"/>
        <v>4.2250000000000003E-2</v>
      </c>
      <c r="Q153" s="211">
        <f t="shared" si="61"/>
        <v>3.1333333333333331E-2</v>
      </c>
      <c r="R153" s="211">
        <f t="shared" si="61"/>
        <v>3.1333333333333331E-2</v>
      </c>
      <c r="S153" s="211">
        <f t="shared" si="61"/>
        <v>3.1333333333333331E-2</v>
      </c>
      <c r="T153" s="211">
        <f t="shared" si="61"/>
        <v>3.1333333333333331E-2</v>
      </c>
      <c r="U153" s="211">
        <f t="shared" si="61"/>
        <v>3.1333333333333331E-2</v>
      </c>
      <c r="V153" s="211">
        <f t="shared" si="61"/>
        <v>3.1333333333333331E-2</v>
      </c>
      <c r="W153" s="205">
        <f t="shared" si="51"/>
        <v>33528.169757225005</v>
      </c>
      <c r="X153" s="209">
        <f t="shared" si="52"/>
        <v>233.18683455146666</v>
      </c>
      <c r="Y153" s="209">
        <f t="shared" si="52"/>
        <v>236.04470047642218</v>
      </c>
      <c r="Z153" s="209">
        <f t="shared" si="57"/>
        <v>13.109246981066665</v>
      </c>
      <c r="AA153" s="209">
        <f t="shared" si="58"/>
        <v>13.218803725177775</v>
      </c>
      <c r="AB153" s="209">
        <f t="shared" si="45"/>
        <v>6.1977815239999989</v>
      </c>
      <c r="AC153" s="209">
        <f t="shared" si="46"/>
        <v>6.3229892315555549</v>
      </c>
    </row>
    <row r="154" spans="1:29" s="204" customFormat="1" x14ac:dyDescent="0.2">
      <c r="A154" s="203">
        <v>44805</v>
      </c>
      <c r="B154" s="204">
        <f t="shared" si="39"/>
        <v>2022</v>
      </c>
      <c r="C154" s="206">
        <f t="shared" si="59"/>
        <v>827094.31785722508</v>
      </c>
      <c r="D154" s="206">
        <f t="shared" si="53"/>
        <v>7704.889450486512</v>
      </c>
      <c r="E154" s="206">
        <f t="shared" si="53"/>
        <v>7763.3074374411117</v>
      </c>
      <c r="F154" s="206"/>
      <c r="G154" s="206"/>
      <c r="H154" s="206">
        <f t="shared" si="54"/>
        <v>432.62279933397781</v>
      </c>
      <c r="I154" s="206">
        <f t="shared" si="54"/>
        <v>435.91975803335561</v>
      </c>
      <c r="J154" s="206"/>
      <c r="K154" s="206"/>
      <c r="L154" s="206">
        <f t="shared" si="55"/>
        <v>206.2659786298222</v>
      </c>
      <c r="M154" s="206">
        <f t="shared" si="55"/>
        <v>209.25384745113334</v>
      </c>
      <c r="P154" s="211">
        <f t="shared" si="60"/>
        <v>4.2250000000000003E-2</v>
      </c>
      <c r="Q154" s="211">
        <f t="shared" si="61"/>
        <v>3.1333333333333331E-2</v>
      </c>
      <c r="R154" s="211">
        <f t="shared" si="61"/>
        <v>3.1333333333333331E-2</v>
      </c>
      <c r="S154" s="211">
        <f t="shared" si="61"/>
        <v>3.1333333333333331E-2</v>
      </c>
      <c r="T154" s="211">
        <f t="shared" si="61"/>
        <v>3.1333333333333331E-2</v>
      </c>
      <c r="U154" s="211">
        <f t="shared" si="61"/>
        <v>3.1333333333333331E-2</v>
      </c>
      <c r="V154" s="211">
        <f t="shared" si="61"/>
        <v>3.1333333333333331E-2</v>
      </c>
      <c r="W154" s="205">
        <f t="shared" si="51"/>
        <v>33528.169757225005</v>
      </c>
      <c r="X154" s="209">
        <f t="shared" si="52"/>
        <v>234.08519985317776</v>
      </c>
      <c r="Y154" s="209">
        <f t="shared" si="52"/>
        <v>235.86001910777776</v>
      </c>
      <c r="Z154" s="209">
        <f t="shared" si="57"/>
        <v>13.143679100644443</v>
      </c>
      <c r="AA154" s="209">
        <f t="shared" si="58"/>
        <v>13.243845266688888</v>
      </c>
      <c r="AB154" s="209">
        <f t="shared" si="45"/>
        <v>6.2666457631555543</v>
      </c>
      <c r="AC154" s="209">
        <f t="shared" si="46"/>
        <v>6.3574213511333326</v>
      </c>
    </row>
    <row r="155" spans="1:29" s="204" customFormat="1" x14ac:dyDescent="0.2">
      <c r="A155" s="203">
        <v>44835</v>
      </c>
      <c r="B155" s="204">
        <f t="shared" si="39"/>
        <v>2022</v>
      </c>
      <c r="C155" s="206">
        <f t="shared" si="59"/>
        <v>827094.31785722508</v>
      </c>
      <c r="D155" s="206">
        <f t="shared" si="53"/>
        <v>7731.3681500408893</v>
      </c>
      <c r="E155" s="206">
        <f t="shared" si="53"/>
        <v>7766.913486018555</v>
      </c>
      <c r="F155" s="206"/>
      <c r="G155" s="206"/>
      <c r="H155" s="206">
        <f t="shared" si="54"/>
        <v>440.24701632628899</v>
      </c>
      <c r="I155" s="206">
        <f t="shared" si="54"/>
        <v>446.53184384697778</v>
      </c>
      <c r="J155" s="206"/>
      <c r="K155" s="206"/>
      <c r="L155" s="206">
        <f t="shared" si="55"/>
        <v>208.53263773564447</v>
      </c>
      <c r="M155" s="206">
        <f t="shared" si="55"/>
        <v>210.49020696340003</v>
      </c>
      <c r="P155" s="211">
        <f t="shared" si="60"/>
        <v>4.2250000000000003E-2</v>
      </c>
      <c r="Q155" s="211">
        <f t="shared" si="61"/>
        <v>3.1333333333333331E-2</v>
      </c>
      <c r="R155" s="211">
        <f t="shared" si="61"/>
        <v>3.1333333333333331E-2</v>
      </c>
      <c r="S155" s="211">
        <f t="shared" si="61"/>
        <v>3.1333333333333331E-2</v>
      </c>
      <c r="T155" s="211">
        <f t="shared" si="61"/>
        <v>3.1333333333333331E-2</v>
      </c>
      <c r="U155" s="211">
        <f t="shared" si="61"/>
        <v>3.1333333333333331E-2</v>
      </c>
      <c r="V155" s="211">
        <f t="shared" si="61"/>
        <v>3.1333333333333331E-2</v>
      </c>
      <c r="W155" s="205">
        <f t="shared" si="51"/>
        <v>33528.169757225005</v>
      </c>
      <c r="X155" s="209">
        <f t="shared" si="52"/>
        <v>234.88965937422219</v>
      </c>
      <c r="Y155" s="209">
        <f t="shared" si="52"/>
        <v>235.96957585188883</v>
      </c>
      <c r="Z155" s="209">
        <f t="shared" si="57"/>
        <v>13.375313359622222</v>
      </c>
      <c r="AA155" s="209">
        <f t="shared" si="58"/>
        <v>13.566255113644441</v>
      </c>
      <c r="AB155" s="209">
        <f t="shared" si="45"/>
        <v>6.3355100023111106</v>
      </c>
      <c r="AC155" s="209">
        <f t="shared" si="46"/>
        <v>6.3949836633999997</v>
      </c>
    </row>
    <row r="156" spans="1:29" s="204" customFormat="1" x14ac:dyDescent="0.2">
      <c r="A156" s="203">
        <v>44866</v>
      </c>
      <c r="B156" s="204">
        <f t="shared" si="39"/>
        <v>2022</v>
      </c>
      <c r="C156" s="206">
        <f t="shared" si="59"/>
        <v>827094.31785722508</v>
      </c>
      <c r="D156" s="206">
        <f t="shared" si="53"/>
        <v>7745.0711346351791</v>
      </c>
      <c r="E156" s="206">
        <f t="shared" si="53"/>
        <v>7758.2589694326898</v>
      </c>
      <c r="F156" s="206"/>
      <c r="G156" s="206"/>
      <c r="H156" s="206">
        <f t="shared" si="54"/>
        <v>440.45307624499998</v>
      </c>
      <c r="I156" s="206">
        <f t="shared" si="54"/>
        <v>447.45911348117778</v>
      </c>
      <c r="J156" s="206"/>
      <c r="K156" s="206"/>
      <c r="L156" s="206">
        <f t="shared" si="55"/>
        <v>211.10838671953334</v>
      </c>
      <c r="M156" s="206">
        <f t="shared" si="55"/>
        <v>211.41747659760003</v>
      </c>
      <c r="P156" s="211">
        <f t="shared" si="60"/>
        <v>4.2250000000000003E-2</v>
      </c>
      <c r="Q156" s="211">
        <f t="shared" si="61"/>
        <v>3.1333333333333331E-2</v>
      </c>
      <c r="R156" s="211">
        <f t="shared" si="61"/>
        <v>3.1333333333333331E-2</v>
      </c>
      <c r="S156" s="211">
        <f t="shared" si="61"/>
        <v>3.1333333333333331E-2</v>
      </c>
      <c r="T156" s="211">
        <f t="shared" si="61"/>
        <v>3.1333333333333331E-2</v>
      </c>
      <c r="U156" s="211">
        <f t="shared" si="61"/>
        <v>3.1333333333333331E-2</v>
      </c>
      <c r="V156" s="211">
        <f t="shared" si="61"/>
        <v>3.1333333333333331E-2</v>
      </c>
      <c r="W156" s="205">
        <f t="shared" si="51"/>
        <v>33528.169757225005</v>
      </c>
      <c r="X156" s="209">
        <f t="shared" si="52"/>
        <v>235.30597500184444</v>
      </c>
      <c r="Y156" s="209">
        <f t="shared" si="52"/>
        <v>235.7066396660222</v>
      </c>
      <c r="Z156" s="209">
        <f t="shared" si="57"/>
        <v>13.381573744999997</v>
      </c>
      <c r="AA156" s="209">
        <f t="shared" si="58"/>
        <v>13.594426847844442</v>
      </c>
      <c r="AB156" s="209">
        <f t="shared" si="45"/>
        <v>6.4137648195333323</v>
      </c>
      <c r="AC156" s="209">
        <f t="shared" si="46"/>
        <v>6.4231553975999995</v>
      </c>
    </row>
    <row r="157" spans="1:29" s="204" customFormat="1" x14ac:dyDescent="0.2">
      <c r="A157" s="203">
        <v>44896</v>
      </c>
      <c r="B157" s="204">
        <f t="shared" si="39"/>
        <v>2022</v>
      </c>
      <c r="C157" s="206">
        <f t="shared" si="59"/>
        <v>827094.31785722508</v>
      </c>
      <c r="D157" s="206">
        <f t="shared" si="53"/>
        <v>7753.0044415055563</v>
      </c>
      <c r="E157" s="206">
        <f t="shared" si="53"/>
        <v>7763.5134973598224</v>
      </c>
      <c r="F157" s="206"/>
      <c r="G157" s="206"/>
      <c r="H157" s="206">
        <f t="shared" si="54"/>
        <v>442.51367543211114</v>
      </c>
      <c r="I157" s="206">
        <f t="shared" si="54"/>
        <v>450.85910213991122</v>
      </c>
      <c r="J157" s="206"/>
      <c r="K157" s="206"/>
      <c r="L157" s="206">
        <f t="shared" si="55"/>
        <v>212.75686606922224</v>
      </c>
      <c r="M157" s="206">
        <f t="shared" si="55"/>
        <v>213.06595594728893</v>
      </c>
      <c r="P157" s="211">
        <f t="shared" si="60"/>
        <v>4.2250000000000003E-2</v>
      </c>
      <c r="Q157" s="211">
        <f t="shared" si="61"/>
        <v>3.1333333333333331E-2</v>
      </c>
      <c r="R157" s="211">
        <f t="shared" si="61"/>
        <v>3.1333333333333331E-2</v>
      </c>
      <c r="S157" s="211">
        <f t="shared" si="61"/>
        <v>3.1333333333333331E-2</v>
      </c>
      <c r="T157" s="211">
        <f t="shared" si="61"/>
        <v>3.1333333333333331E-2</v>
      </c>
      <c r="U157" s="211">
        <f t="shared" si="61"/>
        <v>3.1333333333333331E-2</v>
      </c>
      <c r="V157" s="211">
        <f t="shared" si="61"/>
        <v>3.1333333333333331E-2</v>
      </c>
      <c r="W157" s="205">
        <f t="shared" si="51"/>
        <v>33528.169757225005</v>
      </c>
      <c r="X157" s="209">
        <f t="shared" si="52"/>
        <v>235.54699983888887</v>
      </c>
      <c r="Y157" s="209">
        <f t="shared" si="52"/>
        <v>235.86627949315553</v>
      </c>
      <c r="Z157" s="209">
        <f t="shared" si="57"/>
        <v>13.444177598777777</v>
      </c>
      <c r="AA157" s="209">
        <f t="shared" si="58"/>
        <v>13.697723206577777</v>
      </c>
      <c r="AB157" s="209">
        <f t="shared" si="45"/>
        <v>6.4638479025555551</v>
      </c>
      <c r="AC157" s="209">
        <f t="shared" si="46"/>
        <v>6.4732384806222223</v>
      </c>
    </row>
    <row r="159" spans="1:29" x14ac:dyDescent="0.2">
      <c r="C159" s="210"/>
    </row>
    <row r="161" spans="5:6" x14ac:dyDescent="0.2">
      <c r="E161" s="207"/>
    </row>
    <row r="162" spans="5:6" x14ac:dyDescent="0.2">
      <c r="E162" s="155"/>
      <c r="F162" s="208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66"/>
  <sheetViews>
    <sheetView topLeftCell="A49" workbookViewId="0">
      <selection activeCell="K26" sqref="K26"/>
    </sheetView>
  </sheetViews>
  <sheetFormatPr defaultRowHeight="12.75" x14ac:dyDescent="0.2"/>
  <cols>
    <col min="3" max="4" width="17.42578125" customWidth="1"/>
    <col min="5" max="5" width="12.42578125" customWidth="1"/>
    <col min="6" max="8" width="13.42578125" customWidth="1"/>
    <col min="10" max="10" width="31" customWidth="1"/>
    <col min="11" max="16" width="12.85546875" bestFit="1" customWidth="1"/>
    <col min="17" max="22" width="14" bestFit="1" customWidth="1"/>
  </cols>
  <sheetData>
    <row r="1" spans="1:22" ht="13.5" thickBot="1" x14ac:dyDescent="0.25">
      <c r="O1" s="55" t="s">
        <v>133</v>
      </c>
    </row>
    <row r="2" spans="1:22" s="164" customFormat="1" ht="38.25" x14ac:dyDescent="0.2">
      <c r="C2" s="164" t="str">
        <f>J17</f>
        <v>Persistance from Previous Programs</v>
      </c>
      <c r="D2" s="165" t="s">
        <v>150</v>
      </c>
      <c r="E2" s="165" t="s">
        <v>141</v>
      </c>
      <c r="F2" s="165" t="s">
        <v>140</v>
      </c>
      <c r="G2" s="165" t="s">
        <v>177</v>
      </c>
      <c r="J2" s="165" t="s">
        <v>134</v>
      </c>
      <c r="K2" s="166">
        <v>2011</v>
      </c>
      <c r="L2" s="167">
        <v>2012</v>
      </c>
      <c r="M2" s="167">
        <v>2013</v>
      </c>
      <c r="N2" s="167">
        <f>M2+1</f>
        <v>2014</v>
      </c>
      <c r="O2" s="167">
        <f t="shared" ref="O2:V2" si="0">N2+1</f>
        <v>2015</v>
      </c>
      <c r="P2" s="167">
        <f t="shared" si="0"/>
        <v>2016</v>
      </c>
      <c r="Q2" s="167">
        <f t="shared" si="0"/>
        <v>2017</v>
      </c>
      <c r="R2" s="167">
        <f t="shared" si="0"/>
        <v>2018</v>
      </c>
      <c r="S2" s="167">
        <f t="shared" si="0"/>
        <v>2019</v>
      </c>
      <c r="T2" s="167">
        <f t="shared" si="0"/>
        <v>2020</v>
      </c>
      <c r="U2" s="167">
        <f t="shared" si="0"/>
        <v>2021</v>
      </c>
      <c r="V2" s="168">
        <f t="shared" si="0"/>
        <v>2022</v>
      </c>
    </row>
    <row r="3" spans="1:22" x14ac:dyDescent="0.2">
      <c r="A3">
        <v>2011</v>
      </c>
      <c r="C3" s="128">
        <v>0</v>
      </c>
      <c r="D3" s="128">
        <f t="shared" ref="D3:D14" ca="1" si="1">OFFSET($K$18,0,ROW()-ROW($C$3))</f>
        <v>520824.32094810746</v>
      </c>
      <c r="E3" s="128">
        <f ca="1">D3/$I$15</f>
        <v>6677.2348839500955</v>
      </c>
      <c r="F3" s="128">
        <f t="shared" ref="F3:F14" ca="1" si="2">SUMIFS($D$23:$D$166,$B$23:$B$166,A3)</f>
        <v>520824.3209481074</v>
      </c>
      <c r="G3" s="71">
        <f ca="1">(C3+D3)/12</f>
        <v>43402.026745675619</v>
      </c>
      <c r="H3" s="163" t="s">
        <v>103</v>
      </c>
      <c r="I3" s="163">
        <v>1</v>
      </c>
      <c r="J3">
        <v>2011</v>
      </c>
      <c r="K3" s="157">
        <v>1041648.6418962149</v>
      </c>
      <c r="L3" s="158">
        <v>1026349.691896215</v>
      </c>
      <c r="M3" s="158">
        <v>1026349.691896215</v>
      </c>
      <c r="N3" s="158">
        <v>1006406.5829872543</v>
      </c>
      <c r="O3" s="158">
        <v>977554.05005522619</v>
      </c>
      <c r="P3" s="158">
        <v>918572.95522450272</v>
      </c>
      <c r="Q3" s="158">
        <v>846197.38308244769</v>
      </c>
      <c r="R3" s="158">
        <v>845560.36315729388</v>
      </c>
      <c r="S3" s="158">
        <v>864726.87450015324</v>
      </c>
      <c r="T3" s="158">
        <v>805070.83260286157</v>
      </c>
      <c r="U3" s="158">
        <v>784649.32796507794</v>
      </c>
      <c r="V3" s="159">
        <v>748849.04692169407</v>
      </c>
    </row>
    <row r="4" spans="1:22" x14ac:dyDescent="0.2">
      <c r="A4">
        <f>A3+1</f>
        <v>2012</v>
      </c>
      <c r="C4" s="128">
        <f ca="1">OFFSET($K$17,0,ROW()-ROW($C$3))</f>
        <v>1026349.691896215</v>
      </c>
      <c r="D4" s="128">
        <f t="shared" ca="1" si="1"/>
        <v>506374.80166638503</v>
      </c>
      <c r="E4" s="128">
        <f t="shared" ref="E4:E14" ca="1" si="3">D4/$I$15</f>
        <v>6491.9846367485261</v>
      </c>
      <c r="F4" s="128">
        <f t="shared" ca="1" si="2"/>
        <v>1532724.4935625999</v>
      </c>
      <c r="G4" s="71">
        <f t="shared" ref="G4:G13" ca="1" si="4">(C4+D4)/12</f>
        <v>127727.04113021668</v>
      </c>
      <c r="H4" s="163" t="s">
        <v>104</v>
      </c>
      <c r="I4" s="163">
        <v>2</v>
      </c>
      <c r="J4">
        <v>2012</v>
      </c>
      <c r="K4" s="157">
        <v>0</v>
      </c>
      <c r="L4" s="158">
        <v>1012749.6033327701</v>
      </c>
      <c r="M4" s="158">
        <v>1004291.23633277</v>
      </c>
      <c r="N4" s="158">
        <v>1004291.23633277</v>
      </c>
      <c r="O4" s="158">
        <v>973180.18952605384</v>
      </c>
      <c r="P4" s="158">
        <v>890043.40954714094</v>
      </c>
      <c r="Q4" s="158">
        <v>744583.25670375652</v>
      </c>
      <c r="R4" s="158">
        <v>728546.07520689967</v>
      </c>
      <c r="S4" s="158">
        <v>728332.40622012096</v>
      </c>
      <c r="T4" s="158">
        <v>723815.66096784908</v>
      </c>
      <c r="U4" s="158">
        <v>706277.94408095814</v>
      </c>
      <c r="V4" s="159">
        <v>697370.86310781329</v>
      </c>
    </row>
    <row r="5" spans="1:22" x14ac:dyDescent="0.2">
      <c r="A5">
        <f t="shared" ref="A5:A14" si="5">A4+1</f>
        <v>2013</v>
      </c>
      <c r="C5" s="128">
        <f t="shared" ref="C5:C14" ca="1" si="6">OFFSET($K$17,0,ROW()-ROW($C$3))</f>
        <v>2030640.9282289851</v>
      </c>
      <c r="D5" s="128">
        <f t="shared" ca="1" si="1"/>
        <v>625090.05913050973</v>
      </c>
      <c r="E5" s="128">
        <f t="shared" ca="1" si="3"/>
        <v>8013.9751170578174</v>
      </c>
      <c r="F5" s="128">
        <f t="shared" ca="1" si="2"/>
        <v>2655730.9873594944</v>
      </c>
      <c r="G5" s="71">
        <f t="shared" ca="1" si="4"/>
        <v>221310.91561329123</v>
      </c>
      <c r="H5" s="163" t="s">
        <v>105</v>
      </c>
      <c r="I5" s="163">
        <v>3</v>
      </c>
      <c r="J5">
        <v>2013</v>
      </c>
      <c r="K5" s="157">
        <v>0</v>
      </c>
      <c r="L5" s="158">
        <v>0</v>
      </c>
      <c r="M5" s="158">
        <v>1250180.1182610195</v>
      </c>
      <c r="N5" s="158">
        <v>1242674.0930295193</v>
      </c>
      <c r="O5" s="158">
        <v>1215653.2359167244</v>
      </c>
      <c r="P5" s="158">
        <v>1148597.8241946052</v>
      </c>
      <c r="Q5" s="158">
        <v>1049239.4356091432</v>
      </c>
      <c r="R5" s="158">
        <v>1021577.6580177359</v>
      </c>
      <c r="S5" s="158">
        <v>1021577.6580177359</v>
      </c>
      <c r="T5" s="158">
        <v>1012492.3520219841</v>
      </c>
      <c r="U5" s="158">
        <v>991770.88629939011</v>
      </c>
      <c r="V5" s="159">
        <v>859410.03180505813</v>
      </c>
    </row>
    <row r="6" spans="1:22" x14ac:dyDescent="0.2">
      <c r="A6">
        <f t="shared" si="5"/>
        <v>2014</v>
      </c>
      <c r="C6" s="128">
        <f t="shared" ca="1" si="6"/>
        <v>3253371.9123495435</v>
      </c>
      <c r="D6" s="128">
        <f t="shared" ca="1" si="1"/>
        <v>511346.06619663344</v>
      </c>
      <c r="E6" s="128">
        <f t="shared" ca="1" si="3"/>
        <v>6555.7187973927366</v>
      </c>
      <c r="F6" s="128">
        <f t="shared" ca="1" si="2"/>
        <v>3764717.9785461775</v>
      </c>
      <c r="G6" s="71">
        <f t="shared" ca="1" si="4"/>
        <v>313726.49821218144</v>
      </c>
      <c r="H6" s="163" t="s">
        <v>106</v>
      </c>
      <c r="I6" s="163">
        <v>4</v>
      </c>
      <c r="J6">
        <v>2014</v>
      </c>
      <c r="K6" s="157">
        <v>0</v>
      </c>
      <c r="L6" s="158">
        <v>0</v>
      </c>
      <c r="M6" s="158">
        <v>0</v>
      </c>
      <c r="N6" s="158">
        <v>1022692.1323932669</v>
      </c>
      <c r="O6" s="158">
        <v>981141.06574326684</v>
      </c>
      <c r="P6" s="158">
        <v>915782.5024432668</v>
      </c>
      <c r="Q6" s="158">
        <v>893209.69955006673</v>
      </c>
      <c r="R6" s="158">
        <v>819887.83698459703</v>
      </c>
      <c r="S6" s="158">
        <v>811714.42767660005</v>
      </c>
      <c r="T6" s="158">
        <v>807650.95157659997</v>
      </c>
      <c r="U6" s="158">
        <v>807442.04436659999</v>
      </c>
      <c r="V6" s="159">
        <v>783295.88706660003</v>
      </c>
    </row>
    <row r="7" spans="1:22" x14ac:dyDescent="0.2">
      <c r="A7">
        <f t="shared" si="5"/>
        <v>2015</v>
      </c>
      <c r="C7" s="128">
        <f t="shared" ca="1" si="6"/>
        <v>4147528.5412412714</v>
      </c>
      <c r="D7" s="128">
        <f t="shared" ca="1" si="1"/>
        <v>1584737.5</v>
      </c>
      <c r="E7" s="128">
        <f t="shared" ca="1" si="3"/>
        <v>20317.147435897437</v>
      </c>
      <c r="F7" s="128">
        <f t="shared" ca="1" si="2"/>
        <v>5732266.0412412714</v>
      </c>
      <c r="G7" s="71">
        <f t="shared" ca="1" si="4"/>
        <v>477688.83677010593</v>
      </c>
      <c r="H7" s="163" t="s">
        <v>38</v>
      </c>
      <c r="I7" s="163">
        <v>5</v>
      </c>
      <c r="J7">
        <v>2015</v>
      </c>
      <c r="K7" s="157">
        <v>0</v>
      </c>
      <c r="L7" s="158">
        <v>0</v>
      </c>
      <c r="M7" s="158">
        <v>0</v>
      </c>
      <c r="N7" s="158">
        <v>0</v>
      </c>
      <c r="O7" s="158">
        <v>3169475</v>
      </c>
      <c r="P7" s="158">
        <v>3164256</v>
      </c>
      <c r="Q7" s="158">
        <v>3164226</v>
      </c>
      <c r="R7" s="158">
        <v>3173178</v>
      </c>
      <c r="S7" s="158">
        <v>3172669</v>
      </c>
      <c r="T7" s="158">
        <v>3170227</v>
      </c>
      <c r="U7" s="158">
        <v>3170228</v>
      </c>
      <c r="V7" s="159">
        <v>3170082</v>
      </c>
    </row>
    <row r="8" spans="1:22" x14ac:dyDescent="0.2">
      <c r="A8">
        <f t="shared" si="5"/>
        <v>2016</v>
      </c>
      <c r="C8" s="128">
        <f t="shared" ca="1" si="6"/>
        <v>7037252.6914095161</v>
      </c>
      <c r="D8" s="128">
        <f t="shared" ca="1" si="1"/>
        <v>1392686.5</v>
      </c>
      <c r="E8" s="128">
        <f t="shared" ca="1" si="3"/>
        <v>17854.955128205129</v>
      </c>
      <c r="F8" s="128">
        <f t="shared" ca="1" si="2"/>
        <v>8429939.1914095152</v>
      </c>
      <c r="G8" s="71">
        <f t="shared" ca="1" si="4"/>
        <v>702494.9326174598</v>
      </c>
      <c r="H8" s="163" t="s">
        <v>136</v>
      </c>
      <c r="I8" s="163">
        <v>6</v>
      </c>
      <c r="J8">
        <v>2016</v>
      </c>
      <c r="K8" s="157">
        <v>0</v>
      </c>
      <c r="L8" s="158">
        <v>0</v>
      </c>
      <c r="M8" s="158">
        <v>0</v>
      </c>
      <c r="N8" s="158">
        <v>0</v>
      </c>
      <c r="O8" s="158">
        <v>0</v>
      </c>
      <c r="P8" s="158">
        <v>2785373</v>
      </c>
      <c r="Q8" s="158">
        <v>2785373</v>
      </c>
      <c r="R8" s="158">
        <v>2785735</v>
      </c>
      <c r="S8" s="158">
        <v>2783484</v>
      </c>
      <c r="T8" s="158">
        <v>2764182</v>
      </c>
      <c r="U8" s="158">
        <v>2729965</v>
      </c>
      <c r="V8" s="159">
        <v>2684150</v>
      </c>
    </row>
    <row r="9" spans="1:22" x14ac:dyDescent="0.2">
      <c r="A9">
        <f t="shared" si="5"/>
        <v>2017</v>
      </c>
      <c r="C9" s="128">
        <f t="shared" ca="1" si="6"/>
        <v>9482828.7749454137</v>
      </c>
      <c r="D9" s="128">
        <f t="shared" ca="1" si="1"/>
        <v>1294845.330393909</v>
      </c>
      <c r="E9" s="128">
        <f t="shared" ca="1" si="3"/>
        <v>16600.581158896268</v>
      </c>
      <c r="F9" s="128">
        <f t="shared" ca="1" si="2"/>
        <v>10777674.105339322</v>
      </c>
      <c r="G9" s="71">
        <f t="shared" ca="1" si="4"/>
        <v>898139.50877827685</v>
      </c>
      <c r="H9" s="163" t="s">
        <v>137</v>
      </c>
      <c r="I9" s="163">
        <v>7</v>
      </c>
      <c r="J9">
        <v>2017</v>
      </c>
      <c r="K9" s="157">
        <v>0</v>
      </c>
      <c r="L9" s="158">
        <v>0</v>
      </c>
      <c r="M9" s="158">
        <v>0</v>
      </c>
      <c r="N9" s="158">
        <v>0</v>
      </c>
      <c r="O9" s="158">
        <v>0</v>
      </c>
      <c r="P9" s="158">
        <v>0</v>
      </c>
      <c r="Q9" s="158">
        <v>2589690.660787818</v>
      </c>
      <c r="R9" s="158">
        <v>2200666.8778180284</v>
      </c>
      <c r="S9" s="158">
        <v>2199904.0948482389</v>
      </c>
      <c r="T9" s="158">
        <v>2195859.3118784497</v>
      </c>
      <c r="U9" s="158">
        <v>2195774.5289086602</v>
      </c>
      <c r="V9" s="159">
        <v>2068948.7459388708</v>
      </c>
    </row>
    <row r="10" spans="1:22" x14ac:dyDescent="0.2">
      <c r="A10">
        <f t="shared" si="5"/>
        <v>2018</v>
      </c>
      <c r="C10" s="128">
        <f t="shared" ca="1" si="6"/>
        <v>11575151.811184555</v>
      </c>
      <c r="D10" s="128">
        <f t="shared" ca="1" si="1"/>
        <v>497189.29036394379</v>
      </c>
      <c r="E10" s="128">
        <f t="shared" ca="1" si="3"/>
        <v>6374.2216713326125</v>
      </c>
      <c r="F10" s="128">
        <f t="shared" ca="1" si="2"/>
        <v>12072341.1015485</v>
      </c>
      <c r="G10" s="71">
        <f t="shared" ca="1" si="4"/>
        <v>1006028.4251290415</v>
      </c>
      <c r="H10" s="163" t="s">
        <v>138</v>
      </c>
      <c r="I10" s="163">
        <v>8</v>
      </c>
      <c r="J10">
        <v>2018</v>
      </c>
      <c r="K10" s="157"/>
      <c r="L10" s="158"/>
      <c r="M10" s="158"/>
      <c r="N10" s="158"/>
      <c r="O10" s="158"/>
      <c r="P10" s="158"/>
      <c r="Q10" s="158"/>
      <c r="R10" s="158">
        <v>994378.58072788757</v>
      </c>
      <c r="S10" s="158">
        <v>974276.66058995668</v>
      </c>
      <c r="T10" s="158">
        <v>954174.7404520259</v>
      </c>
      <c r="U10" s="158">
        <v>934072.82031409512</v>
      </c>
      <c r="V10" s="159">
        <v>913970.90017616423</v>
      </c>
    </row>
    <row r="11" spans="1:22" x14ac:dyDescent="0.2">
      <c r="A11">
        <f t="shared" si="5"/>
        <v>2019</v>
      </c>
      <c r="C11" s="128">
        <f t="shared" ca="1" si="6"/>
        <v>12556685.121852804</v>
      </c>
      <c r="D11" s="128">
        <f t="shared" ca="1" si="1"/>
        <v>83208.518546974854</v>
      </c>
      <c r="E11" s="128">
        <f ca="1">D11/$I$15</f>
        <v>1066.77587880737</v>
      </c>
      <c r="F11" s="128">
        <f t="shared" ca="1" si="2"/>
        <v>12639893.64039978</v>
      </c>
      <c r="G11" s="71">
        <f t="shared" ca="1" si="4"/>
        <v>1053324.4700333148</v>
      </c>
      <c r="H11" s="163" t="s">
        <v>139</v>
      </c>
      <c r="I11" s="163">
        <v>9</v>
      </c>
      <c r="J11">
        <v>2019</v>
      </c>
      <c r="K11" s="157"/>
      <c r="L11" s="158"/>
      <c r="M11" s="158"/>
      <c r="N11" s="158"/>
      <c r="O11" s="158"/>
      <c r="P11" s="158"/>
      <c r="Q11" s="158"/>
      <c r="R11" s="158"/>
      <c r="S11" s="158">
        <v>166417.03709394971</v>
      </c>
      <c r="T11" s="158">
        <v>155910.43020563002</v>
      </c>
      <c r="U11" s="158">
        <v>145403.82331731034</v>
      </c>
      <c r="V11" s="159">
        <v>134897.21642899065</v>
      </c>
    </row>
    <row r="12" spans="1:22" x14ac:dyDescent="0.2">
      <c r="A12">
        <f t="shared" si="5"/>
        <v>2020</v>
      </c>
      <c r="C12" s="128">
        <f t="shared" ca="1" si="6"/>
        <v>12589383.2797054</v>
      </c>
      <c r="D12" s="128">
        <f t="shared" ca="1" si="1"/>
        <v>0</v>
      </c>
      <c r="E12" s="128">
        <f t="shared" ca="1" si="3"/>
        <v>0</v>
      </c>
      <c r="F12" s="128">
        <f t="shared" ca="1" si="2"/>
        <v>12589383.279705403</v>
      </c>
      <c r="G12" s="71">
        <f t="shared" ca="1" si="4"/>
        <v>1049115.2733087833</v>
      </c>
      <c r="H12" s="163" t="s">
        <v>108</v>
      </c>
      <c r="I12" s="163">
        <v>10</v>
      </c>
      <c r="J12">
        <v>2020</v>
      </c>
      <c r="K12" s="157"/>
      <c r="L12" s="158"/>
      <c r="M12" s="158"/>
      <c r="N12" s="158"/>
      <c r="O12" s="158"/>
      <c r="P12" s="158"/>
      <c r="Q12" s="158"/>
      <c r="R12" s="158"/>
      <c r="S12" s="158"/>
      <c r="T12" s="158"/>
      <c r="U12" s="158"/>
      <c r="V12" s="159"/>
    </row>
    <row r="13" spans="1:22" x14ac:dyDescent="0.2">
      <c r="A13">
        <f t="shared" si="5"/>
        <v>2021</v>
      </c>
      <c r="C13" s="128">
        <f t="shared" ca="1" si="6"/>
        <v>12465584.37525209</v>
      </c>
      <c r="D13" s="128">
        <f t="shared" ca="1" si="1"/>
        <v>0</v>
      </c>
      <c r="E13" s="128">
        <f t="shared" ca="1" si="3"/>
        <v>0</v>
      </c>
      <c r="F13" s="128">
        <f t="shared" ca="1" si="2"/>
        <v>12465584.375252092</v>
      </c>
      <c r="G13" s="71">
        <f t="shared" ca="1" si="4"/>
        <v>1038798.6979376742</v>
      </c>
      <c r="H13" s="163" t="s">
        <v>109</v>
      </c>
      <c r="I13" s="163">
        <v>11</v>
      </c>
      <c r="J13">
        <v>2021</v>
      </c>
      <c r="K13" s="157"/>
      <c r="L13" s="158"/>
      <c r="M13" s="158"/>
      <c r="N13" s="158"/>
      <c r="O13" s="158"/>
      <c r="P13" s="158"/>
      <c r="Q13" s="158"/>
      <c r="R13" s="158"/>
      <c r="S13" s="158"/>
      <c r="T13" s="158"/>
      <c r="U13" s="158"/>
      <c r="V13" s="159"/>
    </row>
    <row r="14" spans="1:22" ht="13.5" thickBot="1" x14ac:dyDescent="0.25">
      <c r="A14">
        <f t="shared" si="5"/>
        <v>2022</v>
      </c>
      <c r="C14" s="128">
        <f t="shared" ca="1" si="6"/>
        <v>12060974.69144519</v>
      </c>
      <c r="D14" s="128">
        <f t="shared" ca="1" si="1"/>
        <v>0</v>
      </c>
      <c r="E14" s="128">
        <f t="shared" ca="1" si="3"/>
        <v>0</v>
      </c>
      <c r="F14" s="128">
        <f t="shared" ca="1" si="2"/>
        <v>12060974.691445194</v>
      </c>
      <c r="G14" s="71">
        <f ca="1">(C14+D14)/12</f>
        <v>1005081.2242870992</v>
      </c>
      <c r="H14" s="163" t="s">
        <v>110</v>
      </c>
      <c r="I14" s="163">
        <v>12</v>
      </c>
      <c r="J14">
        <v>2022</v>
      </c>
      <c r="K14" s="160"/>
      <c r="L14" s="161"/>
      <c r="M14" s="161"/>
      <c r="N14" s="161"/>
      <c r="O14" s="161"/>
      <c r="P14" s="161"/>
      <c r="Q14" s="161"/>
      <c r="R14" s="161"/>
      <c r="S14" s="161"/>
      <c r="T14" s="161"/>
      <c r="U14" s="161"/>
      <c r="V14" s="162"/>
    </row>
    <row r="15" spans="1:22" x14ac:dyDescent="0.2">
      <c r="H15" s="163" t="s">
        <v>12</v>
      </c>
      <c r="I15" s="163">
        <f>SUM(I3:I14)</f>
        <v>78</v>
      </c>
      <c r="J15" t="s">
        <v>12</v>
      </c>
      <c r="K15" s="128">
        <v>1041648.6418962149</v>
      </c>
      <c r="L15" s="128">
        <v>2039099.2952289851</v>
      </c>
      <c r="M15" s="128">
        <v>3280821.0464900043</v>
      </c>
      <c r="N15" s="128">
        <v>4276064.0447428105</v>
      </c>
      <c r="O15" s="128">
        <v>7317003.5412412714</v>
      </c>
      <c r="P15" s="128">
        <v>9822625.6914095171</v>
      </c>
      <c r="Q15" s="128">
        <v>12072519.435733233</v>
      </c>
      <c r="R15" s="128">
        <v>12569530.391912444</v>
      </c>
      <c r="S15" s="128">
        <v>12723102.158946754</v>
      </c>
      <c r="T15" s="128">
        <v>12589383.2797054</v>
      </c>
      <c r="U15" s="128">
        <v>12465584.37525209</v>
      </c>
      <c r="V15" s="128">
        <v>12060974.69144519</v>
      </c>
    </row>
    <row r="16" spans="1:22" x14ac:dyDescent="0.2">
      <c r="E16" s="72"/>
    </row>
    <row r="17" spans="1:22" x14ac:dyDescent="0.2">
      <c r="J17" s="55" t="s">
        <v>135</v>
      </c>
      <c r="K17">
        <v>0</v>
      </c>
      <c r="L17" s="72">
        <f>SUM(L3)</f>
        <v>1026349.691896215</v>
      </c>
      <c r="M17" s="72">
        <f>SUM(M3:M4)</f>
        <v>2030640.9282289851</v>
      </c>
      <c r="N17" s="72">
        <f>SUM(N3:N5)</f>
        <v>3253371.9123495435</v>
      </c>
      <c r="O17" s="72">
        <f>SUM(O3:O6)</f>
        <v>4147528.5412412714</v>
      </c>
      <c r="P17" s="72">
        <f>SUM(P3:P7)</f>
        <v>7037252.6914095161</v>
      </c>
      <c r="Q17" s="72">
        <f>SUM(Q3:Q8)</f>
        <v>9482828.7749454137</v>
      </c>
      <c r="R17" s="72">
        <f>SUM(R3:R9)</f>
        <v>11575151.811184555</v>
      </c>
      <c r="S17" s="72">
        <f>SUM(S3:S10)</f>
        <v>12556685.121852804</v>
      </c>
      <c r="T17" s="72">
        <f>SUM(T3:T11)</f>
        <v>12589383.2797054</v>
      </c>
      <c r="U17" s="72">
        <f>SUM(U3:U11)</f>
        <v>12465584.37525209</v>
      </c>
      <c r="V17" s="72">
        <f>SUM(V3:V11)</f>
        <v>12060974.69144519</v>
      </c>
    </row>
    <row r="18" spans="1:22" x14ac:dyDescent="0.2">
      <c r="E18" s="71"/>
      <c r="J18" s="55" t="s">
        <v>130</v>
      </c>
      <c r="K18" s="71">
        <f>K3/2</f>
        <v>520824.32094810746</v>
      </c>
      <c r="L18" s="71">
        <f>L4/2</f>
        <v>506374.80166638503</v>
      </c>
      <c r="M18" s="71">
        <f>M5/2</f>
        <v>625090.05913050973</v>
      </c>
      <c r="N18" s="71">
        <f>N6/2</f>
        <v>511346.06619663344</v>
      </c>
      <c r="O18" s="71">
        <f>O7/2</f>
        <v>1584737.5</v>
      </c>
      <c r="P18" s="71">
        <f>P8/2</f>
        <v>1392686.5</v>
      </c>
      <c r="Q18" s="71">
        <f>Q9/2</f>
        <v>1294845.330393909</v>
      </c>
      <c r="R18" s="71">
        <f>R10/2</f>
        <v>497189.29036394379</v>
      </c>
      <c r="S18" s="71">
        <f>S11/2</f>
        <v>83208.518546974854</v>
      </c>
    </row>
    <row r="19" spans="1:22" x14ac:dyDescent="0.2">
      <c r="J19" s="55" t="s">
        <v>132</v>
      </c>
      <c r="K19" s="71">
        <f>K17+K18</f>
        <v>520824.32094810746</v>
      </c>
      <c r="L19" s="71">
        <f t="shared" ref="L19:U19" si="7">L17+L18</f>
        <v>1532724.4935626001</v>
      </c>
      <c r="M19" s="71">
        <f>M17+M18</f>
        <v>2655730.9873594949</v>
      </c>
      <c r="N19" s="71">
        <f t="shared" si="7"/>
        <v>3764717.978546177</v>
      </c>
      <c r="O19" s="71">
        <f t="shared" si="7"/>
        <v>5732266.0412412714</v>
      </c>
      <c r="P19" s="71">
        <f t="shared" si="7"/>
        <v>8429939.1914095171</v>
      </c>
      <c r="Q19" s="71">
        <f t="shared" si="7"/>
        <v>10777674.105339322</v>
      </c>
      <c r="R19" s="71">
        <f t="shared" si="7"/>
        <v>12072341.101548498</v>
      </c>
      <c r="S19" s="71">
        <f t="shared" si="7"/>
        <v>12639893.640399778</v>
      </c>
      <c r="T19" s="71">
        <f t="shared" si="7"/>
        <v>12589383.2797054</v>
      </c>
      <c r="U19" s="71">
        <f t="shared" si="7"/>
        <v>12465584.37525209</v>
      </c>
      <c r="V19" s="71">
        <f>V17+V18</f>
        <v>12060974.69144519</v>
      </c>
    </row>
    <row r="23" spans="1:22" x14ac:dyDescent="0.2">
      <c r="A23" s="3">
        <f>'Purchased Power Model'!A15</f>
        <v>40574</v>
      </c>
      <c r="B23" s="115">
        <f>YEAR(A23)</f>
        <v>2011</v>
      </c>
      <c r="C23">
        <f>MONTH(A23)</f>
        <v>1</v>
      </c>
      <c r="D23" s="84">
        <f ca="1">VLOOKUP(B23,$A$3:$C$14,3,FALSE)/12+VLOOKUP(B23,$A$3:$E$14,5,FALSE)*C23</f>
        <v>6677.2348839500955</v>
      </c>
    </row>
    <row r="24" spans="1:22" x14ac:dyDescent="0.2">
      <c r="A24" s="3">
        <f>'Purchased Power Model'!A16</f>
        <v>40602</v>
      </c>
      <c r="B24" s="115">
        <f t="shared" ref="B24:B87" si="8">YEAR(A24)</f>
        <v>2011</v>
      </c>
      <c r="C24">
        <f t="shared" ref="C24:C87" si="9">MONTH(A24)</f>
        <v>2</v>
      </c>
      <c r="D24" s="84">
        <f t="shared" ref="D24:D87" ca="1" si="10">VLOOKUP(B24,$A$3:$C$14,3,FALSE)/12+VLOOKUP(B24,$A$3:$E$14,5,FALSE)*C24</f>
        <v>13354.469767900191</v>
      </c>
    </row>
    <row r="25" spans="1:22" x14ac:dyDescent="0.2">
      <c r="A25" s="3">
        <f>'Purchased Power Model'!A17</f>
        <v>40633</v>
      </c>
      <c r="B25" s="115">
        <f t="shared" si="8"/>
        <v>2011</v>
      </c>
      <c r="C25">
        <f t="shared" si="9"/>
        <v>3</v>
      </c>
      <c r="D25" s="84">
        <f t="shared" ca="1" si="10"/>
        <v>20031.704651850287</v>
      </c>
    </row>
    <row r="26" spans="1:22" x14ac:dyDescent="0.2">
      <c r="A26" s="3">
        <f>'Purchased Power Model'!A18</f>
        <v>40663</v>
      </c>
      <c r="B26" s="115">
        <f t="shared" si="8"/>
        <v>2011</v>
      </c>
      <c r="C26">
        <f t="shared" si="9"/>
        <v>4</v>
      </c>
      <c r="D26" s="84">
        <f t="shared" ca="1" si="10"/>
        <v>26708.939535800382</v>
      </c>
    </row>
    <row r="27" spans="1:22" x14ac:dyDescent="0.2">
      <c r="A27" s="3">
        <f>'Purchased Power Model'!A19</f>
        <v>40694</v>
      </c>
      <c r="B27" s="115">
        <f t="shared" si="8"/>
        <v>2011</v>
      </c>
      <c r="C27">
        <f t="shared" si="9"/>
        <v>5</v>
      </c>
      <c r="D27" s="84">
        <f t="shared" ca="1" si="10"/>
        <v>33386.174419750474</v>
      </c>
    </row>
    <row r="28" spans="1:22" x14ac:dyDescent="0.2">
      <c r="A28" s="3">
        <f>'Purchased Power Model'!A20</f>
        <v>40724</v>
      </c>
      <c r="B28" s="115">
        <f t="shared" si="8"/>
        <v>2011</v>
      </c>
      <c r="C28">
        <f t="shared" si="9"/>
        <v>6</v>
      </c>
      <c r="D28" s="84">
        <f t="shared" ca="1" si="10"/>
        <v>40063.409303700573</v>
      </c>
    </row>
    <row r="29" spans="1:22" x14ac:dyDescent="0.2">
      <c r="A29" s="3">
        <f>'Purchased Power Model'!A21</f>
        <v>40755</v>
      </c>
      <c r="B29" s="115">
        <f t="shared" si="8"/>
        <v>2011</v>
      </c>
      <c r="C29">
        <f t="shared" si="9"/>
        <v>7</v>
      </c>
      <c r="D29" s="84">
        <f t="shared" ca="1" si="10"/>
        <v>46740.644187650672</v>
      </c>
    </row>
    <row r="30" spans="1:22" x14ac:dyDescent="0.2">
      <c r="A30" s="3">
        <f>'Purchased Power Model'!A22</f>
        <v>40786</v>
      </c>
      <c r="B30" s="115">
        <f t="shared" si="8"/>
        <v>2011</v>
      </c>
      <c r="C30">
        <f t="shared" si="9"/>
        <v>8</v>
      </c>
      <c r="D30" s="84">
        <f t="shared" ca="1" si="10"/>
        <v>53417.879071600764</v>
      </c>
    </row>
    <row r="31" spans="1:22" x14ac:dyDescent="0.2">
      <c r="A31" s="3">
        <f>'Purchased Power Model'!A23</f>
        <v>40816</v>
      </c>
      <c r="B31" s="115">
        <f t="shared" si="8"/>
        <v>2011</v>
      </c>
      <c r="C31">
        <f t="shared" si="9"/>
        <v>9</v>
      </c>
      <c r="D31" s="84">
        <f t="shared" ca="1" si="10"/>
        <v>60095.113955550856</v>
      </c>
    </row>
    <row r="32" spans="1:22" x14ac:dyDescent="0.2">
      <c r="A32" s="3">
        <f>'Purchased Power Model'!A24</f>
        <v>40847</v>
      </c>
      <c r="B32" s="115">
        <f t="shared" si="8"/>
        <v>2011</v>
      </c>
      <c r="C32">
        <f t="shared" si="9"/>
        <v>10</v>
      </c>
      <c r="D32" s="84">
        <f t="shared" ca="1" si="10"/>
        <v>66772.348839500948</v>
      </c>
    </row>
    <row r="33" spans="1:4" x14ac:dyDescent="0.2">
      <c r="A33" s="3">
        <f>'Purchased Power Model'!A25</f>
        <v>40877</v>
      </c>
      <c r="B33" s="115">
        <f t="shared" si="8"/>
        <v>2011</v>
      </c>
      <c r="C33">
        <f t="shared" si="9"/>
        <v>11</v>
      </c>
      <c r="D33" s="84">
        <f t="shared" ca="1" si="10"/>
        <v>73449.583723451055</v>
      </c>
    </row>
    <row r="34" spans="1:4" x14ac:dyDescent="0.2">
      <c r="A34" s="3">
        <f>'Purchased Power Model'!A26</f>
        <v>40908</v>
      </c>
      <c r="B34" s="115">
        <f t="shared" si="8"/>
        <v>2011</v>
      </c>
      <c r="C34">
        <f t="shared" si="9"/>
        <v>12</v>
      </c>
      <c r="D34" s="84">
        <f ca="1">VLOOKUP(B34,$A$3:$C$14,3,FALSE)/12+VLOOKUP(B34,$A$3:$E$14,5,FALSE)*C34</f>
        <v>80126.818607401146</v>
      </c>
    </row>
    <row r="35" spans="1:4" x14ac:dyDescent="0.2">
      <c r="A35" s="3">
        <f>'Purchased Power Model'!A27</f>
        <v>40939</v>
      </c>
      <c r="B35" s="115">
        <f t="shared" si="8"/>
        <v>2012</v>
      </c>
      <c r="C35">
        <f t="shared" si="9"/>
        <v>1</v>
      </c>
      <c r="D35" s="84">
        <f t="shared" ca="1" si="10"/>
        <v>92021.125628099777</v>
      </c>
    </row>
    <row r="36" spans="1:4" x14ac:dyDescent="0.2">
      <c r="A36" s="3">
        <f>'Purchased Power Model'!A28</f>
        <v>40968</v>
      </c>
      <c r="B36" s="115">
        <f t="shared" si="8"/>
        <v>2012</v>
      </c>
      <c r="C36">
        <f t="shared" si="9"/>
        <v>2</v>
      </c>
      <c r="D36" s="84">
        <f t="shared" ca="1" si="10"/>
        <v>98513.110264848307</v>
      </c>
    </row>
    <row r="37" spans="1:4" x14ac:dyDescent="0.2">
      <c r="A37" s="3">
        <f>'Purchased Power Model'!A29</f>
        <v>40999</v>
      </c>
      <c r="B37" s="115">
        <f t="shared" si="8"/>
        <v>2012</v>
      </c>
      <c r="C37">
        <f t="shared" si="9"/>
        <v>3</v>
      </c>
      <c r="D37" s="84">
        <f t="shared" ca="1" si="10"/>
        <v>105005.09490159682</v>
      </c>
    </row>
    <row r="38" spans="1:4" x14ac:dyDescent="0.2">
      <c r="A38" s="3">
        <f>'Purchased Power Model'!A30</f>
        <v>41029</v>
      </c>
      <c r="B38" s="115">
        <f t="shared" si="8"/>
        <v>2012</v>
      </c>
      <c r="C38">
        <f t="shared" si="9"/>
        <v>4</v>
      </c>
      <c r="D38" s="84">
        <f t="shared" ca="1" si="10"/>
        <v>111497.07953834535</v>
      </c>
    </row>
    <row r="39" spans="1:4" x14ac:dyDescent="0.2">
      <c r="A39" s="3">
        <f>'Purchased Power Model'!A31</f>
        <v>41060</v>
      </c>
      <c r="B39" s="115">
        <f t="shared" si="8"/>
        <v>2012</v>
      </c>
      <c r="C39">
        <f t="shared" si="9"/>
        <v>5</v>
      </c>
      <c r="D39" s="84">
        <f t="shared" ca="1" si="10"/>
        <v>117989.06417509388</v>
      </c>
    </row>
    <row r="40" spans="1:4" x14ac:dyDescent="0.2">
      <c r="A40" s="3">
        <f>'Purchased Power Model'!A32</f>
        <v>41090</v>
      </c>
      <c r="B40" s="115">
        <f t="shared" si="8"/>
        <v>2012</v>
      </c>
      <c r="C40">
        <f t="shared" si="9"/>
        <v>6</v>
      </c>
      <c r="D40" s="84">
        <f t="shared" ca="1" si="10"/>
        <v>124481.0488118424</v>
      </c>
    </row>
    <row r="41" spans="1:4" x14ac:dyDescent="0.2">
      <c r="A41" s="3">
        <f>'Purchased Power Model'!A33</f>
        <v>41121</v>
      </c>
      <c r="B41" s="115">
        <f t="shared" si="8"/>
        <v>2012</v>
      </c>
      <c r="C41">
        <f t="shared" si="9"/>
        <v>7</v>
      </c>
      <c r="D41" s="84">
        <f t="shared" ca="1" si="10"/>
        <v>130973.03344859093</v>
      </c>
    </row>
    <row r="42" spans="1:4" x14ac:dyDescent="0.2">
      <c r="A42" s="3">
        <f>'Purchased Power Model'!A34</f>
        <v>41152</v>
      </c>
      <c r="B42" s="115">
        <f t="shared" si="8"/>
        <v>2012</v>
      </c>
      <c r="C42">
        <f t="shared" si="9"/>
        <v>8</v>
      </c>
      <c r="D42" s="84">
        <f t="shared" ca="1" si="10"/>
        <v>137465.01808533946</v>
      </c>
    </row>
    <row r="43" spans="1:4" x14ac:dyDescent="0.2">
      <c r="A43" s="3">
        <f>'Purchased Power Model'!A35</f>
        <v>41182</v>
      </c>
      <c r="B43" s="115">
        <f t="shared" si="8"/>
        <v>2012</v>
      </c>
      <c r="C43">
        <f t="shared" si="9"/>
        <v>9</v>
      </c>
      <c r="D43" s="84">
        <f t="shared" ca="1" si="10"/>
        <v>143957.00272208799</v>
      </c>
    </row>
    <row r="44" spans="1:4" x14ac:dyDescent="0.2">
      <c r="A44" s="3">
        <f>'Purchased Power Model'!A36</f>
        <v>41213</v>
      </c>
      <c r="B44" s="115">
        <f t="shared" si="8"/>
        <v>2012</v>
      </c>
      <c r="C44">
        <f t="shared" si="9"/>
        <v>10</v>
      </c>
      <c r="D44" s="84">
        <f t="shared" ca="1" si="10"/>
        <v>150448.98735883652</v>
      </c>
    </row>
    <row r="45" spans="1:4" x14ac:dyDescent="0.2">
      <c r="A45" s="3">
        <f>'Purchased Power Model'!A37</f>
        <v>41243</v>
      </c>
      <c r="B45" s="115">
        <f t="shared" si="8"/>
        <v>2012</v>
      </c>
      <c r="C45">
        <f t="shared" si="9"/>
        <v>11</v>
      </c>
      <c r="D45" s="84">
        <f t="shared" ca="1" si="10"/>
        <v>156940.97199558502</v>
      </c>
    </row>
    <row r="46" spans="1:4" x14ac:dyDescent="0.2">
      <c r="A46" s="3">
        <f>'Purchased Power Model'!A38</f>
        <v>41274</v>
      </c>
      <c r="B46" s="115">
        <f t="shared" si="8"/>
        <v>2012</v>
      </c>
      <c r="C46">
        <f t="shared" si="9"/>
        <v>12</v>
      </c>
      <c r="D46" s="84">
        <f t="shared" ca="1" si="10"/>
        <v>163432.95663233357</v>
      </c>
    </row>
    <row r="47" spans="1:4" x14ac:dyDescent="0.2">
      <c r="A47" s="3">
        <f>'Purchased Power Model'!A39</f>
        <v>41305</v>
      </c>
      <c r="B47" s="115">
        <f t="shared" si="8"/>
        <v>2013</v>
      </c>
      <c r="C47">
        <f t="shared" si="9"/>
        <v>1</v>
      </c>
      <c r="D47" s="84">
        <f t="shared" ca="1" si="10"/>
        <v>177234.05246947324</v>
      </c>
    </row>
    <row r="48" spans="1:4" x14ac:dyDescent="0.2">
      <c r="A48" s="3">
        <f>'Purchased Power Model'!A40</f>
        <v>41333</v>
      </c>
      <c r="B48" s="115">
        <f t="shared" si="8"/>
        <v>2013</v>
      </c>
      <c r="C48">
        <f t="shared" si="9"/>
        <v>2</v>
      </c>
      <c r="D48" s="84">
        <f t="shared" ca="1" si="10"/>
        <v>185248.02758653107</v>
      </c>
    </row>
    <row r="49" spans="1:4" x14ac:dyDescent="0.2">
      <c r="A49" s="3">
        <f>'Purchased Power Model'!A41</f>
        <v>41364</v>
      </c>
      <c r="B49" s="115">
        <f t="shared" si="8"/>
        <v>2013</v>
      </c>
      <c r="C49">
        <f t="shared" si="9"/>
        <v>3</v>
      </c>
      <c r="D49" s="84">
        <f t="shared" ca="1" si="10"/>
        <v>193262.00270358886</v>
      </c>
    </row>
    <row r="50" spans="1:4" x14ac:dyDescent="0.2">
      <c r="A50" s="3">
        <f>'Purchased Power Model'!A42</f>
        <v>41394</v>
      </c>
      <c r="B50" s="115">
        <f t="shared" si="8"/>
        <v>2013</v>
      </c>
      <c r="C50">
        <f t="shared" si="9"/>
        <v>4</v>
      </c>
      <c r="D50" s="84">
        <f t="shared" ca="1" si="10"/>
        <v>201275.97782064669</v>
      </c>
    </row>
    <row r="51" spans="1:4" x14ac:dyDescent="0.2">
      <c r="A51" s="3">
        <f>'Purchased Power Model'!A43</f>
        <v>41425</v>
      </c>
      <c r="B51" s="115">
        <f t="shared" si="8"/>
        <v>2013</v>
      </c>
      <c r="C51">
        <f t="shared" si="9"/>
        <v>5</v>
      </c>
      <c r="D51" s="84">
        <f t="shared" ca="1" si="10"/>
        <v>209289.95293770451</v>
      </c>
    </row>
    <row r="52" spans="1:4" x14ac:dyDescent="0.2">
      <c r="A52" s="3">
        <f>'Purchased Power Model'!A44</f>
        <v>41455</v>
      </c>
      <c r="B52" s="115">
        <f t="shared" si="8"/>
        <v>2013</v>
      </c>
      <c r="C52">
        <f t="shared" si="9"/>
        <v>6</v>
      </c>
      <c r="D52" s="84">
        <f t="shared" ca="1" si="10"/>
        <v>217303.92805476233</v>
      </c>
    </row>
    <row r="53" spans="1:4" x14ac:dyDescent="0.2">
      <c r="A53" s="3">
        <f>'Purchased Power Model'!A45</f>
        <v>41486</v>
      </c>
      <c r="B53" s="115">
        <f t="shared" si="8"/>
        <v>2013</v>
      </c>
      <c r="C53">
        <f t="shared" si="9"/>
        <v>7</v>
      </c>
      <c r="D53" s="84">
        <f t="shared" ca="1" si="10"/>
        <v>225317.90317182016</v>
      </c>
    </row>
    <row r="54" spans="1:4" x14ac:dyDescent="0.2">
      <c r="A54" s="3">
        <f>'Purchased Power Model'!A46</f>
        <v>41517</v>
      </c>
      <c r="B54" s="115">
        <f t="shared" si="8"/>
        <v>2013</v>
      </c>
      <c r="C54">
        <f t="shared" si="9"/>
        <v>8</v>
      </c>
      <c r="D54" s="84">
        <f t="shared" ca="1" si="10"/>
        <v>233331.87828887795</v>
      </c>
    </row>
    <row r="55" spans="1:4" x14ac:dyDescent="0.2">
      <c r="A55" s="3">
        <f>'Purchased Power Model'!A47</f>
        <v>41547</v>
      </c>
      <c r="B55" s="115">
        <f t="shared" si="8"/>
        <v>2013</v>
      </c>
      <c r="C55">
        <f t="shared" si="9"/>
        <v>9</v>
      </c>
      <c r="D55" s="84">
        <f t="shared" ca="1" si="10"/>
        <v>241345.85340593578</v>
      </c>
    </row>
    <row r="56" spans="1:4" x14ac:dyDescent="0.2">
      <c r="A56" s="3">
        <f>'Purchased Power Model'!A48</f>
        <v>41578</v>
      </c>
      <c r="B56" s="115">
        <f t="shared" si="8"/>
        <v>2013</v>
      </c>
      <c r="C56">
        <f t="shared" si="9"/>
        <v>10</v>
      </c>
      <c r="D56" s="84">
        <f t="shared" ca="1" si="10"/>
        <v>249359.8285229936</v>
      </c>
    </row>
    <row r="57" spans="1:4" x14ac:dyDescent="0.2">
      <c r="A57" s="3">
        <f>'Purchased Power Model'!A49</f>
        <v>41608</v>
      </c>
      <c r="B57" s="115">
        <f t="shared" si="8"/>
        <v>2013</v>
      </c>
      <c r="C57">
        <f t="shared" si="9"/>
        <v>11</v>
      </c>
      <c r="D57" s="84">
        <f t="shared" ca="1" si="10"/>
        <v>257373.8036400514</v>
      </c>
    </row>
    <row r="58" spans="1:4" x14ac:dyDescent="0.2">
      <c r="A58" s="3">
        <f>'Purchased Power Model'!A50</f>
        <v>41639</v>
      </c>
      <c r="B58" s="115">
        <f t="shared" si="8"/>
        <v>2013</v>
      </c>
      <c r="C58">
        <f t="shared" si="9"/>
        <v>12</v>
      </c>
      <c r="D58" s="84">
        <f t="shared" ca="1" si="10"/>
        <v>265387.77875710925</v>
      </c>
    </row>
    <row r="59" spans="1:4" x14ac:dyDescent="0.2">
      <c r="A59" s="3">
        <f>'Purchased Power Model'!A51</f>
        <v>41670</v>
      </c>
      <c r="B59" s="115">
        <f t="shared" si="8"/>
        <v>2014</v>
      </c>
      <c r="C59">
        <f t="shared" si="9"/>
        <v>1</v>
      </c>
      <c r="D59" s="84">
        <f t="shared" ca="1" si="10"/>
        <v>277670.04482652136</v>
      </c>
    </row>
    <row r="60" spans="1:4" x14ac:dyDescent="0.2">
      <c r="A60" s="3">
        <f>'Purchased Power Model'!A52</f>
        <v>41698</v>
      </c>
      <c r="B60" s="115">
        <f t="shared" si="8"/>
        <v>2014</v>
      </c>
      <c r="C60">
        <f t="shared" si="9"/>
        <v>2</v>
      </c>
      <c r="D60" s="84">
        <f t="shared" ca="1" si="10"/>
        <v>284225.7636239141</v>
      </c>
    </row>
    <row r="61" spans="1:4" x14ac:dyDescent="0.2">
      <c r="A61" s="3">
        <f>'Purchased Power Model'!A53</f>
        <v>41729</v>
      </c>
      <c r="B61" s="115">
        <f t="shared" si="8"/>
        <v>2014</v>
      </c>
      <c r="C61">
        <f t="shared" si="9"/>
        <v>3</v>
      </c>
      <c r="D61" s="84">
        <f t="shared" ca="1" si="10"/>
        <v>290781.48242130684</v>
      </c>
    </row>
    <row r="62" spans="1:4" x14ac:dyDescent="0.2">
      <c r="A62" s="3">
        <f>'Purchased Power Model'!A54</f>
        <v>41759</v>
      </c>
      <c r="B62" s="115">
        <f t="shared" si="8"/>
        <v>2014</v>
      </c>
      <c r="C62">
        <f t="shared" si="9"/>
        <v>4</v>
      </c>
      <c r="D62" s="84">
        <f t="shared" ca="1" si="10"/>
        <v>297337.20121869957</v>
      </c>
    </row>
    <row r="63" spans="1:4" x14ac:dyDescent="0.2">
      <c r="A63" s="3">
        <f>'Purchased Power Model'!A55</f>
        <v>41790</v>
      </c>
      <c r="B63" s="115">
        <f t="shared" si="8"/>
        <v>2014</v>
      </c>
      <c r="C63">
        <f t="shared" si="9"/>
        <v>5</v>
      </c>
      <c r="D63" s="84">
        <f t="shared" ca="1" si="10"/>
        <v>303892.92001609231</v>
      </c>
    </row>
    <row r="64" spans="1:4" x14ac:dyDescent="0.2">
      <c r="A64" s="3">
        <f>'Purchased Power Model'!A56</f>
        <v>41820</v>
      </c>
      <c r="B64" s="115">
        <f t="shared" si="8"/>
        <v>2014</v>
      </c>
      <c r="C64">
        <f t="shared" si="9"/>
        <v>6</v>
      </c>
      <c r="D64" s="84">
        <f t="shared" ca="1" si="10"/>
        <v>310448.63881348504</v>
      </c>
    </row>
    <row r="65" spans="1:4" x14ac:dyDescent="0.2">
      <c r="A65" s="3">
        <f>'Purchased Power Model'!A57</f>
        <v>41851</v>
      </c>
      <c r="B65" s="115">
        <f t="shared" si="8"/>
        <v>2014</v>
      </c>
      <c r="C65">
        <f t="shared" si="9"/>
        <v>7</v>
      </c>
      <c r="D65" s="84">
        <f t="shared" ca="1" si="10"/>
        <v>317004.35761087778</v>
      </c>
    </row>
    <row r="66" spans="1:4" x14ac:dyDescent="0.2">
      <c r="A66" s="3">
        <f>'Purchased Power Model'!A58</f>
        <v>41882</v>
      </c>
      <c r="B66" s="115">
        <f t="shared" si="8"/>
        <v>2014</v>
      </c>
      <c r="C66">
        <f t="shared" si="9"/>
        <v>8</v>
      </c>
      <c r="D66" s="84">
        <f t="shared" ca="1" si="10"/>
        <v>323560.07640827051</v>
      </c>
    </row>
    <row r="67" spans="1:4" x14ac:dyDescent="0.2">
      <c r="A67" s="3">
        <f>'Purchased Power Model'!A59</f>
        <v>41912</v>
      </c>
      <c r="B67" s="115">
        <f t="shared" si="8"/>
        <v>2014</v>
      </c>
      <c r="C67">
        <f t="shared" si="9"/>
        <v>9</v>
      </c>
      <c r="D67" s="84">
        <f t="shared" ca="1" si="10"/>
        <v>330115.79520566325</v>
      </c>
    </row>
    <row r="68" spans="1:4" x14ac:dyDescent="0.2">
      <c r="A68" s="3">
        <f>'Purchased Power Model'!A60</f>
        <v>41943</v>
      </c>
      <c r="B68" s="115">
        <f t="shared" si="8"/>
        <v>2014</v>
      </c>
      <c r="C68">
        <f t="shared" si="9"/>
        <v>10</v>
      </c>
      <c r="D68" s="84">
        <f t="shared" ca="1" si="10"/>
        <v>336671.51400305599</v>
      </c>
    </row>
    <row r="69" spans="1:4" x14ac:dyDescent="0.2">
      <c r="A69" s="3">
        <f>'Purchased Power Model'!A61</f>
        <v>41973</v>
      </c>
      <c r="B69" s="115">
        <f t="shared" si="8"/>
        <v>2014</v>
      </c>
      <c r="C69">
        <f t="shared" si="9"/>
        <v>11</v>
      </c>
      <c r="D69" s="84">
        <f t="shared" ca="1" si="10"/>
        <v>343227.23280044872</v>
      </c>
    </row>
    <row r="70" spans="1:4" x14ac:dyDescent="0.2">
      <c r="A70" s="3">
        <f>'Purchased Power Model'!A62</f>
        <v>42004</v>
      </c>
      <c r="B70" s="115">
        <f t="shared" si="8"/>
        <v>2014</v>
      </c>
      <c r="C70">
        <f t="shared" si="9"/>
        <v>12</v>
      </c>
      <c r="D70" s="84">
        <f t="shared" ca="1" si="10"/>
        <v>349782.95159784146</v>
      </c>
    </row>
    <row r="71" spans="1:4" x14ac:dyDescent="0.2">
      <c r="A71" s="3">
        <f>'Purchased Power Model'!A63</f>
        <v>42035</v>
      </c>
      <c r="B71" s="115">
        <f t="shared" si="8"/>
        <v>2015</v>
      </c>
      <c r="C71">
        <f t="shared" si="9"/>
        <v>1</v>
      </c>
      <c r="D71" s="84">
        <f t="shared" ca="1" si="10"/>
        <v>365944.52587267006</v>
      </c>
    </row>
    <row r="72" spans="1:4" x14ac:dyDescent="0.2">
      <c r="A72" s="3">
        <f>'Purchased Power Model'!A64</f>
        <v>42063</v>
      </c>
      <c r="B72" s="115">
        <f t="shared" si="8"/>
        <v>2015</v>
      </c>
      <c r="C72">
        <f t="shared" si="9"/>
        <v>2</v>
      </c>
      <c r="D72" s="84">
        <f t="shared" ca="1" si="10"/>
        <v>386261.67330856749</v>
      </c>
    </row>
    <row r="73" spans="1:4" x14ac:dyDescent="0.2">
      <c r="A73" s="3">
        <f>'Purchased Power Model'!A65</f>
        <v>42094</v>
      </c>
      <c r="B73" s="115">
        <f t="shared" si="8"/>
        <v>2015</v>
      </c>
      <c r="C73">
        <f t="shared" si="9"/>
        <v>3</v>
      </c>
      <c r="D73" s="84">
        <f t="shared" ca="1" si="10"/>
        <v>406578.82074446493</v>
      </c>
    </row>
    <row r="74" spans="1:4" x14ac:dyDescent="0.2">
      <c r="A74" s="3">
        <f>'Purchased Power Model'!A66</f>
        <v>42124</v>
      </c>
      <c r="B74" s="115">
        <f t="shared" si="8"/>
        <v>2015</v>
      </c>
      <c r="C74">
        <f t="shared" si="9"/>
        <v>4</v>
      </c>
      <c r="D74" s="84">
        <f t="shared" ca="1" si="10"/>
        <v>426895.96818036237</v>
      </c>
    </row>
    <row r="75" spans="1:4" x14ac:dyDescent="0.2">
      <c r="A75" s="3">
        <f>'Purchased Power Model'!A67</f>
        <v>42155</v>
      </c>
      <c r="B75" s="115">
        <f t="shared" si="8"/>
        <v>2015</v>
      </c>
      <c r="C75">
        <f t="shared" si="9"/>
        <v>5</v>
      </c>
      <c r="D75" s="84">
        <f t="shared" ca="1" si="10"/>
        <v>447213.11561625981</v>
      </c>
    </row>
    <row r="76" spans="1:4" x14ac:dyDescent="0.2">
      <c r="A76" s="3">
        <f>'Purchased Power Model'!A68</f>
        <v>42185</v>
      </c>
      <c r="B76" s="115">
        <f t="shared" si="8"/>
        <v>2015</v>
      </c>
      <c r="C76">
        <f t="shared" si="9"/>
        <v>6</v>
      </c>
      <c r="D76" s="84">
        <f t="shared" ca="1" si="10"/>
        <v>467530.26305215724</v>
      </c>
    </row>
    <row r="77" spans="1:4" x14ac:dyDescent="0.2">
      <c r="A77" s="3">
        <f>'Purchased Power Model'!A69</f>
        <v>42216</v>
      </c>
      <c r="B77" s="115">
        <f t="shared" si="8"/>
        <v>2015</v>
      </c>
      <c r="C77">
        <f t="shared" si="9"/>
        <v>7</v>
      </c>
      <c r="D77" s="84">
        <f t="shared" ca="1" si="10"/>
        <v>487847.41048805468</v>
      </c>
    </row>
    <row r="78" spans="1:4" x14ac:dyDescent="0.2">
      <c r="A78" s="3">
        <f>'Purchased Power Model'!A70</f>
        <v>42247</v>
      </c>
      <c r="B78" s="115">
        <f t="shared" si="8"/>
        <v>2015</v>
      </c>
      <c r="C78">
        <f t="shared" si="9"/>
        <v>8</v>
      </c>
      <c r="D78" s="84">
        <f t="shared" ca="1" si="10"/>
        <v>508164.55792395212</v>
      </c>
    </row>
    <row r="79" spans="1:4" x14ac:dyDescent="0.2">
      <c r="A79" s="3">
        <f>'Purchased Power Model'!A71</f>
        <v>42277</v>
      </c>
      <c r="B79" s="115">
        <f t="shared" si="8"/>
        <v>2015</v>
      </c>
      <c r="C79">
        <f t="shared" si="9"/>
        <v>9</v>
      </c>
      <c r="D79" s="84">
        <f t="shared" ca="1" si="10"/>
        <v>528481.70535984961</v>
      </c>
    </row>
    <row r="80" spans="1:4" x14ac:dyDescent="0.2">
      <c r="A80" s="3">
        <f>'Purchased Power Model'!A72</f>
        <v>42308</v>
      </c>
      <c r="B80" s="115">
        <f t="shared" si="8"/>
        <v>2015</v>
      </c>
      <c r="C80">
        <f t="shared" si="9"/>
        <v>10</v>
      </c>
      <c r="D80" s="84">
        <f t="shared" ca="1" si="10"/>
        <v>548798.85279574699</v>
      </c>
    </row>
    <row r="81" spans="1:4" x14ac:dyDescent="0.2">
      <c r="A81" s="3">
        <f>'Purchased Power Model'!A73</f>
        <v>42338</v>
      </c>
      <c r="B81" s="115">
        <f t="shared" si="8"/>
        <v>2015</v>
      </c>
      <c r="C81">
        <f t="shared" si="9"/>
        <v>11</v>
      </c>
      <c r="D81" s="84">
        <f t="shared" ca="1" si="10"/>
        <v>569116.00023164437</v>
      </c>
    </row>
    <row r="82" spans="1:4" x14ac:dyDescent="0.2">
      <c r="A82" s="3">
        <f>'Purchased Power Model'!A74</f>
        <v>42369</v>
      </c>
      <c r="B82" s="115">
        <f t="shared" si="8"/>
        <v>2015</v>
      </c>
      <c r="C82">
        <f t="shared" si="9"/>
        <v>12</v>
      </c>
      <c r="D82" s="84">
        <f t="shared" ca="1" si="10"/>
        <v>589433.14766754187</v>
      </c>
    </row>
    <row r="83" spans="1:4" x14ac:dyDescent="0.2">
      <c r="A83" s="3">
        <f>'Purchased Power Model'!A75</f>
        <v>42400</v>
      </c>
      <c r="B83" s="115">
        <f t="shared" si="8"/>
        <v>2016</v>
      </c>
      <c r="C83">
        <f t="shared" si="9"/>
        <v>1</v>
      </c>
      <c r="D83" s="84">
        <f t="shared" ca="1" si="10"/>
        <v>604292.67941233143</v>
      </c>
    </row>
    <row r="84" spans="1:4" x14ac:dyDescent="0.2">
      <c r="A84" s="3">
        <f>'Purchased Power Model'!A76</f>
        <v>42429</v>
      </c>
      <c r="B84" s="115">
        <f t="shared" si="8"/>
        <v>2016</v>
      </c>
      <c r="C84">
        <f t="shared" si="9"/>
        <v>2</v>
      </c>
      <c r="D84" s="84">
        <f t="shared" ca="1" si="10"/>
        <v>622147.63454053656</v>
      </c>
    </row>
    <row r="85" spans="1:4" x14ac:dyDescent="0.2">
      <c r="A85" s="3">
        <f>'Purchased Power Model'!A77</f>
        <v>42460</v>
      </c>
      <c r="B85" s="115">
        <f t="shared" si="8"/>
        <v>2016</v>
      </c>
      <c r="C85">
        <f t="shared" si="9"/>
        <v>3</v>
      </c>
      <c r="D85" s="84">
        <f t="shared" ca="1" si="10"/>
        <v>640002.58966874168</v>
      </c>
    </row>
    <row r="86" spans="1:4" x14ac:dyDescent="0.2">
      <c r="A86" s="3">
        <f>'Purchased Power Model'!A78</f>
        <v>42490</v>
      </c>
      <c r="B86" s="115">
        <f t="shared" si="8"/>
        <v>2016</v>
      </c>
      <c r="C86">
        <f t="shared" si="9"/>
        <v>4</v>
      </c>
      <c r="D86" s="84">
        <f t="shared" ca="1" si="10"/>
        <v>657857.54479694681</v>
      </c>
    </row>
    <row r="87" spans="1:4" x14ac:dyDescent="0.2">
      <c r="A87" s="3">
        <f>'Purchased Power Model'!A79</f>
        <v>42521</v>
      </c>
      <c r="B87" s="115">
        <f t="shared" si="8"/>
        <v>2016</v>
      </c>
      <c r="C87">
        <f t="shared" si="9"/>
        <v>5</v>
      </c>
      <c r="D87" s="84">
        <f t="shared" ca="1" si="10"/>
        <v>675712.49992515193</v>
      </c>
    </row>
    <row r="88" spans="1:4" x14ac:dyDescent="0.2">
      <c r="A88" s="3">
        <f>'Purchased Power Model'!A80</f>
        <v>42551</v>
      </c>
      <c r="B88" s="115">
        <f t="shared" ref="B88:B151" si="11">YEAR(A88)</f>
        <v>2016</v>
      </c>
      <c r="C88">
        <f t="shared" ref="C88:C151" si="12">MONTH(A88)</f>
        <v>6</v>
      </c>
      <c r="D88" s="84">
        <f t="shared" ref="D88:D151" ca="1" si="13">VLOOKUP(B88,$A$3:$C$14,3,FALSE)/12+VLOOKUP(B88,$A$3:$E$14,5,FALSE)*C88</f>
        <v>693567.45505335706</v>
      </c>
    </row>
    <row r="89" spans="1:4" x14ac:dyDescent="0.2">
      <c r="A89" s="3">
        <f>'Purchased Power Model'!A81</f>
        <v>42582</v>
      </c>
      <c r="B89" s="115">
        <f t="shared" si="11"/>
        <v>2016</v>
      </c>
      <c r="C89">
        <f t="shared" si="12"/>
        <v>7</v>
      </c>
      <c r="D89" s="84">
        <f t="shared" ca="1" si="13"/>
        <v>711422.41018156218</v>
      </c>
    </row>
    <row r="90" spans="1:4" x14ac:dyDescent="0.2">
      <c r="A90" s="3">
        <f>'Purchased Power Model'!A82</f>
        <v>42613</v>
      </c>
      <c r="B90" s="115">
        <f t="shared" si="11"/>
        <v>2016</v>
      </c>
      <c r="C90">
        <f t="shared" si="12"/>
        <v>8</v>
      </c>
      <c r="D90" s="84">
        <f t="shared" ca="1" si="13"/>
        <v>729277.36530976731</v>
      </c>
    </row>
    <row r="91" spans="1:4" x14ac:dyDescent="0.2">
      <c r="A91" s="3">
        <f>'Purchased Power Model'!A83</f>
        <v>42643</v>
      </c>
      <c r="B91" s="115">
        <f t="shared" si="11"/>
        <v>2016</v>
      </c>
      <c r="C91">
        <f t="shared" si="12"/>
        <v>9</v>
      </c>
      <c r="D91" s="84">
        <f t="shared" ca="1" si="13"/>
        <v>747132.32043797243</v>
      </c>
    </row>
    <row r="92" spans="1:4" x14ac:dyDescent="0.2">
      <c r="A92" s="3">
        <f>'Purchased Power Model'!A84</f>
        <v>42674</v>
      </c>
      <c r="B92" s="115">
        <f t="shared" si="11"/>
        <v>2016</v>
      </c>
      <c r="C92">
        <f t="shared" si="12"/>
        <v>10</v>
      </c>
      <c r="D92" s="84">
        <f t="shared" ca="1" si="13"/>
        <v>764987.27556617756</v>
      </c>
    </row>
    <row r="93" spans="1:4" x14ac:dyDescent="0.2">
      <c r="A93" s="3">
        <f>'Purchased Power Model'!A85</f>
        <v>42704</v>
      </c>
      <c r="B93" s="115">
        <f t="shared" si="11"/>
        <v>2016</v>
      </c>
      <c r="C93">
        <f t="shared" si="12"/>
        <v>11</v>
      </c>
      <c r="D93" s="84">
        <f t="shared" ca="1" si="13"/>
        <v>782842.23069438268</v>
      </c>
    </row>
    <row r="94" spans="1:4" x14ac:dyDescent="0.2">
      <c r="A94" s="3">
        <f>'Purchased Power Model'!A86</f>
        <v>42735</v>
      </c>
      <c r="B94" s="115">
        <f t="shared" si="11"/>
        <v>2016</v>
      </c>
      <c r="C94">
        <f t="shared" si="12"/>
        <v>12</v>
      </c>
      <c r="D94" s="84">
        <f t="shared" ca="1" si="13"/>
        <v>800697.18582258793</v>
      </c>
    </row>
    <row r="95" spans="1:4" x14ac:dyDescent="0.2">
      <c r="A95" s="3">
        <f>'Purchased Power Model'!A87</f>
        <v>42766</v>
      </c>
      <c r="B95" s="115">
        <f t="shared" si="11"/>
        <v>2017</v>
      </c>
      <c r="C95">
        <f t="shared" si="12"/>
        <v>1</v>
      </c>
      <c r="D95" s="84">
        <f t="shared" ca="1" si="13"/>
        <v>806836.31240434735</v>
      </c>
    </row>
    <row r="96" spans="1:4" x14ac:dyDescent="0.2">
      <c r="A96" s="3">
        <f>'Purchased Power Model'!A88</f>
        <v>42794</v>
      </c>
      <c r="B96" s="115">
        <f t="shared" si="11"/>
        <v>2017</v>
      </c>
      <c r="C96">
        <f t="shared" si="12"/>
        <v>2</v>
      </c>
      <c r="D96" s="84">
        <f t="shared" ca="1" si="13"/>
        <v>823436.89356324368</v>
      </c>
    </row>
    <row r="97" spans="1:4" x14ac:dyDescent="0.2">
      <c r="A97" s="3">
        <f>'Purchased Power Model'!A89</f>
        <v>42825</v>
      </c>
      <c r="B97" s="115">
        <f t="shared" si="11"/>
        <v>2017</v>
      </c>
      <c r="C97">
        <f t="shared" si="12"/>
        <v>3</v>
      </c>
      <c r="D97" s="84">
        <f t="shared" ca="1" si="13"/>
        <v>840037.47472214</v>
      </c>
    </row>
    <row r="98" spans="1:4" x14ac:dyDescent="0.2">
      <c r="A98" s="3">
        <f>'Purchased Power Model'!A90</f>
        <v>42855</v>
      </c>
      <c r="B98" s="115">
        <f t="shared" si="11"/>
        <v>2017</v>
      </c>
      <c r="C98">
        <f t="shared" si="12"/>
        <v>4</v>
      </c>
      <c r="D98" s="84">
        <f t="shared" ca="1" si="13"/>
        <v>856638.05588103621</v>
      </c>
    </row>
    <row r="99" spans="1:4" x14ac:dyDescent="0.2">
      <c r="A99" s="3">
        <f>'Purchased Power Model'!A91</f>
        <v>42886</v>
      </c>
      <c r="B99" s="115">
        <f t="shared" si="11"/>
        <v>2017</v>
      </c>
      <c r="C99">
        <f t="shared" si="12"/>
        <v>5</v>
      </c>
      <c r="D99" s="84">
        <f t="shared" ca="1" si="13"/>
        <v>873238.63703993242</v>
      </c>
    </row>
    <row r="100" spans="1:4" x14ac:dyDescent="0.2">
      <c r="A100" s="3">
        <f>'Purchased Power Model'!A92</f>
        <v>42916</v>
      </c>
      <c r="B100" s="115">
        <f t="shared" si="11"/>
        <v>2017</v>
      </c>
      <c r="C100">
        <f t="shared" si="12"/>
        <v>6</v>
      </c>
      <c r="D100" s="84">
        <f t="shared" ca="1" si="13"/>
        <v>889839.21819882875</v>
      </c>
    </row>
    <row r="101" spans="1:4" x14ac:dyDescent="0.2">
      <c r="A101" s="3">
        <f>'Purchased Power Model'!A93</f>
        <v>42947</v>
      </c>
      <c r="B101" s="115">
        <f t="shared" si="11"/>
        <v>2017</v>
      </c>
      <c r="C101">
        <f t="shared" si="12"/>
        <v>7</v>
      </c>
      <c r="D101" s="84">
        <f t="shared" ca="1" si="13"/>
        <v>906439.79935772507</v>
      </c>
    </row>
    <row r="102" spans="1:4" x14ac:dyDescent="0.2">
      <c r="A102" s="3">
        <f>'Purchased Power Model'!A94</f>
        <v>42978</v>
      </c>
      <c r="B102" s="115">
        <f t="shared" si="11"/>
        <v>2017</v>
      </c>
      <c r="C102">
        <f t="shared" si="12"/>
        <v>8</v>
      </c>
      <c r="D102" s="84">
        <f t="shared" ca="1" si="13"/>
        <v>923040.38051662128</v>
      </c>
    </row>
    <row r="103" spans="1:4" x14ac:dyDescent="0.2">
      <c r="A103" s="3">
        <f>'Purchased Power Model'!A95</f>
        <v>43008</v>
      </c>
      <c r="B103" s="115">
        <f t="shared" si="11"/>
        <v>2017</v>
      </c>
      <c r="C103">
        <f t="shared" si="12"/>
        <v>9</v>
      </c>
      <c r="D103" s="84">
        <f t="shared" ca="1" si="13"/>
        <v>939640.96167551749</v>
      </c>
    </row>
    <row r="104" spans="1:4" x14ac:dyDescent="0.2">
      <c r="A104" s="3">
        <f>'Purchased Power Model'!A96</f>
        <v>43039</v>
      </c>
      <c r="B104" s="115">
        <f t="shared" si="11"/>
        <v>2017</v>
      </c>
      <c r="C104">
        <f t="shared" si="12"/>
        <v>10</v>
      </c>
      <c r="D104" s="84">
        <f t="shared" ca="1" si="13"/>
        <v>956241.54283441382</v>
      </c>
    </row>
    <row r="105" spans="1:4" x14ac:dyDescent="0.2">
      <c r="A105" s="3">
        <f>'Purchased Power Model'!A97</f>
        <v>43069</v>
      </c>
      <c r="B105" s="115">
        <f t="shared" si="11"/>
        <v>2017</v>
      </c>
      <c r="C105">
        <f t="shared" si="12"/>
        <v>11</v>
      </c>
      <c r="D105" s="84">
        <f t="shared" ca="1" si="13"/>
        <v>972842.12399331015</v>
      </c>
    </row>
    <row r="106" spans="1:4" x14ac:dyDescent="0.2">
      <c r="A106" s="3">
        <f>'Purchased Power Model'!A98</f>
        <v>43100</v>
      </c>
      <c r="B106" s="115">
        <f t="shared" si="11"/>
        <v>2017</v>
      </c>
      <c r="C106">
        <f t="shared" si="12"/>
        <v>12</v>
      </c>
      <c r="D106" s="84">
        <f t="shared" ca="1" si="13"/>
        <v>989442.70515220636</v>
      </c>
    </row>
    <row r="107" spans="1:4" x14ac:dyDescent="0.2">
      <c r="A107" s="3">
        <f>'Purchased Power Model'!A99</f>
        <v>43131</v>
      </c>
      <c r="B107" s="115">
        <f t="shared" si="11"/>
        <v>2018</v>
      </c>
      <c r="C107">
        <f t="shared" si="12"/>
        <v>1</v>
      </c>
      <c r="D107" s="84">
        <f t="shared" ca="1" si="13"/>
        <v>970970.20593671221</v>
      </c>
    </row>
    <row r="108" spans="1:4" x14ac:dyDescent="0.2">
      <c r="A108" s="3">
        <f>'Purchased Power Model'!A100</f>
        <v>43159</v>
      </c>
      <c r="B108" s="115">
        <f t="shared" si="11"/>
        <v>2018</v>
      </c>
      <c r="C108">
        <f t="shared" si="12"/>
        <v>2</v>
      </c>
      <c r="D108" s="84">
        <f t="shared" ca="1" si="13"/>
        <v>977344.42760804482</v>
      </c>
    </row>
    <row r="109" spans="1:4" x14ac:dyDescent="0.2">
      <c r="A109" s="3">
        <f>'Purchased Power Model'!A101</f>
        <v>43190</v>
      </c>
      <c r="B109" s="115">
        <f t="shared" si="11"/>
        <v>2018</v>
      </c>
      <c r="C109">
        <f t="shared" si="12"/>
        <v>3</v>
      </c>
      <c r="D109" s="84">
        <f t="shared" ca="1" si="13"/>
        <v>983718.64927937742</v>
      </c>
    </row>
    <row r="110" spans="1:4" x14ac:dyDescent="0.2">
      <c r="A110" s="3">
        <f>'Purchased Power Model'!A102</f>
        <v>43220</v>
      </c>
      <c r="B110" s="115">
        <f t="shared" si="11"/>
        <v>2018</v>
      </c>
      <c r="C110">
        <f t="shared" si="12"/>
        <v>4</v>
      </c>
      <c r="D110" s="84">
        <f t="shared" ca="1" si="13"/>
        <v>990092.87095071003</v>
      </c>
    </row>
    <row r="111" spans="1:4" x14ac:dyDescent="0.2">
      <c r="A111" s="3">
        <f>'Purchased Power Model'!A103</f>
        <v>43251</v>
      </c>
      <c r="B111" s="115">
        <f t="shared" si="11"/>
        <v>2018</v>
      </c>
      <c r="C111">
        <f t="shared" si="12"/>
        <v>5</v>
      </c>
      <c r="D111" s="84">
        <f t="shared" ca="1" si="13"/>
        <v>996467.09262204263</v>
      </c>
    </row>
    <row r="112" spans="1:4" x14ac:dyDescent="0.2">
      <c r="A112" s="3">
        <f>'Purchased Power Model'!A104</f>
        <v>43281</v>
      </c>
      <c r="B112" s="115">
        <f t="shared" si="11"/>
        <v>2018</v>
      </c>
      <c r="C112">
        <f t="shared" si="12"/>
        <v>6</v>
      </c>
      <c r="D112" s="84">
        <f t="shared" ca="1" si="13"/>
        <v>1002841.3142933752</v>
      </c>
    </row>
    <row r="113" spans="1:4" x14ac:dyDescent="0.2">
      <c r="A113" s="3">
        <f>'Purchased Power Model'!A105</f>
        <v>43312</v>
      </c>
      <c r="B113" s="115">
        <f t="shared" si="11"/>
        <v>2018</v>
      </c>
      <c r="C113">
        <f t="shared" si="12"/>
        <v>7</v>
      </c>
      <c r="D113" s="84">
        <f t="shared" ca="1" si="13"/>
        <v>1009215.5359647078</v>
      </c>
    </row>
    <row r="114" spans="1:4" x14ac:dyDescent="0.2">
      <c r="A114" s="3">
        <f>'Purchased Power Model'!A106</f>
        <v>43343</v>
      </c>
      <c r="B114" s="115">
        <f t="shared" si="11"/>
        <v>2018</v>
      </c>
      <c r="C114">
        <f t="shared" si="12"/>
        <v>8</v>
      </c>
      <c r="D114" s="84">
        <f t="shared" ca="1" si="13"/>
        <v>1015589.7576360404</v>
      </c>
    </row>
    <row r="115" spans="1:4" x14ac:dyDescent="0.2">
      <c r="A115" s="3">
        <f>'Purchased Power Model'!A107</f>
        <v>43373</v>
      </c>
      <c r="B115" s="115">
        <f t="shared" si="11"/>
        <v>2018</v>
      </c>
      <c r="C115">
        <f t="shared" si="12"/>
        <v>9</v>
      </c>
      <c r="D115" s="84">
        <f t="shared" ca="1" si="13"/>
        <v>1021963.9793073732</v>
      </c>
    </row>
    <row r="116" spans="1:4" x14ac:dyDescent="0.2">
      <c r="A116" s="3">
        <f>'Purchased Power Model'!A108</f>
        <v>43404</v>
      </c>
      <c r="B116" s="115">
        <f t="shared" si="11"/>
        <v>2018</v>
      </c>
      <c r="C116">
        <f t="shared" si="12"/>
        <v>10</v>
      </c>
      <c r="D116" s="84">
        <f t="shared" ca="1" si="13"/>
        <v>1028338.2009787058</v>
      </c>
    </row>
    <row r="117" spans="1:4" x14ac:dyDescent="0.2">
      <c r="A117" s="3">
        <f>'Purchased Power Model'!A109</f>
        <v>43434</v>
      </c>
      <c r="B117" s="115">
        <f t="shared" si="11"/>
        <v>2018</v>
      </c>
      <c r="C117">
        <f t="shared" si="12"/>
        <v>11</v>
      </c>
      <c r="D117" s="84">
        <f t="shared" ca="1" si="13"/>
        <v>1034712.4226500384</v>
      </c>
    </row>
    <row r="118" spans="1:4" x14ac:dyDescent="0.2">
      <c r="A118" s="3">
        <f>'Purchased Power Model'!A110</f>
        <v>43465</v>
      </c>
      <c r="B118" s="115">
        <f t="shared" si="11"/>
        <v>2018</v>
      </c>
      <c r="C118">
        <f t="shared" si="12"/>
        <v>12</v>
      </c>
      <c r="D118" s="84">
        <f t="shared" ca="1" si="13"/>
        <v>1041086.644321371</v>
      </c>
    </row>
    <row r="119" spans="1:4" x14ac:dyDescent="0.2">
      <c r="A119" s="3">
        <f>'Purchased Power Model'!A111</f>
        <v>43496</v>
      </c>
      <c r="B119" s="115">
        <f t="shared" si="11"/>
        <v>2019</v>
      </c>
      <c r="C119">
        <f t="shared" si="12"/>
        <v>1</v>
      </c>
      <c r="D119" s="84">
        <f t="shared" ca="1" si="13"/>
        <v>1047457.2026998744</v>
      </c>
    </row>
    <row r="120" spans="1:4" x14ac:dyDescent="0.2">
      <c r="A120" s="3">
        <f>'Purchased Power Model'!A112</f>
        <v>43524</v>
      </c>
      <c r="B120" s="115">
        <f t="shared" si="11"/>
        <v>2019</v>
      </c>
      <c r="C120">
        <f t="shared" si="12"/>
        <v>2</v>
      </c>
      <c r="D120" s="84">
        <f t="shared" ca="1" si="13"/>
        <v>1048523.9785786817</v>
      </c>
    </row>
    <row r="121" spans="1:4" x14ac:dyDescent="0.2">
      <c r="A121" s="3">
        <f>'Purchased Power Model'!A113</f>
        <v>43555</v>
      </c>
      <c r="B121" s="115">
        <f t="shared" si="11"/>
        <v>2019</v>
      </c>
      <c r="C121">
        <f t="shared" si="12"/>
        <v>3</v>
      </c>
      <c r="D121" s="84">
        <f t="shared" ca="1" si="13"/>
        <v>1049590.7544574891</v>
      </c>
    </row>
    <row r="122" spans="1:4" x14ac:dyDescent="0.2">
      <c r="A122" s="3">
        <f>'Purchased Power Model'!A114</f>
        <v>43585</v>
      </c>
      <c r="B122" s="115">
        <f t="shared" si="11"/>
        <v>2019</v>
      </c>
      <c r="C122">
        <f t="shared" si="12"/>
        <v>4</v>
      </c>
      <c r="D122" s="84">
        <f t="shared" ca="1" si="13"/>
        <v>1050657.5303362964</v>
      </c>
    </row>
    <row r="123" spans="1:4" x14ac:dyDescent="0.2">
      <c r="A123" s="3">
        <f>'Purchased Power Model'!A115</f>
        <v>43616</v>
      </c>
      <c r="B123" s="115">
        <f t="shared" si="11"/>
        <v>2019</v>
      </c>
      <c r="C123">
        <f t="shared" si="12"/>
        <v>5</v>
      </c>
      <c r="D123" s="84">
        <f t="shared" ca="1" si="13"/>
        <v>1051724.3062151039</v>
      </c>
    </row>
    <row r="124" spans="1:4" x14ac:dyDescent="0.2">
      <c r="A124" s="3">
        <f>'Purchased Power Model'!A116</f>
        <v>43646</v>
      </c>
      <c r="B124" s="115">
        <f t="shared" si="11"/>
        <v>2019</v>
      </c>
      <c r="C124">
        <f t="shared" si="12"/>
        <v>6</v>
      </c>
      <c r="D124" s="84">
        <f t="shared" ca="1" si="13"/>
        <v>1052791.0820939112</v>
      </c>
    </row>
    <row r="125" spans="1:4" x14ac:dyDescent="0.2">
      <c r="A125" s="3">
        <f>'Purchased Power Model'!A117</f>
        <v>43677</v>
      </c>
      <c r="B125" s="115">
        <f t="shared" si="11"/>
        <v>2019</v>
      </c>
      <c r="C125">
        <f t="shared" si="12"/>
        <v>7</v>
      </c>
      <c r="D125" s="84">
        <f t="shared" ca="1" si="13"/>
        <v>1053857.8579727185</v>
      </c>
    </row>
    <row r="126" spans="1:4" x14ac:dyDescent="0.2">
      <c r="A126" s="3">
        <f>'Purchased Power Model'!A118</f>
        <v>43708</v>
      </c>
      <c r="B126" s="115">
        <f t="shared" si="11"/>
        <v>2019</v>
      </c>
      <c r="C126">
        <f t="shared" si="12"/>
        <v>8</v>
      </c>
      <c r="D126" s="84">
        <f t="shared" ca="1" si="13"/>
        <v>1054924.6338515261</v>
      </c>
    </row>
    <row r="127" spans="1:4" x14ac:dyDescent="0.2">
      <c r="A127" s="3">
        <f>'Purchased Power Model'!A119</f>
        <v>43738</v>
      </c>
      <c r="B127" s="115">
        <f t="shared" si="11"/>
        <v>2019</v>
      </c>
      <c r="C127">
        <f t="shared" si="12"/>
        <v>9</v>
      </c>
      <c r="D127" s="84">
        <f t="shared" ca="1" si="13"/>
        <v>1055991.4097303334</v>
      </c>
    </row>
    <row r="128" spans="1:4" x14ac:dyDescent="0.2">
      <c r="A128" s="3">
        <f>'Purchased Power Model'!A120</f>
        <v>43769</v>
      </c>
      <c r="B128" s="115">
        <f t="shared" si="11"/>
        <v>2019</v>
      </c>
      <c r="C128">
        <f t="shared" si="12"/>
        <v>10</v>
      </c>
      <c r="D128" s="84">
        <f t="shared" ca="1" si="13"/>
        <v>1057058.1856091407</v>
      </c>
    </row>
    <row r="129" spans="1:4" x14ac:dyDescent="0.2">
      <c r="A129" s="3">
        <f>'Purchased Power Model'!A121</f>
        <v>43799</v>
      </c>
      <c r="B129" s="115">
        <f t="shared" si="11"/>
        <v>2019</v>
      </c>
      <c r="C129">
        <f t="shared" si="12"/>
        <v>11</v>
      </c>
      <c r="D129" s="84">
        <f t="shared" ca="1" si="13"/>
        <v>1058124.961487948</v>
      </c>
    </row>
    <row r="130" spans="1:4" x14ac:dyDescent="0.2">
      <c r="A130" s="3">
        <f>'Purchased Power Model'!A122</f>
        <v>43830</v>
      </c>
      <c r="B130" s="115">
        <f t="shared" si="11"/>
        <v>2019</v>
      </c>
      <c r="C130">
        <f t="shared" si="12"/>
        <v>12</v>
      </c>
      <c r="D130" s="84">
        <f t="shared" ca="1" si="13"/>
        <v>1059191.7373667555</v>
      </c>
    </row>
    <row r="131" spans="1:4" x14ac:dyDescent="0.2">
      <c r="A131" s="3">
        <f>'Purchased Power Model'!A123</f>
        <v>43861</v>
      </c>
      <c r="B131" s="115">
        <f t="shared" si="11"/>
        <v>2020</v>
      </c>
      <c r="C131">
        <f t="shared" si="12"/>
        <v>1</v>
      </c>
      <c r="D131" s="84">
        <f t="shared" ca="1" si="13"/>
        <v>1049115.2733087833</v>
      </c>
    </row>
    <row r="132" spans="1:4" x14ac:dyDescent="0.2">
      <c r="A132" s="3">
        <f>'Purchased Power Model'!A124</f>
        <v>43890</v>
      </c>
      <c r="B132" s="115">
        <f t="shared" si="11"/>
        <v>2020</v>
      </c>
      <c r="C132">
        <f t="shared" si="12"/>
        <v>2</v>
      </c>
      <c r="D132" s="84">
        <f t="shared" ca="1" si="13"/>
        <v>1049115.2733087833</v>
      </c>
    </row>
    <row r="133" spans="1:4" x14ac:dyDescent="0.2">
      <c r="A133" s="3">
        <f>'Purchased Power Model'!A125</f>
        <v>43921</v>
      </c>
      <c r="B133" s="115">
        <f t="shared" si="11"/>
        <v>2020</v>
      </c>
      <c r="C133">
        <f t="shared" si="12"/>
        <v>3</v>
      </c>
      <c r="D133" s="84">
        <f t="shared" ca="1" si="13"/>
        <v>1049115.2733087833</v>
      </c>
    </row>
    <row r="134" spans="1:4" x14ac:dyDescent="0.2">
      <c r="A134" s="3">
        <f>'Purchased Power Model'!A126</f>
        <v>43951</v>
      </c>
      <c r="B134" s="115">
        <f t="shared" si="11"/>
        <v>2020</v>
      </c>
      <c r="C134">
        <f t="shared" si="12"/>
        <v>4</v>
      </c>
      <c r="D134" s="84">
        <f t="shared" ca="1" si="13"/>
        <v>1049115.2733087833</v>
      </c>
    </row>
    <row r="135" spans="1:4" x14ac:dyDescent="0.2">
      <c r="A135" s="3">
        <f>'Purchased Power Model'!A127</f>
        <v>43982</v>
      </c>
      <c r="B135" s="115">
        <f t="shared" si="11"/>
        <v>2020</v>
      </c>
      <c r="C135">
        <f t="shared" si="12"/>
        <v>5</v>
      </c>
      <c r="D135" s="84">
        <f t="shared" ca="1" si="13"/>
        <v>1049115.2733087833</v>
      </c>
    </row>
    <row r="136" spans="1:4" x14ac:dyDescent="0.2">
      <c r="A136" s="3">
        <f>'Purchased Power Model'!A128</f>
        <v>44012</v>
      </c>
      <c r="B136" s="115">
        <f t="shared" si="11"/>
        <v>2020</v>
      </c>
      <c r="C136">
        <f t="shared" si="12"/>
        <v>6</v>
      </c>
      <c r="D136" s="84">
        <f t="shared" ca="1" si="13"/>
        <v>1049115.2733087833</v>
      </c>
    </row>
    <row r="137" spans="1:4" x14ac:dyDescent="0.2">
      <c r="A137" s="3">
        <f>'Purchased Power Model'!A129</f>
        <v>44043</v>
      </c>
      <c r="B137" s="115">
        <f t="shared" si="11"/>
        <v>2020</v>
      </c>
      <c r="C137">
        <f t="shared" si="12"/>
        <v>7</v>
      </c>
      <c r="D137" s="84">
        <f t="shared" ca="1" si="13"/>
        <v>1049115.2733087833</v>
      </c>
    </row>
    <row r="138" spans="1:4" x14ac:dyDescent="0.2">
      <c r="A138" s="3">
        <f>'Purchased Power Model'!A130</f>
        <v>44074</v>
      </c>
      <c r="B138" s="115">
        <f t="shared" si="11"/>
        <v>2020</v>
      </c>
      <c r="C138">
        <f t="shared" si="12"/>
        <v>8</v>
      </c>
      <c r="D138" s="84">
        <f t="shared" ca="1" si="13"/>
        <v>1049115.2733087833</v>
      </c>
    </row>
    <row r="139" spans="1:4" x14ac:dyDescent="0.2">
      <c r="A139" s="3">
        <f>'Purchased Power Model'!A131</f>
        <v>44104</v>
      </c>
      <c r="B139" s="115">
        <f t="shared" si="11"/>
        <v>2020</v>
      </c>
      <c r="C139">
        <f t="shared" si="12"/>
        <v>9</v>
      </c>
      <c r="D139" s="84">
        <f t="shared" ca="1" si="13"/>
        <v>1049115.2733087833</v>
      </c>
    </row>
    <row r="140" spans="1:4" x14ac:dyDescent="0.2">
      <c r="A140" s="3">
        <f>'Purchased Power Model'!A132</f>
        <v>44135</v>
      </c>
      <c r="B140" s="115">
        <f t="shared" si="11"/>
        <v>2020</v>
      </c>
      <c r="C140">
        <f t="shared" si="12"/>
        <v>10</v>
      </c>
      <c r="D140" s="84">
        <f t="shared" ca="1" si="13"/>
        <v>1049115.2733087833</v>
      </c>
    </row>
    <row r="141" spans="1:4" x14ac:dyDescent="0.2">
      <c r="A141" s="3">
        <f>'Purchased Power Model'!A133</f>
        <v>44165</v>
      </c>
      <c r="B141" s="115">
        <f t="shared" si="11"/>
        <v>2020</v>
      </c>
      <c r="C141">
        <f t="shared" si="12"/>
        <v>11</v>
      </c>
      <c r="D141" s="84">
        <f t="shared" ca="1" si="13"/>
        <v>1049115.2733087833</v>
      </c>
    </row>
    <row r="142" spans="1:4" x14ac:dyDescent="0.2">
      <c r="A142" s="3">
        <f>'Purchased Power Model'!A134</f>
        <v>44196</v>
      </c>
      <c r="B142" s="115">
        <f t="shared" si="11"/>
        <v>2020</v>
      </c>
      <c r="C142">
        <f t="shared" si="12"/>
        <v>12</v>
      </c>
      <c r="D142" s="84">
        <f t="shared" ca="1" si="13"/>
        <v>1049115.2733087833</v>
      </c>
    </row>
    <row r="143" spans="1:4" x14ac:dyDescent="0.2">
      <c r="A143" s="3">
        <f>'Purchased Power Model'!A135</f>
        <v>44227</v>
      </c>
      <c r="B143" s="115">
        <f t="shared" si="11"/>
        <v>2021</v>
      </c>
      <c r="C143">
        <f t="shared" si="12"/>
        <v>1</v>
      </c>
      <c r="D143" s="84">
        <f t="shared" ca="1" si="13"/>
        <v>1038798.6979376742</v>
      </c>
    </row>
    <row r="144" spans="1:4" x14ac:dyDescent="0.2">
      <c r="A144" s="3">
        <f>'Purchased Power Model'!A136</f>
        <v>44255</v>
      </c>
      <c r="B144" s="115">
        <f t="shared" si="11"/>
        <v>2021</v>
      </c>
      <c r="C144">
        <f t="shared" si="12"/>
        <v>2</v>
      </c>
      <c r="D144" s="84">
        <f t="shared" ca="1" si="13"/>
        <v>1038798.6979376742</v>
      </c>
    </row>
    <row r="145" spans="1:4" x14ac:dyDescent="0.2">
      <c r="A145" s="3">
        <f>'Purchased Power Model'!A137</f>
        <v>44286</v>
      </c>
      <c r="B145" s="115">
        <f t="shared" si="11"/>
        <v>2021</v>
      </c>
      <c r="C145">
        <f t="shared" si="12"/>
        <v>3</v>
      </c>
      <c r="D145" s="84">
        <f t="shared" ca="1" si="13"/>
        <v>1038798.6979376742</v>
      </c>
    </row>
    <row r="146" spans="1:4" x14ac:dyDescent="0.2">
      <c r="A146" s="3">
        <f>'Purchased Power Model'!A138</f>
        <v>44316</v>
      </c>
      <c r="B146" s="115">
        <f t="shared" si="11"/>
        <v>2021</v>
      </c>
      <c r="C146">
        <f t="shared" si="12"/>
        <v>4</v>
      </c>
      <c r="D146" s="84">
        <f t="shared" ca="1" si="13"/>
        <v>1038798.6979376742</v>
      </c>
    </row>
    <row r="147" spans="1:4" x14ac:dyDescent="0.2">
      <c r="A147" s="3">
        <f>'Purchased Power Model'!A139</f>
        <v>44347</v>
      </c>
      <c r="B147" s="115">
        <f t="shared" si="11"/>
        <v>2021</v>
      </c>
      <c r="C147">
        <f t="shared" si="12"/>
        <v>5</v>
      </c>
      <c r="D147" s="84">
        <f t="shared" ca="1" si="13"/>
        <v>1038798.6979376742</v>
      </c>
    </row>
    <row r="148" spans="1:4" x14ac:dyDescent="0.2">
      <c r="A148" s="3">
        <f>'Purchased Power Model'!A140</f>
        <v>44377</v>
      </c>
      <c r="B148" s="115">
        <f t="shared" si="11"/>
        <v>2021</v>
      </c>
      <c r="C148">
        <f t="shared" si="12"/>
        <v>6</v>
      </c>
      <c r="D148" s="84">
        <f t="shared" ca="1" si="13"/>
        <v>1038798.6979376742</v>
      </c>
    </row>
    <row r="149" spans="1:4" x14ac:dyDescent="0.2">
      <c r="A149" s="3">
        <f>'Purchased Power Model'!A141</f>
        <v>44408</v>
      </c>
      <c r="B149" s="115">
        <f t="shared" si="11"/>
        <v>2021</v>
      </c>
      <c r="C149">
        <f t="shared" si="12"/>
        <v>7</v>
      </c>
      <c r="D149" s="84">
        <f t="shared" ca="1" si="13"/>
        <v>1038798.6979376742</v>
      </c>
    </row>
    <row r="150" spans="1:4" x14ac:dyDescent="0.2">
      <c r="A150" s="3">
        <f>'Purchased Power Model'!A142</f>
        <v>44439</v>
      </c>
      <c r="B150" s="115">
        <f t="shared" si="11"/>
        <v>2021</v>
      </c>
      <c r="C150">
        <f t="shared" si="12"/>
        <v>8</v>
      </c>
      <c r="D150" s="84">
        <f t="shared" ca="1" si="13"/>
        <v>1038798.6979376742</v>
      </c>
    </row>
    <row r="151" spans="1:4" x14ac:dyDescent="0.2">
      <c r="A151" s="3">
        <f>'Purchased Power Model'!A143</f>
        <v>44469</v>
      </c>
      <c r="B151" s="115">
        <f t="shared" si="11"/>
        <v>2021</v>
      </c>
      <c r="C151">
        <f t="shared" si="12"/>
        <v>9</v>
      </c>
      <c r="D151" s="84">
        <f t="shared" ca="1" si="13"/>
        <v>1038798.6979376742</v>
      </c>
    </row>
    <row r="152" spans="1:4" x14ac:dyDescent="0.2">
      <c r="A152" s="3">
        <f>'Purchased Power Model'!A144</f>
        <v>44500</v>
      </c>
      <c r="B152" s="115">
        <f t="shared" ref="B152:B166" si="14">YEAR(A152)</f>
        <v>2021</v>
      </c>
      <c r="C152">
        <f t="shared" ref="C152:C166" si="15">MONTH(A152)</f>
        <v>10</v>
      </c>
      <c r="D152" s="84">
        <f t="shared" ref="D152:D166" ca="1" si="16">VLOOKUP(B152,$A$3:$C$14,3,FALSE)/12+VLOOKUP(B152,$A$3:$E$14,5,FALSE)*C152</f>
        <v>1038798.6979376742</v>
      </c>
    </row>
    <row r="153" spans="1:4" x14ac:dyDescent="0.2">
      <c r="A153" s="3">
        <f>'Purchased Power Model'!A145</f>
        <v>44530</v>
      </c>
      <c r="B153" s="115">
        <f t="shared" si="14"/>
        <v>2021</v>
      </c>
      <c r="C153">
        <f t="shared" si="15"/>
        <v>11</v>
      </c>
      <c r="D153" s="84">
        <f t="shared" ca="1" si="16"/>
        <v>1038798.6979376742</v>
      </c>
    </row>
    <row r="154" spans="1:4" x14ac:dyDescent="0.2">
      <c r="A154" s="3">
        <f>'Purchased Power Model'!A146</f>
        <v>44561</v>
      </c>
      <c r="B154" s="115">
        <f t="shared" si="14"/>
        <v>2021</v>
      </c>
      <c r="C154">
        <f t="shared" si="15"/>
        <v>12</v>
      </c>
      <c r="D154" s="84">
        <f t="shared" ca="1" si="16"/>
        <v>1038798.6979376742</v>
      </c>
    </row>
    <row r="155" spans="1:4" x14ac:dyDescent="0.2">
      <c r="A155" s="3">
        <f>'Purchased Power Model'!A147</f>
        <v>44592</v>
      </c>
      <c r="B155" s="115">
        <f t="shared" si="14"/>
        <v>2022</v>
      </c>
      <c r="C155">
        <f t="shared" si="15"/>
        <v>1</v>
      </c>
      <c r="D155" s="84">
        <f t="shared" ca="1" si="16"/>
        <v>1005081.2242870992</v>
      </c>
    </row>
    <row r="156" spans="1:4" x14ac:dyDescent="0.2">
      <c r="A156" s="3">
        <f>'Purchased Power Model'!A148</f>
        <v>44620</v>
      </c>
      <c r="B156" s="115">
        <f t="shared" si="14"/>
        <v>2022</v>
      </c>
      <c r="C156">
        <f t="shared" si="15"/>
        <v>2</v>
      </c>
      <c r="D156" s="84">
        <f t="shared" ca="1" si="16"/>
        <v>1005081.2242870992</v>
      </c>
    </row>
    <row r="157" spans="1:4" x14ac:dyDescent="0.2">
      <c r="A157" s="3">
        <f>'Purchased Power Model'!A149</f>
        <v>44651</v>
      </c>
      <c r="B157" s="115">
        <f t="shared" si="14"/>
        <v>2022</v>
      </c>
      <c r="C157">
        <f t="shared" si="15"/>
        <v>3</v>
      </c>
      <c r="D157" s="84">
        <f t="shared" ca="1" si="16"/>
        <v>1005081.2242870992</v>
      </c>
    </row>
    <row r="158" spans="1:4" x14ac:dyDescent="0.2">
      <c r="A158" s="3">
        <f>'Purchased Power Model'!A150</f>
        <v>44681</v>
      </c>
      <c r="B158" s="115">
        <f t="shared" si="14"/>
        <v>2022</v>
      </c>
      <c r="C158">
        <f t="shared" si="15"/>
        <v>4</v>
      </c>
      <c r="D158" s="84">
        <f t="shared" ca="1" si="16"/>
        <v>1005081.2242870992</v>
      </c>
    </row>
    <row r="159" spans="1:4" x14ac:dyDescent="0.2">
      <c r="A159" s="3">
        <f>'Purchased Power Model'!A151</f>
        <v>44712</v>
      </c>
      <c r="B159" s="115">
        <f t="shared" si="14"/>
        <v>2022</v>
      </c>
      <c r="C159">
        <f t="shared" si="15"/>
        <v>5</v>
      </c>
      <c r="D159" s="84">
        <f t="shared" ca="1" si="16"/>
        <v>1005081.2242870992</v>
      </c>
    </row>
    <row r="160" spans="1:4" x14ac:dyDescent="0.2">
      <c r="A160" s="3">
        <f>'Purchased Power Model'!A152</f>
        <v>44742</v>
      </c>
      <c r="B160" s="115">
        <f t="shared" si="14"/>
        <v>2022</v>
      </c>
      <c r="C160">
        <f t="shared" si="15"/>
        <v>6</v>
      </c>
      <c r="D160" s="84">
        <f t="shared" ca="1" si="16"/>
        <v>1005081.2242870992</v>
      </c>
    </row>
    <row r="161" spans="1:4" x14ac:dyDescent="0.2">
      <c r="A161" s="3">
        <f>'Purchased Power Model'!A153</f>
        <v>44773</v>
      </c>
      <c r="B161" s="115">
        <f t="shared" si="14"/>
        <v>2022</v>
      </c>
      <c r="C161">
        <f t="shared" si="15"/>
        <v>7</v>
      </c>
      <c r="D161" s="84">
        <f t="shared" ca="1" si="16"/>
        <v>1005081.2242870992</v>
      </c>
    </row>
    <row r="162" spans="1:4" x14ac:dyDescent="0.2">
      <c r="A162" s="3">
        <f>'Purchased Power Model'!A154</f>
        <v>44804</v>
      </c>
      <c r="B162" s="115">
        <f t="shared" si="14"/>
        <v>2022</v>
      </c>
      <c r="C162">
        <f t="shared" si="15"/>
        <v>8</v>
      </c>
      <c r="D162" s="84">
        <f t="shared" ca="1" si="16"/>
        <v>1005081.2242870992</v>
      </c>
    </row>
    <row r="163" spans="1:4" x14ac:dyDescent="0.2">
      <c r="A163" s="3">
        <f>'Purchased Power Model'!A155</f>
        <v>44834</v>
      </c>
      <c r="B163" s="115">
        <f t="shared" si="14"/>
        <v>2022</v>
      </c>
      <c r="C163">
        <f t="shared" si="15"/>
        <v>9</v>
      </c>
      <c r="D163" s="84">
        <f t="shared" ca="1" si="16"/>
        <v>1005081.2242870992</v>
      </c>
    </row>
    <row r="164" spans="1:4" x14ac:dyDescent="0.2">
      <c r="A164" s="3">
        <f>'Purchased Power Model'!A156</f>
        <v>44865</v>
      </c>
      <c r="B164" s="115">
        <f t="shared" si="14"/>
        <v>2022</v>
      </c>
      <c r="C164">
        <f t="shared" si="15"/>
        <v>10</v>
      </c>
      <c r="D164" s="84">
        <f t="shared" ca="1" si="16"/>
        <v>1005081.2242870992</v>
      </c>
    </row>
    <row r="165" spans="1:4" x14ac:dyDescent="0.2">
      <c r="A165" s="3">
        <f>'Purchased Power Model'!A157</f>
        <v>44895</v>
      </c>
      <c r="B165" s="115">
        <f t="shared" si="14"/>
        <v>2022</v>
      </c>
      <c r="C165">
        <f t="shared" si="15"/>
        <v>11</v>
      </c>
      <c r="D165" s="84">
        <f t="shared" ca="1" si="16"/>
        <v>1005081.2242870992</v>
      </c>
    </row>
    <row r="166" spans="1:4" x14ac:dyDescent="0.2">
      <c r="A166" s="3">
        <f>'Purchased Power Model'!A158</f>
        <v>44926</v>
      </c>
      <c r="B166" s="115">
        <f t="shared" si="14"/>
        <v>2022</v>
      </c>
      <c r="C166">
        <f t="shared" si="15"/>
        <v>12</v>
      </c>
      <c r="D166" s="84">
        <f t="shared" ca="1" si="16"/>
        <v>1005081.2242870992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2:AB212"/>
  <sheetViews>
    <sheetView topLeftCell="I1" workbookViewId="0">
      <pane ySplit="2" topLeftCell="A3" activePane="bottomLeft" state="frozen"/>
      <selection activeCell="O30" sqref="O30"/>
      <selection pane="bottomLeft" activeCell="N2" sqref="N2"/>
    </sheetView>
  </sheetViews>
  <sheetFormatPr defaultRowHeight="12.75" x14ac:dyDescent="0.2"/>
  <cols>
    <col min="1" max="2" width="11.85546875" style="32" customWidth="1"/>
    <col min="3" max="3" width="6.140625" style="32" bestFit="1" customWidth="1"/>
    <col min="4" max="7" width="16.85546875" style="6" customWidth="1"/>
    <col min="8" max="8" width="11.5703125" style="195" customWidth="1"/>
    <col min="9" max="9" width="13.42578125" style="195" customWidth="1"/>
    <col min="10" max="10" width="10.140625" style="195" customWidth="1"/>
    <col min="11" max="11" width="12.42578125" style="195" customWidth="1"/>
    <col min="12" max="13" width="12.140625" style="29" customWidth="1"/>
    <col min="14" max="14" width="13" style="19" customWidth="1"/>
    <col min="15" max="15" width="19.140625" style="195" bestFit="1" customWidth="1"/>
    <col min="16" max="16" width="16" style="195" customWidth="1"/>
    <col min="17" max="17" width="17.28515625" style="195" customWidth="1"/>
    <col min="18" max="18" width="12.85546875" style="195" customWidth="1"/>
    <col min="19" max="19" width="16.140625" style="195" customWidth="1"/>
    <col min="20" max="20" width="25.85546875" bestFit="1" customWidth="1"/>
    <col min="21" max="21" width="15" bestFit="1" customWidth="1"/>
    <col min="22" max="22" width="24.140625" bestFit="1" customWidth="1"/>
    <col min="23" max="23" width="22.5703125" bestFit="1" customWidth="1"/>
    <col min="24" max="24" width="26.42578125" bestFit="1" customWidth="1"/>
    <col min="25" max="25" width="23.28515625" bestFit="1" customWidth="1"/>
    <col min="26" max="26" width="14.5703125" bestFit="1" customWidth="1"/>
    <col min="27" max="27" width="14.7109375" bestFit="1" customWidth="1"/>
    <col min="28" max="28" width="40.7109375" bestFit="1" customWidth="1"/>
    <col min="29" max="29" width="42.85546875" bestFit="1" customWidth="1"/>
  </cols>
  <sheetData>
    <row r="2" spans="1:28" s="28" customFormat="1" ht="76.5" x14ac:dyDescent="0.2">
      <c r="A2" s="131" t="s">
        <v>129</v>
      </c>
      <c r="B2" s="131" t="s">
        <v>84</v>
      </c>
      <c r="C2" s="131" t="s">
        <v>43</v>
      </c>
      <c r="D2" s="80" t="s">
        <v>71</v>
      </c>
      <c r="E2" s="80" t="s">
        <v>144</v>
      </c>
      <c r="F2" s="80" t="s">
        <v>147</v>
      </c>
      <c r="G2" s="80" t="s">
        <v>145</v>
      </c>
      <c r="H2" s="81" t="s">
        <v>4</v>
      </c>
      <c r="I2" s="81" t="s">
        <v>5</v>
      </c>
      <c r="J2" s="81" t="s">
        <v>6</v>
      </c>
      <c r="K2" s="81" t="s">
        <v>185</v>
      </c>
      <c r="L2" s="82" t="s">
        <v>209</v>
      </c>
      <c r="M2" s="82" t="str">
        <f>Data!AD1</f>
        <v>COVID CDD</v>
      </c>
      <c r="N2" s="306" t="s">
        <v>277</v>
      </c>
      <c r="O2" s="81" t="s">
        <v>13</v>
      </c>
      <c r="P2" s="83" t="s">
        <v>14</v>
      </c>
      <c r="Q2" s="81" t="s">
        <v>15</v>
      </c>
      <c r="R2" s="81" t="s">
        <v>42</v>
      </c>
      <c r="T2" s="46"/>
      <c r="U2" s="46"/>
      <c r="V2" s="46"/>
      <c r="W2" s="46"/>
      <c r="X2" s="46"/>
      <c r="Y2" s="46"/>
      <c r="Z2" s="46"/>
      <c r="AA2" s="46"/>
      <c r="AB2" s="46"/>
    </row>
    <row r="3" spans="1:28" ht="15" x14ac:dyDescent="0.25">
      <c r="A3" s="66">
        <v>40209</v>
      </c>
      <c r="B3" s="114">
        <f>YEAR(A3)</f>
        <v>2010</v>
      </c>
      <c r="C3" s="114">
        <f>MONTH(A3)</f>
        <v>1</v>
      </c>
      <c r="D3" s="107">
        <f>Purchases!C3</f>
        <v>16710571.449999999</v>
      </c>
      <c r="E3" s="94"/>
      <c r="F3" s="171"/>
      <c r="G3" s="94">
        <f>D3+F3-E3</f>
        <v>16710571.449999999</v>
      </c>
      <c r="H3" s="90">
        <f>Weather!H110</f>
        <v>627.19999999999993</v>
      </c>
      <c r="I3" s="90">
        <f>Weather!I110</f>
        <v>0</v>
      </c>
      <c r="J3" s="108">
        <v>31</v>
      </c>
      <c r="K3" s="108">
        <v>0</v>
      </c>
      <c r="L3" s="152">
        <v>0</v>
      </c>
      <c r="M3" s="152">
        <v>0</v>
      </c>
      <c r="N3" s="149">
        <v>12341</v>
      </c>
      <c r="O3" s="67">
        <f t="shared" ref="O3:O34" si="0">$U$10+H3*$U$11+I3*$U$12+J3*$U$13+K3*$U$14+L3*$U$15+M3*$U$16+N3*$U$17</f>
        <v>16655739.95608224</v>
      </c>
      <c r="P3" s="40">
        <f t="shared" ref="P3:P34" si="1">O3-G3</f>
        <v>-54831.493917759508</v>
      </c>
      <c r="Q3" s="53">
        <f t="shared" ref="Q3:Q34" si="2">P3/G3</f>
        <v>-3.2812458916693429E-3</v>
      </c>
      <c r="R3" s="12">
        <f t="shared" ref="R3:R66" si="3">ABS(Q3)</f>
        <v>3.2812458916693429E-3</v>
      </c>
      <c r="S3" s="12"/>
      <c r="T3" s="46"/>
      <c r="U3" s="46"/>
      <c r="V3" s="46"/>
      <c r="W3" s="46"/>
      <c r="X3" s="46"/>
      <c r="Y3" s="46"/>
      <c r="Z3" s="46"/>
      <c r="AA3" s="46"/>
      <c r="AB3" s="46"/>
    </row>
    <row r="4" spans="1:28" ht="15" x14ac:dyDescent="0.25">
      <c r="A4" s="66">
        <v>40237</v>
      </c>
      <c r="B4" s="114">
        <f t="shared" ref="B4:B67" si="4">YEAR(A4)</f>
        <v>2010</v>
      </c>
      <c r="C4" s="114">
        <f t="shared" ref="C4:C67" si="5">MONTH(A4)</f>
        <v>2</v>
      </c>
      <c r="D4" s="107">
        <f>Purchases!C4</f>
        <v>14688782.35</v>
      </c>
      <c r="E4" s="94"/>
      <c r="F4" s="171"/>
      <c r="G4" s="94">
        <f t="shared" ref="G4:G67" si="6">D4+F4-E4</f>
        <v>14688782.35</v>
      </c>
      <c r="H4" s="90">
        <f>Weather!H111</f>
        <v>521.79999999999995</v>
      </c>
      <c r="I4" s="90">
        <f>Weather!I111</f>
        <v>0</v>
      </c>
      <c r="J4" s="108">
        <v>28</v>
      </c>
      <c r="K4" s="108">
        <v>0</v>
      </c>
      <c r="L4" s="152">
        <f>Data!AC3</f>
        <v>0</v>
      </c>
      <c r="M4" s="152">
        <f>Data!AD3</f>
        <v>0</v>
      </c>
      <c r="N4" s="149">
        <v>12365.727272727272</v>
      </c>
      <c r="O4" s="67">
        <f t="shared" si="0"/>
        <v>14530251.064338986</v>
      </c>
      <c r="P4" s="40">
        <f t="shared" si="1"/>
        <v>-158531.2856610138</v>
      </c>
      <c r="Q4" s="53">
        <f t="shared" si="2"/>
        <v>-1.0792677152099936E-2</v>
      </c>
      <c r="R4" s="12">
        <f t="shared" si="3"/>
        <v>1.0792677152099936E-2</v>
      </c>
      <c r="S4" s="153"/>
      <c r="T4" s="220"/>
      <c r="U4" s="220"/>
      <c r="V4" s="46"/>
      <c r="W4" s="46"/>
      <c r="X4" s="46"/>
      <c r="Y4" s="46"/>
      <c r="Z4" s="46"/>
      <c r="AA4" s="46"/>
      <c r="AB4" s="46"/>
    </row>
    <row r="5" spans="1:28" ht="15" x14ac:dyDescent="0.25">
      <c r="A5" s="66">
        <v>40268</v>
      </c>
      <c r="B5" s="114">
        <f t="shared" si="4"/>
        <v>2010</v>
      </c>
      <c r="C5" s="114">
        <f t="shared" si="5"/>
        <v>3</v>
      </c>
      <c r="D5" s="107">
        <f>Purchases!C5</f>
        <v>14685368.52</v>
      </c>
      <c r="E5" s="94"/>
      <c r="F5" s="171"/>
      <c r="G5" s="94">
        <f t="shared" si="6"/>
        <v>14685368.52</v>
      </c>
      <c r="H5" s="90">
        <f>Weather!H112</f>
        <v>360.7</v>
      </c>
      <c r="I5" s="90">
        <f>Weather!I112</f>
        <v>0</v>
      </c>
      <c r="J5" s="108">
        <v>31</v>
      </c>
      <c r="K5" s="108">
        <v>1</v>
      </c>
      <c r="L5" s="152">
        <f>Data!AC4</f>
        <v>0</v>
      </c>
      <c r="M5" s="152">
        <f>Data!AD4</f>
        <v>0</v>
      </c>
      <c r="N5" s="149">
        <v>12391.454545454544</v>
      </c>
      <c r="O5" s="67">
        <f t="shared" si="0"/>
        <v>14357206.475257616</v>
      </c>
      <c r="P5" s="40">
        <f t="shared" si="1"/>
        <v>-328162.04474238306</v>
      </c>
      <c r="Q5" s="53">
        <f t="shared" si="2"/>
        <v>-2.2346190651971673E-2</v>
      </c>
      <c r="R5" s="12">
        <f t="shared" si="3"/>
        <v>2.2346190651971673E-2</v>
      </c>
      <c r="S5" s="153"/>
      <c r="T5" s="46" t="s">
        <v>182</v>
      </c>
      <c r="U5" s="46"/>
      <c r="V5" s="46"/>
      <c r="W5" s="46"/>
      <c r="X5" s="46"/>
      <c r="Y5" s="46"/>
      <c r="Z5" s="46"/>
      <c r="AA5" s="46"/>
      <c r="AB5" s="46"/>
    </row>
    <row r="6" spans="1:28" ht="15" x14ac:dyDescent="0.25">
      <c r="A6" s="66">
        <v>40298</v>
      </c>
      <c r="B6" s="114">
        <f t="shared" si="4"/>
        <v>2010</v>
      </c>
      <c r="C6" s="114">
        <f t="shared" si="5"/>
        <v>4</v>
      </c>
      <c r="D6" s="107">
        <f>Purchases!C6</f>
        <v>13053838.199999999</v>
      </c>
      <c r="E6" s="94"/>
      <c r="F6" s="171"/>
      <c r="G6" s="94">
        <f t="shared" si="6"/>
        <v>13053838.199999999</v>
      </c>
      <c r="H6" s="90">
        <f>Weather!H113</f>
        <v>159.69999999999999</v>
      </c>
      <c r="I6" s="90">
        <f>Weather!I113</f>
        <v>6.6000000000000014</v>
      </c>
      <c r="J6" s="108">
        <v>30</v>
      </c>
      <c r="K6" s="108">
        <v>1</v>
      </c>
      <c r="L6" s="152">
        <f>Data!AC5</f>
        <v>0</v>
      </c>
      <c r="M6" s="152">
        <f>Data!AD5</f>
        <v>0</v>
      </c>
      <c r="N6" s="149">
        <v>12417.181818181816</v>
      </c>
      <c r="O6" s="67">
        <f t="shared" si="0"/>
        <v>12828235.847310117</v>
      </c>
      <c r="P6" s="40">
        <f t="shared" si="1"/>
        <v>-225602.35268988274</v>
      </c>
      <c r="Q6" s="53">
        <f t="shared" si="2"/>
        <v>-1.7282453576748236E-2</v>
      </c>
      <c r="R6" s="12">
        <f t="shared" si="3"/>
        <v>1.7282453576748236E-2</v>
      </c>
      <c r="S6" s="153"/>
      <c r="T6" s="46" t="s">
        <v>156</v>
      </c>
      <c r="U6" s="46"/>
      <c r="V6" s="46"/>
      <c r="W6" s="46"/>
      <c r="X6" s="46"/>
      <c r="Y6" s="46"/>
      <c r="Z6" s="46"/>
      <c r="AA6" s="46"/>
      <c r="AB6" s="46"/>
    </row>
    <row r="7" spans="1:28" ht="15" x14ac:dyDescent="0.25">
      <c r="A7" s="66">
        <v>40329</v>
      </c>
      <c r="B7" s="114">
        <f t="shared" si="4"/>
        <v>2010</v>
      </c>
      <c r="C7" s="114">
        <f t="shared" si="5"/>
        <v>5</v>
      </c>
      <c r="D7" s="107">
        <f>Purchases!C7</f>
        <v>14445330.75</v>
      </c>
      <c r="E7" s="94"/>
      <c r="F7" s="171"/>
      <c r="G7" s="94">
        <f t="shared" si="6"/>
        <v>14445330.75</v>
      </c>
      <c r="H7" s="90">
        <f>Weather!H114</f>
        <v>78.5</v>
      </c>
      <c r="I7" s="90">
        <f>Weather!I114</f>
        <v>69.400000000000006</v>
      </c>
      <c r="J7" s="108">
        <v>31</v>
      </c>
      <c r="K7" s="108">
        <v>1</v>
      </c>
      <c r="L7" s="152">
        <f>Data!AC6</f>
        <v>0</v>
      </c>
      <c r="M7" s="152">
        <f>Data!AD6</f>
        <v>0</v>
      </c>
      <c r="N7" s="149">
        <v>12443.909090909088</v>
      </c>
      <c r="O7" s="67">
        <f t="shared" si="0"/>
        <v>14697401.179903906</v>
      </c>
      <c r="P7" s="40">
        <f t="shared" si="1"/>
        <v>252070.42990390584</v>
      </c>
      <c r="Q7" s="53">
        <f t="shared" si="2"/>
        <v>1.7449959039802936E-2</v>
      </c>
      <c r="R7" s="12">
        <f t="shared" si="3"/>
        <v>1.7449959039802936E-2</v>
      </c>
      <c r="S7" s="153"/>
      <c r="T7" s="46" t="s">
        <v>279</v>
      </c>
      <c r="U7" s="46"/>
      <c r="V7" s="46"/>
      <c r="W7" s="46"/>
      <c r="X7" s="46"/>
      <c r="Y7" s="46"/>
      <c r="Z7" s="46"/>
      <c r="AA7" s="46"/>
      <c r="AB7" s="46"/>
    </row>
    <row r="8" spans="1:28" ht="15" x14ac:dyDescent="0.25">
      <c r="A8" s="66">
        <v>40359</v>
      </c>
      <c r="B8" s="114">
        <f t="shared" si="4"/>
        <v>2010</v>
      </c>
      <c r="C8" s="114">
        <f t="shared" si="5"/>
        <v>6</v>
      </c>
      <c r="D8" s="107">
        <f>Purchases!C8</f>
        <v>16128916.77</v>
      </c>
      <c r="E8" s="94"/>
      <c r="F8" s="171"/>
      <c r="G8" s="94">
        <f t="shared" si="6"/>
        <v>16128916.77</v>
      </c>
      <c r="H8" s="90">
        <f>Weather!H115</f>
        <v>5.6999999999999993</v>
      </c>
      <c r="I8" s="90">
        <f>Weather!I115</f>
        <v>122.50000000000003</v>
      </c>
      <c r="J8" s="108">
        <v>30</v>
      </c>
      <c r="K8" s="108">
        <v>0</v>
      </c>
      <c r="L8" s="152">
        <f>Data!AC7</f>
        <v>0</v>
      </c>
      <c r="M8" s="152">
        <f>Data!AD7</f>
        <v>0</v>
      </c>
      <c r="N8" s="149">
        <v>12470.63636363636</v>
      </c>
      <c r="O8" s="67">
        <f t="shared" si="0"/>
        <v>16019417.624864377</v>
      </c>
      <c r="P8" s="40">
        <f t="shared" si="1"/>
        <v>-109499.14513562247</v>
      </c>
      <c r="Q8" s="53">
        <f t="shared" si="2"/>
        <v>-6.7889956093822954E-3</v>
      </c>
      <c r="R8" s="12">
        <f t="shared" si="3"/>
        <v>6.7889956093822954E-3</v>
      </c>
      <c r="S8" s="153"/>
      <c r="T8" s="46"/>
      <c r="U8" s="46"/>
      <c r="V8" s="46"/>
      <c r="W8" s="46"/>
      <c r="X8" s="46"/>
      <c r="Y8" s="46"/>
      <c r="Z8" s="46"/>
      <c r="AA8" s="46"/>
      <c r="AB8" s="46"/>
    </row>
    <row r="9" spans="1:28" ht="15" x14ac:dyDescent="0.25">
      <c r="A9" s="66">
        <v>40390</v>
      </c>
      <c r="B9" s="114">
        <f t="shared" si="4"/>
        <v>2010</v>
      </c>
      <c r="C9" s="114">
        <f t="shared" si="5"/>
        <v>7</v>
      </c>
      <c r="D9" s="107">
        <f>Purchases!C9</f>
        <v>19784906.43</v>
      </c>
      <c r="E9" s="94"/>
      <c r="F9" s="171"/>
      <c r="G9" s="94">
        <f t="shared" si="6"/>
        <v>19784906.43</v>
      </c>
      <c r="H9" s="90">
        <f>Weather!H116</f>
        <v>0</v>
      </c>
      <c r="I9" s="90">
        <f>Weather!I116</f>
        <v>234.69999999999996</v>
      </c>
      <c r="J9" s="108">
        <v>31</v>
      </c>
      <c r="K9" s="108">
        <v>0</v>
      </c>
      <c r="L9" s="152">
        <f>Data!AC8</f>
        <v>0</v>
      </c>
      <c r="M9" s="152">
        <f>Data!AD8</f>
        <v>0</v>
      </c>
      <c r="N9" s="149">
        <v>12498.363636363632</v>
      </c>
      <c r="O9" s="67">
        <f t="shared" si="0"/>
        <v>19818898.383121628</v>
      </c>
      <c r="P9" s="40">
        <f t="shared" si="1"/>
        <v>33991.953121628612</v>
      </c>
      <c r="Q9" s="53">
        <f t="shared" si="2"/>
        <v>1.7180750003490722E-3</v>
      </c>
      <c r="R9" s="12">
        <f t="shared" si="3"/>
        <v>1.7180750003490722E-3</v>
      </c>
      <c r="S9" s="153"/>
      <c r="T9" s="46"/>
      <c r="U9" s="46" t="s">
        <v>157</v>
      </c>
      <c r="V9" s="46" t="s">
        <v>158</v>
      </c>
      <c r="W9" s="46" t="s">
        <v>159</v>
      </c>
      <c r="X9" s="46" t="s">
        <v>160</v>
      </c>
      <c r="Y9" s="46"/>
      <c r="Z9" s="46"/>
      <c r="AA9" s="46"/>
      <c r="AB9" s="46"/>
    </row>
    <row r="10" spans="1:28" ht="15" x14ac:dyDescent="0.25">
      <c r="A10" s="66">
        <v>40421</v>
      </c>
      <c r="B10" s="114">
        <f t="shared" si="4"/>
        <v>2010</v>
      </c>
      <c r="C10" s="114">
        <f t="shared" si="5"/>
        <v>8</v>
      </c>
      <c r="D10" s="107">
        <f>Purchases!C10</f>
        <v>19044589.699999999</v>
      </c>
      <c r="E10" s="94"/>
      <c r="F10" s="171"/>
      <c r="G10" s="94">
        <f t="shared" si="6"/>
        <v>19044589.699999999</v>
      </c>
      <c r="H10" s="90">
        <f>Weather!H117</f>
        <v>0</v>
      </c>
      <c r="I10" s="90">
        <f>Weather!I117</f>
        <v>206.29999999999998</v>
      </c>
      <c r="J10" s="108">
        <v>31</v>
      </c>
      <c r="K10" s="108">
        <v>0</v>
      </c>
      <c r="L10" s="152">
        <f>Data!AC9</f>
        <v>0</v>
      </c>
      <c r="M10" s="152">
        <f>Data!AD9</f>
        <v>0</v>
      </c>
      <c r="N10" s="149">
        <v>12525.090909090904</v>
      </c>
      <c r="O10" s="67">
        <f t="shared" si="0"/>
        <v>18994860.221120197</v>
      </c>
      <c r="P10" s="40">
        <f t="shared" si="1"/>
        <v>-49729.478879801929</v>
      </c>
      <c r="Q10" s="53">
        <f t="shared" si="2"/>
        <v>-2.6112129304524702E-3</v>
      </c>
      <c r="R10" s="12">
        <f t="shared" si="3"/>
        <v>2.6112129304524702E-3</v>
      </c>
      <c r="S10" s="153"/>
      <c r="T10" s="46" t="s">
        <v>161</v>
      </c>
      <c r="U10" s="222">
        <v>-10298151.2541788</v>
      </c>
      <c r="V10" s="223">
        <v>1741363.73157309</v>
      </c>
      <c r="W10" s="224">
        <v>-5.9138427357021799</v>
      </c>
      <c r="X10" s="225">
        <v>3.69379849028044E-8</v>
      </c>
      <c r="Y10" s="46"/>
      <c r="Z10" s="46"/>
      <c r="AA10" s="46"/>
      <c r="AB10" s="46"/>
    </row>
    <row r="11" spans="1:28" ht="15" x14ac:dyDescent="0.25">
      <c r="A11" s="66">
        <v>40451</v>
      </c>
      <c r="B11" s="114">
        <f t="shared" si="4"/>
        <v>2010</v>
      </c>
      <c r="C11" s="114">
        <f t="shared" si="5"/>
        <v>9</v>
      </c>
      <c r="D11" s="107">
        <f>Purchases!C11</f>
        <v>14895979.83</v>
      </c>
      <c r="E11" s="94"/>
      <c r="F11" s="171"/>
      <c r="G11" s="94">
        <f t="shared" si="6"/>
        <v>14895979.83</v>
      </c>
      <c r="H11" s="90">
        <f>Weather!H118</f>
        <v>26.9</v>
      </c>
      <c r="I11" s="90">
        <f>Weather!I118</f>
        <v>57.600000000000023</v>
      </c>
      <c r="J11" s="108">
        <v>30</v>
      </c>
      <c r="K11" s="108">
        <v>0</v>
      </c>
      <c r="L11" s="152">
        <f>Data!AC10</f>
        <v>0</v>
      </c>
      <c r="M11" s="152">
        <f>Data!AD10</f>
        <v>0</v>
      </c>
      <c r="N11" s="149">
        <v>12552.818181818177</v>
      </c>
      <c r="O11" s="67">
        <f t="shared" si="0"/>
        <v>14280699.885836551</v>
      </c>
      <c r="P11" s="40">
        <f t="shared" si="1"/>
        <v>-615279.94416344911</v>
      </c>
      <c r="Q11" s="53">
        <f t="shared" si="2"/>
        <v>-4.1305100516066492E-2</v>
      </c>
      <c r="R11" s="12">
        <f t="shared" si="3"/>
        <v>4.1305100516066492E-2</v>
      </c>
      <c r="S11" s="153"/>
      <c r="T11" s="46" t="s">
        <v>95</v>
      </c>
      <c r="U11" s="222">
        <v>6190.17208000344</v>
      </c>
      <c r="V11" s="223">
        <v>234.913194700167</v>
      </c>
      <c r="W11" s="224">
        <v>26.350891391623701</v>
      </c>
      <c r="X11" s="225">
        <v>7.9162916743882204E-50</v>
      </c>
      <c r="Y11" s="46"/>
      <c r="Z11" s="46"/>
      <c r="AA11" s="46"/>
      <c r="AB11" s="46"/>
    </row>
    <row r="12" spans="1:28" ht="15" x14ac:dyDescent="0.25">
      <c r="A12" s="66">
        <v>40482</v>
      </c>
      <c r="B12" s="114">
        <f t="shared" si="4"/>
        <v>2010</v>
      </c>
      <c r="C12" s="114">
        <f t="shared" si="5"/>
        <v>10</v>
      </c>
      <c r="D12" s="107">
        <f>Purchases!C12</f>
        <v>13951924.74</v>
      </c>
      <c r="E12" s="94"/>
      <c r="F12" s="171"/>
      <c r="G12" s="94">
        <f t="shared" si="6"/>
        <v>13951924.74</v>
      </c>
      <c r="H12" s="90">
        <f>Weather!H119</f>
        <v>158.19999999999999</v>
      </c>
      <c r="I12" s="90">
        <f>Weather!I119</f>
        <v>2.5</v>
      </c>
      <c r="J12" s="108">
        <v>31</v>
      </c>
      <c r="K12" s="108">
        <v>0</v>
      </c>
      <c r="L12" s="152">
        <f>Data!AC11</f>
        <v>0</v>
      </c>
      <c r="M12" s="152">
        <f>Data!AD11</f>
        <v>0</v>
      </c>
      <c r="N12" s="149">
        <v>12579.545454545449</v>
      </c>
      <c r="O12" s="67">
        <f t="shared" si="0"/>
        <v>13975211.846700452</v>
      </c>
      <c r="P12" s="40">
        <f t="shared" si="1"/>
        <v>23287.106700452045</v>
      </c>
      <c r="Q12" s="53">
        <f t="shared" si="2"/>
        <v>1.6690963529704392E-3</v>
      </c>
      <c r="R12" s="12">
        <f t="shared" si="3"/>
        <v>1.6690963529704392E-3</v>
      </c>
      <c r="S12" s="153"/>
      <c r="T12" s="46" t="s">
        <v>96</v>
      </c>
      <c r="U12" s="222">
        <v>29601.907877274101</v>
      </c>
      <c r="V12" s="223">
        <v>704.35813319939302</v>
      </c>
      <c r="W12" s="224">
        <v>42.026785071415198</v>
      </c>
      <c r="X12" s="225">
        <v>2.0676710038397801E-70</v>
      </c>
      <c r="Y12" s="221"/>
      <c r="Z12" s="46"/>
      <c r="AA12" s="46"/>
      <c r="AB12" s="46"/>
    </row>
    <row r="13" spans="1:28" ht="15" x14ac:dyDescent="0.25">
      <c r="A13" s="66">
        <v>40512</v>
      </c>
      <c r="B13" s="114">
        <f t="shared" si="4"/>
        <v>2010</v>
      </c>
      <c r="C13" s="114">
        <f t="shared" si="5"/>
        <v>11</v>
      </c>
      <c r="D13" s="107">
        <f>Purchases!C13</f>
        <v>14495200.18</v>
      </c>
      <c r="E13" s="94"/>
      <c r="F13" s="171"/>
      <c r="G13" s="94">
        <f t="shared" si="6"/>
        <v>14495200.18</v>
      </c>
      <c r="H13" s="90">
        <f>Weather!H120</f>
        <v>332.40000000000003</v>
      </c>
      <c r="I13" s="90">
        <f>Weather!I120</f>
        <v>0</v>
      </c>
      <c r="J13" s="108">
        <v>30</v>
      </c>
      <c r="K13" s="108">
        <v>0</v>
      </c>
      <c r="L13" s="152">
        <f>Data!AC12</f>
        <v>0</v>
      </c>
      <c r="M13" s="152">
        <f>Data!AD12</f>
        <v>0</v>
      </c>
      <c r="N13" s="149">
        <v>12605.272727272721</v>
      </c>
      <c r="O13" s="67">
        <f t="shared" si="0"/>
        <v>14499416.421487052</v>
      </c>
      <c r="P13" s="40">
        <f t="shared" si="1"/>
        <v>4216.2414870522916</v>
      </c>
      <c r="Q13" s="53">
        <f t="shared" si="2"/>
        <v>2.9087155987467651E-4</v>
      </c>
      <c r="R13" s="12">
        <f t="shared" si="3"/>
        <v>2.9087155987467651E-4</v>
      </c>
      <c r="S13" s="153"/>
      <c r="T13" s="46" t="s">
        <v>183</v>
      </c>
      <c r="U13" s="222">
        <v>496151.46908410301</v>
      </c>
      <c r="V13" s="223">
        <v>35453.772104253199</v>
      </c>
      <c r="W13" s="224">
        <v>13.994321045025901</v>
      </c>
      <c r="X13" s="225">
        <v>2.4118276797962701E-26</v>
      </c>
      <c r="Y13" s="30"/>
      <c r="Z13" s="46"/>
      <c r="AA13" s="46"/>
      <c r="AB13" s="46"/>
    </row>
    <row r="14" spans="1:28" ht="15" x14ac:dyDescent="0.25">
      <c r="A14" s="66">
        <v>40543</v>
      </c>
      <c r="B14" s="114">
        <f t="shared" si="4"/>
        <v>2010</v>
      </c>
      <c r="C14" s="114">
        <f t="shared" si="5"/>
        <v>12</v>
      </c>
      <c r="D14" s="107">
        <f>Purchases!C14</f>
        <v>17057264.129999999</v>
      </c>
      <c r="E14" s="94"/>
      <c r="F14" s="171"/>
      <c r="G14" s="94">
        <f t="shared" si="6"/>
        <v>17057264.129999999</v>
      </c>
      <c r="H14" s="90">
        <f>Weather!H121</f>
        <v>595</v>
      </c>
      <c r="I14" s="90">
        <f>Weather!I121</f>
        <v>0</v>
      </c>
      <c r="J14" s="108">
        <v>31</v>
      </c>
      <c r="K14" s="108">
        <v>0</v>
      </c>
      <c r="L14" s="152">
        <f>Data!AC13</f>
        <v>0</v>
      </c>
      <c r="M14" s="152">
        <f>Data!AD13</f>
        <v>0</v>
      </c>
      <c r="N14" s="149">
        <v>12665</v>
      </c>
      <c r="O14" s="67">
        <f t="shared" si="0"/>
        <v>16658328.188526802</v>
      </c>
      <c r="P14" s="40">
        <f t="shared" si="1"/>
        <v>-398935.94147319719</v>
      </c>
      <c r="Q14" s="53">
        <f t="shared" si="2"/>
        <v>-2.3388037989724043E-2</v>
      </c>
      <c r="R14" s="12">
        <f t="shared" si="3"/>
        <v>2.3388037989724043E-2</v>
      </c>
      <c r="S14" s="153"/>
      <c r="T14" s="46" t="s">
        <v>187</v>
      </c>
      <c r="U14" s="222">
        <v>-680295.11147241399</v>
      </c>
      <c r="V14" s="223">
        <v>96377.697846802097</v>
      </c>
      <c r="W14" s="224">
        <v>-7.0586362475038804</v>
      </c>
      <c r="X14" s="225">
        <v>1.4918716675239701E-10</v>
      </c>
      <c r="Y14" s="30"/>
      <c r="Z14" s="46"/>
      <c r="AA14" s="46"/>
      <c r="AB14" s="46"/>
    </row>
    <row r="15" spans="1:28" ht="15" x14ac:dyDescent="0.25">
      <c r="A15" s="66">
        <v>40574</v>
      </c>
      <c r="B15" s="114">
        <f t="shared" si="4"/>
        <v>2011</v>
      </c>
      <c r="C15" s="114">
        <f t="shared" si="5"/>
        <v>1</v>
      </c>
      <c r="D15" s="107">
        <f>Purchases!C15</f>
        <v>16972495.279649999</v>
      </c>
      <c r="E15" s="94"/>
      <c r="F15" s="171">
        <f ca="1">CDM!D23</f>
        <v>6677.2348839500955</v>
      </c>
      <c r="G15" s="94">
        <f t="shared" ca="1" si="6"/>
        <v>16979172.514533948</v>
      </c>
      <c r="H15" s="90">
        <f>Weather!H122</f>
        <v>681</v>
      </c>
      <c r="I15" s="90">
        <f>Weather!I122</f>
        <v>0</v>
      </c>
      <c r="J15" s="108">
        <v>31</v>
      </c>
      <c r="K15" s="108">
        <f>K3</f>
        <v>0</v>
      </c>
      <c r="L15" s="152">
        <f>Data!AC2</f>
        <v>0</v>
      </c>
      <c r="M15" s="152">
        <f>Data!AD2</f>
        <v>0</v>
      </c>
      <c r="N15" s="150">
        <f>Data!AH2</f>
        <v>12677.666666666668</v>
      </c>
      <c r="O15" s="67">
        <f t="shared" si="0"/>
        <v>17198576.657561406</v>
      </c>
      <c r="P15" s="40">
        <f t="shared" ca="1" si="1"/>
        <v>219404.14302745834</v>
      </c>
      <c r="Q15" s="53">
        <f t="shared" ca="1" si="2"/>
        <v>1.2921957347429699E-2</v>
      </c>
      <c r="R15" s="12">
        <f t="shared" ca="1" si="3"/>
        <v>1.2921957347429699E-2</v>
      </c>
      <c r="S15" s="153"/>
      <c r="T15" s="46" t="s">
        <v>210</v>
      </c>
      <c r="U15" s="222">
        <v>1959.52385954496</v>
      </c>
      <c r="V15" s="223">
        <v>578.68408704901003</v>
      </c>
      <c r="W15" s="224">
        <v>3.3861720123280299</v>
      </c>
      <c r="X15" s="46">
        <v>9.7828800191209105E-4</v>
      </c>
      <c r="Y15" s="30"/>
      <c r="Z15" s="46"/>
      <c r="AA15" s="46"/>
      <c r="AB15" s="46"/>
    </row>
    <row r="16" spans="1:28" ht="15" x14ac:dyDescent="0.25">
      <c r="A16" s="66">
        <v>40602</v>
      </c>
      <c r="B16" s="114">
        <f t="shared" si="4"/>
        <v>2011</v>
      </c>
      <c r="C16" s="114">
        <f t="shared" si="5"/>
        <v>2</v>
      </c>
      <c r="D16" s="107">
        <f>Purchases!C16</f>
        <v>15034235.442599999</v>
      </c>
      <c r="E16" s="94"/>
      <c r="F16" s="171">
        <f ca="1">CDM!D24</f>
        <v>13354.469767900191</v>
      </c>
      <c r="G16" s="94">
        <f t="shared" ca="1" si="6"/>
        <v>15047589.912367899</v>
      </c>
      <c r="H16" s="90">
        <f>Weather!H123</f>
        <v>554.70000000000005</v>
      </c>
      <c r="I16" s="90">
        <f>Weather!I123</f>
        <v>0</v>
      </c>
      <c r="J16" s="108">
        <v>29</v>
      </c>
      <c r="K16" s="108">
        <f t="shared" ref="K16:K79" si="7">K4</f>
        <v>0</v>
      </c>
      <c r="L16" s="152">
        <f>Data!AC3</f>
        <v>0</v>
      </c>
      <c r="M16" s="152">
        <f>Data!AD3</f>
        <v>0</v>
      </c>
      <c r="N16" s="150">
        <f>Data!AH3</f>
        <v>12690.333333333334</v>
      </c>
      <c r="O16" s="67">
        <f t="shared" si="0"/>
        <v>15432348.655843068</v>
      </c>
      <c r="P16" s="40">
        <f t="shared" ca="1" si="1"/>
        <v>384758.74347516894</v>
      </c>
      <c r="Q16" s="53">
        <f t="shared" ca="1" si="2"/>
        <v>2.5569459675328369E-2</v>
      </c>
      <c r="R16" s="12">
        <f t="shared" ca="1" si="3"/>
        <v>2.5569459675328369E-2</v>
      </c>
      <c r="S16" s="153"/>
      <c r="T16" s="46" t="s">
        <v>207</v>
      </c>
      <c r="U16" s="222">
        <v>6052.5738140815201</v>
      </c>
      <c r="V16" s="223">
        <v>1328.21390682317</v>
      </c>
      <c r="W16" s="224">
        <v>4.5569270002285203</v>
      </c>
      <c r="X16" s="225">
        <v>1.3306838785660701E-5</v>
      </c>
      <c r="Y16" s="46"/>
      <c r="Z16" s="46"/>
      <c r="AA16" s="46"/>
      <c r="AB16" s="46"/>
    </row>
    <row r="17" spans="1:28" ht="15" x14ac:dyDescent="0.25">
      <c r="A17" s="66">
        <v>40633</v>
      </c>
      <c r="B17" s="114">
        <f t="shared" si="4"/>
        <v>2011</v>
      </c>
      <c r="C17" s="114">
        <f t="shared" si="5"/>
        <v>3</v>
      </c>
      <c r="D17" s="107">
        <f>Purchases!C17</f>
        <v>15600132.157400001</v>
      </c>
      <c r="E17" s="94"/>
      <c r="F17" s="171">
        <f ca="1">CDM!D25</f>
        <v>20031.704651850287</v>
      </c>
      <c r="G17" s="94">
        <f t="shared" ca="1" si="6"/>
        <v>15620163.862051852</v>
      </c>
      <c r="H17" s="90">
        <f>Weather!H124</f>
        <v>486.60000000000014</v>
      </c>
      <c r="I17" s="90">
        <f>Weather!I124</f>
        <v>0</v>
      </c>
      <c r="J17" s="108">
        <v>31</v>
      </c>
      <c r="K17" s="108">
        <f t="shared" si="7"/>
        <v>1</v>
      </c>
      <c r="L17" s="152">
        <f>Data!AC4</f>
        <v>0</v>
      </c>
      <c r="M17" s="152">
        <f>Data!AD4</f>
        <v>0</v>
      </c>
      <c r="N17" s="150">
        <f>Data!AH4</f>
        <v>12722.000000000002</v>
      </c>
      <c r="O17" s="67">
        <f t="shared" si="0"/>
        <v>15342539.939276394</v>
      </c>
      <c r="P17" s="40">
        <f t="shared" ca="1" si="1"/>
        <v>-277623.92277545854</v>
      </c>
      <c r="Q17" s="53">
        <f t="shared" ca="1" si="2"/>
        <v>-1.7773432162893461E-2</v>
      </c>
      <c r="R17" s="12">
        <f t="shared" ca="1" si="3"/>
        <v>1.7773432162893461E-2</v>
      </c>
      <c r="S17" s="153"/>
      <c r="T17" s="46" t="s">
        <v>278</v>
      </c>
      <c r="U17" s="222">
        <v>623.18448586627403</v>
      </c>
      <c r="V17" s="223">
        <v>101.11157434258899</v>
      </c>
      <c r="W17" s="224">
        <v>6.1633348102640104</v>
      </c>
      <c r="X17" s="225">
        <v>1.1514164628853401E-8</v>
      </c>
      <c r="Y17" s="221"/>
      <c r="Z17" s="221"/>
      <c r="AA17" s="221"/>
      <c r="AB17" s="221"/>
    </row>
    <row r="18" spans="1:28" ht="15" x14ac:dyDescent="0.25">
      <c r="A18" s="66">
        <v>40663</v>
      </c>
      <c r="B18" s="114">
        <f t="shared" si="4"/>
        <v>2011</v>
      </c>
      <c r="C18" s="114">
        <f t="shared" si="5"/>
        <v>4</v>
      </c>
      <c r="D18" s="107">
        <f>Purchases!C18</f>
        <v>13905160.764599999</v>
      </c>
      <c r="E18" s="94"/>
      <c r="F18" s="171">
        <f ca="1">CDM!D26</f>
        <v>26708.939535800382</v>
      </c>
      <c r="G18" s="94">
        <f t="shared" ca="1" si="6"/>
        <v>13931869.7041358</v>
      </c>
      <c r="H18" s="90">
        <f>Weather!H125</f>
        <v>274.59999999999997</v>
      </c>
      <c r="I18" s="90">
        <f>Weather!I125</f>
        <v>0</v>
      </c>
      <c r="J18" s="108">
        <v>30</v>
      </c>
      <c r="K18" s="108">
        <f t="shared" si="7"/>
        <v>1</v>
      </c>
      <c r="L18" s="152">
        <f>Data!AC5</f>
        <v>0</v>
      </c>
      <c r="M18" s="152">
        <f>Data!AD5</f>
        <v>0</v>
      </c>
      <c r="N18" s="150">
        <f>Data!AH5</f>
        <v>12644.66666666667</v>
      </c>
      <c r="O18" s="67">
        <f t="shared" si="0"/>
        <v>13485879.055657905</v>
      </c>
      <c r="P18" s="40">
        <f t="shared" ca="1" si="1"/>
        <v>-445990.64847789519</v>
      </c>
      <c r="Q18" s="53">
        <f t="shared" ca="1" si="2"/>
        <v>-3.2012260949117181E-2</v>
      </c>
      <c r="R18" s="12">
        <f t="shared" ca="1" si="3"/>
        <v>3.2012260949117181E-2</v>
      </c>
      <c r="S18" s="153"/>
      <c r="T18" s="46"/>
      <c r="U18" s="46"/>
      <c r="V18" s="46"/>
      <c r="W18" s="46"/>
      <c r="X18" s="46"/>
      <c r="Y18" s="170"/>
      <c r="Z18" s="170"/>
      <c r="AA18" s="170"/>
      <c r="AB18" s="170"/>
    </row>
    <row r="19" spans="1:28" ht="15" x14ac:dyDescent="0.25">
      <c r="A19" s="66">
        <v>40694</v>
      </c>
      <c r="B19" s="114">
        <f t="shared" si="4"/>
        <v>2011</v>
      </c>
      <c r="C19" s="114">
        <f t="shared" si="5"/>
        <v>5</v>
      </c>
      <c r="D19" s="107">
        <f>Purchases!C19</f>
        <v>13964088.668949999</v>
      </c>
      <c r="E19" s="94"/>
      <c r="F19" s="171">
        <f ca="1">CDM!D27</f>
        <v>33386.174419750474</v>
      </c>
      <c r="G19" s="94">
        <f t="shared" ca="1" si="6"/>
        <v>13997474.84336975</v>
      </c>
      <c r="H19" s="90">
        <f>Weather!H126</f>
        <v>113.3</v>
      </c>
      <c r="I19" s="90">
        <f>Weather!I126</f>
        <v>28.099999999999998</v>
      </c>
      <c r="J19" s="108">
        <v>31</v>
      </c>
      <c r="K19" s="108">
        <f t="shared" si="7"/>
        <v>1</v>
      </c>
      <c r="L19" s="152">
        <f>Data!AC6</f>
        <v>0</v>
      </c>
      <c r="M19" s="152">
        <f>Data!AD6</f>
        <v>0</v>
      </c>
      <c r="N19" s="150">
        <f>Data!AH6</f>
        <v>12657.333333333336</v>
      </c>
      <c r="O19" s="67">
        <f t="shared" si="0"/>
        <v>13823263.049743161</v>
      </c>
      <c r="P19" s="40">
        <f t="shared" ca="1" si="1"/>
        <v>-174211.7936265897</v>
      </c>
      <c r="Q19" s="53">
        <f t="shared" ca="1" si="2"/>
        <v>-1.2445944398972035E-2</v>
      </c>
      <c r="R19" s="12">
        <f t="shared" ca="1" si="3"/>
        <v>1.2445944398972035E-2</v>
      </c>
      <c r="S19" s="153"/>
      <c r="T19" s="46" t="s">
        <v>172</v>
      </c>
      <c r="U19" s="46"/>
      <c r="V19" s="46"/>
      <c r="W19" s="46"/>
      <c r="X19" s="46"/>
      <c r="Y19" s="170"/>
      <c r="Z19" s="170"/>
      <c r="AA19" s="170"/>
      <c r="AB19" s="170"/>
    </row>
    <row r="20" spans="1:28" ht="15" x14ac:dyDescent="0.25">
      <c r="A20" s="66">
        <v>40724</v>
      </c>
      <c r="B20" s="114">
        <f t="shared" si="4"/>
        <v>2011</v>
      </c>
      <c r="C20" s="114">
        <f t="shared" si="5"/>
        <v>6</v>
      </c>
      <c r="D20" s="107">
        <f>Purchases!C20</f>
        <v>15635949.933149999</v>
      </c>
      <c r="E20" s="94"/>
      <c r="F20" s="171">
        <f ca="1">CDM!D28</f>
        <v>40063.409303700573</v>
      </c>
      <c r="G20" s="94">
        <f t="shared" ca="1" si="6"/>
        <v>15676013.3424537</v>
      </c>
      <c r="H20" s="90">
        <f>Weather!H127</f>
        <v>1.0999999999999996</v>
      </c>
      <c r="I20" s="90">
        <f>Weather!I127</f>
        <v>113.39999999999999</v>
      </c>
      <c r="J20" s="108">
        <v>30</v>
      </c>
      <c r="K20" s="108">
        <f t="shared" si="7"/>
        <v>0</v>
      </c>
      <c r="L20" s="152">
        <f>Data!AC7</f>
        <v>0</v>
      </c>
      <c r="M20" s="152">
        <f>Data!AD7</f>
        <v>0</v>
      </c>
      <c r="N20" s="150">
        <f>Data!AH7</f>
        <v>12670.000000000004</v>
      </c>
      <c r="O20" s="67">
        <f t="shared" si="0"/>
        <v>15845805.796840873</v>
      </c>
      <c r="P20" s="40">
        <f t="shared" ca="1" si="1"/>
        <v>169792.45438717306</v>
      </c>
      <c r="Q20" s="53">
        <f t="shared" ca="1" si="2"/>
        <v>1.083135429129433E-2</v>
      </c>
      <c r="R20" s="12">
        <f t="shared" ca="1" si="3"/>
        <v>1.083135429129433E-2</v>
      </c>
      <c r="S20" s="153"/>
      <c r="T20" s="46" t="s">
        <v>162</v>
      </c>
      <c r="U20" s="46">
        <v>16448790.194414699</v>
      </c>
      <c r="V20" s="46" t="s">
        <v>163</v>
      </c>
      <c r="W20" s="46">
        <v>1987580.78477811</v>
      </c>
      <c r="X20" s="46"/>
      <c r="Y20" s="170"/>
      <c r="Z20" s="170"/>
      <c r="AA20" s="170"/>
      <c r="AB20" s="170"/>
    </row>
    <row r="21" spans="1:28" ht="15" x14ac:dyDescent="0.25">
      <c r="A21" s="66">
        <v>40755</v>
      </c>
      <c r="B21" s="114">
        <f t="shared" si="4"/>
        <v>2011</v>
      </c>
      <c r="C21" s="114">
        <f t="shared" si="5"/>
        <v>7</v>
      </c>
      <c r="D21" s="107">
        <f>Purchases!C21</f>
        <v>20776403.369124997</v>
      </c>
      <c r="E21" s="94"/>
      <c r="F21" s="171">
        <f ca="1">CDM!D29</f>
        <v>46740.644187650672</v>
      </c>
      <c r="G21" s="94">
        <f ca="1">D21+F21-E21</f>
        <v>20823144.013312649</v>
      </c>
      <c r="H21" s="90">
        <f>Weather!H128</f>
        <v>0</v>
      </c>
      <c r="I21" s="90">
        <f>Weather!I128</f>
        <v>271.2</v>
      </c>
      <c r="J21" s="108">
        <v>31</v>
      </c>
      <c r="K21" s="108">
        <f t="shared" si="7"/>
        <v>0</v>
      </c>
      <c r="L21" s="152">
        <f>Data!AC8</f>
        <v>0</v>
      </c>
      <c r="M21" s="152">
        <f>Data!AD8</f>
        <v>0</v>
      </c>
      <c r="N21" s="150">
        <f>Data!AH8</f>
        <v>12681.666666666672</v>
      </c>
      <c r="O21" s="67">
        <f t="shared" si="0"/>
        <v>21013599.625339266</v>
      </c>
      <c r="P21" s="40">
        <f t="shared" ca="1" si="1"/>
        <v>190455.61202661693</v>
      </c>
      <c r="Q21" s="53">
        <f t="shared" ca="1" si="2"/>
        <v>9.1463427379100334E-3</v>
      </c>
      <c r="R21" s="12">
        <f t="shared" ca="1" si="3"/>
        <v>9.1463427379100334E-3</v>
      </c>
      <c r="S21" s="153"/>
      <c r="T21" s="46" t="s">
        <v>164</v>
      </c>
      <c r="U21" s="46">
        <v>11394167369242</v>
      </c>
      <c r="V21" s="46" t="s">
        <v>165</v>
      </c>
      <c r="W21" s="46">
        <v>318957.10875504097</v>
      </c>
      <c r="X21" s="46"/>
      <c r="Y21" s="170"/>
      <c r="Z21" s="170"/>
      <c r="AA21" s="170"/>
      <c r="AB21" s="170"/>
    </row>
    <row r="22" spans="1:28" ht="15" x14ac:dyDescent="0.25">
      <c r="A22" s="66">
        <v>40786</v>
      </c>
      <c r="B22" s="114">
        <f t="shared" si="4"/>
        <v>2011</v>
      </c>
      <c r="C22" s="114">
        <f t="shared" si="5"/>
        <v>8</v>
      </c>
      <c r="D22" s="107">
        <f>Purchases!C22</f>
        <v>18292832.774299998</v>
      </c>
      <c r="E22" s="94"/>
      <c r="F22" s="171">
        <f ca="1">CDM!D30</f>
        <v>53417.879071600764</v>
      </c>
      <c r="G22" s="94">
        <f t="shared" ca="1" si="6"/>
        <v>18346250.653371599</v>
      </c>
      <c r="H22" s="90">
        <f>Weather!H129</f>
        <v>0</v>
      </c>
      <c r="I22" s="90">
        <f>Weather!I129</f>
        <v>188.29999999999995</v>
      </c>
      <c r="J22" s="108">
        <v>31</v>
      </c>
      <c r="K22" s="108">
        <f t="shared" si="7"/>
        <v>0</v>
      </c>
      <c r="L22" s="152">
        <f>Data!AC9</f>
        <v>0</v>
      </c>
      <c r="M22" s="152">
        <f>Data!AD9</f>
        <v>0</v>
      </c>
      <c r="N22" s="150">
        <f>Data!AH9</f>
        <v>12694.333333333338</v>
      </c>
      <c r="O22" s="67">
        <f t="shared" si="0"/>
        <v>18567495.132467546</v>
      </c>
      <c r="P22" s="40">
        <f t="shared" ca="1" si="1"/>
        <v>221244.479095947</v>
      </c>
      <c r="Q22" s="53">
        <f t="shared" ca="1" si="2"/>
        <v>1.2059383864096919E-2</v>
      </c>
      <c r="R22" s="12">
        <f t="shared" ca="1" si="3"/>
        <v>1.2059383864096919E-2</v>
      </c>
      <c r="S22" s="153"/>
      <c r="T22" s="46" t="s">
        <v>166</v>
      </c>
      <c r="U22" s="46">
        <v>0.97580256946212696</v>
      </c>
      <c r="V22" s="46" t="s">
        <v>167</v>
      </c>
      <c r="W22" s="46">
        <v>0.97429023005351001</v>
      </c>
      <c r="X22" s="46"/>
      <c r="Y22" s="170"/>
      <c r="Z22" s="170"/>
      <c r="AA22" s="170"/>
      <c r="AB22" s="170"/>
    </row>
    <row r="23" spans="1:28" ht="15" x14ac:dyDescent="0.25">
      <c r="A23" s="66">
        <v>40816</v>
      </c>
      <c r="B23" s="114">
        <f t="shared" si="4"/>
        <v>2011</v>
      </c>
      <c r="C23" s="114">
        <f t="shared" si="5"/>
        <v>9</v>
      </c>
      <c r="D23" s="107">
        <f>Purchases!C23</f>
        <v>15179291.59935</v>
      </c>
      <c r="E23" s="94"/>
      <c r="F23" s="171">
        <f ca="1">CDM!D31</f>
        <v>60095.113955550856</v>
      </c>
      <c r="G23" s="94">
        <f t="shared" ca="1" si="6"/>
        <v>15239386.713305552</v>
      </c>
      <c r="H23" s="90">
        <f>Weather!H130</f>
        <v>17.399999999999999</v>
      </c>
      <c r="I23" s="90">
        <f>Weather!I130</f>
        <v>81</v>
      </c>
      <c r="J23" s="108">
        <v>30</v>
      </c>
      <c r="K23" s="108">
        <f t="shared" si="7"/>
        <v>0</v>
      </c>
      <c r="L23" s="152">
        <f>Data!AC10</f>
        <v>0</v>
      </c>
      <c r="M23" s="152">
        <f>Data!AD10</f>
        <v>0</v>
      </c>
      <c r="N23" s="150">
        <f>Data!AH10</f>
        <v>12798.000000000005</v>
      </c>
      <c r="O23" s="67">
        <f t="shared" si="0"/>
        <v>15067371.400712132</v>
      </c>
      <c r="P23" s="40">
        <f t="shared" ca="1" si="1"/>
        <v>-172015.3125934191</v>
      </c>
      <c r="Q23" s="53">
        <f t="shared" ca="1" si="2"/>
        <v>-1.1287548234682702E-2</v>
      </c>
      <c r="R23" s="12">
        <f t="shared" ca="1" si="3"/>
        <v>1.1287548234682702E-2</v>
      </c>
      <c r="S23" s="153"/>
      <c r="T23" s="46" t="s">
        <v>208</v>
      </c>
      <c r="U23" s="46">
        <v>531.02546100366396</v>
      </c>
      <c r="V23" s="46" t="s">
        <v>169</v>
      </c>
      <c r="W23" s="225">
        <v>8.9716595913132799E-83</v>
      </c>
      <c r="X23" s="46"/>
      <c r="Y23" s="170"/>
      <c r="Z23" s="170"/>
      <c r="AA23" s="170"/>
      <c r="AB23" s="170"/>
    </row>
    <row r="24" spans="1:28" ht="15" x14ac:dyDescent="0.25">
      <c r="A24" s="66">
        <v>40847</v>
      </c>
      <c r="B24" s="114">
        <f t="shared" si="4"/>
        <v>2011</v>
      </c>
      <c r="C24" s="114">
        <f t="shared" si="5"/>
        <v>10</v>
      </c>
      <c r="D24" s="107">
        <f>Purchases!C24</f>
        <v>14464910.0175</v>
      </c>
      <c r="E24" s="94"/>
      <c r="F24" s="171">
        <f ca="1">CDM!D32</f>
        <v>66772.348839500948</v>
      </c>
      <c r="G24" s="94">
        <f t="shared" ca="1" si="6"/>
        <v>14531682.366339501</v>
      </c>
      <c r="H24" s="90">
        <f>Weather!H131</f>
        <v>154.9</v>
      </c>
      <c r="I24" s="90">
        <f>Weather!I131</f>
        <v>12.099999999999998</v>
      </c>
      <c r="J24" s="108">
        <v>31</v>
      </c>
      <c r="K24" s="108">
        <f t="shared" si="7"/>
        <v>0</v>
      </c>
      <c r="L24" s="152">
        <f>Data!AC11</f>
        <v>0</v>
      </c>
      <c r="M24" s="152">
        <f>Data!AD11</f>
        <v>0</v>
      </c>
      <c r="N24" s="150">
        <f>Data!AH11</f>
        <v>12810.666666666673</v>
      </c>
      <c r="O24" s="67">
        <f t="shared" si="0"/>
        <v>14382993.74820683</v>
      </c>
      <c r="P24" s="40">
        <f t="shared" ca="1" si="1"/>
        <v>-148688.61813267134</v>
      </c>
      <c r="Q24" s="53">
        <f t="shared" ca="1" si="2"/>
        <v>-1.0232030564959678E-2</v>
      </c>
      <c r="R24" s="12">
        <f t="shared" ca="1" si="3"/>
        <v>1.0232030564959678E-2</v>
      </c>
      <c r="S24" s="153"/>
      <c r="T24" s="46" t="s">
        <v>170</v>
      </c>
      <c r="U24" s="46">
        <v>-6.3804003575676602E-2</v>
      </c>
      <c r="V24" s="46" t="s">
        <v>171</v>
      </c>
      <c r="W24" s="46">
        <v>2.0999844563451302</v>
      </c>
      <c r="X24" s="46"/>
      <c r="Y24" s="170"/>
      <c r="Z24" s="170"/>
      <c r="AA24" s="170"/>
      <c r="AB24" s="170"/>
    </row>
    <row r="25" spans="1:28" ht="15" x14ac:dyDescent="0.25">
      <c r="A25" s="66">
        <v>40877</v>
      </c>
      <c r="B25" s="114">
        <f t="shared" si="4"/>
        <v>2011</v>
      </c>
      <c r="C25" s="114">
        <f t="shared" si="5"/>
        <v>11</v>
      </c>
      <c r="D25" s="107">
        <f>Purchases!C25</f>
        <v>14415495.62755</v>
      </c>
      <c r="E25" s="94"/>
      <c r="F25" s="171">
        <f ca="1">CDM!D33</f>
        <v>73449.583723451055</v>
      </c>
      <c r="G25" s="94">
        <f t="shared" ca="1" si="6"/>
        <v>14488945.211273452</v>
      </c>
      <c r="H25" s="90">
        <f>Weather!H132</f>
        <v>246.60000000000005</v>
      </c>
      <c r="I25" s="90">
        <f>Weather!I132</f>
        <v>0</v>
      </c>
      <c r="J25" s="108">
        <v>30</v>
      </c>
      <c r="K25" s="108">
        <f t="shared" si="7"/>
        <v>0</v>
      </c>
      <c r="L25" s="152">
        <f>Data!AC12</f>
        <v>0</v>
      </c>
      <c r="M25" s="152">
        <f>Data!AD12</f>
        <v>0</v>
      </c>
      <c r="N25" s="150">
        <f>Data!AH12</f>
        <v>12823.333333333339</v>
      </c>
      <c r="O25" s="67">
        <f t="shared" si="0"/>
        <v>14104191.643698331</v>
      </c>
      <c r="P25" s="40">
        <f t="shared" ca="1" si="1"/>
        <v>-384753.5675751213</v>
      </c>
      <c r="Q25" s="53">
        <f t="shared" ca="1" si="2"/>
        <v>-2.6554974290037003E-2</v>
      </c>
      <c r="R25" s="12">
        <f t="shared" ca="1" si="3"/>
        <v>2.6554974290037003E-2</v>
      </c>
      <c r="S25" s="153"/>
      <c r="T25" s="30"/>
      <c r="U25" s="92"/>
      <c r="V25" s="226"/>
      <c r="W25" s="226"/>
      <c r="X25" s="226"/>
      <c r="Y25" s="170"/>
      <c r="Z25" s="170"/>
      <c r="AA25" s="170"/>
      <c r="AB25" s="170"/>
    </row>
    <row r="26" spans="1:28" ht="15" x14ac:dyDescent="0.25">
      <c r="A26" s="66">
        <v>40908</v>
      </c>
      <c r="B26" s="114">
        <f t="shared" si="4"/>
        <v>2011</v>
      </c>
      <c r="C26" s="114">
        <f t="shared" si="5"/>
        <v>12</v>
      </c>
      <c r="D26" s="107">
        <f>Purchases!C26</f>
        <v>16232068.276699999</v>
      </c>
      <c r="E26" s="94"/>
      <c r="F26" s="171">
        <f ca="1">CDM!D34</f>
        <v>80126.818607401146</v>
      </c>
      <c r="G26" s="94">
        <f t="shared" ca="1" si="6"/>
        <v>16312195.0953074</v>
      </c>
      <c r="H26" s="90">
        <f>Weather!H133</f>
        <v>443.7000000000001</v>
      </c>
      <c r="I26" s="90">
        <f>Weather!I133</f>
        <v>0</v>
      </c>
      <c r="J26" s="108">
        <v>31</v>
      </c>
      <c r="K26" s="108">
        <f t="shared" si="7"/>
        <v>0</v>
      </c>
      <c r="L26" s="152">
        <f>Data!AC13</f>
        <v>0</v>
      </c>
      <c r="M26" s="152">
        <f>Data!AD13</f>
        <v>0</v>
      </c>
      <c r="N26" s="150">
        <f>Data!AH13</f>
        <v>12836</v>
      </c>
      <c r="O26" s="67">
        <f t="shared" si="0"/>
        <v>15828319.699905414</v>
      </c>
      <c r="P26" s="40">
        <f t="shared" ca="1" si="1"/>
        <v>-483875.39540198632</v>
      </c>
      <c r="Q26" s="53">
        <f t="shared" ca="1" si="2"/>
        <v>-2.9663413941216583E-2</v>
      </c>
      <c r="R26" s="12">
        <f t="shared" ca="1" si="3"/>
        <v>2.9663413941216583E-2</v>
      </c>
      <c r="S26" s="153"/>
      <c r="Y26" s="170"/>
      <c r="Z26" s="170"/>
      <c r="AA26" s="170"/>
      <c r="AB26" s="170"/>
    </row>
    <row r="27" spans="1:28" ht="15" x14ac:dyDescent="0.25">
      <c r="A27" s="66">
        <v>40939</v>
      </c>
      <c r="B27" s="114">
        <f t="shared" si="4"/>
        <v>2012</v>
      </c>
      <c r="C27" s="114">
        <f t="shared" si="5"/>
        <v>1</v>
      </c>
      <c r="D27" s="107">
        <f>Purchases!C27</f>
        <v>16429520.481299998</v>
      </c>
      <c r="E27" s="94"/>
      <c r="F27" s="171">
        <f ca="1">CDM!D35</f>
        <v>92021.125628099777</v>
      </c>
      <c r="G27" s="94">
        <f t="shared" ca="1" si="6"/>
        <v>16521541.606928099</v>
      </c>
      <c r="H27" s="90">
        <f>Weather!H134</f>
        <v>520.59999999999991</v>
      </c>
      <c r="I27" s="90">
        <f>Weather!I134</f>
        <v>0</v>
      </c>
      <c r="J27" s="108">
        <v>31</v>
      </c>
      <c r="K27" s="108">
        <f t="shared" si="7"/>
        <v>0</v>
      </c>
      <c r="L27" s="152">
        <f>Data!AC14</f>
        <v>0</v>
      </c>
      <c r="M27" s="152">
        <f>Data!AD14</f>
        <v>0</v>
      </c>
      <c r="N27" s="150">
        <f>Data!AH14</f>
        <v>12982</v>
      </c>
      <c r="O27" s="67">
        <f t="shared" si="0"/>
        <v>16395328.867794152</v>
      </c>
      <c r="P27" s="40">
        <f t="shared" ca="1" si="1"/>
        <v>-126212.7391339466</v>
      </c>
      <c r="Q27" s="53">
        <f t="shared" ca="1" si="2"/>
        <v>-7.6392834359368068E-3</v>
      </c>
      <c r="R27" s="12">
        <f t="shared" ca="1" si="3"/>
        <v>7.6392834359368068E-3</v>
      </c>
      <c r="S27" s="153"/>
      <c r="Y27" s="46"/>
      <c r="Z27" s="46"/>
      <c r="AA27" s="46"/>
      <c r="AB27" s="46"/>
    </row>
    <row r="28" spans="1:28" ht="15" x14ac:dyDescent="0.25">
      <c r="A28" s="66">
        <v>40968</v>
      </c>
      <c r="B28" s="114">
        <f t="shared" si="4"/>
        <v>2012</v>
      </c>
      <c r="C28" s="114">
        <f t="shared" si="5"/>
        <v>2</v>
      </c>
      <c r="D28" s="107">
        <f>Purchases!C28</f>
        <v>14922709.590399999</v>
      </c>
      <c r="E28" s="94"/>
      <c r="F28" s="171">
        <f ca="1">CDM!D36</f>
        <v>98513.110264848307</v>
      </c>
      <c r="G28" s="94">
        <f t="shared" ca="1" si="6"/>
        <v>15021222.700664848</v>
      </c>
      <c r="H28" s="90">
        <f>Weather!H135</f>
        <v>452.90000000000003</v>
      </c>
      <c r="I28" s="90">
        <f>Weather!I135</f>
        <v>0</v>
      </c>
      <c r="J28" s="108">
        <v>29</v>
      </c>
      <c r="K28" s="108">
        <f t="shared" si="7"/>
        <v>0</v>
      </c>
      <c r="L28" s="152">
        <f>Data!AC15</f>
        <v>0</v>
      </c>
      <c r="M28" s="152">
        <f>Data!AD15</f>
        <v>0</v>
      </c>
      <c r="N28" s="150">
        <f>Data!AH15</f>
        <v>12998</v>
      </c>
      <c r="O28" s="67">
        <f t="shared" si="0"/>
        <v>14993922.231583575</v>
      </c>
      <c r="P28" s="40">
        <f t="shared" ca="1" si="1"/>
        <v>-27300.469081273302</v>
      </c>
      <c r="Q28" s="53">
        <f t="shared" ca="1" si="2"/>
        <v>-1.8174598450008312E-3</v>
      </c>
      <c r="R28" s="12">
        <f t="shared" ca="1" si="3"/>
        <v>1.8174598450008312E-3</v>
      </c>
      <c r="S28" s="153"/>
      <c r="Y28" s="46"/>
      <c r="Z28" s="46"/>
      <c r="AA28" s="46"/>
      <c r="AB28" s="46"/>
    </row>
    <row r="29" spans="1:28" ht="15" x14ac:dyDescent="0.25">
      <c r="A29" s="66">
        <v>40999</v>
      </c>
      <c r="B29" s="114">
        <f t="shared" si="4"/>
        <v>2012</v>
      </c>
      <c r="C29" s="114">
        <f t="shared" si="5"/>
        <v>3</v>
      </c>
      <c r="D29" s="107">
        <f>Purchases!C29</f>
        <v>14512774.780449999</v>
      </c>
      <c r="E29" s="94"/>
      <c r="F29" s="171">
        <f ca="1">CDM!D37</f>
        <v>105005.09490159682</v>
      </c>
      <c r="G29" s="94">
        <f t="shared" ca="1" si="6"/>
        <v>14617779.875351597</v>
      </c>
      <c r="H29" s="90">
        <f>Weather!H136</f>
        <v>281.8</v>
      </c>
      <c r="I29" s="90">
        <f>Weather!I136</f>
        <v>2.6000000000000014</v>
      </c>
      <c r="J29" s="108">
        <v>31</v>
      </c>
      <c r="K29" s="108">
        <f t="shared" si="7"/>
        <v>1</v>
      </c>
      <c r="L29" s="152">
        <f>Data!AC16</f>
        <v>0</v>
      </c>
      <c r="M29" s="152">
        <f>Data!AD16</f>
        <v>0</v>
      </c>
      <c r="N29" s="150">
        <f>Data!AH16</f>
        <v>13022</v>
      </c>
      <c r="O29" s="67">
        <f t="shared" si="0"/>
        <v>14338713.003532484</v>
      </c>
      <c r="P29" s="40">
        <f t="shared" ca="1" si="1"/>
        <v>-279066.87181911245</v>
      </c>
      <c r="Q29" s="53">
        <f t="shared" ca="1" si="2"/>
        <v>-1.9090920385911214E-2</v>
      </c>
      <c r="R29" s="12">
        <f t="shared" ca="1" si="3"/>
        <v>1.9090920385911214E-2</v>
      </c>
      <c r="S29" s="153"/>
      <c r="Y29" s="46"/>
      <c r="Z29" s="46"/>
      <c r="AA29" s="46"/>
      <c r="AB29" s="46"/>
    </row>
    <row r="30" spans="1:28" ht="15" x14ac:dyDescent="0.25">
      <c r="A30" s="66">
        <v>41029</v>
      </c>
      <c r="B30" s="114">
        <f t="shared" si="4"/>
        <v>2012</v>
      </c>
      <c r="C30" s="114">
        <f t="shared" si="5"/>
        <v>4</v>
      </c>
      <c r="D30" s="107">
        <f>Purchases!C30</f>
        <v>13420400.940308001</v>
      </c>
      <c r="E30" s="94"/>
      <c r="F30" s="171">
        <f ca="1">CDM!D38</f>
        <v>111497.07953834535</v>
      </c>
      <c r="G30" s="94">
        <f t="shared" ca="1" si="6"/>
        <v>13531898.019846346</v>
      </c>
      <c r="H30" s="90">
        <f>Weather!H137</f>
        <v>246.89999999999992</v>
      </c>
      <c r="I30" s="90">
        <f>Weather!I137</f>
        <v>6.1000000000000014</v>
      </c>
      <c r="J30" s="108">
        <v>30</v>
      </c>
      <c r="K30" s="108">
        <f t="shared" si="7"/>
        <v>1</v>
      </c>
      <c r="L30" s="152">
        <f>Data!AC17</f>
        <v>0</v>
      </c>
      <c r="M30" s="152">
        <f>Data!AD17</f>
        <v>0</v>
      </c>
      <c r="N30" s="150">
        <f>Data!AH17</f>
        <v>13035</v>
      </c>
      <c r="O30" s="67">
        <f t="shared" si="0"/>
        <v>13738232.604742981</v>
      </c>
      <c r="P30" s="40">
        <f t="shared" ca="1" si="1"/>
        <v>206334.58489663526</v>
      </c>
      <c r="Q30" s="53">
        <f t="shared" ca="1" si="2"/>
        <v>1.5248015067362898E-2</v>
      </c>
      <c r="R30" s="12">
        <f t="shared" ca="1" si="3"/>
        <v>1.5248015067362898E-2</v>
      </c>
      <c r="S30" s="153"/>
      <c r="Y30" s="46"/>
      <c r="Z30" s="46"/>
      <c r="AA30" s="46"/>
      <c r="AB30" s="46"/>
    </row>
    <row r="31" spans="1:28" ht="15" x14ac:dyDescent="0.25">
      <c r="A31" s="66">
        <v>41060</v>
      </c>
      <c r="B31" s="114">
        <f t="shared" si="4"/>
        <v>2012</v>
      </c>
      <c r="C31" s="114">
        <f t="shared" si="5"/>
        <v>5</v>
      </c>
      <c r="D31" s="107">
        <f>Purchases!C31</f>
        <v>14603680.867724</v>
      </c>
      <c r="E31" s="94"/>
      <c r="F31" s="171">
        <f ca="1">CDM!D39</f>
        <v>117989.06417509388</v>
      </c>
      <c r="G31" s="94">
        <f t="shared" ca="1" si="6"/>
        <v>14721669.931899093</v>
      </c>
      <c r="H31" s="90">
        <f>Weather!H138</f>
        <v>45</v>
      </c>
      <c r="I31" s="90">
        <f>Weather!I138</f>
        <v>66.000000000000028</v>
      </c>
      <c r="J31" s="108">
        <v>31</v>
      </c>
      <c r="K31" s="108">
        <f t="shared" si="7"/>
        <v>1</v>
      </c>
      <c r="L31" s="152">
        <f>Data!AC18</f>
        <v>0</v>
      </c>
      <c r="M31" s="152">
        <f>Data!AD18</f>
        <v>0</v>
      </c>
      <c r="N31" s="150">
        <f>Data!AH18</f>
        <v>13047</v>
      </c>
      <c r="O31" s="67">
        <f t="shared" si="0"/>
        <v>14765220.826553503</v>
      </c>
      <c r="P31" s="40">
        <f t="shared" ca="1" si="1"/>
        <v>43550.89465440996</v>
      </c>
      <c r="Q31" s="53">
        <f t="shared" ca="1" si="2"/>
        <v>2.9582849538042797E-3</v>
      </c>
      <c r="R31" s="12">
        <f t="shared" ca="1" si="3"/>
        <v>2.9582849538042797E-3</v>
      </c>
      <c r="S31" s="153"/>
      <c r="Y31" s="46"/>
      <c r="Z31" s="46"/>
      <c r="AA31" s="46"/>
      <c r="AB31" s="46"/>
    </row>
    <row r="32" spans="1:28" ht="15" x14ac:dyDescent="0.25">
      <c r="A32" s="66">
        <v>41090</v>
      </c>
      <c r="B32" s="114">
        <f t="shared" si="4"/>
        <v>2012</v>
      </c>
      <c r="C32" s="114">
        <f t="shared" si="5"/>
        <v>6</v>
      </c>
      <c r="D32" s="107">
        <f>Purchases!C32</f>
        <v>17157940.412751999</v>
      </c>
      <c r="E32" s="94"/>
      <c r="F32" s="171">
        <f ca="1">CDM!D40</f>
        <v>124481.0488118424</v>
      </c>
      <c r="G32" s="94">
        <f t="shared" ca="1" si="6"/>
        <v>17282421.461563841</v>
      </c>
      <c r="H32" s="90">
        <f>Weather!H139</f>
        <v>6.6999999999999993</v>
      </c>
      <c r="I32" s="90">
        <f>Weather!I139</f>
        <v>158</v>
      </c>
      <c r="J32" s="108">
        <v>30</v>
      </c>
      <c r="K32" s="108">
        <f t="shared" si="7"/>
        <v>0</v>
      </c>
      <c r="L32" s="152">
        <f>Data!AC19</f>
        <v>0</v>
      </c>
      <c r="M32" s="152">
        <f>Data!AD19</f>
        <v>0</v>
      </c>
      <c r="N32" s="150">
        <f>Data!AH19</f>
        <v>13055</v>
      </c>
      <c r="O32" s="67">
        <f t="shared" si="0"/>
        <v>17440641.878873829</v>
      </c>
      <c r="P32" s="40">
        <f t="shared" ca="1" si="1"/>
        <v>158220.41730998829</v>
      </c>
      <c r="Q32" s="53">
        <f t="shared" ca="1" si="2"/>
        <v>9.1549912529254648E-3</v>
      </c>
      <c r="R32" s="12">
        <f t="shared" ca="1" si="3"/>
        <v>9.1549912529254648E-3</v>
      </c>
      <c r="S32" s="153"/>
      <c r="Y32" s="46"/>
      <c r="Z32" s="46"/>
      <c r="AA32" s="46"/>
      <c r="AB32" s="46"/>
    </row>
    <row r="33" spans="1:28" ht="15" x14ac:dyDescent="0.25">
      <c r="A33" s="66">
        <v>41121</v>
      </c>
      <c r="B33" s="114">
        <f t="shared" si="4"/>
        <v>2012</v>
      </c>
      <c r="C33" s="114">
        <f t="shared" si="5"/>
        <v>7</v>
      </c>
      <c r="D33" s="107">
        <f>Purchases!C33</f>
        <v>20944843.982699998</v>
      </c>
      <c r="E33" s="94"/>
      <c r="F33" s="171">
        <f ca="1">CDM!D41</f>
        <v>130973.03344859093</v>
      </c>
      <c r="G33" s="94">
        <f t="shared" ca="1" si="6"/>
        <v>21075817.01614859</v>
      </c>
      <c r="H33" s="90">
        <f>Weather!H140</f>
        <v>0</v>
      </c>
      <c r="I33" s="90">
        <f>Weather!I140</f>
        <v>267.10000000000008</v>
      </c>
      <c r="J33" s="108">
        <v>31</v>
      </c>
      <c r="K33" s="108">
        <f t="shared" si="7"/>
        <v>0</v>
      </c>
      <c r="L33" s="152">
        <f>Data!AC20</f>
        <v>0</v>
      </c>
      <c r="M33" s="152">
        <f>Data!AD20</f>
        <v>0</v>
      </c>
      <c r="N33" s="150">
        <f>Data!AH20</f>
        <v>13068</v>
      </c>
      <c r="O33" s="67">
        <f t="shared" si="0"/>
        <v>21132988.742748778</v>
      </c>
      <c r="P33" s="40">
        <f t="shared" ca="1" si="1"/>
        <v>57171.726600188762</v>
      </c>
      <c r="Q33" s="53">
        <f t="shared" ca="1" si="2"/>
        <v>2.7126695281318382E-3</v>
      </c>
      <c r="R33" s="12">
        <f t="shared" ca="1" si="3"/>
        <v>2.7126695281318382E-3</v>
      </c>
      <c r="S33" s="153"/>
      <c r="Y33" s="226"/>
      <c r="Z33" s="226"/>
      <c r="AA33" s="226"/>
      <c r="AB33" s="46"/>
    </row>
    <row r="34" spans="1:28" ht="15" x14ac:dyDescent="0.25">
      <c r="A34" s="66">
        <v>41152</v>
      </c>
      <c r="B34" s="114">
        <f t="shared" si="4"/>
        <v>2012</v>
      </c>
      <c r="C34" s="114">
        <f t="shared" si="5"/>
        <v>8</v>
      </c>
      <c r="D34" s="107">
        <f>Purchases!C34</f>
        <v>18739592.12965</v>
      </c>
      <c r="E34" s="94"/>
      <c r="F34" s="171">
        <f ca="1">CDM!D42</f>
        <v>137465.01808533946</v>
      </c>
      <c r="G34" s="94">
        <f t="shared" ca="1" si="6"/>
        <v>18877057.147735339</v>
      </c>
      <c r="H34" s="90">
        <f>Weather!H141</f>
        <v>0</v>
      </c>
      <c r="I34" s="90">
        <f>Weather!I141</f>
        <v>193.7</v>
      </c>
      <c r="J34" s="108">
        <v>31</v>
      </c>
      <c r="K34" s="108">
        <f t="shared" si="7"/>
        <v>0</v>
      </c>
      <c r="L34" s="152">
        <f>Data!AC21</f>
        <v>0</v>
      </c>
      <c r="M34" s="152">
        <f>Data!AD21</f>
        <v>0</v>
      </c>
      <c r="N34" s="150">
        <f>Data!AH21</f>
        <v>13087</v>
      </c>
      <c r="O34" s="67">
        <f t="shared" si="0"/>
        <v>18972049.209788315</v>
      </c>
      <c r="P34" s="40">
        <f t="shared" ca="1" si="1"/>
        <v>94992.06205297634</v>
      </c>
      <c r="Q34" s="53">
        <f t="shared" ca="1" si="2"/>
        <v>5.0321435862354449E-3</v>
      </c>
      <c r="R34" s="12">
        <f t="shared" ca="1" si="3"/>
        <v>5.0321435862354449E-3</v>
      </c>
      <c r="S34" s="153"/>
      <c r="T34" s="30"/>
      <c r="U34" s="92"/>
      <c r="V34" s="226"/>
      <c r="W34" s="226"/>
      <c r="X34" s="226"/>
      <c r="Y34" s="226"/>
      <c r="Z34" s="226"/>
      <c r="AA34" s="226"/>
      <c r="AB34" s="46"/>
    </row>
    <row r="35" spans="1:28" ht="15" x14ac:dyDescent="0.25">
      <c r="A35" s="66">
        <v>41182</v>
      </c>
      <c r="B35" s="114">
        <f t="shared" si="4"/>
        <v>2012</v>
      </c>
      <c r="C35" s="114">
        <f t="shared" si="5"/>
        <v>9</v>
      </c>
      <c r="D35" s="107">
        <f>Purchases!C35</f>
        <v>15430254.123528</v>
      </c>
      <c r="E35" s="94"/>
      <c r="F35" s="171">
        <f ca="1">CDM!D43</f>
        <v>143957.00272208799</v>
      </c>
      <c r="G35" s="94">
        <f t="shared" ca="1" si="6"/>
        <v>15574211.126250088</v>
      </c>
      <c r="H35" s="90">
        <f>Weather!H142</f>
        <v>29.5</v>
      </c>
      <c r="I35" s="90">
        <f>Weather!I142</f>
        <v>65.899999999999977</v>
      </c>
      <c r="J35" s="108">
        <v>30</v>
      </c>
      <c r="K35" s="108">
        <f t="shared" si="7"/>
        <v>0</v>
      </c>
      <c r="L35" s="152">
        <f>Data!AC22</f>
        <v>0</v>
      </c>
      <c r="M35" s="152">
        <f>Data!AD22</f>
        <v>0</v>
      </c>
      <c r="N35" s="150">
        <f>Data!AH22</f>
        <v>13106</v>
      </c>
      <c r="O35" s="67">
        <f t="shared" ref="O35:O66" si="8">$U$10+H35*$U$11+I35*$U$12+J35*$U$13+K35*$U$14+L35*$U$15+M35*$U$16+N35*$U$17</f>
        <v>14887224.495580142</v>
      </c>
      <c r="P35" s="40">
        <f t="shared" ref="P35:P66" ca="1" si="9">O35-G35</f>
        <v>-686986.63066994585</v>
      </c>
      <c r="Q35" s="53">
        <f t="shared" ref="Q35:Q66" ca="1" si="10">P35/G35</f>
        <v>-4.4110525091832144E-2</v>
      </c>
      <c r="R35" s="12">
        <f t="shared" ca="1" si="3"/>
        <v>4.4110525091832144E-2</v>
      </c>
      <c r="S35" s="153"/>
      <c r="T35" s="30"/>
      <c r="U35" s="92"/>
      <c r="V35" s="226"/>
      <c r="W35" s="226"/>
      <c r="X35" s="226"/>
      <c r="Y35" s="226"/>
      <c r="Z35" s="226"/>
      <c r="AA35" s="226"/>
      <c r="AB35" s="46"/>
    </row>
    <row r="36" spans="1:28" ht="15" x14ac:dyDescent="0.25">
      <c r="A36" s="66">
        <v>41213</v>
      </c>
      <c r="B36" s="114">
        <f t="shared" si="4"/>
        <v>2012</v>
      </c>
      <c r="C36" s="114">
        <f t="shared" si="5"/>
        <v>10</v>
      </c>
      <c r="D36" s="107">
        <f>Purchases!C36</f>
        <v>14418668.859476</v>
      </c>
      <c r="E36" s="94"/>
      <c r="F36" s="171">
        <f ca="1">CDM!D44</f>
        <v>150448.98735883652</v>
      </c>
      <c r="G36" s="94">
        <f t="shared" ca="1" si="6"/>
        <v>14569117.846834837</v>
      </c>
      <c r="H36" s="90">
        <f>Weather!H143</f>
        <v>163.89999999999995</v>
      </c>
      <c r="I36" s="90">
        <f>Weather!I143</f>
        <v>6.3000000000000007</v>
      </c>
      <c r="J36" s="108">
        <v>31</v>
      </c>
      <c r="K36" s="108">
        <f t="shared" si="7"/>
        <v>0</v>
      </c>
      <c r="L36" s="152">
        <f>Data!AC23</f>
        <v>0</v>
      </c>
      <c r="M36" s="152">
        <f>Data!AD23</f>
        <v>0</v>
      </c>
      <c r="N36" s="150">
        <f>Data!AH23</f>
        <v>13102</v>
      </c>
      <c r="O36" s="67">
        <f t="shared" si="8"/>
        <v>14448568.644787706</v>
      </c>
      <c r="P36" s="40">
        <f t="shared" ca="1" si="9"/>
        <v>-120549.20204713009</v>
      </c>
      <c r="Q36" s="53">
        <f t="shared" ca="1" si="10"/>
        <v>-8.2742965850413231E-3</v>
      </c>
      <c r="R36" s="12">
        <f t="shared" ca="1" si="3"/>
        <v>8.2742965850413231E-3</v>
      </c>
      <c r="S36" s="153"/>
      <c r="T36" s="30"/>
      <c r="U36" s="92"/>
      <c r="V36" s="226"/>
      <c r="W36" s="226"/>
      <c r="X36" s="226"/>
      <c r="Y36" s="226"/>
      <c r="Z36" s="226"/>
      <c r="AA36" s="226"/>
      <c r="AB36" s="46"/>
    </row>
    <row r="37" spans="1:28" ht="15" x14ac:dyDescent="0.25">
      <c r="A37" s="66">
        <v>41243</v>
      </c>
      <c r="B37" s="114">
        <f t="shared" si="4"/>
        <v>2012</v>
      </c>
      <c r="C37" s="114">
        <f t="shared" si="5"/>
        <v>11</v>
      </c>
      <c r="D37" s="107">
        <f>Purchases!C37</f>
        <v>14689598.23167</v>
      </c>
      <c r="E37" s="94"/>
      <c r="F37" s="171">
        <f ca="1">CDM!D45</f>
        <v>156940.97199558502</v>
      </c>
      <c r="G37" s="94">
        <f t="shared" ca="1" si="6"/>
        <v>14846539.203665584</v>
      </c>
      <c r="H37" s="90">
        <f>Weather!H144</f>
        <v>349.40000000000003</v>
      </c>
      <c r="I37" s="90">
        <f>Weather!I144</f>
        <v>0</v>
      </c>
      <c r="J37" s="108">
        <v>30</v>
      </c>
      <c r="K37" s="108">
        <f t="shared" si="7"/>
        <v>0</v>
      </c>
      <c r="L37" s="152">
        <f>Data!AC24</f>
        <v>0</v>
      </c>
      <c r="M37" s="152">
        <f>Data!AD24</f>
        <v>0</v>
      </c>
      <c r="N37" s="150">
        <f>Data!AH24</f>
        <v>13102</v>
      </c>
      <c r="O37" s="67">
        <f t="shared" si="8"/>
        <v>14914202.076917417</v>
      </c>
      <c r="P37" s="40">
        <f t="shared" ca="1" si="9"/>
        <v>67662.873251833022</v>
      </c>
      <c r="Q37" s="53">
        <f t="shared" ca="1" si="10"/>
        <v>4.5574845641553402E-3</v>
      </c>
      <c r="R37" s="12">
        <f t="shared" ca="1" si="3"/>
        <v>4.5574845641553402E-3</v>
      </c>
      <c r="S37" s="153"/>
      <c r="T37" s="30"/>
      <c r="U37" s="92"/>
      <c r="V37" s="226"/>
      <c r="W37" s="226"/>
      <c r="X37" s="226"/>
      <c r="Y37" s="226"/>
      <c r="Z37" s="226"/>
      <c r="AA37" s="226"/>
      <c r="AB37" s="46"/>
    </row>
    <row r="38" spans="1:28" ht="15" x14ac:dyDescent="0.25">
      <c r="A38" s="66">
        <v>41274</v>
      </c>
      <c r="B38" s="114">
        <f t="shared" si="4"/>
        <v>2012</v>
      </c>
      <c r="C38" s="114">
        <f t="shared" si="5"/>
        <v>12</v>
      </c>
      <c r="D38" s="107">
        <f>Purchases!C38</f>
        <v>16182826.210109999</v>
      </c>
      <c r="E38" s="94"/>
      <c r="F38" s="171">
        <f ca="1">CDM!D46</f>
        <v>163432.95663233357</v>
      </c>
      <c r="G38" s="94">
        <f t="shared" ca="1" si="6"/>
        <v>16346259.166742332</v>
      </c>
      <c r="H38" s="90">
        <f>Weather!H145</f>
        <v>431.60000000000008</v>
      </c>
      <c r="I38" s="90">
        <f>Weather!I145</f>
        <v>0</v>
      </c>
      <c r="J38" s="108">
        <v>31</v>
      </c>
      <c r="K38" s="108">
        <f t="shared" si="7"/>
        <v>0</v>
      </c>
      <c r="L38" s="152">
        <f>Data!AC25</f>
        <v>0</v>
      </c>
      <c r="M38" s="152">
        <f>Data!AD25</f>
        <v>0</v>
      </c>
      <c r="N38" s="150">
        <f>Data!AH25</f>
        <v>13165</v>
      </c>
      <c r="O38" s="67">
        <f t="shared" si="8"/>
        <v>15958446.313587377</v>
      </c>
      <c r="P38" s="40">
        <f t="shared" ca="1" si="9"/>
        <v>-387812.85315495543</v>
      </c>
      <c r="Q38" s="53">
        <f t="shared" ca="1" si="10"/>
        <v>-2.3724868742078263E-2</v>
      </c>
      <c r="R38" s="12">
        <f t="shared" ca="1" si="3"/>
        <v>2.3724868742078263E-2</v>
      </c>
      <c r="S38" s="153"/>
      <c r="T38" s="46"/>
      <c r="U38" s="226"/>
      <c r="V38" s="226"/>
      <c r="W38" s="226"/>
      <c r="X38" s="226"/>
      <c r="Y38" s="226"/>
      <c r="Z38" s="226"/>
      <c r="AA38" s="226"/>
      <c r="AB38" s="46"/>
    </row>
    <row r="39" spans="1:28" ht="15" x14ac:dyDescent="0.25">
      <c r="A39" s="66">
        <v>41305</v>
      </c>
      <c r="B39" s="114">
        <f t="shared" si="4"/>
        <v>2013</v>
      </c>
      <c r="C39" s="114">
        <f t="shared" si="5"/>
        <v>1</v>
      </c>
      <c r="D39" s="107">
        <f>Purchases!C39</f>
        <v>16622084.10345</v>
      </c>
      <c r="E39" s="94"/>
      <c r="F39" s="171">
        <f ca="1">CDM!D47</f>
        <v>177234.05246947324</v>
      </c>
      <c r="G39" s="94">
        <f t="shared" ca="1" si="6"/>
        <v>16799318.155919474</v>
      </c>
      <c r="H39" s="90">
        <f>Weather!H146</f>
        <v>550.29999999999995</v>
      </c>
      <c r="I39" s="90">
        <f>Weather!I146</f>
        <v>0</v>
      </c>
      <c r="J39" s="108">
        <v>31</v>
      </c>
      <c r="K39" s="108">
        <f t="shared" si="7"/>
        <v>0</v>
      </c>
      <c r="L39" s="152">
        <f>Data!AC26</f>
        <v>0</v>
      </c>
      <c r="M39" s="152">
        <f>Data!AD26</f>
        <v>0</v>
      </c>
      <c r="N39" s="150">
        <f>Data!AH26</f>
        <v>13168</v>
      </c>
      <c r="O39" s="67">
        <f t="shared" si="8"/>
        <v>16695089.292941384</v>
      </c>
      <c r="P39" s="40">
        <f t="shared" ca="1" si="9"/>
        <v>-104228.8629780896</v>
      </c>
      <c r="Q39" s="53">
        <f t="shared" ca="1" si="10"/>
        <v>-6.2043507963067601E-3</v>
      </c>
      <c r="R39" s="12">
        <f t="shared" ca="1" si="3"/>
        <v>6.2043507963067601E-3</v>
      </c>
      <c r="S39" s="153"/>
      <c r="T39" s="46"/>
      <c r="U39" s="226"/>
      <c r="V39" s="226"/>
      <c r="W39" s="226"/>
      <c r="X39" s="226"/>
      <c r="Y39" s="226"/>
      <c r="Z39" s="226"/>
      <c r="AA39" s="226"/>
      <c r="AB39" s="46"/>
    </row>
    <row r="40" spans="1:28" ht="15" x14ac:dyDescent="0.25">
      <c r="A40" s="66">
        <v>41333</v>
      </c>
      <c r="B40" s="114">
        <f t="shared" si="4"/>
        <v>2013</v>
      </c>
      <c r="C40" s="114">
        <f t="shared" si="5"/>
        <v>2</v>
      </c>
      <c r="D40" s="107">
        <f>Purchases!C40</f>
        <v>15003411.894210001</v>
      </c>
      <c r="E40" s="94"/>
      <c r="F40" s="171">
        <f ca="1">CDM!D48</f>
        <v>185248.02758653107</v>
      </c>
      <c r="G40" s="94">
        <f t="shared" ca="1" si="6"/>
        <v>15188659.921796532</v>
      </c>
      <c r="H40" s="90">
        <f>Weather!H147</f>
        <v>534.5</v>
      </c>
      <c r="I40" s="90">
        <f>Weather!I147</f>
        <v>0</v>
      </c>
      <c r="J40" s="108">
        <v>28</v>
      </c>
      <c r="K40" s="108">
        <f t="shared" si="7"/>
        <v>0</v>
      </c>
      <c r="L40" s="152">
        <f>Data!AC27</f>
        <v>0</v>
      </c>
      <c r="M40" s="152">
        <f>Data!AD27</f>
        <v>0</v>
      </c>
      <c r="N40" s="150">
        <f>Data!AH27</f>
        <v>13175.5</v>
      </c>
      <c r="O40" s="67">
        <f t="shared" si="8"/>
        <v>15113504.050469015</v>
      </c>
      <c r="P40" s="40">
        <f t="shared" ca="1" si="9"/>
        <v>-75155.871327517554</v>
      </c>
      <c r="Q40" s="53">
        <f t="shared" ca="1" si="10"/>
        <v>-4.948156829798058E-3</v>
      </c>
      <c r="R40" s="12">
        <f t="shared" ca="1" si="3"/>
        <v>4.948156829798058E-3</v>
      </c>
      <c r="S40" s="153"/>
      <c r="T40" s="221"/>
      <c r="U40" s="227"/>
      <c r="V40" s="227"/>
      <c r="W40" s="227"/>
      <c r="X40" s="227"/>
      <c r="Y40" s="227"/>
      <c r="Z40" s="226"/>
      <c r="AA40" s="226"/>
      <c r="AB40" s="46"/>
    </row>
    <row r="41" spans="1:28" ht="15" x14ac:dyDescent="0.25">
      <c r="A41" s="66">
        <v>41364</v>
      </c>
      <c r="B41" s="114">
        <f t="shared" si="4"/>
        <v>2013</v>
      </c>
      <c r="C41" s="114">
        <f t="shared" si="5"/>
        <v>3</v>
      </c>
      <c r="D41" s="107">
        <f>Purchases!C41</f>
        <v>15405740.23608</v>
      </c>
      <c r="E41" s="94"/>
      <c r="F41" s="171">
        <f ca="1">CDM!D49</f>
        <v>193262.00270358886</v>
      </c>
      <c r="G41" s="94">
        <f t="shared" ca="1" si="6"/>
        <v>15599002.238783589</v>
      </c>
      <c r="H41" s="90">
        <f>Weather!H148</f>
        <v>463.2000000000001</v>
      </c>
      <c r="I41" s="90">
        <f>Weather!I148</f>
        <v>0</v>
      </c>
      <c r="J41" s="108">
        <v>31</v>
      </c>
      <c r="K41" s="108">
        <f t="shared" si="7"/>
        <v>1</v>
      </c>
      <c r="L41" s="152">
        <f>Data!AC28</f>
        <v>0</v>
      </c>
      <c r="M41" s="152">
        <f>Data!AD28</f>
        <v>0</v>
      </c>
      <c r="N41" s="150">
        <f>Data!AH28</f>
        <v>13181.5</v>
      </c>
      <c r="O41" s="67">
        <f t="shared" si="8"/>
        <v>15484043.183859866</v>
      </c>
      <c r="P41" s="40">
        <f t="shared" ca="1" si="9"/>
        <v>-114959.05492372252</v>
      </c>
      <c r="Q41" s="53">
        <f t="shared" ca="1" si="10"/>
        <v>-7.3696415427072235E-3</v>
      </c>
      <c r="R41" s="12">
        <f t="shared" ca="1" si="3"/>
        <v>7.3696415427072235E-3</v>
      </c>
      <c r="S41" s="153"/>
      <c r="T41" s="30"/>
      <c r="U41" s="92"/>
      <c r="V41" s="92"/>
      <c r="W41" s="92"/>
      <c r="X41" s="92"/>
      <c r="Y41" s="92"/>
      <c r="Z41" s="226"/>
      <c r="AA41" s="226"/>
      <c r="AB41" s="46"/>
    </row>
    <row r="42" spans="1:28" ht="15" x14ac:dyDescent="0.25">
      <c r="A42" s="66">
        <v>41394</v>
      </c>
      <c r="B42" s="114">
        <f t="shared" si="4"/>
        <v>2013</v>
      </c>
      <c r="C42" s="114">
        <f t="shared" si="5"/>
        <v>4</v>
      </c>
      <c r="D42" s="107">
        <f>Purchases!C42</f>
        <v>13953064.21022</v>
      </c>
      <c r="E42" s="94"/>
      <c r="F42" s="171">
        <f ca="1">CDM!D50</f>
        <v>201275.97782064669</v>
      </c>
      <c r="G42" s="94">
        <f t="shared" ca="1" si="6"/>
        <v>14154340.188040646</v>
      </c>
      <c r="H42" s="90">
        <f>Weather!H149</f>
        <v>280</v>
      </c>
      <c r="I42" s="90">
        <f>Weather!I149</f>
        <v>0</v>
      </c>
      <c r="J42" s="108">
        <v>30</v>
      </c>
      <c r="K42" s="108">
        <f t="shared" si="7"/>
        <v>1</v>
      </c>
      <c r="L42" s="152">
        <f>Data!AC29</f>
        <v>0</v>
      </c>
      <c r="M42" s="152">
        <f>Data!AD29</f>
        <v>0</v>
      </c>
      <c r="N42" s="150">
        <f>Data!AH29</f>
        <v>13183.5</v>
      </c>
      <c r="O42" s="67">
        <f t="shared" si="8"/>
        <v>13855098.558690865</v>
      </c>
      <c r="P42" s="40">
        <f t="shared" ca="1" si="9"/>
        <v>-299241.6293497812</v>
      </c>
      <c r="Q42" s="53">
        <f t="shared" ca="1" si="10"/>
        <v>-2.1141333709261693E-2</v>
      </c>
      <c r="R42" s="12">
        <f t="shared" ca="1" si="3"/>
        <v>2.1141333709261693E-2</v>
      </c>
      <c r="S42" s="153"/>
      <c r="T42" s="30"/>
      <c r="U42" s="92"/>
      <c r="V42" s="92"/>
      <c r="W42" s="92"/>
      <c r="X42" s="92"/>
      <c r="Y42" s="92"/>
      <c r="Z42" s="226"/>
      <c r="AA42" s="226"/>
      <c r="AB42" s="46"/>
    </row>
    <row r="43" spans="1:28" ht="15" x14ac:dyDescent="0.25">
      <c r="A43" s="66">
        <v>41425</v>
      </c>
      <c r="B43" s="114">
        <f t="shared" si="4"/>
        <v>2013</v>
      </c>
      <c r="C43" s="114">
        <f t="shared" si="5"/>
        <v>5</v>
      </c>
      <c r="D43" s="107">
        <f>Purchases!C43</f>
        <v>14135961.105699999</v>
      </c>
      <c r="E43" s="94"/>
      <c r="F43" s="171">
        <f ca="1">CDM!D51</f>
        <v>209289.95293770451</v>
      </c>
      <c r="G43" s="94">
        <f t="shared" ca="1" si="6"/>
        <v>14345251.058637705</v>
      </c>
      <c r="H43" s="90">
        <f>Weather!H150</f>
        <v>72.2</v>
      </c>
      <c r="I43" s="90">
        <f>Weather!I150</f>
        <v>45</v>
      </c>
      <c r="J43" s="108">
        <v>31</v>
      </c>
      <c r="K43" s="108">
        <f t="shared" si="7"/>
        <v>1</v>
      </c>
      <c r="L43" s="152">
        <f>Data!AC30</f>
        <v>0</v>
      </c>
      <c r="M43" s="152">
        <f>Data!AD30</f>
        <v>0</v>
      </c>
      <c r="N43" s="150">
        <f>Data!AH30</f>
        <v>13186.5</v>
      </c>
      <c r="O43" s="67">
        <f t="shared" si="8"/>
        <v>14398887.677485185</v>
      </c>
      <c r="P43" s="40">
        <f t="shared" ca="1" si="9"/>
        <v>53636.618847480044</v>
      </c>
      <c r="Q43" s="53">
        <f t="shared" ca="1" si="10"/>
        <v>3.7389808395987489E-3</v>
      </c>
      <c r="R43" s="12">
        <f t="shared" ca="1" si="3"/>
        <v>3.7389808395987489E-3</v>
      </c>
      <c r="S43" s="153"/>
      <c r="T43" s="30"/>
      <c r="U43" s="92"/>
      <c r="V43" s="92"/>
      <c r="W43" s="92"/>
      <c r="X43" s="92"/>
      <c r="Y43" s="92"/>
      <c r="Z43" s="226"/>
      <c r="AA43" s="226"/>
      <c r="AB43" s="46"/>
    </row>
    <row r="44" spans="1:28" ht="15" x14ac:dyDescent="0.25">
      <c r="A44" s="66">
        <v>41455</v>
      </c>
      <c r="B44" s="114">
        <f t="shared" si="4"/>
        <v>2013</v>
      </c>
      <c r="C44" s="114">
        <f t="shared" si="5"/>
        <v>6</v>
      </c>
      <c r="D44" s="107">
        <f>Purchases!C44</f>
        <v>15880216.29284</v>
      </c>
      <c r="E44" s="94"/>
      <c r="F44" s="171">
        <f ca="1">CDM!D52</f>
        <v>217303.92805476233</v>
      </c>
      <c r="G44" s="94">
        <f t="shared" ca="1" si="6"/>
        <v>16097520.220894763</v>
      </c>
      <c r="H44" s="90">
        <f>Weather!H151</f>
        <v>15.099999999999998</v>
      </c>
      <c r="I44" s="90">
        <f>Weather!I151</f>
        <v>109.1</v>
      </c>
      <c r="J44" s="108">
        <v>30</v>
      </c>
      <c r="K44" s="108">
        <f t="shared" si="7"/>
        <v>0</v>
      </c>
      <c r="L44" s="152">
        <f>Data!AC31</f>
        <v>0</v>
      </c>
      <c r="M44" s="152">
        <f>Data!AD31</f>
        <v>0</v>
      </c>
      <c r="N44" s="150">
        <f>Data!AH31</f>
        <v>13193</v>
      </c>
      <c r="O44" s="67">
        <f t="shared" si="8"/>
        <v>16131105.488196701</v>
      </c>
      <c r="P44" s="40">
        <f t="shared" ca="1" si="9"/>
        <v>33585.267301937565</v>
      </c>
      <c r="Q44" s="53">
        <f t="shared" ca="1" si="10"/>
        <v>2.0863627963233437E-3</v>
      </c>
      <c r="R44" s="12">
        <f t="shared" ca="1" si="3"/>
        <v>2.0863627963233437E-3</v>
      </c>
      <c r="S44" s="153"/>
      <c r="T44" s="46"/>
      <c r="U44" s="226"/>
      <c r="V44" s="226"/>
      <c r="W44" s="226"/>
      <c r="X44" s="226"/>
      <c r="Y44" s="226"/>
      <c r="Z44" s="226"/>
      <c r="AA44" s="226"/>
      <c r="AB44" s="46"/>
    </row>
    <row r="45" spans="1:28" ht="15" x14ac:dyDescent="0.25">
      <c r="A45" s="66">
        <v>41486</v>
      </c>
      <c r="B45" s="114">
        <f t="shared" si="4"/>
        <v>2013</v>
      </c>
      <c r="C45" s="114">
        <f t="shared" si="5"/>
        <v>7</v>
      </c>
      <c r="D45" s="107">
        <f>Purchases!C45</f>
        <v>19373764.10244</v>
      </c>
      <c r="E45" s="94"/>
      <c r="F45" s="171">
        <f ca="1">CDM!D53</f>
        <v>225317.90317182016</v>
      </c>
      <c r="G45" s="94">
        <f t="shared" ca="1" si="6"/>
        <v>19599082.005611818</v>
      </c>
      <c r="H45" s="90">
        <f>Weather!H152</f>
        <v>0</v>
      </c>
      <c r="I45" s="90">
        <f>Weather!I152</f>
        <v>202.99999999999994</v>
      </c>
      <c r="J45" s="108">
        <v>31</v>
      </c>
      <c r="K45" s="108">
        <f t="shared" si="7"/>
        <v>0</v>
      </c>
      <c r="L45" s="152">
        <f>Data!AC32</f>
        <v>0</v>
      </c>
      <c r="M45" s="152">
        <f>Data!AD32</f>
        <v>0</v>
      </c>
      <c r="N45" s="150">
        <f>Data!AH32</f>
        <v>13197</v>
      </c>
      <c r="O45" s="67">
        <f t="shared" si="8"/>
        <v>19315897.246492252</v>
      </c>
      <c r="P45" s="40">
        <f t="shared" ca="1" si="9"/>
        <v>-283184.75911956653</v>
      </c>
      <c r="Q45" s="53">
        <f t="shared" ca="1" si="10"/>
        <v>-1.4448878730058992E-2</v>
      </c>
      <c r="R45" s="12">
        <f t="shared" ca="1" si="3"/>
        <v>1.4448878730058992E-2</v>
      </c>
      <c r="S45" s="153"/>
      <c r="T45" s="221"/>
      <c r="U45" s="227"/>
      <c r="V45" s="227"/>
      <c r="W45" s="227"/>
      <c r="X45" s="227"/>
      <c r="Y45" s="227"/>
      <c r="Z45" s="227"/>
      <c r="AA45" s="227"/>
      <c r="AB45" s="221"/>
    </row>
    <row r="46" spans="1:28" ht="15" x14ac:dyDescent="0.25">
      <c r="A46" s="66">
        <v>41517</v>
      </c>
      <c r="B46" s="114">
        <f t="shared" si="4"/>
        <v>2013</v>
      </c>
      <c r="C46" s="114">
        <f t="shared" si="5"/>
        <v>8</v>
      </c>
      <c r="D46" s="107">
        <f>Purchases!C46</f>
        <v>17518528.28576</v>
      </c>
      <c r="E46" s="94"/>
      <c r="F46" s="171">
        <f ca="1">CDM!D54</f>
        <v>233331.87828887795</v>
      </c>
      <c r="G46" s="94">
        <f t="shared" ca="1" si="6"/>
        <v>17751860.164048877</v>
      </c>
      <c r="H46" s="90">
        <f>Weather!H153</f>
        <v>0</v>
      </c>
      <c r="I46" s="90">
        <f>Weather!I153</f>
        <v>154.30000000000004</v>
      </c>
      <c r="J46" s="108">
        <v>31</v>
      </c>
      <c r="K46" s="108">
        <f t="shared" si="7"/>
        <v>0</v>
      </c>
      <c r="L46" s="152">
        <f>Data!AC33</f>
        <v>0</v>
      </c>
      <c r="M46" s="152">
        <f>Data!AD33</f>
        <v>0</v>
      </c>
      <c r="N46" s="150">
        <f>Data!AH33</f>
        <v>13195.5</v>
      </c>
      <c r="O46" s="67">
        <f t="shared" si="8"/>
        <v>17873349.556140207</v>
      </c>
      <c r="P46" s="40">
        <f t="shared" ca="1" si="9"/>
        <v>121489.39209133014</v>
      </c>
      <c r="Q46" s="53">
        <f t="shared" ca="1" si="10"/>
        <v>6.8437555821541929E-3</v>
      </c>
      <c r="R46" s="12">
        <f t="shared" ca="1" si="3"/>
        <v>6.8437555821541929E-3</v>
      </c>
      <c r="S46" s="153"/>
      <c r="T46" s="30"/>
      <c r="U46" s="92"/>
      <c r="V46" s="92"/>
      <c r="W46" s="92"/>
      <c r="X46" s="92"/>
      <c r="Y46" s="92"/>
      <c r="Z46" s="92"/>
      <c r="AA46" s="92"/>
      <c r="AB46" s="30"/>
    </row>
    <row r="47" spans="1:28" ht="15" x14ac:dyDescent="0.25">
      <c r="A47" s="66">
        <v>41547</v>
      </c>
      <c r="B47" s="114">
        <f t="shared" si="4"/>
        <v>2013</v>
      </c>
      <c r="C47" s="114">
        <f t="shared" si="5"/>
        <v>9</v>
      </c>
      <c r="D47" s="107">
        <f>Purchases!C47</f>
        <v>15118315.780299999</v>
      </c>
      <c r="E47" s="94"/>
      <c r="F47" s="171">
        <f ca="1">CDM!D55</f>
        <v>241345.85340593578</v>
      </c>
      <c r="G47" s="94">
        <f t="shared" ca="1" si="6"/>
        <v>15359661.633705935</v>
      </c>
      <c r="H47" s="90">
        <f>Weather!H154</f>
        <v>40.6</v>
      </c>
      <c r="I47" s="90">
        <f>Weather!I154</f>
        <v>60.800000000000011</v>
      </c>
      <c r="J47" s="108">
        <v>30</v>
      </c>
      <c r="K47" s="108">
        <f t="shared" si="7"/>
        <v>0</v>
      </c>
      <c r="L47" s="152">
        <f>Data!AC34</f>
        <v>0</v>
      </c>
      <c r="M47" s="152">
        <f>Data!AD34</f>
        <v>0</v>
      </c>
      <c r="N47" s="150">
        <f>Data!AH34</f>
        <v>13199</v>
      </c>
      <c r="O47" s="67">
        <f t="shared" si="8"/>
        <v>14862921.832679648</v>
      </c>
      <c r="P47" s="40">
        <f t="shared" ca="1" si="9"/>
        <v>-496739.80102628656</v>
      </c>
      <c r="Q47" s="53">
        <f t="shared" ca="1" si="10"/>
        <v>-3.2340543227607196E-2</v>
      </c>
      <c r="R47" s="12">
        <f t="shared" ca="1" si="3"/>
        <v>3.2340543227607196E-2</v>
      </c>
      <c r="S47" s="153"/>
      <c r="T47" s="30"/>
      <c r="U47" s="92"/>
      <c r="V47" s="92"/>
      <c r="W47" s="92"/>
      <c r="X47" s="92"/>
      <c r="Y47" s="92"/>
      <c r="Z47" s="92"/>
      <c r="AA47" s="92"/>
      <c r="AB47" s="30"/>
    </row>
    <row r="48" spans="1:28" ht="15" x14ac:dyDescent="0.25">
      <c r="A48" s="66">
        <v>41578</v>
      </c>
      <c r="B48" s="114">
        <f t="shared" si="4"/>
        <v>2013</v>
      </c>
      <c r="C48" s="114">
        <f t="shared" si="5"/>
        <v>10</v>
      </c>
      <c r="D48" s="107">
        <f>Purchases!C48</f>
        <v>14697969.943470001</v>
      </c>
      <c r="E48" s="94"/>
      <c r="F48" s="171">
        <f ca="1">CDM!D56</f>
        <v>249359.8285229936</v>
      </c>
      <c r="G48" s="94">
        <f t="shared" ca="1" si="6"/>
        <v>14947329.771992994</v>
      </c>
      <c r="H48" s="90">
        <f>Weather!H155</f>
        <v>139.4</v>
      </c>
      <c r="I48" s="90">
        <f>Weather!I155</f>
        <v>12.399999999999999</v>
      </c>
      <c r="J48" s="108">
        <v>31</v>
      </c>
      <c r="K48" s="108">
        <f t="shared" si="7"/>
        <v>0</v>
      </c>
      <c r="L48" s="152">
        <f>Data!AC35</f>
        <v>0</v>
      </c>
      <c r="M48" s="152">
        <f>Data!AD35</f>
        <v>0</v>
      </c>
      <c r="N48" s="150">
        <f>Data!AH35</f>
        <v>13209.5</v>
      </c>
      <c r="O48" s="67">
        <f t="shared" si="8"/>
        <v>14544473.399109619</v>
      </c>
      <c r="P48" s="40">
        <f t="shared" ca="1" si="9"/>
        <v>-402856.37288337573</v>
      </c>
      <c r="Q48" s="53">
        <f t="shared" ca="1" si="10"/>
        <v>-2.6951728437691457E-2</v>
      </c>
      <c r="R48" s="12">
        <f t="shared" ca="1" si="3"/>
        <v>2.6951728437691457E-2</v>
      </c>
      <c r="S48" s="153"/>
      <c r="T48" s="30"/>
      <c r="U48" s="92"/>
      <c r="V48" s="92"/>
      <c r="W48" s="92"/>
      <c r="X48" s="92"/>
      <c r="Y48" s="92"/>
      <c r="Z48" s="92"/>
      <c r="AA48" s="92"/>
      <c r="AB48" s="30"/>
    </row>
    <row r="49" spans="1:28" ht="15" x14ac:dyDescent="0.25">
      <c r="A49" s="66">
        <v>41608</v>
      </c>
      <c r="B49" s="114">
        <f t="shared" si="4"/>
        <v>2013</v>
      </c>
      <c r="C49" s="114">
        <f t="shared" si="5"/>
        <v>11</v>
      </c>
      <c r="D49" s="107">
        <f>Purchases!C49</f>
        <v>15084391.12145</v>
      </c>
      <c r="E49" s="94"/>
      <c r="F49" s="171">
        <f ca="1">CDM!D57</f>
        <v>257373.8036400514</v>
      </c>
      <c r="G49" s="94">
        <f t="shared" ca="1" si="6"/>
        <v>15341764.92509005</v>
      </c>
      <c r="H49" s="90">
        <f>Weather!H156</f>
        <v>382.2</v>
      </c>
      <c r="I49" s="90">
        <f>Weather!I156</f>
        <v>0</v>
      </c>
      <c r="J49" s="108">
        <v>30</v>
      </c>
      <c r="K49" s="108">
        <f t="shared" si="7"/>
        <v>0</v>
      </c>
      <c r="L49" s="152">
        <f>Data!AC36</f>
        <v>0</v>
      </c>
      <c r="M49" s="152">
        <f>Data!AD36</f>
        <v>0</v>
      </c>
      <c r="N49" s="150">
        <f>Data!AH36</f>
        <v>13240.5</v>
      </c>
      <c r="O49" s="67">
        <f t="shared" si="8"/>
        <v>15203550.772434007</v>
      </c>
      <c r="P49" s="40">
        <f t="shared" ca="1" si="9"/>
        <v>-138214.15265604295</v>
      </c>
      <c r="Q49" s="53">
        <f t="shared" ca="1" si="10"/>
        <v>-9.0090125439222686E-3</v>
      </c>
      <c r="R49" s="12">
        <f t="shared" ca="1" si="3"/>
        <v>9.0090125439222686E-3</v>
      </c>
      <c r="S49" s="153"/>
      <c r="T49" s="30"/>
      <c r="U49" s="92"/>
      <c r="V49" s="92"/>
      <c r="W49" s="92"/>
      <c r="X49" s="92"/>
      <c r="Y49" s="92"/>
      <c r="Z49" s="92"/>
      <c r="AA49" s="92"/>
      <c r="AB49" s="30"/>
    </row>
    <row r="50" spans="1:28" ht="15" x14ac:dyDescent="0.25">
      <c r="A50" s="66">
        <v>41639</v>
      </c>
      <c r="B50" s="114">
        <f t="shared" si="4"/>
        <v>2013</v>
      </c>
      <c r="C50" s="114">
        <f t="shared" si="5"/>
        <v>12</v>
      </c>
      <c r="D50" s="107">
        <f>Purchases!C50</f>
        <v>17188140.099020001</v>
      </c>
      <c r="E50" s="94"/>
      <c r="F50" s="171">
        <f ca="1">CDM!D58</f>
        <v>265387.77875710925</v>
      </c>
      <c r="G50" s="94">
        <f t="shared" ca="1" si="6"/>
        <v>17453527.877777111</v>
      </c>
      <c r="H50" s="90">
        <f>Weather!H157</f>
        <v>577.70000000000016</v>
      </c>
      <c r="I50" s="90">
        <f>Weather!I157</f>
        <v>0</v>
      </c>
      <c r="J50" s="108">
        <v>31</v>
      </c>
      <c r="K50" s="108">
        <f t="shared" si="7"/>
        <v>0</v>
      </c>
      <c r="L50" s="152">
        <f>Data!AC37</f>
        <v>0</v>
      </c>
      <c r="M50" s="152">
        <f>Data!AD37</f>
        <v>0</v>
      </c>
      <c r="N50" s="150">
        <f>Data!AH37</f>
        <v>13289</v>
      </c>
      <c r="O50" s="67">
        <f t="shared" si="8"/>
        <v>16940105.330723297</v>
      </c>
      <c r="P50" s="40">
        <f t="shared" ca="1" si="9"/>
        <v>-513422.54705381393</v>
      </c>
      <c r="Q50" s="53">
        <f t="shared" ca="1" si="10"/>
        <v>-2.9416548370575248E-2</v>
      </c>
      <c r="R50" s="12">
        <f t="shared" ca="1" si="3"/>
        <v>2.9416548370575248E-2</v>
      </c>
      <c r="S50" s="153"/>
      <c r="T50" s="30"/>
      <c r="U50" s="92"/>
      <c r="V50" s="92"/>
      <c r="W50" s="92"/>
      <c r="X50" s="92"/>
      <c r="Y50" s="92"/>
      <c r="Z50" s="92"/>
      <c r="AA50" s="92"/>
      <c r="AB50" s="30"/>
    </row>
    <row r="51" spans="1:28" ht="15" x14ac:dyDescent="0.25">
      <c r="A51" s="66">
        <v>41670</v>
      </c>
      <c r="B51" s="114">
        <f t="shared" si="4"/>
        <v>2014</v>
      </c>
      <c r="C51" s="114">
        <f t="shared" si="5"/>
        <v>1</v>
      </c>
      <c r="D51" s="107">
        <f>Purchases!C51</f>
        <v>17832921.899999999</v>
      </c>
      <c r="E51" s="94"/>
      <c r="F51" s="171">
        <f ca="1">CDM!D59</f>
        <v>277670.04482652136</v>
      </c>
      <c r="G51" s="94">
        <f t="shared" ca="1" si="6"/>
        <v>18110591.944826521</v>
      </c>
      <c r="H51" s="90">
        <f>Weather!H158</f>
        <v>717.50000000000023</v>
      </c>
      <c r="I51" s="90">
        <f>Weather!I158</f>
        <v>0</v>
      </c>
      <c r="J51" s="108">
        <v>31</v>
      </c>
      <c r="K51" s="108">
        <f t="shared" si="7"/>
        <v>0</v>
      </c>
      <c r="L51" s="152">
        <f>Data!AC38</f>
        <v>0</v>
      </c>
      <c r="M51" s="152">
        <f>Data!AD38</f>
        <v>0</v>
      </c>
      <c r="N51" s="150">
        <f>Data!AH38</f>
        <v>13317</v>
      </c>
      <c r="O51" s="67">
        <f t="shared" si="8"/>
        <v>17822940.553112034</v>
      </c>
      <c r="P51" s="40">
        <f t="shared" ca="1" si="9"/>
        <v>-287651.39171448722</v>
      </c>
      <c r="Q51" s="53">
        <f t="shared" ca="1" si="10"/>
        <v>-1.5883047478006805E-2</v>
      </c>
      <c r="R51" s="12">
        <f t="shared" ca="1" si="3"/>
        <v>1.5883047478006805E-2</v>
      </c>
      <c r="S51" s="153"/>
      <c r="T51" s="30"/>
      <c r="U51" s="92"/>
      <c r="V51" s="92"/>
      <c r="W51" s="92"/>
      <c r="X51" s="92"/>
      <c r="Y51" s="92"/>
      <c r="Z51" s="92"/>
      <c r="AA51" s="92"/>
      <c r="AB51" s="30"/>
    </row>
    <row r="52" spans="1:28" ht="15" x14ac:dyDescent="0.25">
      <c r="A52" s="66">
        <v>41698</v>
      </c>
      <c r="B52" s="114">
        <f t="shared" si="4"/>
        <v>2014</v>
      </c>
      <c r="C52" s="114">
        <f t="shared" si="5"/>
        <v>2</v>
      </c>
      <c r="D52" s="107">
        <f>Purchases!C52</f>
        <v>15630733.610000001</v>
      </c>
      <c r="E52" s="94"/>
      <c r="F52" s="171">
        <f ca="1">CDM!D60</f>
        <v>284225.7636239141</v>
      </c>
      <c r="G52" s="94">
        <f t="shared" ca="1" si="6"/>
        <v>15914959.373623915</v>
      </c>
      <c r="H52" s="90">
        <f>Weather!H159</f>
        <v>627.09999999999991</v>
      </c>
      <c r="I52" s="90">
        <f>Weather!I159</f>
        <v>0</v>
      </c>
      <c r="J52" s="108">
        <v>29</v>
      </c>
      <c r="K52" s="108">
        <f t="shared" si="7"/>
        <v>0</v>
      </c>
      <c r="L52" s="152">
        <f>Data!AC39</f>
        <v>0</v>
      </c>
      <c r="M52" s="152">
        <f>Data!AD39</f>
        <v>0</v>
      </c>
      <c r="N52" s="150">
        <f>Data!AH39</f>
        <v>13348</v>
      </c>
      <c r="O52" s="67">
        <f t="shared" si="8"/>
        <v>16290364.777973369</v>
      </c>
      <c r="P52" s="40">
        <f t="shared" ca="1" si="9"/>
        <v>375405.40434945375</v>
      </c>
      <c r="Q52" s="53">
        <f t="shared" ca="1" si="10"/>
        <v>2.358821003160199E-2</v>
      </c>
      <c r="R52" s="12">
        <f t="shared" ca="1" si="3"/>
        <v>2.358821003160199E-2</v>
      </c>
      <c r="S52" s="153"/>
      <c r="T52" s="30"/>
      <c r="U52" s="92"/>
      <c r="V52" s="92"/>
      <c r="W52" s="92"/>
      <c r="X52" s="92"/>
      <c r="Y52" s="92"/>
      <c r="Z52" s="92"/>
      <c r="AA52" s="92"/>
      <c r="AB52" s="30"/>
    </row>
    <row r="53" spans="1:28" ht="15" x14ac:dyDescent="0.25">
      <c r="A53" s="66">
        <v>41729</v>
      </c>
      <c r="B53" s="114">
        <f t="shared" si="4"/>
        <v>2014</v>
      </c>
      <c r="C53" s="114">
        <f t="shared" si="5"/>
        <v>3</v>
      </c>
      <c r="D53" s="107">
        <f>Purchases!C53</f>
        <v>16233179.18</v>
      </c>
      <c r="E53" s="94"/>
      <c r="F53" s="171">
        <f ca="1">CDM!D61</f>
        <v>290781.48242130684</v>
      </c>
      <c r="G53" s="94">
        <f t="shared" ca="1" si="6"/>
        <v>16523960.662421307</v>
      </c>
      <c r="H53" s="90">
        <f>Weather!H160</f>
        <v>585.9</v>
      </c>
      <c r="I53" s="90">
        <f>Weather!I160</f>
        <v>0</v>
      </c>
      <c r="J53" s="108">
        <v>31</v>
      </c>
      <c r="K53" s="108">
        <f t="shared" si="7"/>
        <v>1</v>
      </c>
      <c r="L53" s="152">
        <f>Data!AC40</f>
        <v>0</v>
      </c>
      <c r="M53" s="152">
        <f>Data!AD40</f>
        <v>0</v>
      </c>
      <c r="N53" s="150">
        <f>Data!AH40</f>
        <v>13384.5</v>
      </c>
      <c r="O53" s="67">
        <f t="shared" si="8"/>
        <v>16370083.74870714</v>
      </c>
      <c r="P53" s="40">
        <f t="shared" ca="1" si="9"/>
        <v>-153876.91371416673</v>
      </c>
      <c r="Q53" s="53">
        <f t="shared" ca="1" si="10"/>
        <v>-9.312350522844846E-3</v>
      </c>
      <c r="R53" s="12">
        <f t="shared" ca="1" si="3"/>
        <v>9.312350522844846E-3</v>
      </c>
      <c r="S53" s="153"/>
      <c r="T53" s="30"/>
      <c r="U53" s="92"/>
      <c r="V53" s="92"/>
      <c r="W53" s="92"/>
      <c r="X53" s="92"/>
      <c r="Y53" s="92"/>
      <c r="Z53" s="92"/>
      <c r="AA53" s="92"/>
      <c r="AB53" s="30"/>
    </row>
    <row r="54" spans="1:28" ht="15" x14ac:dyDescent="0.25">
      <c r="A54" s="66">
        <v>41759</v>
      </c>
      <c r="B54" s="114">
        <f t="shared" si="4"/>
        <v>2014</v>
      </c>
      <c r="C54" s="114">
        <f t="shared" si="5"/>
        <v>4</v>
      </c>
      <c r="D54" s="107">
        <f>Purchases!C54</f>
        <v>13779375.02</v>
      </c>
      <c r="E54" s="94"/>
      <c r="F54" s="171">
        <f ca="1">CDM!D62</f>
        <v>297337.20121869957</v>
      </c>
      <c r="G54" s="94">
        <f t="shared" ca="1" si="6"/>
        <v>14076712.2212187</v>
      </c>
      <c r="H54" s="90">
        <f>Weather!H161</f>
        <v>272.09999999999991</v>
      </c>
      <c r="I54" s="90">
        <f>Weather!I161</f>
        <v>0.39999999999999858</v>
      </c>
      <c r="J54" s="108">
        <v>30</v>
      </c>
      <c r="K54" s="108">
        <f t="shared" si="7"/>
        <v>1</v>
      </c>
      <c r="L54" s="152">
        <f>Data!AC41</f>
        <v>0</v>
      </c>
      <c r="M54" s="152">
        <f>Data!AD41</f>
        <v>0</v>
      </c>
      <c r="N54" s="150">
        <f>Data!AH41</f>
        <v>13413</v>
      </c>
      <c r="O54" s="67">
        <f t="shared" si="8"/>
        <v>13961057.801916055</v>
      </c>
      <c r="P54" s="40">
        <f t="shared" ca="1" si="9"/>
        <v>-115654.41930264421</v>
      </c>
      <c r="Q54" s="53">
        <f t="shared" ca="1" si="10"/>
        <v>-8.2160107761747904E-3</v>
      </c>
      <c r="R54" s="12">
        <f t="shared" ca="1" si="3"/>
        <v>8.2160107761747904E-3</v>
      </c>
      <c r="S54" s="153"/>
      <c r="T54" s="30"/>
      <c r="U54" s="92"/>
      <c r="V54" s="92"/>
      <c r="W54" s="92"/>
      <c r="X54" s="92"/>
      <c r="Y54" s="92"/>
      <c r="Z54" s="92"/>
      <c r="AA54" s="92"/>
      <c r="AB54" s="30"/>
    </row>
    <row r="55" spans="1:28" ht="15" x14ac:dyDescent="0.25">
      <c r="A55" s="66">
        <v>41790</v>
      </c>
      <c r="B55" s="114">
        <f t="shared" si="4"/>
        <v>2014</v>
      </c>
      <c r="C55" s="114">
        <f t="shared" si="5"/>
        <v>5</v>
      </c>
      <c r="D55" s="107">
        <f>Purchases!C55</f>
        <v>13816260.479999999</v>
      </c>
      <c r="E55" s="94"/>
      <c r="F55" s="171">
        <f ca="1">CDM!D63</f>
        <v>303892.92001609231</v>
      </c>
      <c r="G55" s="94">
        <f t="shared" ca="1" si="6"/>
        <v>14120153.400016092</v>
      </c>
      <c r="H55" s="90">
        <f>Weather!H162</f>
        <v>80.000000000000014</v>
      </c>
      <c r="I55" s="90">
        <f>Weather!I162</f>
        <v>24.299999999999997</v>
      </c>
      <c r="J55" s="108">
        <v>31</v>
      </c>
      <c r="K55" s="108">
        <f t="shared" si="7"/>
        <v>1</v>
      </c>
      <c r="L55" s="152">
        <f>Data!AC42</f>
        <v>0</v>
      </c>
      <c r="M55" s="152">
        <f>Data!AD42</f>
        <v>0</v>
      </c>
      <c r="N55" s="150">
        <f>Data!AH42</f>
        <v>13446</v>
      </c>
      <c r="O55" s="67">
        <f t="shared" si="8"/>
        <v>13996127.900731938</v>
      </c>
      <c r="P55" s="40">
        <f t="shared" ca="1" si="9"/>
        <v>-124025.4992841538</v>
      </c>
      <c r="Q55" s="53">
        <f t="shared" ca="1" si="10"/>
        <v>-8.7835801616724975E-3</v>
      </c>
      <c r="R55" s="12">
        <f t="shared" ca="1" si="3"/>
        <v>8.7835801616724975E-3</v>
      </c>
      <c r="S55" s="153"/>
      <c r="T55" s="30"/>
      <c r="U55" s="92"/>
      <c r="V55" s="92"/>
      <c r="W55" s="92"/>
      <c r="X55" s="92"/>
      <c r="Y55" s="92"/>
      <c r="Z55" s="92"/>
      <c r="AA55" s="92"/>
      <c r="AB55" s="30"/>
    </row>
    <row r="56" spans="1:28" ht="15" x14ac:dyDescent="0.25">
      <c r="A56" s="66">
        <v>41820</v>
      </c>
      <c r="B56" s="114">
        <f t="shared" si="4"/>
        <v>2014</v>
      </c>
      <c r="C56" s="114">
        <f t="shared" si="5"/>
        <v>6</v>
      </c>
      <c r="D56" s="107">
        <f>Purchases!C56</f>
        <v>15763795.030000001</v>
      </c>
      <c r="E56" s="94"/>
      <c r="F56" s="171">
        <f ca="1">CDM!D64</f>
        <v>310448.63881348504</v>
      </c>
      <c r="G56" s="94">
        <f t="shared" ca="1" si="6"/>
        <v>16074243.668813486</v>
      </c>
      <c r="H56" s="90">
        <f>Weather!H163</f>
        <v>2.4999999999999982</v>
      </c>
      <c r="I56" s="90">
        <f>Weather!I163</f>
        <v>121.8</v>
      </c>
      <c r="J56" s="108">
        <v>30</v>
      </c>
      <c r="K56" s="108">
        <f t="shared" si="7"/>
        <v>0</v>
      </c>
      <c r="L56" s="152">
        <f>Data!AC43</f>
        <v>0</v>
      </c>
      <c r="M56" s="152">
        <f>Data!AD43</f>
        <v>0</v>
      </c>
      <c r="N56" s="150">
        <f>Data!AH43</f>
        <v>13471.5</v>
      </c>
      <c r="O56" s="67">
        <f t="shared" si="8"/>
        <v>16602610.429343797</v>
      </c>
      <c r="P56" s="40">
        <f t="shared" ca="1" si="9"/>
        <v>528366.76053031161</v>
      </c>
      <c r="Q56" s="53">
        <f t="shared" ca="1" si="10"/>
        <v>3.2870396356839152E-2</v>
      </c>
      <c r="R56" s="12">
        <f t="shared" ca="1" si="3"/>
        <v>3.2870396356839152E-2</v>
      </c>
      <c r="S56" s="153"/>
      <c r="T56" s="46"/>
      <c r="U56" s="46"/>
      <c r="V56" s="46"/>
      <c r="W56" s="46"/>
      <c r="X56" s="46"/>
      <c r="Y56" s="46"/>
      <c r="Z56" s="46"/>
      <c r="AA56" s="46"/>
      <c r="AB56" s="46"/>
    </row>
    <row r="57" spans="1:28" ht="15" x14ac:dyDescent="0.25">
      <c r="A57" s="66">
        <v>41851</v>
      </c>
      <c r="B57" s="114">
        <f t="shared" si="4"/>
        <v>2014</v>
      </c>
      <c r="C57" s="114">
        <f t="shared" si="5"/>
        <v>7</v>
      </c>
      <c r="D57" s="107">
        <f>Purchases!C57</f>
        <v>17256405.399999999</v>
      </c>
      <c r="E57" s="94"/>
      <c r="F57" s="171">
        <f ca="1">CDM!D65</f>
        <v>317004.35761087778</v>
      </c>
      <c r="G57" s="94">
        <f t="shared" ca="1" si="6"/>
        <v>17573409.757610876</v>
      </c>
      <c r="H57" s="90">
        <f>Weather!H164</f>
        <v>0</v>
      </c>
      <c r="I57" s="90">
        <f>Weather!I164</f>
        <v>149.90000000000003</v>
      </c>
      <c r="J57" s="108">
        <v>31</v>
      </c>
      <c r="K57" s="108">
        <f t="shared" si="7"/>
        <v>0</v>
      </c>
      <c r="L57" s="152">
        <f>Data!AC44</f>
        <v>0</v>
      </c>
      <c r="M57" s="152">
        <f>Data!AD44</f>
        <v>0</v>
      </c>
      <c r="N57" s="150">
        <f>Data!AH44</f>
        <v>13503</v>
      </c>
      <c r="O57" s="67">
        <f t="shared" si="8"/>
        <v>17934730.390884079</v>
      </c>
      <c r="P57" s="40">
        <f t="shared" ca="1" si="9"/>
        <v>361320.63327320293</v>
      </c>
      <c r="Q57" s="53">
        <f t="shared" ca="1" si="10"/>
        <v>2.0560644647617029E-2</v>
      </c>
      <c r="R57" s="12">
        <f t="shared" ca="1" si="3"/>
        <v>2.0560644647617029E-2</v>
      </c>
      <c r="S57" s="153"/>
      <c r="T57" s="46"/>
      <c r="U57" s="46"/>
      <c r="V57" s="46"/>
      <c r="W57" s="46"/>
      <c r="X57" s="46"/>
      <c r="Y57" s="46"/>
      <c r="Z57" s="46"/>
      <c r="AA57" s="46"/>
      <c r="AB57" s="46"/>
    </row>
    <row r="58" spans="1:28" ht="15" x14ac:dyDescent="0.25">
      <c r="A58" s="66">
        <v>41882</v>
      </c>
      <c r="B58" s="114">
        <f t="shared" si="4"/>
        <v>2014</v>
      </c>
      <c r="C58" s="114">
        <f t="shared" si="5"/>
        <v>8</v>
      </c>
      <c r="D58" s="107">
        <f>Purchases!C58</f>
        <v>17022827.640000001</v>
      </c>
      <c r="E58" s="94"/>
      <c r="F58" s="171">
        <f ca="1">CDM!D66</f>
        <v>323560.07640827051</v>
      </c>
      <c r="G58" s="94">
        <f t="shared" ca="1" si="6"/>
        <v>17346387.716408271</v>
      </c>
      <c r="H58" s="90">
        <f>Weather!H165</f>
        <v>9.9999999999999645E-2</v>
      </c>
      <c r="I58" s="90">
        <f>Weather!I165</f>
        <v>146.79999999999998</v>
      </c>
      <c r="J58" s="108">
        <v>31</v>
      </c>
      <c r="K58" s="108">
        <f t="shared" si="7"/>
        <v>0</v>
      </c>
      <c r="L58" s="152">
        <f>Data!AC45</f>
        <v>0</v>
      </c>
      <c r="M58" s="152">
        <f>Data!AD45</f>
        <v>0</v>
      </c>
      <c r="N58" s="150">
        <f>Data!AH45</f>
        <v>13541.5</v>
      </c>
      <c r="O58" s="67">
        <f t="shared" si="8"/>
        <v>17867576.096378382</v>
      </c>
      <c r="P58" s="40">
        <f t="shared" ca="1" si="9"/>
        <v>521188.37997011095</v>
      </c>
      <c r="Q58" s="53">
        <f t="shared" ca="1" si="10"/>
        <v>3.0045931665479215E-2</v>
      </c>
      <c r="R58" s="12">
        <f t="shared" ca="1" si="3"/>
        <v>3.0045931665479215E-2</v>
      </c>
      <c r="S58" s="153"/>
      <c r="T58" s="228"/>
      <c r="U58" s="46"/>
      <c r="V58" s="46"/>
      <c r="W58" s="46"/>
      <c r="X58" s="46"/>
      <c r="Y58" s="46"/>
      <c r="Z58" s="46"/>
      <c r="AA58" s="46"/>
      <c r="AB58" s="46"/>
    </row>
    <row r="59" spans="1:28" ht="15" x14ac:dyDescent="0.25">
      <c r="A59" s="66">
        <v>41912</v>
      </c>
      <c r="B59" s="114">
        <f t="shared" si="4"/>
        <v>2014</v>
      </c>
      <c r="C59" s="114">
        <f t="shared" si="5"/>
        <v>9</v>
      </c>
      <c r="D59" s="107">
        <f>Purchases!C59</f>
        <v>15128454.74</v>
      </c>
      <c r="E59" s="94"/>
      <c r="F59" s="171">
        <f ca="1">CDM!D67</f>
        <v>330115.79520566325</v>
      </c>
      <c r="G59" s="94">
        <f t="shared" ca="1" si="6"/>
        <v>15458570.535205664</v>
      </c>
      <c r="H59" s="90">
        <f>Weather!H166</f>
        <v>28.4</v>
      </c>
      <c r="I59" s="90">
        <f>Weather!I166</f>
        <v>71.299999999999983</v>
      </c>
      <c r="J59" s="108">
        <v>30</v>
      </c>
      <c r="K59" s="108">
        <f t="shared" si="7"/>
        <v>0</v>
      </c>
      <c r="L59" s="152">
        <f>Data!AC46</f>
        <v>0</v>
      </c>
      <c r="M59" s="152">
        <f>Data!AD46</f>
        <v>0</v>
      </c>
      <c r="N59" s="150">
        <f>Data!AH46</f>
        <v>13605.5</v>
      </c>
      <c r="O59" s="67">
        <f t="shared" si="8"/>
        <v>15351546.259519624</v>
      </c>
      <c r="P59" s="40">
        <f t="shared" ca="1" si="9"/>
        <v>-107024.27568604052</v>
      </c>
      <c r="Q59" s="53">
        <f t="shared" ca="1" si="10"/>
        <v>-6.9232970436885642E-3</v>
      </c>
      <c r="R59" s="12">
        <f t="shared" ca="1" si="3"/>
        <v>6.9232970436885642E-3</v>
      </c>
      <c r="S59" s="153"/>
      <c r="T59" s="46"/>
      <c r="U59" s="46"/>
      <c r="V59" s="46"/>
      <c r="W59" s="46"/>
      <c r="X59" s="46"/>
      <c r="Y59" s="46"/>
      <c r="Z59" s="46"/>
      <c r="AA59" s="46"/>
      <c r="AB59" s="46"/>
    </row>
    <row r="60" spans="1:28" ht="15" x14ac:dyDescent="0.25">
      <c r="A60" s="66">
        <v>41943</v>
      </c>
      <c r="B60" s="114">
        <f t="shared" si="4"/>
        <v>2014</v>
      </c>
      <c r="C60" s="114">
        <f t="shared" si="5"/>
        <v>10</v>
      </c>
      <c r="D60" s="107">
        <f>Purchases!C60</f>
        <v>14319576.609999999</v>
      </c>
      <c r="E60" s="94"/>
      <c r="F60" s="171">
        <f ca="1">CDM!D68</f>
        <v>336671.51400305599</v>
      </c>
      <c r="G60" s="94">
        <f t="shared" ca="1" si="6"/>
        <v>14656248.124003055</v>
      </c>
      <c r="H60" s="90">
        <f>Weather!H167</f>
        <v>142.9</v>
      </c>
      <c r="I60" s="90">
        <f>Weather!I167</f>
        <v>10.400000000000002</v>
      </c>
      <c r="J60" s="108">
        <v>31</v>
      </c>
      <c r="K60" s="108">
        <f t="shared" si="7"/>
        <v>0</v>
      </c>
      <c r="L60" s="152">
        <f>Data!AC47</f>
        <v>0</v>
      </c>
      <c r="M60" s="152">
        <f>Data!AD47</f>
        <v>0</v>
      </c>
      <c r="N60" s="150">
        <f>Data!AH47</f>
        <v>13677.5</v>
      </c>
      <c r="O60" s="67">
        <f t="shared" si="8"/>
        <v>14798585.525020499</v>
      </c>
      <c r="P60" s="40">
        <f t="shared" ca="1" si="9"/>
        <v>142337.40101744421</v>
      </c>
      <c r="Q60" s="53">
        <f t="shared" ca="1" si="10"/>
        <v>9.7117215683823772E-3</v>
      </c>
      <c r="R60" s="12">
        <f t="shared" ca="1" si="3"/>
        <v>9.7117215683823772E-3</v>
      </c>
      <c r="S60" s="153"/>
      <c r="T60" s="220"/>
      <c r="U60" s="220"/>
      <c r="V60" s="46"/>
      <c r="W60" s="46"/>
      <c r="X60" s="46"/>
      <c r="Y60" s="46"/>
      <c r="Z60" s="46"/>
      <c r="AA60" s="46"/>
      <c r="AB60" s="46"/>
    </row>
    <row r="61" spans="1:28" ht="15" x14ac:dyDescent="0.25">
      <c r="A61" s="66">
        <v>41973</v>
      </c>
      <c r="B61" s="114">
        <f t="shared" si="4"/>
        <v>2014</v>
      </c>
      <c r="C61" s="114">
        <f t="shared" si="5"/>
        <v>11</v>
      </c>
      <c r="D61" s="107">
        <f>Purchases!C61</f>
        <v>15066567.450000001</v>
      </c>
      <c r="E61" s="94"/>
      <c r="F61" s="171">
        <f ca="1">CDM!D69</f>
        <v>343227.23280044872</v>
      </c>
      <c r="G61" s="94">
        <f t="shared" ca="1" si="6"/>
        <v>15409794.682800449</v>
      </c>
      <c r="H61" s="90">
        <f>Weather!H168</f>
        <v>391.89999999999992</v>
      </c>
      <c r="I61" s="90">
        <f>Weather!I168</f>
        <v>0</v>
      </c>
      <c r="J61" s="108">
        <v>30</v>
      </c>
      <c r="K61" s="108">
        <f t="shared" si="7"/>
        <v>0</v>
      </c>
      <c r="L61" s="152">
        <f>Data!AC48</f>
        <v>0</v>
      </c>
      <c r="M61" s="152">
        <f>Data!AD48</f>
        <v>0</v>
      </c>
      <c r="N61" s="150">
        <f>Data!AH48</f>
        <v>13706.5</v>
      </c>
      <c r="O61" s="67">
        <f t="shared" si="8"/>
        <v>15553999.412023723</v>
      </c>
      <c r="P61" s="40">
        <f t="shared" ca="1" si="9"/>
        <v>144204.72922327369</v>
      </c>
      <c r="Q61" s="53">
        <f t="shared" ca="1" si="10"/>
        <v>9.3579916015511192E-3</v>
      </c>
      <c r="R61" s="12">
        <f t="shared" ca="1" si="3"/>
        <v>9.3579916015511192E-3</v>
      </c>
      <c r="S61" s="153"/>
      <c r="T61" s="30"/>
      <c r="U61" s="92"/>
      <c r="V61" s="226"/>
      <c r="W61" s="226"/>
      <c r="X61" s="226"/>
      <c r="Y61" s="226"/>
      <c r="Z61" s="226"/>
      <c r="AA61" s="226"/>
      <c r="AB61" s="226"/>
    </row>
    <row r="62" spans="1:28" ht="15" x14ac:dyDescent="0.25">
      <c r="A62" s="66">
        <v>42004</v>
      </c>
      <c r="B62" s="114">
        <f t="shared" si="4"/>
        <v>2014</v>
      </c>
      <c r="C62" s="114">
        <f t="shared" si="5"/>
        <v>12</v>
      </c>
      <c r="D62" s="107">
        <f>Purchases!C62</f>
        <v>16465915.779999999</v>
      </c>
      <c r="E62" s="94"/>
      <c r="F62" s="171">
        <f ca="1">CDM!D70</f>
        <v>349782.95159784146</v>
      </c>
      <c r="G62" s="94">
        <f t="shared" ca="1" si="6"/>
        <v>16815698.731597841</v>
      </c>
      <c r="H62" s="90">
        <f>Weather!H169</f>
        <v>472.4</v>
      </c>
      <c r="I62" s="90">
        <f>Weather!I169</f>
        <v>0</v>
      </c>
      <c r="J62" s="108">
        <v>31</v>
      </c>
      <c r="K62" s="108">
        <f t="shared" si="7"/>
        <v>0</v>
      </c>
      <c r="L62" s="152">
        <f>Data!AC49</f>
        <v>0</v>
      </c>
      <c r="M62" s="152">
        <f>Data!AD49</f>
        <v>0</v>
      </c>
      <c r="N62" s="150">
        <f>Data!AH49</f>
        <v>13732.5</v>
      </c>
      <c r="O62" s="67">
        <f t="shared" si="8"/>
        <v>16564662.530180626</v>
      </c>
      <c r="P62" s="40">
        <f t="shared" ca="1" si="9"/>
        <v>-251036.20141721517</v>
      </c>
      <c r="Q62" s="53">
        <f t="shared" ca="1" si="10"/>
        <v>-1.4928680956058107E-2</v>
      </c>
      <c r="R62" s="12">
        <f t="shared" ca="1" si="3"/>
        <v>1.4928680956058107E-2</v>
      </c>
      <c r="S62" s="153"/>
      <c r="T62" s="30"/>
      <c r="U62" s="92"/>
      <c r="V62" s="226"/>
      <c r="W62" s="226"/>
      <c r="X62" s="226"/>
      <c r="Y62" s="226"/>
      <c r="Z62" s="226"/>
      <c r="AA62" s="226"/>
      <c r="AB62" s="226"/>
    </row>
    <row r="63" spans="1:28" ht="15" x14ac:dyDescent="0.25">
      <c r="A63" s="66">
        <v>42035</v>
      </c>
      <c r="B63" s="114">
        <f t="shared" si="4"/>
        <v>2015</v>
      </c>
      <c r="C63" s="114">
        <f t="shared" si="5"/>
        <v>1</v>
      </c>
      <c r="D63" s="107">
        <f>Purchases!C63</f>
        <v>17410556.84</v>
      </c>
      <c r="E63" s="94"/>
      <c r="F63" s="171">
        <f ca="1">CDM!D71</f>
        <v>365944.52587267006</v>
      </c>
      <c r="G63" s="94">
        <f t="shared" ca="1" si="6"/>
        <v>17776501.36587267</v>
      </c>
      <c r="H63" s="90">
        <f>Weather!H170</f>
        <v>696.89999999999986</v>
      </c>
      <c r="I63" s="90">
        <f>Weather!I170</f>
        <v>0</v>
      </c>
      <c r="J63" s="108">
        <v>31</v>
      </c>
      <c r="K63" s="108">
        <f t="shared" si="7"/>
        <v>0</v>
      </c>
      <c r="L63" s="152">
        <f>Data!AC50</f>
        <v>0</v>
      </c>
      <c r="M63" s="152">
        <f>Data!AD50</f>
        <v>0</v>
      </c>
      <c r="N63" s="150">
        <f>Data!AH50</f>
        <v>13760.5</v>
      </c>
      <c r="O63" s="67">
        <f t="shared" si="8"/>
        <v>17971805.327745654</v>
      </c>
      <c r="P63" s="40">
        <f t="shared" ca="1" si="9"/>
        <v>195303.96187298372</v>
      </c>
      <c r="Q63" s="53">
        <f t="shared" ca="1" si="10"/>
        <v>1.0986636675759399E-2</v>
      </c>
      <c r="R63" s="12">
        <f t="shared" ca="1" si="3"/>
        <v>1.0986636675759399E-2</v>
      </c>
      <c r="S63" s="153"/>
      <c r="T63" s="30"/>
      <c r="U63" s="92"/>
      <c r="V63" s="226"/>
      <c r="W63" s="226"/>
      <c r="X63" s="226"/>
      <c r="Y63" s="226"/>
      <c r="Z63" s="226"/>
      <c r="AA63" s="226"/>
      <c r="AB63" s="226"/>
    </row>
    <row r="64" spans="1:28" ht="15" x14ac:dyDescent="0.25">
      <c r="A64" s="66">
        <v>42063</v>
      </c>
      <c r="B64" s="114">
        <f t="shared" si="4"/>
        <v>2015</v>
      </c>
      <c r="C64" s="114">
        <f t="shared" si="5"/>
        <v>2</v>
      </c>
      <c r="D64" s="107">
        <f>Purchases!C64</f>
        <v>16200376.42</v>
      </c>
      <c r="E64" s="94"/>
      <c r="F64" s="171">
        <f ca="1">CDM!D72</f>
        <v>386261.67330856749</v>
      </c>
      <c r="G64" s="94">
        <f ca="1">D64+F64-E64</f>
        <v>16586638.093308568</v>
      </c>
      <c r="H64" s="90">
        <f>Weather!H171</f>
        <v>758.99999999999989</v>
      </c>
      <c r="I64" s="90">
        <f>Weather!I171</f>
        <v>0</v>
      </c>
      <c r="J64" s="108">
        <v>28</v>
      </c>
      <c r="K64" s="108">
        <f t="shared" si="7"/>
        <v>0</v>
      </c>
      <c r="L64" s="152">
        <f>Data!AC51</f>
        <v>0</v>
      </c>
      <c r="M64" s="152">
        <f>Data!AD51</f>
        <v>0</v>
      </c>
      <c r="N64" s="150">
        <f>Data!AH51</f>
        <v>13767.5</v>
      </c>
      <c r="O64" s="67">
        <f t="shared" si="8"/>
        <v>16872122.898062624</v>
      </c>
      <c r="P64" s="40">
        <f t="shared" ca="1" si="9"/>
        <v>285484.80475405604</v>
      </c>
      <c r="Q64" s="53">
        <f t="shared" ca="1" si="10"/>
        <v>1.7211734116826676E-2</v>
      </c>
      <c r="R64" s="12">
        <f t="shared" ca="1" si="3"/>
        <v>1.7211734116826676E-2</v>
      </c>
      <c r="S64" s="153"/>
      <c r="T64" s="30"/>
      <c r="U64" s="92"/>
      <c r="V64" s="226"/>
      <c r="W64" s="226"/>
      <c r="X64" s="226"/>
      <c r="Y64" s="226"/>
      <c r="Z64" s="226"/>
      <c r="AA64" s="226"/>
      <c r="AB64" s="226"/>
    </row>
    <row r="65" spans="1:28" ht="15" x14ac:dyDescent="0.25">
      <c r="A65" s="66">
        <v>42094</v>
      </c>
      <c r="B65" s="114">
        <f t="shared" si="4"/>
        <v>2015</v>
      </c>
      <c r="C65" s="114">
        <f t="shared" si="5"/>
        <v>3</v>
      </c>
      <c r="D65" s="107">
        <f>Purchases!C65</f>
        <v>15791088.430000002</v>
      </c>
      <c r="E65" s="94"/>
      <c r="F65" s="171">
        <f ca="1">CDM!D73</f>
        <v>406578.82074446493</v>
      </c>
      <c r="G65" s="94">
        <f t="shared" ca="1" si="6"/>
        <v>16197667.250744466</v>
      </c>
      <c r="H65" s="90">
        <f>Weather!H172</f>
        <v>519.4</v>
      </c>
      <c r="I65" s="90">
        <f>Weather!I172</f>
        <v>0</v>
      </c>
      <c r="J65" s="108">
        <v>31</v>
      </c>
      <c r="K65" s="108">
        <f t="shared" si="7"/>
        <v>1</v>
      </c>
      <c r="L65" s="152">
        <f>Data!AC52</f>
        <v>0</v>
      </c>
      <c r="M65" s="152">
        <f>Data!AD52</f>
        <v>0</v>
      </c>
      <c r="N65" s="150">
        <f>Data!AH52</f>
        <v>13776</v>
      </c>
      <c r="O65" s="67">
        <f t="shared" si="8"/>
        <v>16202414.031603558</v>
      </c>
      <c r="P65" s="40">
        <f t="shared" ca="1" si="9"/>
        <v>4746.7808590922505</v>
      </c>
      <c r="Q65" s="53">
        <f t="shared" ca="1" si="10"/>
        <v>2.9305336290780281E-4</v>
      </c>
      <c r="R65" s="12">
        <f t="shared" ca="1" si="3"/>
        <v>2.9305336290780281E-4</v>
      </c>
      <c r="S65" s="153"/>
      <c r="T65" s="30"/>
      <c r="U65" s="92"/>
      <c r="V65" s="226"/>
      <c r="W65" s="226"/>
      <c r="X65" s="226"/>
      <c r="Y65" s="226"/>
      <c r="Z65" s="226"/>
      <c r="AA65" s="226"/>
      <c r="AB65" s="226"/>
    </row>
    <row r="66" spans="1:28" ht="15" x14ac:dyDescent="0.25">
      <c r="A66" s="66">
        <v>42124</v>
      </c>
      <c r="B66" s="114">
        <f t="shared" si="4"/>
        <v>2015</v>
      </c>
      <c r="C66" s="114">
        <f t="shared" si="5"/>
        <v>4</v>
      </c>
      <c r="D66" s="107">
        <f>Purchases!C66</f>
        <v>13751123.979999999</v>
      </c>
      <c r="E66" s="94"/>
      <c r="F66" s="171">
        <f ca="1">CDM!D74</f>
        <v>426895.96818036237</v>
      </c>
      <c r="G66" s="94">
        <f t="shared" ca="1" si="6"/>
        <v>14178019.948180361</v>
      </c>
      <c r="H66" s="90">
        <f>Weather!H173</f>
        <v>240.10000000000002</v>
      </c>
      <c r="I66" s="90">
        <f>Weather!I173</f>
        <v>0.30000000000000071</v>
      </c>
      <c r="J66" s="108">
        <v>30</v>
      </c>
      <c r="K66" s="108">
        <f t="shared" si="7"/>
        <v>1</v>
      </c>
      <c r="L66" s="152">
        <f>Data!AC53</f>
        <v>0</v>
      </c>
      <c r="M66" s="152">
        <f>Data!AD53</f>
        <v>0</v>
      </c>
      <c r="N66" s="150">
        <f>Data!AH53</f>
        <v>13787.5</v>
      </c>
      <c r="O66" s="67">
        <f t="shared" si="8"/>
        <v>13993394.694525141</v>
      </c>
      <c r="P66" s="40">
        <f t="shared" ca="1" si="9"/>
        <v>-184625.25365521945</v>
      </c>
      <c r="Q66" s="53">
        <f t="shared" ca="1" si="10"/>
        <v>-1.3021934962005374E-2</v>
      </c>
      <c r="R66" s="12">
        <f t="shared" ca="1" si="3"/>
        <v>1.3021934962005374E-2</v>
      </c>
      <c r="S66" s="153"/>
      <c r="T66" s="46"/>
      <c r="U66" s="226"/>
      <c r="V66" s="226"/>
      <c r="W66" s="226"/>
      <c r="X66" s="226"/>
      <c r="Y66" s="226"/>
      <c r="Z66" s="226"/>
      <c r="AA66" s="226"/>
      <c r="AB66" s="226"/>
    </row>
    <row r="67" spans="1:28" ht="15" x14ac:dyDescent="0.25">
      <c r="A67" s="66">
        <v>42155</v>
      </c>
      <c r="B67" s="114">
        <f t="shared" si="4"/>
        <v>2015</v>
      </c>
      <c r="C67" s="114">
        <f t="shared" si="5"/>
        <v>5</v>
      </c>
      <c r="D67" s="107">
        <f>Purchases!C67</f>
        <v>14187561.25</v>
      </c>
      <c r="E67" s="94"/>
      <c r="F67" s="171">
        <f ca="1">CDM!D75</f>
        <v>447213.11561625981</v>
      </c>
      <c r="G67" s="94">
        <f t="shared" ca="1" si="6"/>
        <v>14634774.36561626</v>
      </c>
      <c r="H67" s="90">
        <f>Weather!H174</f>
        <v>54.4</v>
      </c>
      <c r="I67" s="90">
        <f>Weather!I174</f>
        <v>72</v>
      </c>
      <c r="J67" s="108">
        <v>31</v>
      </c>
      <c r="K67" s="108">
        <f t="shared" si="7"/>
        <v>1</v>
      </c>
      <c r="L67" s="152">
        <f>Data!AC54</f>
        <v>0</v>
      </c>
      <c r="M67" s="152">
        <f>Data!AD54</f>
        <v>0</v>
      </c>
      <c r="N67" s="150">
        <f>Data!AH54</f>
        <v>13792.5</v>
      </c>
      <c r="O67" s="67">
        <f t="shared" ref="O67:O98" si="11">$U$10+H67*$U$11+I67*$U$12+J67*$U$13+K67*$U$14+L67*$U$15+M67*$U$16+N67*$U$17</f>
        <v>15465603.925582487</v>
      </c>
      <c r="P67" s="40">
        <f t="shared" ref="P67:P98" ca="1" si="12">O67-G67</f>
        <v>830829.55996622704</v>
      </c>
      <c r="Q67" s="53">
        <f t="shared" ref="Q67:Q98" ca="1" si="13">P67/G67</f>
        <v>5.6770916941379257E-2</v>
      </c>
      <c r="R67" s="12">
        <f t="shared" ref="R67:R121" ca="1" si="14">ABS(Q67)</f>
        <v>5.6770916941379257E-2</v>
      </c>
      <c r="S67" s="153"/>
      <c r="T67" s="46"/>
      <c r="U67" s="226"/>
      <c r="V67" s="226"/>
      <c r="W67" s="226"/>
      <c r="X67" s="226"/>
      <c r="Y67" s="226"/>
      <c r="Z67" s="226"/>
      <c r="AA67" s="226"/>
      <c r="AB67" s="226"/>
    </row>
    <row r="68" spans="1:28" ht="15" x14ac:dyDescent="0.25">
      <c r="A68" s="66">
        <v>42185</v>
      </c>
      <c r="B68" s="114">
        <f t="shared" ref="B68:B131" si="15">YEAR(A68)</f>
        <v>2015</v>
      </c>
      <c r="C68" s="114">
        <f t="shared" ref="C68:C131" si="16">MONTH(A68)</f>
        <v>6</v>
      </c>
      <c r="D68" s="107">
        <f>Purchases!C68</f>
        <v>14895713.270000001</v>
      </c>
      <c r="E68" s="94"/>
      <c r="F68" s="171">
        <f ca="1">CDM!D76</f>
        <v>467530.26305215724</v>
      </c>
      <c r="G68" s="94">
        <f t="shared" ref="G68:G131" ca="1" si="17">D68+F68-E68</f>
        <v>15363243.533052159</v>
      </c>
      <c r="H68" s="90">
        <f>Weather!H175</f>
        <v>21.500000000000004</v>
      </c>
      <c r="I68" s="90">
        <f>Weather!I175</f>
        <v>80.000000000000014</v>
      </c>
      <c r="J68" s="108">
        <v>30</v>
      </c>
      <c r="K68" s="108">
        <f t="shared" si="7"/>
        <v>0</v>
      </c>
      <c r="L68" s="152">
        <f>Data!AC55</f>
        <v>0</v>
      </c>
      <c r="M68" s="152">
        <f>Data!AD55</f>
        <v>0</v>
      </c>
      <c r="N68" s="150">
        <f>Data!AH55</f>
        <v>13793.5</v>
      </c>
      <c r="O68" s="67">
        <f t="shared" si="11"/>
        <v>15683529.354042744</v>
      </c>
      <c r="P68" s="40">
        <f t="shared" ca="1" si="12"/>
        <v>320285.82099058479</v>
      </c>
      <c r="Q68" s="53">
        <f t="shared" ca="1" si="13"/>
        <v>2.0847539147675984E-2</v>
      </c>
      <c r="R68" s="12">
        <f t="shared" ca="1" si="14"/>
        <v>2.0847539147675984E-2</v>
      </c>
      <c r="S68" s="153"/>
      <c r="T68" s="221"/>
      <c r="U68" s="227"/>
      <c r="V68" s="227"/>
      <c r="W68" s="227"/>
      <c r="X68" s="227"/>
      <c r="Y68" s="227"/>
      <c r="Z68" s="226"/>
      <c r="AA68" s="226"/>
      <c r="AB68" s="226"/>
    </row>
    <row r="69" spans="1:28" ht="15" x14ac:dyDescent="0.25">
      <c r="A69" s="66">
        <v>42216</v>
      </c>
      <c r="B69" s="114">
        <f t="shared" si="15"/>
        <v>2015</v>
      </c>
      <c r="C69" s="114">
        <f t="shared" si="16"/>
        <v>7</v>
      </c>
      <c r="D69" s="107">
        <f>Purchases!C69</f>
        <v>18727962.900000002</v>
      </c>
      <c r="E69" s="94"/>
      <c r="F69" s="171">
        <f ca="1">CDM!D77</f>
        <v>487847.41048805468</v>
      </c>
      <c r="G69" s="94">
        <f t="shared" ca="1" si="17"/>
        <v>19215810.310488056</v>
      </c>
      <c r="H69" s="90">
        <f>Weather!H176</f>
        <v>0</v>
      </c>
      <c r="I69" s="90">
        <f>Weather!I176</f>
        <v>187.49999999999997</v>
      </c>
      <c r="J69" s="108">
        <v>31</v>
      </c>
      <c r="K69" s="108">
        <f t="shared" si="7"/>
        <v>0</v>
      </c>
      <c r="L69" s="152">
        <f>Data!AC56</f>
        <v>0</v>
      </c>
      <c r="M69" s="152">
        <f>Data!AD56</f>
        <v>0</v>
      </c>
      <c r="N69" s="150">
        <f>Data!AH56</f>
        <v>13794.5</v>
      </c>
      <c r="O69" s="67">
        <f t="shared" si="11"/>
        <v>19229420.404699605</v>
      </c>
      <c r="P69" s="40">
        <f t="shared" ca="1" si="12"/>
        <v>13610.094211548567</v>
      </c>
      <c r="Q69" s="53">
        <f t="shared" ca="1" si="13"/>
        <v>7.0827584117647794E-4</v>
      </c>
      <c r="R69" s="12">
        <f t="shared" ca="1" si="14"/>
        <v>7.0827584117647794E-4</v>
      </c>
      <c r="S69" s="153"/>
      <c r="T69" s="30"/>
      <c r="U69" s="92"/>
      <c r="V69" s="92"/>
      <c r="W69" s="92"/>
      <c r="X69" s="92"/>
      <c r="Y69" s="92"/>
      <c r="Z69" s="226"/>
      <c r="AA69" s="226"/>
      <c r="AB69" s="226"/>
    </row>
    <row r="70" spans="1:28" ht="15" x14ac:dyDescent="0.25">
      <c r="A70" s="66">
        <v>42247</v>
      </c>
      <c r="B70" s="114">
        <f t="shared" si="15"/>
        <v>2015</v>
      </c>
      <c r="C70" s="114">
        <f t="shared" si="16"/>
        <v>8</v>
      </c>
      <c r="D70" s="107">
        <f>Purchases!C70</f>
        <v>17447202.449999999</v>
      </c>
      <c r="E70" s="94"/>
      <c r="F70" s="171">
        <f ca="1">CDM!D78</f>
        <v>508164.55792395212</v>
      </c>
      <c r="G70" s="94">
        <f t="shared" ca="1" si="17"/>
        <v>17955367.007923953</v>
      </c>
      <c r="H70" s="90">
        <f>Weather!H177</f>
        <v>0</v>
      </c>
      <c r="I70" s="90">
        <f>Weather!I177</f>
        <v>161.79999999999998</v>
      </c>
      <c r="J70" s="108">
        <v>31</v>
      </c>
      <c r="K70" s="108">
        <f t="shared" si="7"/>
        <v>0</v>
      </c>
      <c r="L70" s="152">
        <f>Data!AC57</f>
        <v>0</v>
      </c>
      <c r="M70" s="152">
        <f>Data!AD57</f>
        <v>0</v>
      </c>
      <c r="N70" s="150">
        <f>Data!AH57</f>
        <v>13800.5</v>
      </c>
      <c r="O70" s="67">
        <f t="shared" si="11"/>
        <v>18472390.479168855</v>
      </c>
      <c r="P70" s="40">
        <f t="shared" ca="1" si="12"/>
        <v>517023.47124490142</v>
      </c>
      <c r="Q70" s="53">
        <f t="shared" ca="1" si="13"/>
        <v>2.8794926387009062E-2</v>
      </c>
      <c r="R70" s="12">
        <f t="shared" ca="1" si="14"/>
        <v>2.8794926387009062E-2</v>
      </c>
      <c r="S70" s="153"/>
      <c r="T70" s="30"/>
      <c r="U70" s="92"/>
      <c r="V70" s="92"/>
      <c r="W70" s="92"/>
      <c r="X70" s="92"/>
      <c r="Y70" s="92"/>
      <c r="Z70" s="226"/>
      <c r="AA70" s="226"/>
      <c r="AB70" s="226"/>
    </row>
    <row r="71" spans="1:28" ht="15" x14ac:dyDescent="0.25">
      <c r="A71" s="66">
        <v>42277</v>
      </c>
      <c r="B71" s="114">
        <f t="shared" si="15"/>
        <v>2015</v>
      </c>
      <c r="C71" s="114">
        <f t="shared" si="16"/>
        <v>9</v>
      </c>
      <c r="D71" s="107">
        <f>Purchases!C71</f>
        <v>16730321.560000001</v>
      </c>
      <c r="E71" s="94"/>
      <c r="F71" s="171">
        <f ca="1">CDM!D79</f>
        <v>528481.70535984961</v>
      </c>
      <c r="G71" s="94">
        <f t="shared" ca="1" si="17"/>
        <v>17258803.265359849</v>
      </c>
      <c r="H71" s="90">
        <f>Weather!H178</f>
        <v>7.5000000000000018</v>
      </c>
      <c r="I71" s="90">
        <f>Weather!I178</f>
        <v>136.80000000000004</v>
      </c>
      <c r="J71" s="108">
        <v>30</v>
      </c>
      <c r="K71" s="108">
        <f t="shared" si="7"/>
        <v>0</v>
      </c>
      <c r="L71" s="152">
        <f>Data!AC58</f>
        <v>0</v>
      </c>
      <c r="M71" s="152">
        <f>Data!AD58</f>
        <v>0</v>
      </c>
      <c r="N71" s="150">
        <f>Data!AH58</f>
        <v>13815.5</v>
      </c>
      <c r="O71" s="67">
        <f t="shared" si="11"/>
        <v>17291965.371040925</v>
      </c>
      <c r="P71" s="40">
        <f t="shared" ca="1" si="12"/>
        <v>33162.105681076646</v>
      </c>
      <c r="Q71" s="53">
        <f t="shared" ca="1" si="13"/>
        <v>1.9214603220859654E-3</v>
      </c>
      <c r="R71" s="12">
        <f t="shared" ca="1" si="14"/>
        <v>1.9214603220859654E-3</v>
      </c>
      <c r="S71" s="153"/>
      <c r="T71" s="30"/>
      <c r="U71" s="92"/>
      <c r="V71" s="92"/>
      <c r="W71" s="92"/>
      <c r="X71" s="92"/>
      <c r="Y71" s="92"/>
      <c r="Z71" s="226"/>
      <c r="AA71" s="226"/>
      <c r="AB71" s="226"/>
    </row>
    <row r="72" spans="1:28" ht="15" x14ac:dyDescent="0.25">
      <c r="A72" s="66">
        <v>42308</v>
      </c>
      <c r="B72" s="114">
        <f t="shared" si="15"/>
        <v>2015</v>
      </c>
      <c r="C72" s="114">
        <f t="shared" si="16"/>
        <v>10</v>
      </c>
      <c r="D72" s="107">
        <f>Purchases!C72</f>
        <v>14060097.34</v>
      </c>
      <c r="E72" s="94"/>
      <c r="F72" s="171">
        <f ca="1">CDM!D80</f>
        <v>548798.85279574699</v>
      </c>
      <c r="G72" s="94">
        <f t="shared" ca="1" si="17"/>
        <v>14608896.192795746</v>
      </c>
      <c r="H72" s="90">
        <f>Weather!H179</f>
        <v>149.19999999999999</v>
      </c>
      <c r="I72" s="90">
        <f>Weather!I179</f>
        <v>4.6999999999999957</v>
      </c>
      <c r="J72" s="108">
        <v>31</v>
      </c>
      <c r="K72" s="108">
        <f t="shared" si="7"/>
        <v>0</v>
      </c>
      <c r="L72" s="152">
        <f>Data!AC59</f>
        <v>0</v>
      </c>
      <c r="M72" s="152">
        <f>Data!AD59</f>
        <v>0</v>
      </c>
      <c r="N72" s="150">
        <f>Data!AH59</f>
        <v>13826.5</v>
      </c>
      <c r="O72" s="67">
        <f t="shared" si="11"/>
        <v>14761707.222618133</v>
      </c>
      <c r="P72" s="40">
        <f t="shared" ca="1" si="12"/>
        <v>152811.0298223868</v>
      </c>
      <c r="Q72" s="53">
        <f t="shared" ca="1" si="13"/>
        <v>1.04601352357986E-2</v>
      </c>
      <c r="R72" s="12">
        <f t="shared" ca="1" si="14"/>
        <v>1.04601352357986E-2</v>
      </c>
      <c r="S72" s="153"/>
      <c r="T72" s="46"/>
      <c r="U72" s="226"/>
      <c r="V72" s="226"/>
      <c r="W72" s="226"/>
      <c r="X72" s="226"/>
      <c r="Y72" s="226"/>
      <c r="Z72" s="226"/>
      <c r="AA72" s="226"/>
      <c r="AB72" s="226"/>
    </row>
    <row r="73" spans="1:28" ht="15" x14ac:dyDescent="0.25">
      <c r="A73" s="66">
        <v>42338</v>
      </c>
      <c r="B73" s="114">
        <f t="shared" si="15"/>
        <v>2015</v>
      </c>
      <c r="C73" s="114">
        <f t="shared" si="16"/>
        <v>11</v>
      </c>
      <c r="D73" s="107">
        <f>Purchases!C73</f>
        <v>14124167.139999999</v>
      </c>
      <c r="E73" s="94"/>
      <c r="F73" s="171">
        <f ca="1">CDM!D81</f>
        <v>569116.00023164437</v>
      </c>
      <c r="G73" s="94">
        <f t="shared" ca="1" si="17"/>
        <v>14693283.140231643</v>
      </c>
      <c r="H73" s="90">
        <f>Weather!H180</f>
        <v>246.00000000000006</v>
      </c>
      <c r="I73" s="90">
        <f>Weather!I180</f>
        <v>2.3000000000000007</v>
      </c>
      <c r="J73" s="108">
        <v>30</v>
      </c>
      <c r="K73" s="108">
        <f t="shared" si="7"/>
        <v>0</v>
      </c>
      <c r="L73" s="152">
        <f>Data!AC60</f>
        <v>0</v>
      </c>
      <c r="M73" s="152">
        <f>Data!AD60</f>
        <v>0</v>
      </c>
      <c r="N73" s="150">
        <f>Data!AH60</f>
        <v>13834.5</v>
      </c>
      <c r="O73" s="67">
        <f t="shared" si="11"/>
        <v>14798705.307859838</v>
      </c>
      <c r="P73" s="40">
        <f t="shared" ca="1" si="12"/>
        <v>105422.16762819514</v>
      </c>
      <c r="Q73" s="53">
        <f t="shared" ca="1" si="13"/>
        <v>7.1748544298815666E-3</v>
      </c>
      <c r="R73" s="12">
        <f t="shared" ca="1" si="14"/>
        <v>7.1748544298815666E-3</v>
      </c>
      <c r="S73" s="153"/>
      <c r="T73" s="221"/>
      <c r="U73" s="227"/>
      <c r="V73" s="227"/>
      <c r="W73" s="227"/>
      <c r="X73" s="227"/>
      <c r="Y73" s="227"/>
      <c r="Z73" s="227"/>
      <c r="AA73" s="227"/>
      <c r="AB73" s="227"/>
    </row>
    <row r="74" spans="1:28" ht="15" x14ac:dyDescent="0.25">
      <c r="A74" s="66">
        <v>42369</v>
      </c>
      <c r="B74" s="114">
        <f t="shared" si="15"/>
        <v>2015</v>
      </c>
      <c r="C74" s="114">
        <f t="shared" si="16"/>
        <v>12</v>
      </c>
      <c r="D74" s="107">
        <f>Purchases!C74</f>
        <v>15469283.82</v>
      </c>
      <c r="E74" s="94"/>
      <c r="F74" s="171">
        <f ca="1">CDM!D82</f>
        <v>589433.14766754187</v>
      </c>
      <c r="G74" s="94">
        <f t="shared" ca="1" si="17"/>
        <v>16058716.967667542</v>
      </c>
      <c r="H74" s="90">
        <f>Weather!H181</f>
        <v>338.79999999999995</v>
      </c>
      <c r="I74" s="90">
        <f>Weather!I181</f>
        <v>0</v>
      </c>
      <c r="J74" s="108">
        <v>31</v>
      </c>
      <c r="K74" s="108">
        <f t="shared" si="7"/>
        <v>0</v>
      </c>
      <c r="L74" s="152">
        <f>Data!AC61</f>
        <v>0</v>
      </c>
      <c r="M74" s="152">
        <f>Data!AD61</f>
        <v>0</v>
      </c>
      <c r="N74" s="150">
        <f>Data!AH61</f>
        <v>13843</v>
      </c>
      <c r="O74" s="67">
        <f t="shared" si="11"/>
        <v>15806517.425980389</v>
      </c>
      <c r="P74" s="40">
        <f t="shared" ca="1" si="12"/>
        <v>-252199.54168715328</v>
      </c>
      <c r="Q74" s="53">
        <f t="shared" ca="1" si="13"/>
        <v>-1.5704837577929124E-2</v>
      </c>
      <c r="R74" s="12">
        <f t="shared" ca="1" si="14"/>
        <v>1.5704837577929124E-2</v>
      </c>
      <c r="S74" s="153"/>
      <c r="T74" s="30"/>
      <c r="U74" s="92"/>
      <c r="V74" s="92"/>
      <c r="W74" s="92"/>
      <c r="X74" s="92"/>
      <c r="Y74" s="92"/>
      <c r="Z74" s="92"/>
      <c r="AA74" s="92"/>
      <c r="AB74" s="92"/>
    </row>
    <row r="75" spans="1:28" ht="15" x14ac:dyDescent="0.25">
      <c r="A75" s="66">
        <v>42400</v>
      </c>
      <c r="B75" s="114">
        <f t="shared" si="15"/>
        <v>2016</v>
      </c>
      <c r="C75" s="114">
        <f t="shared" si="16"/>
        <v>1</v>
      </c>
      <c r="D75" s="107">
        <f>Purchases!C75</f>
        <v>16335083.52</v>
      </c>
      <c r="E75" s="104"/>
      <c r="F75" s="171">
        <f ca="1">CDM!D83</f>
        <v>604292.67941233143</v>
      </c>
      <c r="G75" s="94">
        <f t="shared" ca="1" si="17"/>
        <v>16939376.199412331</v>
      </c>
      <c r="H75" s="90">
        <f>Weather!H182</f>
        <v>575.59999999999991</v>
      </c>
      <c r="I75" s="90">
        <f>Weather!I182</f>
        <v>0</v>
      </c>
      <c r="J75" s="108">
        <v>31</v>
      </c>
      <c r="K75" s="108">
        <f t="shared" si="7"/>
        <v>0</v>
      </c>
      <c r="L75" s="152">
        <f>Data!AC62</f>
        <v>0</v>
      </c>
      <c r="M75" s="152">
        <f>Data!AD62</f>
        <v>0</v>
      </c>
      <c r="N75" s="150">
        <f>Data!AH62</f>
        <v>13847</v>
      </c>
      <c r="O75" s="67">
        <f t="shared" si="11"/>
        <v>17274842.912468672</v>
      </c>
      <c r="P75" s="40">
        <f t="shared" ca="1" si="12"/>
        <v>335466.71305634081</v>
      </c>
      <c r="Q75" s="53">
        <f t="shared" ca="1" si="13"/>
        <v>1.9803959077783453E-2</v>
      </c>
      <c r="R75" s="12">
        <f t="shared" ca="1" si="14"/>
        <v>1.9803959077783453E-2</v>
      </c>
      <c r="S75" s="153"/>
      <c r="T75" s="30"/>
      <c r="U75" s="92"/>
      <c r="V75" s="92"/>
      <c r="W75" s="92"/>
      <c r="X75" s="92"/>
      <c r="Y75" s="92"/>
      <c r="Z75" s="92"/>
      <c r="AA75" s="92"/>
      <c r="AB75" s="92"/>
    </row>
    <row r="76" spans="1:28" ht="15" x14ac:dyDescent="0.25">
      <c r="A76" s="66">
        <v>42429</v>
      </c>
      <c r="B76" s="114">
        <f t="shared" si="15"/>
        <v>2016</v>
      </c>
      <c r="C76" s="114">
        <f t="shared" si="16"/>
        <v>2</v>
      </c>
      <c r="D76" s="107">
        <f>Purchases!C76</f>
        <v>14794270.139999997</v>
      </c>
      <c r="E76" s="104"/>
      <c r="F76" s="171">
        <f ca="1">CDM!D84</f>
        <v>622147.63454053656</v>
      </c>
      <c r="G76" s="94">
        <f t="shared" ca="1" si="17"/>
        <v>15416417.774540534</v>
      </c>
      <c r="H76" s="90">
        <f>Weather!H183</f>
        <v>492.59999999999997</v>
      </c>
      <c r="I76" s="90">
        <f>Weather!I183</f>
        <v>0</v>
      </c>
      <c r="J76" s="108">
        <v>29</v>
      </c>
      <c r="K76" s="108">
        <f t="shared" si="7"/>
        <v>0</v>
      </c>
      <c r="L76" s="152">
        <f>Data!AC63</f>
        <v>0</v>
      </c>
      <c r="M76" s="152">
        <f>Data!AD63</f>
        <v>0</v>
      </c>
      <c r="N76" s="150">
        <f>Data!AH63</f>
        <v>13849.5</v>
      </c>
      <c r="O76" s="67">
        <f t="shared" si="11"/>
        <v>15770313.652874844</v>
      </c>
      <c r="P76" s="40">
        <f t="shared" ca="1" si="12"/>
        <v>353895.87833430991</v>
      </c>
      <c r="Q76" s="53">
        <f t="shared" ca="1" si="13"/>
        <v>2.2955778930611997E-2</v>
      </c>
      <c r="R76" s="12">
        <f t="shared" ca="1" si="14"/>
        <v>2.2955778930611997E-2</v>
      </c>
      <c r="S76" s="153"/>
      <c r="T76" s="30"/>
      <c r="U76" s="92"/>
      <c r="V76" s="92"/>
      <c r="W76" s="92"/>
      <c r="X76" s="92"/>
      <c r="Y76" s="92"/>
      <c r="Z76" s="92"/>
      <c r="AA76" s="92"/>
      <c r="AB76" s="92"/>
    </row>
    <row r="77" spans="1:28" ht="15" x14ac:dyDescent="0.25">
      <c r="A77" s="66">
        <v>42460</v>
      </c>
      <c r="B77" s="114">
        <f t="shared" si="15"/>
        <v>2016</v>
      </c>
      <c r="C77" s="114">
        <f t="shared" si="16"/>
        <v>3</v>
      </c>
      <c r="D77" s="107">
        <f>Purchases!C77</f>
        <v>14632046.780000001</v>
      </c>
      <c r="E77" s="104"/>
      <c r="F77" s="171">
        <f ca="1">CDM!D85</f>
        <v>640002.58966874168</v>
      </c>
      <c r="G77" s="94">
        <f t="shared" ca="1" si="17"/>
        <v>15272049.369668743</v>
      </c>
      <c r="H77" s="90">
        <f>Weather!H184</f>
        <v>371.59999999999991</v>
      </c>
      <c r="I77" s="90">
        <f>Weather!I184</f>
        <v>0</v>
      </c>
      <c r="J77" s="108">
        <v>31</v>
      </c>
      <c r="K77" s="108">
        <f t="shared" si="7"/>
        <v>1</v>
      </c>
      <c r="L77" s="152">
        <f>Data!AC64</f>
        <v>0</v>
      </c>
      <c r="M77" s="152">
        <f>Data!AD64</f>
        <v>0</v>
      </c>
      <c r="N77" s="150">
        <f>Data!AH64</f>
        <v>13853.5</v>
      </c>
      <c r="O77" s="67">
        <f t="shared" si="11"/>
        <v>15335803.395833686</v>
      </c>
      <c r="P77" s="40">
        <f t="shared" ca="1" si="12"/>
        <v>63754.026164943352</v>
      </c>
      <c r="Q77" s="53">
        <f t="shared" ca="1" si="13"/>
        <v>4.1745560547730345E-3</v>
      </c>
      <c r="R77" s="12">
        <f t="shared" ca="1" si="14"/>
        <v>4.1745560547730345E-3</v>
      </c>
      <c r="S77" s="153"/>
      <c r="T77" s="30"/>
      <c r="U77" s="92"/>
      <c r="V77" s="92"/>
      <c r="W77" s="92"/>
      <c r="X77" s="92"/>
      <c r="Y77" s="92"/>
      <c r="Z77" s="92"/>
      <c r="AA77" s="92"/>
      <c r="AB77" s="92"/>
    </row>
    <row r="78" spans="1:28" ht="15" x14ac:dyDescent="0.25">
      <c r="A78" s="66">
        <v>42490</v>
      </c>
      <c r="B78" s="114">
        <f t="shared" si="15"/>
        <v>2016</v>
      </c>
      <c r="C78" s="114">
        <f t="shared" si="16"/>
        <v>4</v>
      </c>
      <c r="D78" s="107">
        <f>Purchases!C78</f>
        <v>13549514.359999999</v>
      </c>
      <c r="E78" s="104"/>
      <c r="F78" s="171">
        <f ca="1">CDM!D86</f>
        <v>657857.54479694681</v>
      </c>
      <c r="G78" s="94">
        <f t="shared" ca="1" si="17"/>
        <v>14207371.904796947</v>
      </c>
      <c r="H78" s="90">
        <f>Weather!H185</f>
        <v>318.49999999999989</v>
      </c>
      <c r="I78" s="90">
        <f>Weather!I185</f>
        <v>0.5</v>
      </c>
      <c r="J78" s="108">
        <v>30</v>
      </c>
      <c r="K78" s="108">
        <f t="shared" si="7"/>
        <v>1</v>
      </c>
      <c r="L78" s="152">
        <f>Data!AC65</f>
        <v>0</v>
      </c>
      <c r="M78" s="152">
        <f>Data!AD65</f>
        <v>0</v>
      </c>
      <c r="N78" s="150">
        <f>Data!AH65</f>
        <v>13855.5</v>
      </c>
      <c r="O78" s="67">
        <f t="shared" si="11"/>
        <v>14527001.112211768</v>
      </c>
      <c r="P78" s="40">
        <f t="shared" ca="1" si="12"/>
        <v>319629.20741482079</v>
      </c>
      <c r="Q78" s="53">
        <f t="shared" ca="1" si="13"/>
        <v>2.2497419618254792E-2</v>
      </c>
      <c r="R78" s="12">
        <f t="shared" ca="1" si="14"/>
        <v>2.2497419618254792E-2</v>
      </c>
      <c r="S78" s="153"/>
      <c r="T78" s="30"/>
      <c r="U78" s="92"/>
      <c r="V78" s="92"/>
      <c r="W78" s="92"/>
      <c r="X78" s="92"/>
      <c r="Y78" s="92"/>
      <c r="Z78" s="92"/>
      <c r="AA78" s="92"/>
      <c r="AB78" s="92"/>
    </row>
    <row r="79" spans="1:28" ht="15" x14ac:dyDescent="0.25">
      <c r="A79" s="66">
        <v>42521</v>
      </c>
      <c r="B79" s="114">
        <f t="shared" si="15"/>
        <v>2016</v>
      </c>
      <c r="C79" s="114">
        <f t="shared" si="16"/>
        <v>5</v>
      </c>
      <c r="D79" s="107">
        <f>Purchases!C79</f>
        <v>14337851.494000001</v>
      </c>
      <c r="E79" s="104"/>
      <c r="F79" s="171">
        <f ca="1">CDM!D87</f>
        <v>675712.49992515193</v>
      </c>
      <c r="G79" s="94">
        <f t="shared" ca="1" si="17"/>
        <v>15013563.993925152</v>
      </c>
      <c r="H79" s="90">
        <f>Weather!H186</f>
        <v>96.200000000000017</v>
      </c>
      <c r="I79" s="90">
        <f>Weather!I186</f>
        <v>69.399999999999991</v>
      </c>
      <c r="J79" s="108">
        <v>31</v>
      </c>
      <c r="K79" s="108">
        <f t="shared" si="7"/>
        <v>1</v>
      </c>
      <c r="L79" s="152">
        <f>Data!AC66</f>
        <v>0</v>
      </c>
      <c r="M79" s="152">
        <f>Data!AD66</f>
        <v>0</v>
      </c>
      <c r="N79" s="150">
        <f>Data!AH66</f>
        <v>13857</v>
      </c>
      <c r="O79" s="67">
        <f t="shared" si="11"/>
        <v>15687583.557384092</v>
      </c>
      <c r="P79" s="40">
        <f t="shared" ca="1" si="12"/>
        <v>674019.56345894001</v>
      </c>
      <c r="Q79" s="53">
        <f t="shared" ca="1" si="13"/>
        <v>4.4894041396943758E-2</v>
      </c>
      <c r="R79" s="12">
        <f t="shared" ca="1" si="14"/>
        <v>4.4894041396943758E-2</v>
      </c>
      <c r="S79" s="153"/>
      <c r="T79" s="30"/>
      <c r="U79" s="92"/>
      <c r="V79" s="92"/>
      <c r="W79" s="92"/>
      <c r="X79" s="92"/>
      <c r="Y79" s="92"/>
      <c r="Z79" s="92"/>
      <c r="AA79" s="92"/>
      <c r="AB79" s="92"/>
    </row>
    <row r="80" spans="1:28" ht="15" x14ac:dyDescent="0.25">
      <c r="A80" s="66">
        <v>42551</v>
      </c>
      <c r="B80" s="114">
        <f t="shared" si="15"/>
        <v>2016</v>
      </c>
      <c r="C80" s="114">
        <f t="shared" si="16"/>
        <v>6</v>
      </c>
      <c r="D80" s="107">
        <f>Purchases!C80</f>
        <v>16249758.006000003</v>
      </c>
      <c r="E80" s="104"/>
      <c r="F80" s="171">
        <f ca="1">CDM!D88</f>
        <v>693567.45505335706</v>
      </c>
      <c r="G80" s="94">
        <f t="shared" ca="1" si="17"/>
        <v>16943325.46105336</v>
      </c>
      <c r="H80" s="90">
        <f>Weather!H187</f>
        <v>6.8999999999999986</v>
      </c>
      <c r="I80" s="90">
        <f>Weather!I187</f>
        <v>125.59999999999998</v>
      </c>
      <c r="J80" s="108">
        <v>30</v>
      </c>
      <c r="K80" s="108">
        <f t="shared" ref="K80:K143" si="18">K68</f>
        <v>0</v>
      </c>
      <c r="L80" s="152">
        <f>Data!AC67</f>
        <v>0</v>
      </c>
      <c r="M80" s="152">
        <f>Data!AD67</f>
        <v>0</v>
      </c>
      <c r="N80" s="150">
        <f>Data!AH67</f>
        <v>13858</v>
      </c>
      <c r="O80" s="67">
        <f t="shared" si="11"/>
        <v>16983195.240216769</v>
      </c>
      <c r="P80" s="40">
        <f t="shared" ca="1" si="12"/>
        <v>39869.779163409024</v>
      </c>
      <c r="Q80" s="53">
        <f t="shared" ca="1" si="13"/>
        <v>2.3531259701677441E-3</v>
      </c>
      <c r="R80" s="12">
        <f t="shared" ca="1" si="14"/>
        <v>2.3531259701677441E-3</v>
      </c>
      <c r="S80" s="153"/>
      <c r="T80" s="46"/>
      <c r="U80" s="46"/>
      <c r="V80" s="46"/>
      <c r="W80" s="46"/>
      <c r="X80" s="46"/>
      <c r="Y80" s="46"/>
      <c r="Z80" s="46"/>
      <c r="AA80" s="46"/>
      <c r="AB80" s="46"/>
    </row>
    <row r="81" spans="1:28" ht="15" x14ac:dyDescent="0.25">
      <c r="A81" s="66">
        <v>42582</v>
      </c>
      <c r="B81" s="114">
        <f t="shared" si="15"/>
        <v>2016</v>
      </c>
      <c r="C81" s="114">
        <f t="shared" si="16"/>
        <v>7</v>
      </c>
      <c r="D81" s="107">
        <f>Purchases!C81</f>
        <v>19768835.849999994</v>
      </c>
      <c r="E81" s="104"/>
      <c r="F81" s="171">
        <f ca="1">CDM!D89</f>
        <v>711422.41018156218</v>
      </c>
      <c r="G81" s="94">
        <f t="shared" ca="1" si="17"/>
        <v>20480258.260181557</v>
      </c>
      <c r="H81" s="90">
        <f>Weather!H188</f>
        <v>0</v>
      </c>
      <c r="I81" s="90">
        <f>Weather!I188</f>
        <v>243.00000000000006</v>
      </c>
      <c r="J81" s="108">
        <v>31</v>
      </c>
      <c r="K81" s="108">
        <f t="shared" si="18"/>
        <v>0</v>
      </c>
      <c r="L81" s="152">
        <f>Data!AC68</f>
        <v>0</v>
      </c>
      <c r="M81" s="152">
        <f>Data!AD68</f>
        <v>0</v>
      </c>
      <c r="N81" s="150">
        <f>Data!AH68</f>
        <v>13857</v>
      </c>
      <c r="O81" s="67">
        <f t="shared" si="11"/>
        <v>20911275.322254959</v>
      </c>
      <c r="P81" s="40">
        <f t="shared" ca="1" si="12"/>
        <v>431017.06207340211</v>
      </c>
      <c r="Q81" s="53">
        <f t="shared" ca="1" si="13"/>
        <v>2.1045489592843695E-2</v>
      </c>
      <c r="R81" s="12">
        <f t="shared" ca="1" si="14"/>
        <v>2.1045489592843695E-2</v>
      </c>
      <c r="S81" s="153"/>
      <c r="T81" s="46"/>
      <c r="U81" s="46"/>
      <c r="V81" s="46"/>
      <c r="W81" s="46"/>
      <c r="X81" s="46"/>
      <c r="Y81" s="46"/>
      <c r="Z81" s="46"/>
      <c r="AA81" s="46"/>
      <c r="AB81" s="46"/>
    </row>
    <row r="82" spans="1:28" ht="15" x14ac:dyDescent="0.25">
      <c r="A82" s="66">
        <v>42613</v>
      </c>
      <c r="B82" s="114">
        <f t="shared" si="15"/>
        <v>2016</v>
      </c>
      <c r="C82" s="114">
        <f t="shared" si="16"/>
        <v>8</v>
      </c>
      <c r="D82" s="107">
        <f>Purchases!C82</f>
        <v>20746903.439999998</v>
      </c>
      <c r="E82" s="104"/>
      <c r="F82" s="171">
        <f ca="1">CDM!D90</f>
        <v>729277.36530976731</v>
      </c>
      <c r="G82" s="94">
        <f t="shared" ca="1" si="17"/>
        <v>21476180.805309765</v>
      </c>
      <c r="H82" s="90">
        <f>Weather!H189</f>
        <v>0</v>
      </c>
      <c r="I82" s="90">
        <f>Weather!I189</f>
        <v>260.80000000000007</v>
      </c>
      <c r="J82" s="108">
        <v>31</v>
      </c>
      <c r="K82" s="108">
        <f t="shared" si="18"/>
        <v>0</v>
      </c>
      <c r="L82" s="152">
        <f>Data!AC69</f>
        <v>0</v>
      </c>
      <c r="M82" s="152">
        <f>Data!AD69</f>
        <v>0</v>
      </c>
      <c r="N82" s="150">
        <f>Data!AH69</f>
        <v>13858.5</v>
      </c>
      <c r="O82" s="67">
        <f t="shared" si="11"/>
        <v>21439124.05919924</v>
      </c>
      <c r="P82" s="40">
        <f t="shared" ca="1" si="12"/>
        <v>-37056.746110524982</v>
      </c>
      <c r="Q82" s="53">
        <f t="shared" ca="1" si="13"/>
        <v>-1.725481194559653E-3</v>
      </c>
      <c r="R82" s="12">
        <f t="shared" ca="1" si="14"/>
        <v>1.725481194559653E-3</v>
      </c>
      <c r="S82" s="153"/>
      <c r="T82" s="46"/>
      <c r="U82" s="46"/>
      <c r="V82" s="46"/>
      <c r="W82" s="46"/>
      <c r="X82" s="46"/>
      <c r="Y82" s="46"/>
      <c r="Z82" s="46"/>
      <c r="AA82" s="46"/>
      <c r="AB82" s="46"/>
    </row>
    <row r="83" spans="1:28" ht="15" x14ac:dyDescent="0.25">
      <c r="A83" s="66">
        <v>42643</v>
      </c>
      <c r="B83" s="114">
        <f t="shared" si="15"/>
        <v>2016</v>
      </c>
      <c r="C83" s="114">
        <f t="shared" si="16"/>
        <v>9</v>
      </c>
      <c r="D83" s="107">
        <f>Purchases!C83</f>
        <v>16199694.169999998</v>
      </c>
      <c r="E83" s="104"/>
      <c r="F83" s="171">
        <f ca="1">CDM!D91</f>
        <v>747132.32043797243</v>
      </c>
      <c r="G83" s="94">
        <f t="shared" ca="1" si="17"/>
        <v>16946826.49043797</v>
      </c>
      <c r="H83" s="90">
        <f>Weather!H190</f>
        <v>7.5999999999999979</v>
      </c>
      <c r="I83" s="90">
        <f>Weather!I190</f>
        <v>118.89999999999998</v>
      </c>
      <c r="J83" s="108">
        <v>30</v>
      </c>
      <c r="K83" s="108">
        <f t="shared" si="18"/>
        <v>0</v>
      </c>
      <c r="L83" s="152">
        <f>Data!AC70</f>
        <v>0</v>
      </c>
      <c r="M83" s="152">
        <f>Data!AD70</f>
        <v>0</v>
      </c>
      <c r="N83" s="150">
        <f>Data!AH70</f>
        <v>13860.5</v>
      </c>
      <c r="O83" s="67">
        <f t="shared" si="11"/>
        <v>16790753.539109699</v>
      </c>
      <c r="P83" s="40">
        <f t="shared" ca="1" si="12"/>
        <v>-156072.95132827014</v>
      </c>
      <c r="Q83" s="53">
        <f t="shared" ca="1" si="13"/>
        <v>-9.209568022445519E-3</v>
      </c>
      <c r="R83" s="12">
        <f t="shared" ca="1" si="14"/>
        <v>9.209568022445519E-3</v>
      </c>
      <c r="S83" s="153"/>
      <c r="T83" s="46"/>
      <c r="U83" s="46"/>
      <c r="V83" s="46"/>
      <c r="W83" s="46"/>
      <c r="X83" s="46"/>
      <c r="Y83" s="46"/>
      <c r="Z83" s="46"/>
      <c r="AA83" s="46"/>
      <c r="AB83" s="46"/>
    </row>
    <row r="84" spans="1:28" ht="15" x14ac:dyDescent="0.25">
      <c r="A84" s="66">
        <v>42674</v>
      </c>
      <c r="B84" s="114">
        <f t="shared" si="15"/>
        <v>2016</v>
      </c>
      <c r="C84" s="114">
        <f t="shared" si="16"/>
        <v>10</v>
      </c>
      <c r="D84" s="107">
        <f>Purchases!C84</f>
        <v>13767515.480000002</v>
      </c>
      <c r="E84" s="104"/>
      <c r="F84" s="171">
        <f ca="1">CDM!D92</f>
        <v>764987.27556617756</v>
      </c>
      <c r="G84" s="94">
        <f t="shared" ca="1" si="17"/>
        <v>14532502.75556618</v>
      </c>
      <c r="H84" s="90">
        <f>Weather!H191</f>
        <v>124.30000000000001</v>
      </c>
      <c r="I84" s="90">
        <f>Weather!I191</f>
        <v>29.6</v>
      </c>
      <c r="J84" s="108">
        <v>31</v>
      </c>
      <c r="K84" s="108">
        <f t="shared" si="18"/>
        <v>0</v>
      </c>
      <c r="L84" s="152">
        <f>Data!AC71</f>
        <v>0</v>
      </c>
      <c r="M84" s="152">
        <f>Data!AD71</f>
        <v>0</v>
      </c>
      <c r="N84" s="150">
        <f>Data!AH71</f>
        <v>13862.5</v>
      </c>
      <c r="O84" s="67">
        <f t="shared" si="11"/>
        <v>15367094.085461358</v>
      </c>
      <c r="P84" s="40">
        <f t="shared" ca="1" si="12"/>
        <v>834591.32989517786</v>
      </c>
      <c r="Q84" s="53">
        <f t="shared" ca="1" si="13"/>
        <v>5.7429291012899765E-2</v>
      </c>
      <c r="R84" s="12">
        <f t="shared" ca="1" si="14"/>
        <v>5.7429291012899765E-2</v>
      </c>
      <c r="S84" s="153"/>
      <c r="T84" s="46"/>
      <c r="U84" s="46"/>
      <c r="V84" s="46"/>
      <c r="W84" s="46"/>
      <c r="X84" s="46"/>
      <c r="Y84" s="46"/>
      <c r="Z84" s="46"/>
      <c r="AA84" s="46"/>
      <c r="AB84" s="46"/>
    </row>
    <row r="85" spans="1:28" ht="15" x14ac:dyDescent="0.25">
      <c r="A85" s="66">
        <v>42704</v>
      </c>
      <c r="B85" s="114">
        <f t="shared" si="15"/>
        <v>2016</v>
      </c>
      <c r="C85" s="114">
        <f t="shared" si="16"/>
        <v>11</v>
      </c>
      <c r="D85" s="107">
        <f>Purchases!C85</f>
        <v>13671662.76</v>
      </c>
      <c r="E85" s="104"/>
      <c r="F85" s="171">
        <f ca="1">CDM!D93</f>
        <v>782842.23069438268</v>
      </c>
      <c r="G85" s="94">
        <f t="shared" ca="1" si="17"/>
        <v>14454504.990694383</v>
      </c>
      <c r="H85" s="90">
        <f>Weather!H192</f>
        <v>251.99999999999994</v>
      </c>
      <c r="I85" s="90">
        <f>Weather!I192</f>
        <v>0</v>
      </c>
      <c r="J85" s="108">
        <v>30</v>
      </c>
      <c r="K85" s="108">
        <f t="shared" si="18"/>
        <v>0</v>
      </c>
      <c r="L85" s="152">
        <f>Data!AC72</f>
        <v>0</v>
      </c>
      <c r="M85" s="152">
        <f>Data!AD72</f>
        <v>0</v>
      </c>
      <c r="N85" s="150">
        <f>Data!AH72</f>
        <v>13864</v>
      </c>
      <c r="O85" s="67">
        <f t="shared" si="11"/>
        <v>14786145.894555179</v>
      </c>
      <c r="P85" s="40">
        <f t="shared" ca="1" si="12"/>
        <v>331640.90386079624</v>
      </c>
      <c r="Q85" s="53">
        <f t="shared" ca="1" si="13"/>
        <v>2.2943774558471717E-2</v>
      </c>
      <c r="R85" s="12">
        <f t="shared" ca="1" si="14"/>
        <v>2.2943774558471717E-2</v>
      </c>
      <c r="S85" s="153"/>
      <c r="T85" s="46"/>
      <c r="U85" s="46"/>
      <c r="V85" s="46"/>
      <c r="W85" s="46"/>
      <c r="X85" s="46"/>
      <c r="Y85" s="46"/>
      <c r="Z85" s="46"/>
      <c r="AA85" s="46"/>
      <c r="AB85" s="46"/>
    </row>
    <row r="86" spans="1:28" ht="15" x14ac:dyDescent="0.25">
      <c r="A86" s="66">
        <v>42735</v>
      </c>
      <c r="B86" s="114">
        <f t="shared" si="15"/>
        <v>2016</v>
      </c>
      <c r="C86" s="114">
        <f t="shared" si="16"/>
        <v>12</v>
      </c>
      <c r="D86" s="107">
        <f>Purchases!C86</f>
        <v>15862873.509999998</v>
      </c>
      <c r="E86" s="104"/>
      <c r="F86" s="171">
        <f ca="1">CDM!D94</f>
        <v>800697.18582258793</v>
      </c>
      <c r="G86" s="94">
        <f t="shared" ca="1" si="17"/>
        <v>16663570.695822585</v>
      </c>
      <c r="H86" s="90">
        <f>Weather!H193</f>
        <v>529</v>
      </c>
      <c r="I86" s="90">
        <f>Weather!I193</f>
        <v>0</v>
      </c>
      <c r="J86" s="108">
        <v>31</v>
      </c>
      <c r="K86" s="108">
        <f t="shared" si="18"/>
        <v>0</v>
      </c>
      <c r="L86" s="152">
        <f>Data!AC73</f>
        <v>0</v>
      </c>
      <c r="M86" s="152">
        <f>Data!AD73</f>
        <v>0</v>
      </c>
      <c r="N86" s="150">
        <f>Data!AH73</f>
        <v>13866</v>
      </c>
      <c r="O86" s="67">
        <f t="shared" si="11"/>
        <v>16998221.398771971</v>
      </c>
      <c r="P86" s="40">
        <f t="shared" ca="1" si="12"/>
        <v>334650.70294938609</v>
      </c>
      <c r="Q86" s="53">
        <f t="shared" ca="1" si="13"/>
        <v>2.0082772717691301E-2</v>
      </c>
      <c r="R86" s="12">
        <f t="shared" ca="1" si="14"/>
        <v>2.0082772717691301E-2</v>
      </c>
      <c r="S86" s="153"/>
      <c r="T86" s="46"/>
      <c r="U86" s="46"/>
      <c r="V86" s="46"/>
      <c r="W86" s="46"/>
      <c r="X86" s="46"/>
      <c r="Y86" s="46"/>
      <c r="Z86" s="46"/>
      <c r="AA86" s="46"/>
      <c r="AB86" s="46"/>
    </row>
    <row r="87" spans="1:28" ht="15" x14ac:dyDescent="0.25">
      <c r="A87" s="66">
        <v>42766</v>
      </c>
      <c r="B87" s="114">
        <f t="shared" si="15"/>
        <v>2017</v>
      </c>
      <c r="C87" s="114">
        <f t="shared" si="16"/>
        <v>1</v>
      </c>
      <c r="D87" s="107">
        <f>Purchases!C87</f>
        <v>15654286.4</v>
      </c>
      <c r="E87" s="104"/>
      <c r="F87" s="171">
        <f ca="1">CDM!D95</f>
        <v>806836.31240434735</v>
      </c>
      <c r="G87" s="94">
        <f t="shared" ca="1" si="17"/>
        <v>16461122.712404348</v>
      </c>
      <c r="H87" s="90">
        <f>Weather!H194</f>
        <v>524.09999999999991</v>
      </c>
      <c r="I87" s="90">
        <f>Weather!I194</f>
        <v>0</v>
      </c>
      <c r="J87" s="108">
        <v>31</v>
      </c>
      <c r="K87" s="108">
        <f t="shared" si="18"/>
        <v>0</v>
      </c>
      <c r="L87" s="152">
        <f>Data!AC74</f>
        <v>0</v>
      </c>
      <c r="M87" s="152">
        <f>Data!AD74</f>
        <v>0</v>
      </c>
      <c r="N87" s="150">
        <f>Data!AH74</f>
        <v>13869</v>
      </c>
      <c r="O87" s="67">
        <f t="shared" si="11"/>
        <v>16969759.109037552</v>
      </c>
      <c r="P87" s="40">
        <f t="shared" ca="1" si="12"/>
        <v>508636.39663320407</v>
      </c>
      <c r="Q87" s="53">
        <f t="shared" ca="1" si="13"/>
        <v>3.089925307767246E-2</v>
      </c>
      <c r="R87" s="12">
        <f t="shared" ca="1" si="14"/>
        <v>3.089925307767246E-2</v>
      </c>
      <c r="S87" s="153"/>
      <c r="T87" s="46"/>
      <c r="U87" s="46"/>
      <c r="V87" s="46"/>
      <c r="W87" s="46"/>
      <c r="X87" s="46"/>
      <c r="Y87" s="46"/>
      <c r="Z87" s="46"/>
      <c r="AA87" s="46"/>
      <c r="AB87" s="46"/>
    </row>
    <row r="88" spans="1:28" ht="15" x14ac:dyDescent="0.25">
      <c r="A88" s="66">
        <v>42794</v>
      </c>
      <c r="B88" s="114">
        <f t="shared" si="15"/>
        <v>2017</v>
      </c>
      <c r="C88" s="114">
        <f t="shared" si="16"/>
        <v>2</v>
      </c>
      <c r="D88" s="107">
        <f>Purchases!C88</f>
        <v>13535413.060000001</v>
      </c>
      <c r="E88" s="104"/>
      <c r="F88" s="171">
        <f ca="1">CDM!D96</f>
        <v>823436.89356324368</v>
      </c>
      <c r="G88" s="94">
        <f t="shared" ca="1" si="17"/>
        <v>14358849.953563245</v>
      </c>
      <c r="H88" s="90">
        <f>Weather!H195</f>
        <v>415.3</v>
      </c>
      <c r="I88" s="90">
        <f>Weather!I195</f>
        <v>0</v>
      </c>
      <c r="J88" s="108">
        <v>28</v>
      </c>
      <c r="K88" s="108">
        <f t="shared" si="18"/>
        <v>0</v>
      </c>
      <c r="L88" s="152">
        <f>Data!AC75</f>
        <v>0</v>
      </c>
      <c r="M88" s="152">
        <f>Data!AD75</f>
        <v>0</v>
      </c>
      <c r="N88" s="150">
        <f>Data!AH75</f>
        <v>13874.5</v>
      </c>
      <c r="O88" s="67">
        <f t="shared" si="11"/>
        <v>14811241.494153133</v>
      </c>
      <c r="P88" s="40">
        <f t="shared" ca="1" si="12"/>
        <v>452391.54058988765</v>
      </c>
      <c r="Q88" s="53">
        <f t="shared" ca="1" si="13"/>
        <v>3.1506112401266766E-2</v>
      </c>
      <c r="R88" s="12">
        <f t="shared" ca="1" si="14"/>
        <v>3.1506112401266766E-2</v>
      </c>
      <c r="S88" s="153"/>
      <c r="T88" s="46"/>
      <c r="U88" s="46"/>
      <c r="V88" s="46"/>
      <c r="W88" s="46"/>
      <c r="X88" s="46"/>
      <c r="Y88" s="46"/>
      <c r="Z88" s="46"/>
      <c r="AA88" s="46"/>
      <c r="AB88" s="46"/>
    </row>
    <row r="89" spans="1:28" x14ac:dyDescent="0.2">
      <c r="A89" s="66">
        <v>42825</v>
      </c>
      <c r="B89" s="114">
        <f t="shared" si="15"/>
        <v>2017</v>
      </c>
      <c r="C89" s="114">
        <f t="shared" si="16"/>
        <v>3</v>
      </c>
      <c r="D89" s="104">
        <f>Purchases!C89</f>
        <v>17164609.959131006</v>
      </c>
      <c r="E89" s="104">
        <v>2413945.7550129993</v>
      </c>
      <c r="F89" s="171">
        <f ca="1">CDM!D97</f>
        <v>840037.47472214</v>
      </c>
      <c r="G89" s="94">
        <f t="shared" ca="1" si="17"/>
        <v>15590701.678840145</v>
      </c>
      <c r="H89" s="90">
        <f>Weather!H196</f>
        <v>478.59999999999997</v>
      </c>
      <c r="I89" s="90">
        <f>Weather!I196</f>
        <v>0</v>
      </c>
      <c r="J89" s="108">
        <v>31</v>
      </c>
      <c r="K89" s="108">
        <f t="shared" si="18"/>
        <v>1</v>
      </c>
      <c r="L89" s="152">
        <f>Data!AC76</f>
        <v>0</v>
      </c>
      <c r="M89" s="152">
        <f>Data!AD76</f>
        <v>0</v>
      </c>
      <c r="N89" s="150">
        <f>Data!AH76</f>
        <v>13896</v>
      </c>
      <c r="O89" s="67">
        <f t="shared" si="11"/>
        <v>16024637.14904337</v>
      </c>
      <c r="P89" s="40">
        <f t="shared" ca="1" si="12"/>
        <v>433935.47020322457</v>
      </c>
      <c r="Q89" s="53">
        <f t="shared" ca="1" si="13"/>
        <v>2.7832966029499882E-2</v>
      </c>
      <c r="R89" s="12">
        <f t="shared" ca="1" si="14"/>
        <v>2.7832966029499882E-2</v>
      </c>
      <c r="S89" s="153"/>
      <c r="T89" s="46"/>
      <c r="U89" s="46"/>
      <c r="V89" s="46"/>
      <c r="W89" s="46"/>
      <c r="X89" s="46"/>
      <c r="Y89" s="46"/>
      <c r="Z89" s="46"/>
      <c r="AA89" s="46"/>
      <c r="AB89" s="46"/>
    </row>
    <row r="90" spans="1:28" x14ac:dyDescent="0.2">
      <c r="A90" s="66">
        <v>42855</v>
      </c>
      <c r="B90" s="114">
        <f t="shared" si="15"/>
        <v>2017</v>
      </c>
      <c r="C90" s="114">
        <f t="shared" si="16"/>
        <v>4</v>
      </c>
      <c r="D90" s="104">
        <f>Purchases!C90</f>
        <v>15201392.558417326</v>
      </c>
      <c r="E90" s="104">
        <v>2181294.6017022091</v>
      </c>
      <c r="F90" s="171">
        <f ca="1">CDM!D98</f>
        <v>856638.05588103621</v>
      </c>
      <c r="G90" s="94">
        <f t="shared" ca="1" si="17"/>
        <v>13876736.012596153</v>
      </c>
      <c r="H90" s="90">
        <f>Weather!H197</f>
        <v>201.29999999999995</v>
      </c>
      <c r="I90" s="90">
        <f>Weather!I197</f>
        <v>5.3000000000000007</v>
      </c>
      <c r="J90" s="108">
        <v>30</v>
      </c>
      <c r="K90" s="108">
        <f t="shared" si="18"/>
        <v>1</v>
      </c>
      <c r="L90" s="152">
        <f>Data!AC77</f>
        <v>0</v>
      </c>
      <c r="M90" s="152">
        <f>Data!AD77</f>
        <v>0</v>
      </c>
      <c r="N90" s="150">
        <f>Data!AH77</f>
        <v>13920</v>
      </c>
      <c r="O90" s="67">
        <f t="shared" si="11"/>
        <v>13983797.501584657</v>
      </c>
      <c r="P90" s="40">
        <f t="shared" ca="1" si="12"/>
        <v>107061.48898850381</v>
      </c>
      <c r="Q90" s="53">
        <f t="shared" ca="1" si="13"/>
        <v>7.7151780426839749E-3</v>
      </c>
      <c r="R90" s="12">
        <f t="shared" ca="1" si="14"/>
        <v>7.7151780426839749E-3</v>
      </c>
      <c r="S90" s="153"/>
      <c r="T90" s="46"/>
      <c r="U90" s="46"/>
      <c r="V90" s="46"/>
      <c r="W90" s="46"/>
      <c r="X90" s="46"/>
      <c r="Y90" s="46"/>
      <c r="Z90" s="46"/>
      <c r="AA90" s="46"/>
      <c r="AB90" s="46"/>
    </row>
    <row r="91" spans="1:28" x14ac:dyDescent="0.2">
      <c r="A91" s="66">
        <v>42886</v>
      </c>
      <c r="B91" s="114">
        <f t="shared" si="15"/>
        <v>2017</v>
      </c>
      <c r="C91" s="114">
        <f t="shared" si="16"/>
        <v>5</v>
      </c>
      <c r="D91" s="104">
        <f>Purchases!C91</f>
        <v>16229118.897553997</v>
      </c>
      <c r="E91" s="104">
        <v>2595303.9357047086</v>
      </c>
      <c r="F91" s="171">
        <f ca="1">CDM!D99</f>
        <v>873238.63703993242</v>
      </c>
      <c r="G91" s="94">
        <f t="shared" ca="1" si="17"/>
        <v>14507053.598889221</v>
      </c>
      <c r="H91" s="90">
        <f>Weather!H198</f>
        <v>124.90000000000002</v>
      </c>
      <c r="I91" s="90">
        <f>Weather!I198</f>
        <v>24.000000000000004</v>
      </c>
      <c r="J91" s="108">
        <v>31</v>
      </c>
      <c r="K91" s="108">
        <f t="shared" si="18"/>
        <v>1</v>
      </c>
      <c r="L91" s="152">
        <f>Data!AC78</f>
        <v>0</v>
      </c>
      <c r="M91" s="152">
        <f>Data!AD78</f>
        <v>0</v>
      </c>
      <c r="N91" s="150">
        <f>Data!AH78</f>
        <v>13936.5</v>
      </c>
      <c r="O91" s="67">
        <f t="shared" si="11"/>
        <v>14570858.045078315</v>
      </c>
      <c r="P91" s="40">
        <f t="shared" ca="1" si="12"/>
        <v>63804.446189094335</v>
      </c>
      <c r="Q91" s="53">
        <f t="shared" ca="1" si="13"/>
        <v>4.3981671229214817E-3</v>
      </c>
      <c r="R91" s="12">
        <f t="shared" ca="1" si="14"/>
        <v>4.3981671229214817E-3</v>
      </c>
      <c r="S91" s="153"/>
      <c r="T91" s="46"/>
      <c r="U91" s="46"/>
      <c r="V91" s="46"/>
      <c r="W91" s="46"/>
      <c r="X91" s="46"/>
      <c r="Y91" s="46"/>
      <c r="Z91" s="46"/>
      <c r="AA91" s="46"/>
      <c r="AB91" s="46"/>
    </row>
    <row r="92" spans="1:28" x14ac:dyDescent="0.2">
      <c r="A92" s="66">
        <v>42916</v>
      </c>
      <c r="B92" s="114">
        <f t="shared" si="15"/>
        <v>2017</v>
      </c>
      <c r="C92" s="114">
        <f t="shared" si="16"/>
        <v>6</v>
      </c>
      <c r="D92" s="104">
        <f>Purchases!C92</f>
        <v>18871717.803001981</v>
      </c>
      <c r="E92" s="104">
        <v>3158025.9024923728</v>
      </c>
      <c r="F92" s="171">
        <f ca="1">CDM!D100</f>
        <v>889839.21819882875</v>
      </c>
      <c r="G92" s="94">
        <f t="shared" ca="1" si="17"/>
        <v>16603531.118708437</v>
      </c>
      <c r="H92" s="90">
        <f>Weather!H199</f>
        <v>5.5999999999999979</v>
      </c>
      <c r="I92" s="90">
        <f>Weather!I199</f>
        <v>118.79999999999998</v>
      </c>
      <c r="J92" s="108">
        <v>30</v>
      </c>
      <c r="K92" s="108">
        <f t="shared" si="18"/>
        <v>0</v>
      </c>
      <c r="L92" s="152">
        <f>Data!AC79</f>
        <v>0</v>
      </c>
      <c r="M92" s="152">
        <f>Data!AD79</f>
        <v>0</v>
      </c>
      <c r="N92" s="150">
        <f>Data!AH79</f>
        <v>13949.5</v>
      </c>
      <c r="O92" s="67">
        <f t="shared" si="11"/>
        <v>16830876.423404064</v>
      </c>
      <c r="P92" s="40">
        <f t="shared" ca="1" si="12"/>
        <v>227345.30469562672</v>
      </c>
      <c r="Q92" s="53">
        <f t="shared" ca="1" si="13"/>
        <v>1.3692587623090597E-2</v>
      </c>
      <c r="R92" s="12">
        <f t="shared" ca="1" si="14"/>
        <v>1.3692587623090597E-2</v>
      </c>
      <c r="S92" s="153"/>
      <c r="T92" s="46"/>
      <c r="U92" s="46"/>
      <c r="V92" s="46"/>
      <c r="W92" s="46"/>
      <c r="X92" s="46"/>
      <c r="Y92" s="46"/>
      <c r="Z92" s="46"/>
      <c r="AA92" s="46"/>
      <c r="AB92" s="46"/>
    </row>
    <row r="93" spans="1:28" x14ac:dyDescent="0.2">
      <c r="A93" s="66">
        <v>42947</v>
      </c>
      <c r="B93" s="114">
        <f t="shared" si="15"/>
        <v>2017</v>
      </c>
      <c r="C93" s="114">
        <f t="shared" si="16"/>
        <v>7</v>
      </c>
      <c r="D93" s="104">
        <f>Purchases!C93</f>
        <v>22363391.152751956</v>
      </c>
      <c r="E93" s="104">
        <v>4500801.1910749236</v>
      </c>
      <c r="F93" s="171">
        <f ca="1">CDM!D101</f>
        <v>906439.79935772507</v>
      </c>
      <c r="G93" s="94">
        <f t="shared" ca="1" si="17"/>
        <v>18769029.761034757</v>
      </c>
      <c r="H93" s="90">
        <f>Weather!H200</f>
        <v>0</v>
      </c>
      <c r="I93" s="90">
        <f>Weather!I200</f>
        <v>182.00000000000006</v>
      </c>
      <c r="J93" s="108">
        <v>31</v>
      </c>
      <c r="K93" s="108">
        <f t="shared" si="18"/>
        <v>0</v>
      </c>
      <c r="L93" s="152">
        <f>Data!AC80</f>
        <v>0</v>
      </c>
      <c r="M93" s="152">
        <f>Data!AD80</f>
        <v>0</v>
      </c>
      <c r="N93" s="150">
        <f>Data!AH80</f>
        <v>13959.5</v>
      </c>
      <c r="O93" s="67">
        <f t="shared" si="11"/>
        <v>19169435.351542532</v>
      </c>
      <c r="P93" s="40">
        <f t="shared" ca="1" si="12"/>
        <v>400405.59050777555</v>
      </c>
      <c r="Q93" s="53">
        <f t="shared" ca="1" si="13"/>
        <v>2.133331320828492E-2</v>
      </c>
      <c r="R93" s="12">
        <f t="shared" ca="1" si="14"/>
        <v>2.133331320828492E-2</v>
      </c>
      <c r="S93" s="153"/>
      <c r="T93" s="46"/>
      <c r="U93" s="46"/>
      <c r="V93" s="46"/>
      <c r="W93" s="46"/>
      <c r="X93" s="46"/>
      <c r="Y93" s="46"/>
      <c r="Z93" s="46"/>
      <c r="AA93" s="46"/>
      <c r="AB93" s="46"/>
    </row>
    <row r="94" spans="1:28" ht="15" x14ac:dyDescent="0.25">
      <c r="A94" s="66">
        <v>42978</v>
      </c>
      <c r="B94" s="114">
        <f t="shared" si="15"/>
        <v>2017</v>
      </c>
      <c r="C94" s="114">
        <f t="shared" si="16"/>
        <v>8</v>
      </c>
      <c r="D94" s="303">
        <f>Purchases!C94</f>
        <v>21211440.486327328</v>
      </c>
      <c r="E94" s="104">
        <v>4110221.2645936697</v>
      </c>
      <c r="F94" s="171">
        <f ca="1">CDM!D102</f>
        <v>923040.38051662128</v>
      </c>
      <c r="G94" s="94">
        <f t="shared" ca="1" si="17"/>
        <v>18024259.602250282</v>
      </c>
      <c r="H94" s="90">
        <f>Weather!H201</f>
        <v>0</v>
      </c>
      <c r="I94" s="90">
        <f>Weather!I201</f>
        <v>149.30000000000007</v>
      </c>
      <c r="J94" s="108">
        <v>31</v>
      </c>
      <c r="K94" s="108">
        <f t="shared" si="18"/>
        <v>0</v>
      </c>
      <c r="L94" s="152">
        <f>Data!AC81</f>
        <v>0</v>
      </c>
      <c r="M94" s="152">
        <f>Data!AD81</f>
        <v>0</v>
      </c>
      <c r="N94" s="150">
        <f>Data!AH81</f>
        <v>13970</v>
      </c>
      <c r="O94" s="67">
        <f t="shared" si="11"/>
        <v>18207996.401057266</v>
      </c>
      <c r="P94" s="40">
        <f t="shared" ca="1" si="12"/>
        <v>183736.79880698398</v>
      </c>
      <c r="Q94" s="53">
        <f t="shared" ca="1" si="13"/>
        <v>1.0193861099517504E-2</v>
      </c>
      <c r="R94" s="12">
        <f t="shared" ca="1" si="14"/>
        <v>1.0193861099517504E-2</v>
      </c>
      <c r="S94" s="153"/>
      <c r="T94" s="46"/>
      <c r="U94" s="46"/>
      <c r="V94" s="46"/>
      <c r="W94" s="46"/>
      <c r="X94" s="46"/>
      <c r="Y94" s="46"/>
      <c r="Z94" s="46"/>
      <c r="AA94" s="46"/>
      <c r="AB94" s="46"/>
    </row>
    <row r="95" spans="1:28" ht="15" x14ac:dyDescent="0.25">
      <c r="A95" s="66">
        <v>43008</v>
      </c>
      <c r="B95" s="114">
        <f t="shared" si="15"/>
        <v>2017</v>
      </c>
      <c r="C95" s="114">
        <f t="shared" si="16"/>
        <v>9</v>
      </c>
      <c r="D95" s="303">
        <f>Purchases!C95</f>
        <v>19533578.176179972</v>
      </c>
      <c r="E95" s="104">
        <v>4259176.9817509372</v>
      </c>
      <c r="F95" s="171">
        <f ca="1">CDM!D103</f>
        <v>939640.96167551749</v>
      </c>
      <c r="G95" s="94">
        <f t="shared" ca="1" si="17"/>
        <v>16214042.156104552</v>
      </c>
      <c r="H95" s="90">
        <f>Weather!H202</f>
        <v>18.399999999999995</v>
      </c>
      <c r="I95" s="90">
        <f>Weather!I202</f>
        <v>100.2</v>
      </c>
      <c r="J95" s="108">
        <v>30</v>
      </c>
      <c r="K95" s="108">
        <f t="shared" si="18"/>
        <v>0</v>
      </c>
      <c r="L95" s="152">
        <f>Data!AC82</f>
        <v>0</v>
      </c>
      <c r="M95" s="152">
        <f>Data!AD82</f>
        <v>0</v>
      </c>
      <c r="N95" s="150">
        <f>Data!AH82</f>
        <v>13976.5</v>
      </c>
      <c r="O95" s="67">
        <f t="shared" si="11"/>
        <v>16376341.120629199</v>
      </c>
      <c r="P95" s="40">
        <f t="shared" ca="1" si="12"/>
        <v>162298.96452464722</v>
      </c>
      <c r="Q95" s="53">
        <f t="shared" ca="1" si="13"/>
        <v>1.0009778127013319E-2</v>
      </c>
      <c r="R95" s="12">
        <f t="shared" ca="1" si="14"/>
        <v>1.0009778127013319E-2</v>
      </c>
      <c r="S95" s="153"/>
      <c r="T95" s="46"/>
      <c r="U95" s="46"/>
      <c r="V95" s="46"/>
      <c r="W95" s="46"/>
      <c r="X95" s="46"/>
      <c r="Y95" s="46"/>
      <c r="Z95" s="46"/>
      <c r="AA95" s="46"/>
      <c r="AB95" s="46"/>
    </row>
    <row r="96" spans="1:28" ht="15" x14ac:dyDescent="0.25">
      <c r="A96" s="66">
        <v>43039</v>
      </c>
      <c r="B96" s="114">
        <f t="shared" si="15"/>
        <v>2017</v>
      </c>
      <c r="C96" s="114">
        <f t="shared" si="16"/>
        <v>10</v>
      </c>
      <c r="D96" s="303">
        <f>Purchases!C96</f>
        <v>15916473.155721987</v>
      </c>
      <c r="E96" s="104">
        <v>2009640.1544891417</v>
      </c>
      <c r="F96" s="171">
        <f ca="1">CDM!D104</f>
        <v>956241.54283441382</v>
      </c>
      <c r="G96" s="94">
        <f t="shared" ca="1" si="17"/>
        <v>14863074.54406726</v>
      </c>
      <c r="H96" s="90">
        <f>Weather!H203</f>
        <v>90.100000000000009</v>
      </c>
      <c r="I96" s="90">
        <f>Weather!I203</f>
        <v>40.600000000000009</v>
      </c>
      <c r="J96" s="108">
        <v>31</v>
      </c>
      <c r="K96" s="108">
        <f t="shared" si="18"/>
        <v>0</v>
      </c>
      <c r="L96" s="152">
        <f>Data!AC83</f>
        <v>0</v>
      </c>
      <c r="M96" s="152">
        <f>Data!AD83</f>
        <v>0</v>
      </c>
      <c r="N96" s="150">
        <f>Data!AH83</f>
        <v>13995</v>
      </c>
      <c r="O96" s="67">
        <f t="shared" si="11"/>
        <v>15563583.131352538</v>
      </c>
      <c r="P96" s="40">
        <f t="shared" ca="1" si="12"/>
        <v>700508.58728527837</v>
      </c>
      <c r="Q96" s="53">
        <f t="shared" ca="1" si="13"/>
        <v>4.713079956696397E-2</v>
      </c>
      <c r="R96" s="12">
        <f t="shared" ca="1" si="14"/>
        <v>4.713079956696397E-2</v>
      </c>
      <c r="S96" s="153"/>
      <c r="T96" s="46"/>
      <c r="U96" s="46"/>
      <c r="V96" s="46"/>
      <c r="W96" s="46"/>
      <c r="X96" s="46"/>
      <c r="Y96" s="46"/>
      <c r="Z96" s="46"/>
      <c r="AA96" s="46"/>
      <c r="AB96" s="46"/>
    </row>
    <row r="97" spans="1:19" ht="15" x14ac:dyDescent="0.25">
      <c r="A97" s="66">
        <v>43069</v>
      </c>
      <c r="B97" s="114">
        <f t="shared" si="15"/>
        <v>2017</v>
      </c>
      <c r="C97" s="114">
        <f t="shared" si="16"/>
        <v>11</v>
      </c>
      <c r="D97" s="107">
        <f>Purchases!C97</f>
        <v>16479806.154822662</v>
      </c>
      <c r="E97" s="104">
        <v>2222237.4702646215</v>
      </c>
      <c r="F97" s="171">
        <f ca="1">CDM!D105</f>
        <v>972842.12399331015</v>
      </c>
      <c r="G97" s="94">
        <f t="shared" ca="1" si="17"/>
        <v>15230410.808551352</v>
      </c>
      <c r="H97" s="90">
        <f>Weather!H204</f>
        <v>350.69999999999993</v>
      </c>
      <c r="I97" s="90">
        <f>Weather!I204</f>
        <v>0</v>
      </c>
      <c r="J97" s="108">
        <v>30</v>
      </c>
      <c r="K97" s="108">
        <f t="shared" si="18"/>
        <v>0</v>
      </c>
      <c r="L97" s="152">
        <f>Data!AC84</f>
        <v>0</v>
      </c>
      <c r="M97" s="152">
        <f>Data!AD84</f>
        <v>0</v>
      </c>
      <c r="N97" s="150">
        <f>Data!AH84</f>
        <v>14030.5</v>
      </c>
      <c r="O97" s="67">
        <f t="shared" si="11"/>
        <v>15500876.095748255</v>
      </c>
      <c r="P97" s="40">
        <f t="shared" ca="1" si="12"/>
        <v>270465.28719690256</v>
      </c>
      <c r="Q97" s="53">
        <f t="shared" ca="1" si="13"/>
        <v>1.775823978727124E-2</v>
      </c>
      <c r="R97" s="12">
        <f t="shared" ca="1" si="14"/>
        <v>1.775823978727124E-2</v>
      </c>
      <c r="S97" s="153"/>
    </row>
    <row r="98" spans="1:19" ht="15" x14ac:dyDescent="0.25">
      <c r="A98" s="66">
        <v>43100</v>
      </c>
      <c r="B98" s="114">
        <f t="shared" si="15"/>
        <v>2017</v>
      </c>
      <c r="C98" s="114">
        <f t="shared" si="16"/>
        <v>12</v>
      </c>
      <c r="D98" s="107">
        <f>Purchases!C98</f>
        <v>18908989.901477978</v>
      </c>
      <c r="E98" s="104">
        <v>2532743.8747246251</v>
      </c>
      <c r="F98" s="171">
        <f ca="1">CDM!D106</f>
        <v>989442.70515220636</v>
      </c>
      <c r="G98" s="94">
        <f t="shared" ca="1" si="17"/>
        <v>17365688.731905557</v>
      </c>
      <c r="H98" s="90">
        <f>Weather!H205</f>
        <v>613.29999999999995</v>
      </c>
      <c r="I98" s="90">
        <f>Weather!I205</f>
        <v>0</v>
      </c>
      <c r="J98" s="108">
        <v>31</v>
      </c>
      <c r="K98" s="108">
        <f t="shared" si="18"/>
        <v>0</v>
      </c>
      <c r="L98" s="152">
        <f>Data!AC85</f>
        <v>0</v>
      </c>
      <c r="M98" s="152">
        <f>Data!AD85</f>
        <v>0</v>
      </c>
      <c r="N98" s="150">
        <f>Data!AH85</f>
        <v>14067.5</v>
      </c>
      <c r="O98" s="67">
        <f t="shared" si="11"/>
        <v>17645624.579018313</v>
      </c>
      <c r="P98" s="40">
        <f t="shared" ca="1" si="12"/>
        <v>279935.84711275622</v>
      </c>
      <c r="Q98" s="53">
        <f t="shared" ca="1" si="13"/>
        <v>1.6120054403511039E-2</v>
      </c>
      <c r="R98" s="12">
        <f t="shared" ca="1" si="14"/>
        <v>1.6120054403511039E-2</v>
      </c>
      <c r="S98" s="153"/>
    </row>
    <row r="99" spans="1:19" ht="15" x14ac:dyDescent="0.25">
      <c r="A99" s="66">
        <v>43131</v>
      </c>
      <c r="B99" s="114">
        <f t="shared" si="15"/>
        <v>2018</v>
      </c>
      <c r="C99" s="114">
        <f t="shared" si="16"/>
        <v>1</v>
      </c>
      <c r="D99" s="107">
        <f>Purchases!C99</f>
        <v>18920116.782666825</v>
      </c>
      <c r="E99" s="104">
        <v>1852730.1844645019</v>
      </c>
      <c r="F99" s="171">
        <f ca="1">CDM!D107</f>
        <v>970970.20593671221</v>
      </c>
      <c r="G99" s="94">
        <f t="shared" ca="1" si="17"/>
        <v>18038356.804139033</v>
      </c>
      <c r="H99" s="90">
        <f>Weather!H206</f>
        <v>636.6</v>
      </c>
      <c r="I99" s="90">
        <f>Weather!I206</f>
        <v>0</v>
      </c>
      <c r="J99" s="108">
        <v>31</v>
      </c>
      <c r="K99" s="108">
        <f t="shared" si="18"/>
        <v>0</v>
      </c>
      <c r="L99" s="152">
        <f>Data!AC86</f>
        <v>0</v>
      </c>
      <c r="M99" s="152">
        <f>Data!AD86</f>
        <v>0</v>
      </c>
      <c r="N99" s="150">
        <f>Data!AH86</f>
        <v>14068.5</v>
      </c>
      <c r="O99" s="67">
        <f t="shared" ref="O99:O130" si="19">$U$10+H99*$U$11+I99*$U$12+J99*$U$13+K99*$U$14+L99*$U$15+M99*$U$16+N99*$U$17</f>
        <v>17790478.772968262</v>
      </c>
      <c r="P99" s="40">
        <f t="shared" ref="P99:P130" ca="1" si="20">O99-G99</f>
        <v>-247878.03117077053</v>
      </c>
      <c r="Q99" s="53">
        <f t="shared" ref="Q99:Q130" ca="1" si="21">P99/G99</f>
        <v>-1.3741719041387023E-2</v>
      </c>
      <c r="R99" s="12">
        <f t="shared" ca="1" si="14"/>
        <v>1.3741719041387023E-2</v>
      </c>
      <c r="S99" s="153"/>
    </row>
    <row r="100" spans="1:19" ht="15" x14ac:dyDescent="0.25">
      <c r="A100" s="66">
        <v>43159</v>
      </c>
      <c r="B100" s="114">
        <f t="shared" si="15"/>
        <v>2018</v>
      </c>
      <c r="C100" s="114">
        <f t="shared" si="16"/>
        <v>2</v>
      </c>
      <c r="D100" s="107">
        <f>Purchases!C100</f>
        <v>16165609.621245151</v>
      </c>
      <c r="E100" s="104">
        <v>1758839.4821045175</v>
      </c>
      <c r="F100" s="171">
        <f ca="1">CDM!D108</f>
        <v>977344.42760804482</v>
      </c>
      <c r="G100" s="94">
        <f t="shared" ca="1" si="17"/>
        <v>15384114.566748679</v>
      </c>
      <c r="H100" s="90">
        <f>Weather!H207</f>
        <v>461.90000000000003</v>
      </c>
      <c r="I100" s="90">
        <f>Weather!I207</f>
        <v>0</v>
      </c>
      <c r="J100" s="108">
        <v>29</v>
      </c>
      <c r="K100" s="108">
        <f t="shared" si="18"/>
        <v>0</v>
      </c>
      <c r="L100" s="152">
        <f>Data!AC87</f>
        <v>0</v>
      </c>
      <c r="M100" s="152">
        <f>Data!AD87</f>
        <v>0</v>
      </c>
      <c r="N100" s="150">
        <f>Data!AH87</f>
        <v>14091</v>
      </c>
      <c r="O100" s="67">
        <f t="shared" si="19"/>
        <v>15730774.423355442</v>
      </c>
      <c r="P100" s="40">
        <f t="shared" ca="1" si="20"/>
        <v>346659.85660676286</v>
      </c>
      <c r="Q100" s="53">
        <f t="shared" ca="1" si="21"/>
        <v>2.2533624220144308E-2</v>
      </c>
      <c r="R100" s="12">
        <f t="shared" ca="1" si="14"/>
        <v>2.2533624220144308E-2</v>
      </c>
      <c r="S100" s="153"/>
    </row>
    <row r="101" spans="1:19" ht="15" x14ac:dyDescent="0.25">
      <c r="A101" s="66">
        <v>43190</v>
      </c>
      <c r="B101" s="114">
        <f t="shared" si="15"/>
        <v>2018</v>
      </c>
      <c r="C101" s="114">
        <f t="shared" si="16"/>
        <v>3</v>
      </c>
      <c r="D101" s="107">
        <f>Purchases!C101</f>
        <v>17475012.52885266</v>
      </c>
      <c r="E101" s="104">
        <v>2375340.9491960937</v>
      </c>
      <c r="F101" s="171">
        <f ca="1">CDM!D109</f>
        <v>983718.64927937742</v>
      </c>
      <c r="G101" s="94">
        <f t="shared" ca="1" si="17"/>
        <v>16083390.228935946</v>
      </c>
      <c r="H101" s="90">
        <f>Weather!H208</f>
        <v>484.09999999999997</v>
      </c>
      <c r="I101" s="90">
        <f>Weather!I208</f>
        <v>0</v>
      </c>
      <c r="J101" s="108">
        <v>31</v>
      </c>
      <c r="K101" s="108">
        <f t="shared" si="18"/>
        <v>1</v>
      </c>
      <c r="L101" s="152">
        <f>Data!AC88</f>
        <v>0</v>
      </c>
      <c r="M101" s="152">
        <f>Data!AD88</f>
        <v>0</v>
      </c>
      <c r="N101" s="150">
        <f>Data!AH88</f>
        <v>14098.5</v>
      </c>
      <c r="O101" s="67">
        <f t="shared" si="19"/>
        <v>16184877.95387131</v>
      </c>
      <c r="P101" s="40">
        <f t="shared" ca="1" si="20"/>
        <v>101487.72493536398</v>
      </c>
      <c r="Q101" s="53">
        <f t="shared" ca="1" si="21"/>
        <v>6.3100952902812374E-3</v>
      </c>
      <c r="R101" s="12">
        <f t="shared" ca="1" si="14"/>
        <v>6.3100952902812374E-3</v>
      </c>
      <c r="S101" s="153"/>
    </row>
    <row r="102" spans="1:19" ht="15" x14ac:dyDescent="0.25">
      <c r="A102" s="66">
        <v>43220</v>
      </c>
      <c r="B102" s="114">
        <f t="shared" si="15"/>
        <v>2018</v>
      </c>
      <c r="C102" s="114">
        <f t="shared" si="16"/>
        <v>4</v>
      </c>
      <c r="D102" s="107">
        <f>Purchases!C102</f>
        <v>16622054.862042977</v>
      </c>
      <c r="E102" s="104">
        <v>2485375.9892984647</v>
      </c>
      <c r="F102" s="171">
        <f ca="1">CDM!D110</f>
        <v>990092.87095071003</v>
      </c>
      <c r="G102" s="94">
        <f t="shared" ca="1" si="17"/>
        <v>15126771.74369522</v>
      </c>
      <c r="H102" s="90">
        <f>Weather!H209</f>
        <v>365.69999999999993</v>
      </c>
      <c r="I102" s="90">
        <f>Weather!I209</f>
        <v>0</v>
      </c>
      <c r="J102" s="108">
        <v>30</v>
      </c>
      <c r="K102" s="108">
        <f t="shared" si="18"/>
        <v>1</v>
      </c>
      <c r="L102" s="152">
        <f>Data!AC89</f>
        <v>0</v>
      </c>
      <c r="M102" s="152">
        <f>Data!AD89</f>
        <v>0</v>
      </c>
      <c r="N102" s="150">
        <f>Data!AH89</f>
        <v>14118</v>
      </c>
      <c r="O102" s="67">
        <f t="shared" si="19"/>
        <v>14967962.207989193</v>
      </c>
      <c r="P102" s="40">
        <f t="shared" ca="1" si="20"/>
        <v>-158809.53570602648</v>
      </c>
      <c r="Q102" s="53">
        <f t="shared" ca="1" si="21"/>
        <v>-1.0498574209809021E-2</v>
      </c>
      <c r="R102" s="12">
        <f t="shared" ca="1" si="14"/>
        <v>1.0498574209809021E-2</v>
      </c>
      <c r="S102" s="153"/>
    </row>
    <row r="103" spans="1:19" ht="15" x14ac:dyDescent="0.25">
      <c r="A103" s="66">
        <v>43251</v>
      </c>
      <c r="B103" s="114">
        <f t="shared" si="15"/>
        <v>2018</v>
      </c>
      <c r="C103" s="114">
        <f t="shared" si="16"/>
        <v>5</v>
      </c>
      <c r="D103" s="107">
        <f>Purchases!C103</f>
        <v>19779671.223524317</v>
      </c>
      <c r="E103" s="104">
        <v>5433603.1230769819</v>
      </c>
      <c r="F103" s="171">
        <f ca="1">CDM!D111</f>
        <v>996467.09262204263</v>
      </c>
      <c r="G103" s="94">
        <f t="shared" ca="1" si="17"/>
        <v>15342535.193069376</v>
      </c>
      <c r="H103" s="90">
        <f>Weather!H210</f>
        <v>48.800000000000011</v>
      </c>
      <c r="I103" s="90">
        <f>Weather!I210</f>
        <v>60.599999999999994</v>
      </c>
      <c r="J103" s="108">
        <v>31</v>
      </c>
      <c r="K103" s="108">
        <f t="shared" si="18"/>
        <v>1</v>
      </c>
      <c r="L103" s="152">
        <f>Data!AC90</f>
        <v>0</v>
      </c>
      <c r="M103" s="152">
        <f>Data!AD90</f>
        <v>0</v>
      </c>
      <c r="N103" s="150">
        <f>Data!AH90</f>
        <v>14141</v>
      </c>
      <c r="O103" s="67">
        <f t="shared" si="19"/>
        <v>15310657.005457938</v>
      </c>
      <c r="P103" s="40">
        <f t="shared" ca="1" si="20"/>
        <v>-31878.187611438334</v>
      </c>
      <c r="Q103" s="53">
        <f t="shared" ca="1" si="21"/>
        <v>-2.0777653243277908E-3</v>
      </c>
      <c r="R103" s="12">
        <f t="shared" ca="1" si="14"/>
        <v>2.0777653243277908E-3</v>
      </c>
      <c r="S103" s="153"/>
    </row>
    <row r="104" spans="1:19" ht="15" x14ac:dyDescent="0.25">
      <c r="A104" s="66">
        <v>43281</v>
      </c>
      <c r="B104" s="114">
        <f t="shared" si="15"/>
        <v>2018</v>
      </c>
      <c r="C104" s="114">
        <f t="shared" si="16"/>
        <v>6</v>
      </c>
      <c r="D104" s="107">
        <f>Purchases!C104</f>
        <v>19936672.391649656</v>
      </c>
      <c r="E104" s="104">
        <v>3916619.5607652208</v>
      </c>
      <c r="F104" s="171">
        <f ca="1">CDM!D112</f>
        <v>1002841.3142933752</v>
      </c>
      <c r="G104" s="94">
        <f t="shared" ca="1" si="17"/>
        <v>17022894.145177811</v>
      </c>
      <c r="H104" s="90">
        <f>Weather!H211</f>
        <v>5.0999999999999979</v>
      </c>
      <c r="I104" s="90">
        <f>Weather!I211</f>
        <v>112.89999999999998</v>
      </c>
      <c r="J104" s="108">
        <v>30</v>
      </c>
      <c r="K104" s="108">
        <f t="shared" si="18"/>
        <v>0</v>
      </c>
      <c r="L104" s="152">
        <f>Data!AC91</f>
        <v>0</v>
      </c>
      <c r="M104" s="152">
        <f>Data!AD91</f>
        <v>0</v>
      </c>
      <c r="N104" s="150">
        <f>Data!AH91</f>
        <v>14154</v>
      </c>
      <c r="O104" s="67">
        <f t="shared" si="19"/>
        <v>16780571.308247797</v>
      </c>
      <c r="P104" s="40">
        <f t="shared" ca="1" si="20"/>
        <v>-242322.83693001419</v>
      </c>
      <c r="Q104" s="53">
        <f t="shared" ca="1" si="21"/>
        <v>-1.4235113892114439E-2</v>
      </c>
      <c r="R104" s="12">
        <f t="shared" ca="1" si="14"/>
        <v>1.4235113892114439E-2</v>
      </c>
      <c r="S104" s="153"/>
    </row>
    <row r="105" spans="1:19" ht="15" x14ac:dyDescent="0.25">
      <c r="A105" s="66">
        <v>43312</v>
      </c>
      <c r="B105" s="114">
        <f t="shared" si="15"/>
        <v>2018</v>
      </c>
      <c r="C105" s="114">
        <f t="shared" si="16"/>
        <v>7</v>
      </c>
      <c r="D105" s="107">
        <f>Purchases!C105</f>
        <v>26519724.751660287</v>
      </c>
      <c r="E105" s="104">
        <v>5890671.1113334885</v>
      </c>
      <c r="F105" s="171">
        <f ca="1">CDM!D113</f>
        <v>1009215.5359647078</v>
      </c>
      <c r="G105" s="94">
        <f t="shared" ca="1" si="17"/>
        <v>21638269.176291507</v>
      </c>
      <c r="H105" s="90">
        <f>Weather!H212</f>
        <v>0</v>
      </c>
      <c r="I105" s="90">
        <f>Weather!I212</f>
        <v>237.30000000000007</v>
      </c>
      <c r="J105" s="108">
        <v>31</v>
      </c>
      <c r="K105" s="108">
        <f t="shared" si="18"/>
        <v>0</v>
      </c>
      <c r="L105" s="152">
        <f>Data!AC92</f>
        <v>0</v>
      </c>
      <c r="M105" s="152">
        <f>Data!AD92</f>
        <v>0</v>
      </c>
      <c r="N105" s="150">
        <f>Data!AH92</f>
        <v>14164</v>
      </c>
      <c r="O105" s="67">
        <f t="shared" si="19"/>
        <v>20933862.084515445</v>
      </c>
      <c r="P105" s="40">
        <f t="shared" ca="1" si="20"/>
        <v>-704407.0917760618</v>
      </c>
      <c r="Q105" s="53">
        <f t="shared" ca="1" si="21"/>
        <v>-3.2553763244052E-2</v>
      </c>
      <c r="R105" s="12">
        <f t="shared" ca="1" si="14"/>
        <v>3.2553763244052E-2</v>
      </c>
      <c r="S105" s="153"/>
    </row>
    <row r="106" spans="1:19" ht="15" x14ac:dyDescent="0.25">
      <c r="A106" s="66">
        <v>43343</v>
      </c>
      <c r="B106" s="114">
        <f t="shared" si="15"/>
        <v>2018</v>
      </c>
      <c r="C106" s="114">
        <f t="shared" si="16"/>
        <v>8</v>
      </c>
      <c r="D106" s="107">
        <f>Purchases!C106</f>
        <v>26948242.609250635</v>
      </c>
      <c r="E106" s="104">
        <v>6778894.4532912951</v>
      </c>
      <c r="F106" s="171">
        <f ca="1">CDM!D114</f>
        <v>1015589.7576360404</v>
      </c>
      <c r="G106" s="94">
        <f t="shared" ca="1" si="17"/>
        <v>21184937.913595378</v>
      </c>
      <c r="H106" s="90">
        <f>Weather!H213</f>
        <v>0</v>
      </c>
      <c r="I106" s="90">
        <f>Weather!I213</f>
        <v>233.3000000000001</v>
      </c>
      <c r="J106" s="108">
        <v>31</v>
      </c>
      <c r="K106" s="108">
        <f t="shared" si="18"/>
        <v>0</v>
      </c>
      <c r="L106" s="152">
        <f>Data!AC93</f>
        <v>0</v>
      </c>
      <c r="M106" s="152">
        <f>Data!AD93</f>
        <v>0</v>
      </c>
      <c r="N106" s="150">
        <f>Data!AH93</f>
        <v>14169</v>
      </c>
      <c r="O106" s="67">
        <f t="shared" si="19"/>
        <v>20818570.37543568</v>
      </c>
      <c r="P106" s="40">
        <f t="shared" ca="1" si="20"/>
        <v>-366367.53815969825</v>
      </c>
      <c r="Q106" s="53">
        <f t="shared" ca="1" si="21"/>
        <v>-1.729377445683156E-2</v>
      </c>
      <c r="R106" s="12">
        <f t="shared" ca="1" si="14"/>
        <v>1.729377445683156E-2</v>
      </c>
      <c r="S106" s="153"/>
    </row>
    <row r="107" spans="1:19" ht="15" x14ac:dyDescent="0.25">
      <c r="A107" s="66">
        <v>43373</v>
      </c>
      <c r="B107" s="114">
        <f t="shared" si="15"/>
        <v>2018</v>
      </c>
      <c r="C107" s="114">
        <f t="shared" si="16"/>
        <v>9</v>
      </c>
      <c r="D107" s="107">
        <f>Purchases!C107</f>
        <v>21215817.727722466</v>
      </c>
      <c r="E107" s="104">
        <v>4496004.9261929411</v>
      </c>
      <c r="F107" s="171">
        <f ca="1">CDM!D115</f>
        <v>1021963.9793073732</v>
      </c>
      <c r="G107" s="94">
        <f t="shared" ca="1" si="17"/>
        <v>17741776.780836895</v>
      </c>
      <c r="H107" s="90">
        <f>Weather!H214</f>
        <v>21.299999999999997</v>
      </c>
      <c r="I107" s="90">
        <f>Weather!I214</f>
        <v>121.09999999999998</v>
      </c>
      <c r="J107" s="108">
        <v>30</v>
      </c>
      <c r="K107" s="108">
        <f t="shared" si="18"/>
        <v>0</v>
      </c>
      <c r="L107" s="152">
        <f>Data!AC94</f>
        <v>0</v>
      </c>
      <c r="M107" s="152">
        <f>Data!AD94</f>
        <v>0</v>
      </c>
      <c r="N107" s="150">
        <f>Data!AH94</f>
        <v>14215.5</v>
      </c>
      <c r="O107" s="67">
        <f t="shared" si="19"/>
        <v>17161913.586418279</v>
      </c>
      <c r="P107" s="40">
        <f t="shared" ca="1" si="20"/>
        <v>-579863.19441861659</v>
      </c>
      <c r="Q107" s="53">
        <f t="shared" ca="1" si="21"/>
        <v>-3.2683490587308808E-2</v>
      </c>
      <c r="R107" s="12">
        <f t="shared" ca="1" si="14"/>
        <v>3.2683490587308808E-2</v>
      </c>
      <c r="S107" s="153"/>
    </row>
    <row r="108" spans="1:19" ht="15" x14ac:dyDescent="0.25">
      <c r="A108" s="66">
        <v>43404</v>
      </c>
      <c r="B108" s="114">
        <f t="shared" si="15"/>
        <v>2018</v>
      </c>
      <c r="C108" s="114">
        <f t="shared" si="16"/>
        <v>10</v>
      </c>
      <c r="D108" s="107">
        <f>Purchases!C108</f>
        <v>17077098.534574993</v>
      </c>
      <c r="E108" s="104">
        <v>2542408.0313404463</v>
      </c>
      <c r="F108" s="171">
        <f ca="1">CDM!D116</f>
        <v>1028338.2009787058</v>
      </c>
      <c r="G108" s="94">
        <f t="shared" ca="1" si="17"/>
        <v>15563028.704213254</v>
      </c>
      <c r="H108" s="90">
        <f>Weather!H215</f>
        <v>187.99999999999994</v>
      </c>
      <c r="I108" s="90">
        <f>Weather!I215</f>
        <v>18.400000000000002</v>
      </c>
      <c r="J108" s="108">
        <v>31</v>
      </c>
      <c r="K108" s="108">
        <f t="shared" si="18"/>
        <v>0</v>
      </c>
      <c r="L108" s="152">
        <f>Data!AC95</f>
        <v>0</v>
      </c>
      <c r="M108" s="152">
        <f>Data!AD95</f>
        <v>0</v>
      </c>
      <c r="N108" s="150">
        <f>Data!AH95</f>
        <v>14263.5</v>
      </c>
      <c r="O108" s="67">
        <f t="shared" si="19"/>
        <v>15679763.657564484</v>
      </c>
      <c r="P108" s="40">
        <f t="shared" ca="1" si="20"/>
        <v>116734.95335122943</v>
      </c>
      <c r="Q108" s="53">
        <f t="shared" ca="1" si="21"/>
        <v>7.5007863552694412E-3</v>
      </c>
      <c r="R108" s="12">
        <f t="shared" ca="1" si="14"/>
        <v>7.5007863552694412E-3</v>
      </c>
      <c r="S108" s="153"/>
    </row>
    <row r="109" spans="1:19" ht="15" x14ac:dyDescent="0.25">
      <c r="A109" s="66">
        <v>43434</v>
      </c>
      <c r="B109" s="114">
        <f t="shared" si="15"/>
        <v>2018</v>
      </c>
      <c r="C109" s="114">
        <f t="shared" si="16"/>
        <v>11</v>
      </c>
      <c r="D109" s="107">
        <f>Purchases!C109</f>
        <v>17872678.440282173</v>
      </c>
      <c r="E109" s="104">
        <v>2900973.5563793778</v>
      </c>
      <c r="F109" s="171">
        <f ca="1">CDM!D117</f>
        <v>1034712.4226500384</v>
      </c>
      <c r="G109" s="94">
        <f t="shared" ca="1" si="17"/>
        <v>16006417.306552835</v>
      </c>
      <c r="H109" s="90">
        <f>Weather!H216</f>
        <v>414.4</v>
      </c>
      <c r="I109" s="90">
        <f>Weather!I216</f>
        <v>0</v>
      </c>
      <c r="J109" s="108">
        <v>30</v>
      </c>
      <c r="K109" s="108">
        <f t="shared" si="18"/>
        <v>0</v>
      </c>
      <c r="L109" s="152">
        <f>Data!AC96</f>
        <v>0</v>
      </c>
      <c r="M109" s="152">
        <f>Data!AD96</f>
        <v>0</v>
      </c>
      <c r="N109" s="150">
        <f>Data!AH96</f>
        <v>14268</v>
      </c>
      <c r="O109" s="67">
        <f t="shared" si="19"/>
        <v>16043196.372637713</v>
      </c>
      <c r="P109" s="40">
        <f t="shared" ca="1" si="20"/>
        <v>36779.066084878519</v>
      </c>
      <c r="Q109" s="53">
        <f t="shared" ca="1" si="21"/>
        <v>2.2977700368852442E-3</v>
      </c>
      <c r="R109" s="12">
        <f t="shared" ca="1" si="14"/>
        <v>2.2977700368852442E-3</v>
      </c>
      <c r="S109" s="153"/>
    </row>
    <row r="110" spans="1:19" ht="15" x14ac:dyDescent="0.25">
      <c r="A110" s="66">
        <v>43465</v>
      </c>
      <c r="B110" s="114">
        <f t="shared" si="15"/>
        <v>2018</v>
      </c>
      <c r="C110" s="114">
        <f t="shared" si="16"/>
        <v>12</v>
      </c>
      <c r="D110" s="107">
        <f>Purchases!C110</f>
        <v>19117837.684365984</v>
      </c>
      <c r="E110" s="104">
        <v>2949172.2066761004</v>
      </c>
      <c r="F110" s="171">
        <f ca="1">CDM!D118</f>
        <v>1041086.644321371</v>
      </c>
      <c r="G110" s="94">
        <f ca="1">D110+F110-E110</f>
        <v>17209752.122011255</v>
      </c>
      <c r="H110" s="90">
        <f>Weather!H217</f>
        <v>478.09999999999997</v>
      </c>
      <c r="I110" s="90">
        <f>Weather!I217</f>
        <v>0</v>
      </c>
      <c r="J110" s="108">
        <v>31</v>
      </c>
      <c r="K110" s="108">
        <f t="shared" si="18"/>
        <v>0</v>
      </c>
      <c r="L110" s="152">
        <f>Data!AC97</f>
        <v>0</v>
      </c>
      <c r="M110" s="152">
        <f>Data!AD97</f>
        <v>0</v>
      </c>
      <c r="N110" s="150">
        <f>Data!AH97</f>
        <v>14275.5</v>
      </c>
      <c r="O110" s="67">
        <f t="shared" si="19"/>
        <v>16938335.686862033</v>
      </c>
      <c r="P110" s="40">
        <f t="shared" ca="1" si="20"/>
        <v>-271416.43514922261</v>
      </c>
      <c r="Q110" s="53">
        <f t="shared" ca="1" si="21"/>
        <v>-1.577108335000835E-2</v>
      </c>
      <c r="R110" s="12">
        <f t="shared" ca="1" si="14"/>
        <v>1.577108335000835E-2</v>
      </c>
      <c r="S110" s="153"/>
    </row>
    <row r="111" spans="1:19" ht="15" x14ac:dyDescent="0.25">
      <c r="A111" s="66">
        <v>43496</v>
      </c>
      <c r="B111" s="114">
        <f t="shared" si="15"/>
        <v>2019</v>
      </c>
      <c r="C111" s="114">
        <f t="shared" si="16"/>
        <v>1</v>
      </c>
      <c r="D111" s="107">
        <f>Purchases!C111</f>
        <v>19470279.931793816</v>
      </c>
      <c r="E111" s="104">
        <v>2345384.3176812418</v>
      </c>
      <c r="F111" s="171">
        <f ca="1">CDM!D119</f>
        <v>1047457.2026998744</v>
      </c>
      <c r="G111" s="94">
        <f t="shared" ca="1" si="17"/>
        <v>18172352.816812448</v>
      </c>
      <c r="H111" s="90">
        <f>Weather!H218</f>
        <v>661.19999999999982</v>
      </c>
      <c r="I111" s="90">
        <f>Weather!I218</f>
        <v>0</v>
      </c>
      <c r="J111" s="108">
        <v>31</v>
      </c>
      <c r="K111" s="108">
        <f t="shared" si="18"/>
        <v>0</v>
      </c>
      <c r="L111" s="152">
        <f>Data!AC98</f>
        <v>0</v>
      </c>
      <c r="M111" s="152">
        <f>Data!AD98</f>
        <v>0</v>
      </c>
      <c r="N111" s="150">
        <f>Data!AH98</f>
        <v>14283.5</v>
      </c>
      <c r="O111" s="67">
        <f t="shared" si="19"/>
        <v>18076741.670597591</v>
      </c>
      <c r="P111" s="40">
        <f t="shared" ca="1" si="20"/>
        <v>-95611.146214857697</v>
      </c>
      <c r="Q111" s="53">
        <f t="shared" ca="1" si="21"/>
        <v>-5.2613520757973332E-3</v>
      </c>
      <c r="R111" s="12">
        <f t="shared" ca="1" si="14"/>
        <v>5.2613520757973332E-3</v>
      </c>
      <c r="S111" s="153"/>
    </row>
    <row r="112" spans="1:19" ht="15" x14ac:dyDescent="0.25">
      <c r="A112" s="66">
        <v>43524</v>
      </c>
      <c r="B112" s="114">
        <f t="shared" si="15"/>
        <v>2019</v>
      </c>
      <c r="C112" s="114">
        <f t="shared" si="16"/>
        <v>2</v>
      </c>
      <c r="D112" s="107">
        <f>Purchases!C112</f>
        <v>17623038.944653146</v>
      </c>
      <c r="E112" s="104">
        <v>2502127.9915483254</v>
      </c>
      <c r="F112" s="171">
        <f ca="1">CDM!D120</f>
        <v>1048523.9785786817</v>
      </c>
      <c r="G112" s="94">
        <f t="shared" ca="1" si="17"/>
        <v>16169434.931683503</v>
      </c>
      <c r="H112" s="90">
        <f>Weather!H219</f>
        <v>526.80000000000007</v>
      </c>
      <c r="I112" s="90">
        <f>Weather!I219</f>
        <v>0</v>
      </c>
      <c r="J112" s="108">
        <v>28</v>
      </c>
      <c r="K112" s="108">
        <f t="shared" si="18"/>
        <v>0</v>
      </c>
      <c r="L112" s="152">
        <f>Data!AC99</f>
        <v>0</v>
      </c>
      <c r="M112" s="152">
        <f>Data!AD99</f>
        <v>0</v>
      </c>
      <c r="N112" s="150">
        <f>Data!AH99</f>
        <v>14284</v>
      </c>
      <c r="O112" s="67">
        <f t="shared" si="19"/>
        <v>15756639.728035755</v>
      </c>
      <c r="P112" s="40">
        <f t="shared" ca="1" si="20"/>
        <v>-412795.20364774764</v>
      </c>
      <c r="Q112" s="53">
        <f t="shared" ca="1" si="21"/>
        <v>-2.5529352472230697E-2</v>
      </c>
      <c r="R112" s="12">
        <f t="shared" ca="1" si="14"/>
        <v>2.5529352472230697E-2</v>
      </c>
      <c r="S112" s="153"/>
    </row>
    <row r="113" spans="1:22" ht="15" x14ac:dyDescent="0.25">
      <c r="A113" s="66">
        <v>43555</v>
      </c>
      <c r="B113" s="114">
        <f t="shared" si="15"/>
        <v>2019</v>
      </c>
      <c r="C113" s="114">
        <f t="shared" si="16"/>
        <v>3</v>
      </c>
      <c r="D113" s="107">
        <f>Purchases!C113</f>
        <v>18298309.582286663</v>
      </c>
      <c r="E113" s="104">
        <v>2643551.1870212546</v>
      </c>
      <c r="F113" s="171">
        <f ca="1">CDM!D121</f>
        <v>1049590.7544574891</v>
      </c>
      <c r="G113" s="94">
        <f t="shared" ca="1" si="17"/>
        <v>16704349.149722897</v>
      </c>
      <c r="H113" s="90">
        <f>Weather!H220</f>
        <v>485.99999999999994</v>
      </c>
      <c r="I113" s="90">
        <f>Weather!I220</f>
        <v>0</v>
      </c>
      <c r="J113" s="108">
        <v>31</v>
      </c>
      <c r="K113" s="108">
        <f t="shared" si="18"/>
        <v>1</v>
      </c>
      <c r="L113" s="152">
        <f>Data!AC100</f>
        <v>0</v>
      </c>
      <c r="M113" s="152">
        <f>Data!AD100</f>
        <v>0</v>
      </c>
      <c r="N113" s="150">
        <f>Data!AH100</f>
        <v>14283.5</v>
      </c>
      <c r="O113" s="67">
        <f t="shared" si="19"/>
        <v>16311928.410708576</v>
      </c>
      <c r="P113" s="40">
        <f t="shared" ca="1" si="20"/>
        <v>-392420.73901432008</v>
      </c>
      <c r="Q113" s="53">
        <f t="shared" ca="1" si="21"/>
        <v>-2.3492129833794201E-2</v>
      </c>
      <c r="R113" s="12">
        <f t="shared" ca="1" si="14"/>
        <v>2.3492129833794201E-2</v>
      </c>
      <c r="S113" s="153"/>
      <c r="U113" s="123"/>
    </row>
    <row r="114" spans="1:22" ht="15" x14ac:dyDescent="0.25">
      <c r="A114" s="66">
        <v>43585</v>
      </c>
      <c r="B114" s="114">
        <f t="shared" si="15"/>
        <v>2019</v>
      </c>
      <c r="C114" s="114">
        <f t="shared" si="16"/>
        <v>4</v>
      </c>
      <c r="D114" s="107">
        <f>Purchases!C114</f>
        <v>16030754.75111879</v>
      </c>
      <c r="E114" s="104">
        <v>2306272.4364213278</v>
      </c>
      <c r="F114" s="171">
        <f ca="1">CDM!D122</f>
        <v>1050657.5303362964</v>
      </c>
      <c r="G114" s="94">
        <f t="shared" ca="1" si="17"/>
        <v>14775139.845033761</v>
      </c>
      <c r="H114" s="90">
        <f>Weather!H221</f>
        <v>280.7999999999999</v>
      </c>
      <c r="I114" s="90">
        <f>Weather!I221</f>
        <v>0</v>
      </c>
      <c r="J114" s="108">
        <v>30</v>
      </c>
      <c r="K114" s="108">
        <f t="shared" si="18"/>
        <v>1</v>
      </c>
      <c r="L114" s="152">
        <f>Data!AC101</f>
        <v>0</v>
      </c>
      <c r="M114" s="152">
        <f>Data!AD101</f>
        <v>0</v>
      </c>
      <c r="N114" s="150">
        <f>Data!AH101</f>
        <v>14284.5</v>
      </c>
      <c r="O114" s="67">
        <f t="shared" si="19"/>
        <v>14546176.815293636</v>
      </c>
      <c r="P114" s="40">
        <f t="shared" ca="1" si="20"/>
        <v>-228963.02974012494</v>
      </c>
      <c r="Q114" s="53">
        <f t="shared" ca="1" si="21"/>
        <v>-1.5496505084998183E-2</v>
      </c>
      <c r="R114" s="12">
        <f t="shared" ca="1" si="14"/>
        <v>1.5496505084998183E-2</v>
      </c>
      <c r="S114" s="153"/>
      <c r="T114" s="154"/>
      <c r="U114" s="123"/>
    </row>
    <row r="115" spans="1:22" ht="15" x14ac:dyDescent="0.25">
      <c r="A115" s="66">
        <v>43616</v>
      </c>
      <c r="B115" s="114">
        <f t="shared" si="15"/>
        <v>2019</v>
      </c>
      <c r="C115" s="114">
        <f t="shared" si="16"/>
        <v>5</v>
      </c>
      <c r="D115" s="107">
        <f>Purchases!C115</f>
        <v>17509709.360292483</v>
      </c>
      <c r="E115" s="104">
        <v>3898830.8811403029</v>
      </c>
      <c r="F115" s="171">
        <f ca="1">CDM!D123</f>
        <v>1051724.3062151039</v>
      </c>
      <c r="G115" s="94">
        <f t="shared" ca="1" si="17"/>
        <v>14662602.785367284</v>
      </c>
      <c r="H115" s="90">
        <f>Weather!H222</f>
        <v>128.50000000000003</v>
      </c>
      <c r="I115" s="90">
        <f>Weather!I222</f>
        <v>11.700000000000003</v>
      </c>
      <c r="J115" s="108">
        <v>31</v>
      </c>
      <c r="K115" s="108">
        <f t="shared" si="18"/>
        <v>1</v>
      </c>
      <c r="L115" s="152">
        <f>Data!AC102</f>
        <v>0</v>
      </c>
      <c r="M115" s="152">
        <f>Data!AD102</f>
        <v>0</v>
      </c>
      <c r="N115" s="150">
        <f>Data!AH102</f>
        <v>14285</v>
      </c>
      <c r="O115" s="67">
        <f t="shared" si="19"/>
        <v>14446218.991000254</v>
      </c>
      <c r="P115" s="40">
        <f t="shared" ca="1" si="20"/>
        <v>-216383.79436703026</v>
      </c>
      <c r="Q115" s="53">
        <f t="shared" ca="1" si="21"/>
        <v>-1.4757529582876855E-2</v>
      </c>
      <c r="R115" s="12">
        <f t="shared" ca="1" si="14"/>
        <v>1.4757529582876855E-2</v>
      </c>
      <c r="S115" s="153"/>
      <c r="U115" s="123"/>
    </row>
    <row r="116" spans="1:22" ht="15" x14ac:dyDescent="0.25">
      <c r="A116" s="66">
        <v>43646</v>
      </c>
      <c r="B116" s="114">
        <f t="shared" si="15"/>
        <v>2019</v>
      </c>
      <c r="C116" s="114">
        <f t="shared" si="16"/>
        <v>6</v>
      </c>
      <c r="D116" s="107">
        <f>Purchases!C116</f>
        <v>19696522.675138813</v>
      </c>
      <c r="E116" s="104">
        <v>4853572.3585318187</v>
      </c>
      <c r="F116" s="171">
        <f ca="1">CDM!D124</f>
        <v>1052791.0820939112</v>
      </c>
      <c r="G116" s="94">
        <f t="shared" ca="1" si="17"/>
        <v>15895741.398700908</v>
      </c>
      <c r="H116" s="90">
        <f>Weather!H223</f>
        <v>11.099999999999998</v>
      </c>
      <c r="I116" s="90">
        <f>Weather!I223</f>
        <v>74.600000000000009</v>
      </c>
      <c r="J116" s="108">
        <v>30</v>
      </c>
      <c r="K116" s="108">
        <f t="shared" si="18"/>
        <v>0</v>
      </c>
      <c r="L116" s="152">
        <f>Data!AC103</f>
        <v>0</v>
      </c>
      <c r="M116" s="152">
        <f>Data!AD103</f>
        <v>0</v>
      </c>
      <c r="N116" s="150">
        <f>Data!AH103</f>
        <v>14285.5</v>
      </c>
      <c r="O116" s="67">
        <f t="shared" si="19"/>
        <v>15765908.028919635</v>
      </c>
      <c r="P116" s="40">
        <f t="shared" ca="1" si="20"/>
        <v>-129833.36978127249</v>
      </c>
      <c r="Q116" s="53">
        <f t="shared" ca="1" si="21"/>
        <v>-8.1678083786568909E-3</v>
      </c>
      <c r="R116" s="12">
        <f t="shared" ca="1" si="14"/>
        <v>8.1678083786568909E-3</v>
      </c>
      <c r="S116" s="153"/>
      <c r="U116" s="123"/>
    </row>
    <row r="117" spans="1:22" ht="15" x14ac:dyDescent="0.25">
      <c r="A117" s="66">
        <v>43677</v>
      </c>
      <c r="B117" s="114">
        <f t="shared" si="15"/>
        <v>2019</v>
      </c>
      <c r="C117" s="114">
        <f t="shared" si="16"/>
        <v>7</v>
      </c>
      <c r="D117" s="107">
        <f>Purchases!C117</f>
        <v>27560108.31326063</v>
      </c>
      <c r="E117" s="104">
        <v>6991030.6470110817</v>
      </c>
      <c r="F117" s="171">
        <f ca="1">CDM!D125</f>
        <v>1053857.8579727185</v>
      </c>
      <c r="G117" s="94">
        <f t="shared" ca="1" si="17"/>
        <v>21622935.524222266</v>
      </c>
      <c r="H117" s="90">
        <f>Weather!H224</f>
        <v>0</v>
      </c>
      <c r="I117" s="90">
        <f>Weather!I224</f>
        <v>230.10000000000005</v>
      </c>
      <c r="J117" s="108">
        <v>31</v>
      </c>
      <c r="K117" s="108">
        <f t="shared" si="18"/>
        <v>0</v>
      </c>
      <c r="L117" s="152">
        <f>Data!AC104</f>
        <v>0</v>
      </c>
      <c r="M117" s="152">
        <f>Data!AD104</f>
        <v>0</v>
      </c>
      <c r="N117" s="150">
        <f>Data!AH104</f>
        <v>14290.5</v>
      </c>
      <c r="O117" s="67">
        <f t="shared" si="19"/>
        <v>20799561.185261153</v>
      </c>
      <c r="P117" s="40">
        <f t="shared" ca="1" si="20"/>
        <v>-823374.33896111324</v>
      </c>
      <c r="Q117" s="53">
        <f t="shared" ca="1" si="21"/>
        <v>-3.8078749207699374E-2</v>
      </c>
      <c r="R117" s="12">
        <f t="shared" ca="1" si="14"/>
        <v>3.8078749207699374E-2</v>
      </c>
      <c r="S117" s="153"/>
      <c r="U117" s="123"/>
    </row>
    <row r="118" spans="1:22" ht="15" x14ac:dyDescent="0.25">
      <c r="A118" s="66">
        <v>43708</v>
      </c>
      <c r="B118" s="114">
        <f t="shared" si="15"/>
        <v>2019</v>
      </c>
      <c r="C118" s="114">
        <f t="shared" si="16"/>
        <v>8</v>
      </c>
      <c r="D118" s="107">
        <f>Purchases!C118</f>
        <v>24718341.509218462</v>
      </c>
      <c r="E118" s="104">
        <v>6140130.9663574947</v>
      </c>
      <c r="F118" s="171">
        <f ca="1">CDM!D126</f>
        <v>1054924.6338515261</v>
      </c>
      <c r="G118" s="94">
        <f t="shared" ca="1" si="17"/>
        <v>19633135.176712491</v>
      </c>
      <c r="H118" s="90">
        <f>Weather!H225</f>
        <v>0</v>
      </c>
      <c r="I118" s="90">
        <f>Weather!I225</f>
        <v>167.90000000000006</v>
      </c>
      <c r="J118" s="108">
        <v>31</v>
      </c>
      <c r="K118" s="108">
        <f t="shared" si="18"/>
        <v>0</v>
      </c>
      <c r="L118" s="152">
        <f>Data!AC105</f>
        <v>0</v>
      </c>
      <c r="M118" s="152">
        <f>Data!AD105</f>
        <v>0</v>
      </c>
      <c r="N118" s="150">
        <f>Data!AH105</f>
        <v>14301</v>
      </c>
      <c r="O118" s="67">
        <f t="shared" si="19"/>
        <v>18964865.952396303</v>
      </c>
      <c r="P118" s="40">
        <f t="shared" ca="1" si="20"/>
        <v>-668269.2243161872</v>
      </c>
      <c r="Q118" s="53">
        <f t="shared" ca="1" si="21"/>
        <v>-3.4037825253138553E-2</v>
      </c>
      <c r="R118" s="12">
        <f t="shared" ca="1" si="14"/>
        <v>3.4037825253138553E-2</v>
      </c>
      <c r="S118" s="153"/>
      <c r="U118" s="123"/>
    </row>
    <row r="119" spans="1:22" ht="15" x14ac:dyDescent="0.25">
      <c r="A119" s="66">
        <v>43738</v>
      </c>
      <c r="B119" s="114">
        <f t="shared" si="15"/>
        <v>2019</v>
      </c>
      <c r="C119" s="114">
        <f t="shared" si="16"/>
        <v>9</v>
      </c>
      <c r="D119" s="107">
        <f>Purchases!C119</f>
        <v>20237615.335729983</v>
      </c>
      <c r="E119" s="104">
        <v>4814361.1713148011</v>
      </c>
      <c r="F119" s="171">
        <f ca="1">CDM!D127</f>
        <v>1055991.4097303334</v>
      </c>
      <c r="G119" s="94">
        <f t="shared" ca="1" si="17"/>
        <v>16479245.574145515</v>
      </c>
      <c r="H119" s="90">
        <f>Weather!H226</f>
        <v>1.6999999999999993</v>
      </c>
      <c r="I119" s="90">
        <f>Weather!I226</f>
        <v>78.699999999999989</v>
      </c>
      <c r="J119" s="108">
        <v>30</v>
      </c>
      <c r="K119" s="108">
        <f t="shared" si="18"/>
        <v>0</v>
      </c>
      <c r="L119" s="152">
        <f>Data!AC106</f>
        <v>0</v>
      </c>
      <c r="M119" s="152">
        <f>Data!AD106</f>
        <v>0</v>
      </c>
      <c r="N119" s="150">
        <f>Data!AH106</f>
        <v>14339.5</v>
      </c>
      <c r="O119" s="67">
        <f t="shared" si="19"/>
        <v>15862740.195901204</v>
      </c>
      <c r="P119" s="40">
        <f t="shared" ca="1" si="20"/>
        <v>-616505.37824431062</v>
      </c>
      <c r="Q119" s="53">
        <f t="shared" ca="1" si="21"/>
        <v>-3.7411019543974348E-2</v>
      </c>
      <c r="R119" s="12">
        <f t="shared" ca="1" si="14"/>
        <v>3.7411019543974348E-2</v>
      </c>
      <c r="S119" s="153"/>
      <c r="U119" s="123"/>
    </row>
    <row r="120" spans="1:22" ht="15" x14ac:dyDescent="0.25">
      <c r="A120" s="66">
        <v>43769</v>
      </c>
      <c r="B120" s="114">
        <f t="shared" si="15"/>
        <v>2019</v>
      </c>
      <c r="C120" s="114">
        <f t="shared" si="16"/>
        <v>10</v>
      </c>
      <c r="D120" s="107">
        <f>Purchases!C120</f>
        <v>18098714.600466475</v>
      </c>
      <c r="E120" s="104">
        <v>3841776.1678357082</v>
      </c>
      <c r="F120" s="171">
        <f ca="1">CDM!D128</f>
        <v>1057058.1856091407</v>
      </c>
      <c r="G120" s="94">
        <f t="shared" ca="1" si="17"/>
        <v>15313996.618239906</v>
      </c>
      <c r="H120" s="90">
        <f>Weather!H227</f>
        <v>147.5</v>
      </c>
      <c r="I120" s="90">
        <f>Weather!I227</f>
        <v>6.8000000000000007</v>
      </c>
      <c r="J120" s="108">
        <v>31</v>
      </c>
      <c r="K120" s="108">
        <f t="shared" si="18"/>
        <v>0</v>
      </c>
      <c r="L120" s="152">
        <f>Data!AC107</f>
        <v>0</v>
      </c>
      <c r="M120" s="152">
        <f>Data!AD107</f>
        <v>0</v>
      </c>
      <c r="N120" s="150">
        <f>Data!AH107</f>
        <v>14378</v>
      </c>
      <c r="O120" s="67">
        <f t="shared" si="19"/>
        <v>15157034.180579655</v>
      </c>
      <c r="P120" s="40">
        <f t="shared" ca="1" si="20"/>
        <v>-156962.43766025081</v>
      </c>
      <c r="Q120" s="53">
        <f t="shared" ca="1" si="21"/>
        <v>-1.0249606394277178E-2</v>
      </c>
      <c r="R120" s="12">
        <f t="shared" ca="1" si="14"/>
        <v>1.0249606394277178E-2</v>
      </c>
      <c r="S120" s="153"/>
      <c r="U120" s="123"/>
    </row>
    <row r="121" spans="1:22" ht="15" x14ac:dyDescent="0.25">
      <c r="A121" s="66">
        <v>43799</v>
      </c>
      <c r="B121" s="114">
        <f t="shared" si="15"/>
        <v>2019</v>
      </c>
      <c r="C121" s="114">
        <f t="shared" si="16"/>
        <v>11</v>
      </c>
      <c r="D121" s="107">
        <f>Purchases!C121</f>
        <v>19512627.908904467</v>
      </c>
      <c r="E121" s="104">
        <v>4374163.1948623955</v>
      </c>
      <c r="F121" s="171">
        <f ca="1">CDM!D129</f>
        <v>1058124.961487948</v>
      </c>
      <c r="G121" s="94">
        <f t="shared" ca="1" si="17"/>
        <v>16196589.67553002</v>
      </c>
      <c r="H121" s="90">
        <f>Weather!H228</f>
        <v>425.2</v>
      </c>
      <c r="I121" s="90">
        <f>Weather!I228</f>
        <v>0</v>
      </c>
      <c r="J121" s="108">
        <v>30</v>
      </c>
      <c r="K121" s="108">
        <f t="shared" si="18"/>
        <v>0</v>
      </c>
      <c r="L121" s="152">
        <f>Data!AC108</f>
        <v>0</v>
      </c>
      <c r="M121" s="152">
        <f>Data!AD108</f>
        <v>0</v>
      </c>
      <c r="N121" s="150">
        <f>Data!AH108</f>
        <v>14388</v>
      </c>
      <c r="O121" s="67">
        <f t="shared" si="19"/>
        <v>16184832.369405705</v>
      </c>
      <c r="P121" s="40">
        <f t="shared" ca="1" si="20"/>
        <v>-11757.306124314666</v>
      </c>
      <c r="Q121" s="53">
        <f t="shared" ca="1" si="21"/>
        <v>-7.2591245193287383E-4</v>
      </c>
      <c r="R121" s="12">
        <f t="shared" ca="1" si="14"/>
        <v>7.2591245193287383E-4</v>
      </c>
      <c r="S121" s="153"/>
      <c r="U121" s="123"/>
    </row>
    <row r="122" spans="1:22" ht="15" x14ac:dyDescent="0.25">
      <c r="A122" s="66">
        <v>43830</v>
      </c>
      <c r="B122" s="114">
        <f t="shared" si="15"/>
        <v>2019</v>
      </c>
      <c r="C122" s="114">
        <f t="shared" si="16"/>
        <v>12</v>
      </c>
      <c r="D122" s="107">
        <f>Purchases!C122</f>
        <v>20791848.943550967</v>
      </c>
      <c r="E122" s="104">
        <v>4357443.9816535302</v>
      </c>
      <c r="F122" s="171">
        <f ca="1">CDM!D130</f>
        <v>1059191.7373667555</v>
      </c>
      <c r="G122" s="94">
        <f t="shared" ca="1" si="17"/>
        <v>17493596.699264191</v>
      </c>
      <c r="H122" s="90">
        <f>Weather!H229</f>
        <v>493.69999999999987</v>
      </c>
      <c r="I122" s="90">
        <f>Weather!I229</f>
        <v>0</v>
      </c>
      <c r="J122" s="108">
        <v>31</v>
      </c>
      <c r="K122" s="108">
        <f t="shared" si="18"/>
        <v>0</v>
      </c>
      <c r="L122" s="152">
        <f>Data!AC109</f>
        <v>0</v>
      </c>
      <c r="M122" s="152">
        <f>Data!AD109</f>
        <v>0</v>
      </c>
      <c r="N122" s="150">
        <f>Data!AH109</f>
        <v>14396.5</v>
      </c>
      <c r="O122" s="67">
        <f t="shared" si="19"/>
        <v>17110307.694099907</v>
      </c>
      <c r="P122" s="40">
        <f t="shared" ca="1" si="20"/>
        <v>-383289.00516428426</v>
      </c>
      <c r="Q122" s="53">
        <f t="shared" ca="1" si="21"/>
        <v>-2.191024588902327E-2</v>
      </c>
      <c r="R122" s="12">
        <f ca="1">ABS(Q122)</f>
        <v>2.191024588902327E-2</v>
      </c>
      <c r="S122" s="153"/>
      <c r="U122" s="123"/>
      <c r="V122" s="123">
        <f>SUM(U113:U122)</f>
        <v>0</v>
      </c>
    </row>
    <row r="123" spans="1:22" ht="15" x14ac:dyDescent="0.25">
      <c r="A123" s="66">
        <v>43861</v>
      </c>
      <c r="B123" s="114">
        <f t="shared" si="15"/>
        <v>2020</v>
      </c>
      <c r="C123" s="114">
        <f t="shared" si="16"/>
        <v>1</v>
      </c>
      <c r="D123" s="107">
        <f>Purchases!C123</f>
        <v>21239209.767112821</v>
      </c>
      <c r="E123" s="104">
        <v>4833173.3349823048</v>
      </c>
      <c r="F123" s="171">
        <f ca="1">CDM!D131</f>
        <v>1049115.2733087833</v>
      </c>
      <c r="G123" s="94">
        <f t="shared" ca="1" si="17"/>
        <v>17455151.705439299</v>
      </c>
      <c r="H123" s="90">
        <f>Weather!H230</f>
        <v>509.5</v>
      </c>
      <c r="I123" s="90">
        <f>Weather!I230</f>
        <v>0</v>
      </c>
      <c r="J123" s="108">
        <v>31</v>
      </c>
      <c r="K123" s="108">
        <f t="shared" si="18"/>
        <v>0</v>
      </c>
      <c r="L123" s="152">
        <f>Data!AC110</f>
        <v>0</v>
      </c>
      <c r="M123" s="152">
        <f>Data!AD110</f>
        <v>0</v>
      </c>
      <c r="N123" s="150">
        <f>Data!AH110</f>
        <v>14412.5</v>
      </c>
      <c r="O123" s="67">
        <f t="shared" si="19"/>
        <v>17218083.36473782</v>
      </c>
      <c r="P123" s="40">
        <f t="shared" ca="1" si="20"/>
        <v>-237068.34070147946</v>
      </c>
      <c r="Q123" s="53">
        <f t="shared" ca="1" si="21"/>
        <v>-1.3581568622380134E-2</v>
      </c>
      <c r="R123" s="12">
        <f t="shared" ref="R123:R131" ca="1" si="22">ABS(Q123)</f>
        <v>1.3581568622380134E-2</v>
      </c>
      <c r="U123" s="123"/>
    </row>
    <row r="124" spans="1:22" ht="15" x14ac:dyDescent="0.25">
      <c r="A124" s="66">
        <v>43890</v>
      </c>
      <c r="B124" s="114">
        <f t="shared" si="15"/>
        <v>2020</v>
      </c>
      <c r="C124" s="114">
        <f t="shared" si="16"/>
        <v>2</v>
      </c>
      <c r="D124" s="107">
        <f>Purchases!C124</f>
        <v>19035160.954744305</v>
      </c>
      <c r="E124" s="104">
        <v>3781055.952817406</v>
      </c>
      <c r="F124" s="171">
        <f ca="1">CDM!D132</f>
        <v>1049115.2733087833</v>
      </c>
      <c r="G124" s="94">
        <f t="shared" ca="1" si="17"/>
        <v>16303220.275235683</v>
      </c>
      <c r="H124" s="90">
        <f>Weather!H231</f>
        <v>506.20000000000005</v>
      </c>
      <c r="I124" s="90">
        <f>Weather!I231</f>
        <v>0</v>
      </c>
      <c r="J124" s="108">
        <v>29</v>
      </c>
      <c r="K124" s="108">
        <f t="shared" si="18"/>
        <v>0</v>
      </c>
      <c r="L124" s="152">
        <f>Data!AC111</f>
        <v>0</v>
      </c>
      <c r="M124" s="152">
        <f>Data!AD111</f>
        <v>0</v>
      </c>
      <c r="N124" s="150">
        <f>Data!AH111</f>
        <v>14426.5</v>
      </c>
      <c r="O124" s="67">
        <f t="shared" si="19"/>
        <v>16214077.441507731</v>
      </c>
      <c r="P124" s="40">
        <f t="shared" ca="1" si="20"/>
        <v>-89142.833727952093</v>
      </c>
      <c r="Q124" s="53">
        <f t="shared" ca="1" si="21"/>
        <v>-5.4678052693282048E-3</v>
      </c>
      <c r="R124" s="12">
        <f t="shared" ca="1" si="22"/>
        <v>5.4678052693282048E-3</v>
      </c>
      <c r="S124"/>
      <c r="U124" s="55" t="s">
        <v>259</v>
      </c>
    </row>
    <row r="125" spans="1:22" ht="15" x14ac:dyDescent="0.25">
      <c r="A125" s="66">
        <v>43921</v>
      </c>
      <c r="B125" s="114">
        <f t="shared" si="15"/>
        <v>2020</v>
      </c>
      <c r="C125" s="114">
        <f t="shared" si="16"/>
        <v>3</v>
      </c>
      <c r="D125" s="107">
        <f>Purchases!C125</f>
        <v>19087245.664711308</v>
      </c>
      <c r="E125" s="104">
        <v>4032656.886527366</v>
      </c>
      <c r="F125" s="171">
        <f ca="1">CDM!D133</f>
        <v>1049115.2733087833</v>
      </c>
      <c r="G125" s="94">
        <f t="shared" ca="1" si="17"/>
        <v>16103704.051492725</v>
      </c>
      <c r="H125" s="90">
        <f>Weather!H232</f>
        <v>380.49999999999989</v>
      </c>
      <c r="I125" s="90">
        <f>Weather!I232</f>
        <v>0</v>
      </c>
      <c r="J125" s="108">
        <v>31</v>
      </c>
      <c r="K125" s="108">
        <f t="shared" si="18"/>
        <v>1</v>
      </c>
      <c r="L125" s="152">
        <f>Data!AC112</f>
        <v>380.49999999999989</v>
      </c>
      <c r="M125" s="152">
        <f>Data!AD112</f>
        <v>0</v>
      </c>
      <c r="N125" s="150">
        <f>Data!AH112</f>
        <v>14432.5</v>
      </c>
      <c r="O125" s="67">
        <f t="shared" si="19"/>
        <v>16497318.573219147</v>
      </c>
      <c r="P125" s="40">
        <f t="shared" ca="1" si="20"/>
        <v>393614.52172642201</v>
      </c>
      <c r="Q125" s="53">
        <f t="shared" ca="1" si="21"/>
        <v>2.4442483571966545E-2</v>
      </c>
      <c r="R125" s="12">
        <f t="shared" ca="1" si="22"/>
        <v>2.4442483571966545E-2</v>
      </c>
      <c r="S125"/>
      <c r="U125" s="292">
        <f t="shared" ref="U125:U138" si="23">L125*$U$15+M125*$U$16</f>
        <v>745598.82855685707</v>
      </c>
    </row>
    <row r="126" spans="1:22" ht="15" x14ac:dyDescent="0.25">
      <c r="A126" s="66">
        <v>43951</v>
      </c>
      <c r="B126" s="114">
        <f t="shared" si="15"/>
        <v>2020</v>
      </c>
      <c r="C126" s="114">
        <f t="shared" si="16"/>
        <v>4</v>
      </c>
      <c r="D126" s="107">
        <f>Purchases!C126</f>
        <v>17079543.476648476</v>
      </c>
      <c r="E126" s="104">
        <v>3435746.1940935161</v>
      </c>
      <c r="F126" s="171">
        <f ca="1">CDM!D134</f>
        <v>1049115.2733087833</v>
      </c>
      <c r="G126" s="94">
        <f t="shared" ca="1" si="17"/>
        <v>14692912.555863744</v>
      </c>
      <c r="H126" s="90">
        <f>Weather!H233</f>
        <v>289.2999999999999</v>
      </c>
      <c r="I126" s="90">
        <f>Weather!I233</f>
        <v>0</v>
      </c>
      <c r="J126" s="108">
        <v>30</v>
      </c>
      <c r="K126" s="108">
        <f t="shared" si="18"/>
        <v>1</v>
      </c>
      <c r="L126" s="152">
        <f>Data!AC113</f>
        <v>289.2999999999999</v>
      </c>
      <c r="M126" s="152">
        <f>Data!AD113</f>
        <v>0</v>
      </c>
      <c r="N126" s="150">
        <f>Data!AH113</f>
        <v>14425.5</v>
      </c>
      <c r="O126" s="67">
        <f t="shared" si="19"/>
        <v>15253552.543047165</v>
      </c>
      <c r="P126" s="40">
        <f t="shared" ca="1" si="20"/>
        <v>560639.98718342185</v>
      </c>
      <c r="Q126" s="53">
        <f t="shared" ca="1" si="21"/>
        <v>3.8157171701105511E-2</v>
      </c>
      <c r="R126" s="12">
        <f t="shared" ca="1" si="22"/>
        <v>3.8157171701105511E-2</v>
      </c>
      <c r="S126"/>
      <c r="U126" s="292">
        <f t="shared" si="23"/>
        <v>566890.25256635679</v>
      </c>
    </row>
    <row r="127" spans="1:22" ht="15" x14ac:dyDescent="0.25">
      <c r="A127" s="66">
        <v>43982</v>
      </c>
      <c r="B127" s="114">
        <f t="shared" si="15"/>
        <v>2020</v>
      </c>
      <c r="C127" s="114">
        <f t="shared" si="16"/>
        <v>5</v>
      </c>
      <c r="D127" s="107">
        <f>Purchases!C127</f>
        <v>19158490.866862137</v>
      </c>
      <c r="E127" s="104">
        <v>4735242.6950270245</v>
      </c>
      <c r="F127" s="171">
        <f ca="1">CDM!D135</f>
        <v>1049115.2733087833</v>
      </c>
      <c r="G127" s="94">
        <f t="shared" ca="1" si="17"/>
        <v>15472363.445143897</v>
      </c>
      <c r="H127" s="90">
        <f>Weather!H234</f>
        <v>154.59999999999997</v>
      </c>
      <c r="I127" s="90">
        <f>Weather!I234</f>
        <v>45.599999999999994</v>
      </c>
      <c r="J127" s="108">
        <v>31</v>
      </c>
      <c r="K127" s="108">
        <f t="shared" si="18"/>
        <v>1</v>
      </c>
      <c r="L127" s="152">
        <f>Data!AC114</f>
        <v>154.59999999999997</v>
      </c>
      <c r="M127" s="152">
        <f>Data!AD114</f>
        <v>45.599999999999994</v>
      </c>
      <c r="N127" s="150">
        <f>Data!AH114</f>
        <v>14417</v>
      </c>
      <c r="O127" s="67">
        <f t="shared" si="19"/>
        <v>16272487.266070053</v>
      </c>
      <c r="P127" s="40">
        <f t="shared" ca="1" si="20"/>
        <v>800123.82092615589</v>
      </c>
      <c r="Q127" s="53">
        <f t="shared" ca="1" si="21"/>
        <v>5.1713096306387506E-2</v>
      </c>
      <c r="R127" s="12">
        <f t="shared" ca="1" si="22"/>
        <v>5.1713096306387506E-2</v>
      </c>
      <c r="S127"/>
      <c r="U127" s="292">
        <f t="shared" si="23"/>
        <v>578939.75460776803</v>
      </c>
    </row>
    <row r="128" spans="1:22" ht="15" x14ac:dyDescent="0.25">
      <c r="A128" s="66">
        <v>44012</v>
      </c>
      <c r="B128" s="114">
        <f t="shared" si="15"/>
        <v>2020</v>
      </c>
      <c r="C128" s="114">
        <f t="shared" si="16"/>
        <v>6</v>
      </c>
      <c r="D128" s="107">
        <f>Purchases!C128</f>
        <v>23659036.820064977</v>
      </c>
      <c r="E128" s="104">
        <v>6037296.4429668775</v>
      </c>
      <c r="F128" s="171">
        <f ca="1">CDM!D136</f>
        <v>1049115.2733087833</v>
      </c>
      <c r="G128" s="94">
        <f t="shared" ca="1" si="17"/>
        <v>18670855.650406882</v>
      </c>
      <c r="H128" s="90">
        <f>Weather!H235</f>
        <v>7.5999999999999979</v>
      </c>
      <c r="I128" s="90">
        <f>Weather!I235</f>
        <v>142</v>
      </c>
      <c r="J128" s="108">
        <v>30</v>
      </c>
      <c r="K128" s="108">
        <f t="shared" si="18"/>
        <v>0</v>
      </c>
      <c r="L128" s="152">
        <f>Data!AC115</f>
        <v>7.5999999999999979</v>
      </c>
      <c r="M128" s="152">
        <f>Data!AD115</f>
        <v>142</v>
      </c>
      <c r="N128" s="150">
        <f>Data!AH115</f>
        <v>14418.5</v>
      </c>
      <c r="O128" s="67">
        <f t="shared" si="19"/>
        <v>18696652.417120226</v>
      </c>
      <c r="P128" s="40">
        <f t="shared" ca="1" si="20"/>
        <v>25796.766713343561</v>
      </c>
      <c r="Q128" s="53">
        <f t="shared" ca="1" si="21"/>
        <v>1.3816595873463028E-3</v>
      </c>
      <c r="R128" s="12">
        <f t="shared" ca="1" si="22"/>
        <v>1.3816595873463028E-3</v>
      </c>
      <c r="S128"/>
      <c r="U128" s="292">
        <f t="shared" si="23"/>
        <v>874357.86293211754</v>
      </c>
    </row>
    <row r="129" spans="1:22" ht="15" x14ac:dyDescent="0.25">
      <c r="A129" s="66">
        <v>44043</v>
      </c>
      <c r="B129" s="114">
        <f t="shared" si="15"/>
        <v>2020</v>
      </c>
      <c r="C129" s="114">
        <f t="shared" si="16"/>
        <v>7</v>
      </c>
      <c r="D129" s="107">
        <f>Purchases!C129</f>
        <v>31068671.938821949</v>
      </c>
      <c r="E129" s="104">
        <v>8129921.4906045105</v>
      </c>
      <c r="F129" s="171">
        <f ca="1">CDM!D137</f>
        <v>1049115.2733087833</v>
      </c>
      <c r="G129" s="94">
        <f t="shared" ca="1" si="17"/>
        <v>23987865.72152622</v>
      </c>
      <c r="H129" s="90">
        <f>Weather!H236</f>
        <v>0</v>
      </c>
      <c r="I129" s="90">
        <f>Weather!I236</f>
        <v>277.60000000000008</v>
      </c>
      <c r="J129" s="108">
        <v>31</v>
      </c>
      <c r="K129" s="108">
        <f t="shared" si="18"/>
        <v>0</v>
      </c>
      <c r="L129" s="152">
        <f>Data!AC116</f>
        <v>0</v>
      </c>
      <c r="M129" s="152">
        <f>Data!AD116</f>
        <v>277.60000000000008</v>
      </c>
      <c r="N129" s="150">
        <f>Data!AH116</f>
        <v>14418</v>
      </c>
      <c r="O129" s="67">
        <f t="shared" si="19"/>
        <v>23965302.322168656</v>
      </c>
      <c r="P129" s="40">
        <f t="shared" ca="1" si="20"/>
        <v>-22563.399357564747</v>
      </c>
      <c r="Q129" s="53">
        <f t="shared" ca="1" si="21"/>
        <v>-9.4061721119761033E-4</v>
      </c>
      <c r="R129" s="12">
        <f t="shared" ca="1" si="22"/>
        <v>9.4061721119761033E-4</v>
      </c>
      <c r="S129"/>
      <c r="U129" s="292">
        <f t="shared" si="23"/>
        <v>1680194.4907890304</v>
      </c>
    </row>
    <row r="130" spans="1:22" ht="15" x14ac:dyDescent="0.25">
      <c r="A130" s="66">
        <v>44074</v>
      </c>
      <c r="B130" s="114">
        <f t="shared" si="15"/>
        <v>2020</v>
      </c>
      <c r="C130" s="114">
        <f t="shared" si="16"/>
        <v>8</v>
      </c>
      <c r="D130" s="107">
        <f>Purchases!C130</f>
        <v>26721444.06371244</v>
      </c>
      <c r="E130" s="104">
        <v>6612027.0517714433</v>
      </c>
      <c r="F130" s="171">
        <f ca="1">CDM!D138</f>
        <v>1049115.2733087833</v>
      </c>
      <c r="G130" s="94">
        <f t="shared" ca="1" si="17"/>
        <v>21158532.285249781</v>
      </c>
      <c r="H130" s="90">
        <f>Weather!H237</f>
        <v>0</v>
      </c>
      <c r="I130" s="90">
        <f>Weather!I237</f>
        <v>204.70000000000002</v>
      </c>
      <c r="J130" s="108">
        <v>31</v>
      </c>
      <c r="K130" s="108">
        <f t="shared" si="18"/>
        <v>0</v>
      </c>
      <c r="L130" s="152">
        <f>Data!AC117</f>
        <v>0</v>
      </c>
      <c r="M130" s="152">
        <f>Data!AD117</f>
        <v>204.70000000000002</v>
      </c>
      <c r="N130" s="150">
        <f>Data!AH117</f>
        <v>14420</v>
      </c>
      <c r="O130" s="67">
        <f t="shared" si="19"/>
        <v>21367336.975840561</v>
      </c>
      <c r="P130" s="40">
        <f t="shared" ca="1" si="20"/>
        <v>208804.69059078023</v>
      </c>
      <c r="Q130" s="53">
        <f t="shared" ca="1" si="21"/>
        <v>9.8685810421899611E-3</v>
      </c>
      <c r="R130" s="12">
        <f t="shared" ca="1" si="22"/>
        <v>9.8685810421899611E-3</v>
      </c>
      <c r="S130"/>
      <c r="U130" s="292">
        <f t="shared" si="23"/>
        <v>1238961.8597424873</v>
      </c>
    </row>
    <row r="131" spans="1:22" ht="15" x14ac:dyDescent="0.25">
      <c r="A131" s="66">
        <v>44104</v>
      </c>
      <c r="B131" s="114">
        <f t="shared" si="15"/>
        <v>2020</v>
      </c>
      <c r="C131" s="114">
        <f t="shared" si="16"/>
        <v>9</v>
      </c>
      <c r="D131" s="107">
        <f>Purchases!C131</f>
        <v>20324132.402995322</v>
      </c>
      <c r="E131" s="104">
        <v>4759664.6737366663</v>
      </c>
      <c r="F131" s="171">
        <f ca="1">CDM!D139</f>
        <v>1049115.2733087833</v>
      </c>
      <c r="G131" s="94">
        <f t="shared" ca="1" si="17"/>
        <v>16613583.00256744</v>
      </c>
      <c r="H131" s="90">
        <f>Weather!H238</f>
        <v>21.899999999999995</v>
      </c>
      <c r="I131" s="90">
        <f>Weather!I238</f>
        <v>73.099999999999994</v>
      </c>
      <c r="J131" s="108">
        <v>30</v>
      </c>
      <c r="K131" s="108">
        <f t="shared" si="18"/>
        <v>0</v>
      </c>
      <c r="L131" s="152">
        <f>Data!AC118</f>
        <v>21.899999999999995</v>
      </c>
      <c r="M131" s="152">
        <f>Data!AD118</f>
        <v>73.099999999999994</v>
      </c>
      <c r="N131" s="150">
        <f>Data!AH118</f>
        <v>14422.5</v>
      </c>
      <c r="O131" s="67">
        <f t="shared" ref="O131:O158" si="24">$U$10+H131*$U$11+I131*$U$12+J131*$U$13+K131*$U$14+L131*$U$15+M131*$U$16+N131*$U$17</f>
        <v>16359092.018464835</v>
      </c>
      <c r="P131" s="40">
        <f ca="1">O131-G131</f>
        <v>-254490.98410260491</v>
      </c>
      <c r="Q131" s="53">
        <f ca="1">P131/G131</f>
        <v>-1.531824796994581E-2</v>
      </c>
      <c r="R131" s="12">
        <f t="shared" ca="1" si="22"/>
        <v>1.531824796994581E-2</v>
      </c>
      <c r="S131" s="192">
        <f ca="1">AVERAGE(R3:R134)</f>
        <v>1.6424009247239305E-2</v>
      </c>
      <c r="T131" t="s">
        <v>63</v>
      </c>
      <c r="U131" s="292">
        <f t="shared" si="23"/>
        <v>485356.71833339368</v>
      </c>
    </row>
    <row r="132" spans="1:22" ht="15" x14ac:dyDescent="0.25">
      <c r="A132" s="66">
        <v>44135</v>
      </c>
      <c r="B132" s="114">
        <f t="shared" ref="B132:B158" si="25">YEAR(A132)</f>
        <v>2020</v>
      </c>
      <c r="C132" s="114">
        <f t="shared" ref="C132:C158" si="26">MONTH(A132)</f>
        <v>10</v>
      </c>
      <c r="D132" s="107">
        <f>Purchases!C132</f>
        <v>19166451.094120812</v>
      </c>
      <c r="E132" s="107">
        <v>4510134.313046311</v>
      </c>
      <c r="F132" s="171">
        <f ca="1">CDM!D140</f>
        <v>1049115.2733087833</v>
      </c>
      <c r="G132" s="94">
        <f ca="1">D132+F132-E132</f>
        <v>15705432.054383285</v>
      </c>
      <c r="H132" s="90">
        <f>Weather!H239</f>
        <v>172.2</v>
      </c>
      <c r="I132" s="90">
        <f>Weather!I239</f>
        <v>5.8000000000000007</v>
      </c>
      <c r="J132" s="67">
        <v>31</v>
      </c>
      <c r="K132" s="108">
        <f t="shared" si="18"/>
        <v>0</v>
      </c>
      <c r="L132" s="152">
        <f>Data!AC119</f>
        <v>172.2</v>
      </c>
      <c r="M132" s="152">
        <f>Data!AD119</f>
        <v>5.8000000000000007</v>
      </c>
      <c r="N132" s="150">
        <f>Data!AH119</f>
        <v>14423</v>
      </c>
      <c r="O132" s="67">
        <f t="shared" si="24"/>
        <v>15680907.761677762</v>
      </c>
      <c r="P132" s="40">
        <f ca="1">O132-G132</f>
        <v>-24524.29270552285</v>
      </c>
      <c r="Q132" s="53">
        <f ca="1">P132/G132</f>
        <v>-1.561516589967245E-3</v>
      </c>
      <c r="R132" s="12">
        <f ca="1">ABS(Q132)</f>
        <v>1.561516589967245E-3</v>
      </c>
      <c r="S132"/>
      <c r="U132" s="292">
        <f t="shared" si="23"/>
        <v>372534.9367353149</v>
      </c>
    </row>
    <row r="133" spans="1:22" ht="15" x14ac:dyDescent="0.25">
      <c r="A133" s="66">
        <v>44165</v>
      </c>
      <c r="B133" s="114">
        <f t="shared" si="25"/>
        <v>2020</v>
      </c>
      <c r="C133" s="114">
        <f t="shared" si="26"/>
        <v>11</v>
      </c>
      <c r="D133" s="107">
        <f>Purchases!C133</f>
        <v>18736074.894379988</v>
      </c>
      <c r="E133" s="107">
        <v>3624554.3128952486</v>
      </c>
      <c r="F133" s="171">
        <f ca="1">CDM!D141</f>
        <v>1049115.2733087833</v>
      </c>
      <c r="G133" s="94">
        <f ca="1">D133+F133-E133</f>
        <v>16160635.854793523</v>
      </c>
      <c r="H133" s="90">
        <f>Weather!H240</f>
        <v>251.89999999999998</v>
      </c>
      <c r="I133" s="90">
        <f>Weather!I240</f>
        <v>3.1000000000000014</v>
      </c>
      <c r="J133" s="67">
        <v>30</v>
      </c>
      <c r="K133" s="108">
        <f t="shared" si="18"/>
        <v>0</v>
      </c>
      <c r="L133" s="152">
        <f>Data!AC120</f>
        <v>251.89999999999998</v>
      </c>
      <c r="M133" s="152">
        <f>Data!AD120</f>
        <v>3.1000000000000014</v>
      </c>
      <c r="N133" s="150">
        <f>Data!AH120</f>
        <v>14420</v>
      </c>
      <c r="O133" s="67">
        <f t="shared" si="24"/>
        <v>15736150.404951409</v>
      </c>
      <c r="P133" s="40">
        <f ca="1">O133-G133</f>
        <v>-424485.449842114</v>
      </c>
      <c r="Q133" s="53">
        <f ca="1">P133/G133</f>
        <v>-2.626663045044755E-2</v>
      </c>
      <c r="R133" s="12">
        <f ca="1">ABS(Q133)</f>
        <v>2.626663045044755E-2</v>
      </c>
      <c r="S133"/>
      <c r="U133" s="292">
        <f t="shared" si="23"/>
        <v>512367.03904302814</v>
      </c>
    </row>
    <row r="134" spans="1:22" ht="15" x14ac:dyDescent="0.25">
      <c r="A134" s="66">
        <v>44196</v>
      </c>
      <c r="B134" s="114">
        <f t="shared" si="25"/>
        <v>2020</v>
      </c>
      <c r="C134" s="114">
        <f t="shared" si="26"/>
        <v>12</v>
      </c>
      <c r="D134" s="107">
        <f>Purchases!C134</f>
        <v>22275090.071478143</v>
      </c>
      <c r="E134" s="107">
        <v>4690646.6356936488</v>
      </c>
      <c r="F134" s="171">
        <f ca="1">CDM!D142</f>
        <v>1049115.2733087833</v>
      </c>
      <c r="G134" s="94">
        <f ca="1">D134+F134-E134</f>
        <v>18633558.70909328</v>
      </c>
      <c r="H134" s="90">
        <f>Weather!H241</f>
        <v>475.89999999999986</v>
      </c>
      <c r="I134" s="90">
        <f>Weather!I241</f>
        <v>0</v>
      </c>
      <c r="J134" s="67">
        <v>31</v>
      </c>
      <c r="K134" s="108">
        <f t="shared" si="18"/>
        <v>0</v>
      </c>
      <c r="L134" s="152">
        <f>Data!AC121</f>
        <v>475.89999999999986</v>
      </c>
      <c r="M134" s="152">
        <f>Data!AD121</f>
        <v>0</v>
      </c>
      <c r="N134" s="150">
        <f>Data!AH121</f>
        <v>14426</v>
      </c>
      <c r="O134" s="67">
        <f t="shared" si="24"/>
        <v>17951043.978166346</v>
      </c>
      <c r="P134" s="40">
        <f ca="1">O134-G134</f>
        <v>-682514.73092693463</v>
      </c>
      <c r="Q134" s="53">
        <f ca="1">P134/G134</f>
        <v>-3.6628254515540484E-2</v>
      </c>
      <c r="R134" s="12">
        <f ca="1">ABS(Q134)</f>
        <v>3.6628254515540484E-2</v>
      </c>
      <c r="S134"/>
      <c r="U134" s="292">
        <f t="shared" si="23"/>
        <v>932537.40475744626</v>
      </c>
      <c r="V134" s="123">
        <f>SUM(U125:U134)</f>
        <v>7987739.1480638003</v>
      </c>
    </row>
    <row r="135" spans="1:22" x14ac:dyDescent="0.2">
      <c r="A135" s="66">
        <v>44227</v>
      </c>
      <c r="B135" s="114">
        <f t="shared" si="25"/>
        <v>2021</v>
      </c>
      <c r="C135" s="114">
        <f t="shared" si="26"/>
        <v>1</v>
      </c>
      <c r="D135" s="103"/>
      <c r="E135" s="103"/>
      <c r="F135" s="171">
        <f ca="1">CDM!D143</f>
        <v>1038798.6979376742</v>
      </c>
      <c r="G135" s="103"/>
      <c r="H135" s="111">
        <f ca="1">Weather!AX61</f>
        <v>607.33000000000004</v>
      </c>
      <c r="I135" s="111">
        <f ca="1">Weather!AY61</f>
        <v>0</v>
      </c>
      <c r="J135" s="113">
        <v>31</v>
      </c>
      <c r="K135" s="108">
        <f t="shared" si="18"/>
        <v>0</v>
      </c>
      <c r="L135" s="152">
        <f t="shared" ref="L135:M138" ca="1" si="27">H135</f>
        <v>607.33000000000004</v>
      </c>
      <c r="M135" s="152">
        <f t="shared" ca="1" si="27"/>
        <v>0</v>
      </c>
      <c r="N135" s="151">
        <f>'Customer Count'!I122-'Customer Count'!H122</f>
        <v>14501.069962236639</v>
      </c>
      <c r="O135" s="230">
        <f ca="1">$U$10+H135*$U$11+I135*$U$12+J135*$U$13+K135*$U$14+L135*$U$15+M135*$U$16+N135*$U$17</f>
        <v>19068940.951321632</v>
      </c>
      <c r="P135" s="40"/>
      <c r="Q135" s="53"/>
      <c r="R135" s="12"/>
      <c r="S135"/>
      <c r="U135" s="292">
        <f t="shared" ca="1" si="23"/>
        <v>1190077.6256174406</v>
      </c>
    </row>
    <row r="136" spans="1:22" x14ac:dyDescent="0.2">
      <c r="A136" s="66">
        <v>44255</v>
      </c>
      <c r="B136" s="114">
        <f t="shared" si="25"/>
        <v>2021</v>
      </c>
      <c r="C136" s="114">
        <f t="shared" si="26"/>
        <v>2</v>
      </c>
      <c r="D136" s="103"/>
      <c r="E136" s="103"/>
      <c r="F136" s="171">
        <f ca="1">CDM!D144</f>
        <v>1038798.6979376742</v>
      </c>
      <c r="G136" s="103"/>
      <c r="H136" s="111">
        <f ca="1">Weather!AX62</f>
        <v>533.1</v>
      </c>
      <c r="I136" s="111">
        <f ca="1">Weather!AY62</f>
        <v>0</v>
      </c>
      <c r="J136" s="113">
        <v>28</v>
      </c>
      <c r="K136" s="108">
        <f t="shared" si="18"/>
        <v>0</v>
      </c>
      <c r="L136" s="152">
        <f t="shared" ca="1" si="27"/>
        <v>533.1</v>
      </c>
      <c r="M136" s="152">
        <f t="shared" ca="1" si="27"/>
        <v>0</v>
      </c>
      <c r="N136" s="151">
        <f>'Customer Count'!I123-'Customer Count'!H123</f>
        <v>14513.313874358173</v>
      </c>
      <c r="O136" s="230">
        <f t="shared" ca="1" si="24"/>
        <v>16983164.830557097</v>
      </c>
      <c r="P136" s="40"/>
      <c r="Q136" s="53"/>
      <c r="R136" s="12"/>
      <c r="S136"/>
      <c r="U136" s="292">
        <f t="shared" ca="1" si="23"/>
        <v>1044622.1695234182</v>
      </c>
    </row>
    <row r="137" spans="1:22" x14ac:dyDescent="0.2">
      <c r="A137" s="66">
        <v>44286</v>
      </c>
      <c r="B137" s="114">
        <f t="shared" si="25"/>
        <v>2021</v>
      </c>
      <c r="C137" s="114">
        <f t="shared" si="26"/>
        <v>3</v>
      </c>
      <c r="D137" s="103"/>
      <c r="E137" s="103"/>
      <c r="F137" s="171">
        <f ca="1">CDM!D145</f>
        <v>1038798.6979376742</v>
      </c>
      <c r="G137" s="103"/>
      <c r="H137" s="111">
        <f ca="1">Weather!AX63</f>
        <v>453.77</v>
      </c>
      <c r="I137" s="111">
        <f ca="1">Weather!AY63</f>
        <v>0.26000000000000012</v>
      </c>
      <c r="J137" s="113">
        <v>31</v>
      </c>
      <c r="K137" s="108">
        <f t="shared" si="18"/>
        <v>1</v>
      </c>
      <c r="L137" s="152">
        <f t="shared" ca="1" si="27"/>
        <v>453.77</v>
      </c>
      <c r="M137" s="152">
        <f t="shared" ca="1" si="27"/>
        <v>0.26000000000000012</v>
      </c>
      <c r="N137" s="151">
        <f>'Customer Count'!I124-'Customer Count'!H124</f>
        <v>14525.569323843798</v>
      </c>
      <c r="O137" s="230">
        <f t="shared" ca="1" si="24"/>
        <v>17161716.318679132</v>
      </c>
      <c r="P137" s="40"/>
      <c r="Q137" s="53"/>
      <c r="R137" s="12"/>
      <c r="S137"/>
      <c r="U137" s="292">
        <f t="shared" ca="1" si="23"/>
        <v>890746.81093737762</v>
      </c>
    </row>
    <row r="138" spans="1:22" x14ac:dyDescent="0.2">
      <c r="A138" s="66">
        <v>44316</v>
      </c>
      <c r="B138" s="114">
        <f t="shared" si="25"/>
        <v>2021</v>
      </c>
      <c r="C138" s="114">
        <f t="shared" si="26"/>
        <v>4</v>
      </c>
      <c r="D138" s="103"/>
      <c r="E138" s="103"/>
      <c r="F138" s="171">
        <f ca="1">CDM!D146</f>
        <v>1038798.6979376742</v>
      </c>
      <c r="G138" s="103"/>
      <c r="H138" s="111">
        <f ca="1">Weather!AX64</f>
        <v>276.92999999999995</v>
      </c>
      <c r="I138" s="111">
        <f ca="1">Weather!AY64</f>
        <v>1.2600000000000002</v>
      </c>
      <c r="J138" s="113">
        <v>30</v>
      </c>
      <c r="K138" s="108">
        <f t="shared" si="18"/>
        <v>1</v>
      </c>
      <c r="L138" s="152">
        <f t="shared" ca="1" si="27"/>
        <v>276.92999999999995</v>
      </c>
      <c r="M138" s="152">
        <f t="shared" ca="1" si="27"/>
        <v>1.2600000000000002</v>
      </c>
      <c r="N138" s="151">
        <f>'Customer Count'!I125-'Customer Count'!H125</f>
        <v>14537.836320994007</v>
      </c>
      <c r="O138" s="230">
        <f t="shared" ca="1" si="24"/>
        <v>15267671.703648817</v>
      </c>
      <c r="P138" s="40"/>
      <c r="Q138" s="53"/>
      <c r="R138" s="12"/>
      <c r="S138"/>
      <c r="U138" s="292">
        <f t="shared" ca="1" si="23"/>
        <v>550277.18542952836</v>
      </c>
      <c r="V138" s="123">
        <f ca="1">SUM(U135:U138)</f>
        <v>3675723.7915077647</v>
      </c>
    </row>
    <row r="139" spans="1:22" x14ac:dyDescent="0.2">
      <c r="A139" s="66">
        <v>44347</v>
      </c>
      <c r="B139" s="114">
        <f t="shared" si="25"/>
        <v>2021</v>
      </c>
      <c r="C139" s="114">
        <f t="shared" si="26"/>
        <v>5</v>
      </c>
      <c r="D139" s="103"/>
      <c r="E139" s="103"/>
      <c r="F139" s="171">
        <f ca="1">CDM!D147</f>
        <v>1038798.6979376742</v>
      </c>
      <c r="G139" s="103"/>
      <c r="H139" s="111">
        <f ca="1">Weather!AX65</f>
        <v>91.789999999999992</v>
      </c>
      <c r="I139" s="111">
        <f ca="1">Weather!AY65</f>
        <v>44.669999999999995</v>
      </c>
      <c r="J139" s="113">
        <v>31</v>
      </c>
      <c r="K139" s="108">
        <f t="shared" si="18"/>
        <v>1</v>
      </c>
      <c r="L139" s="112"/>
      <c r="M139" s="112"/>
      <c r="N139" s="151">
        <f>'Customer Count'!I126-'Customer Count'!H126</f>
        <v>14550.114876122647</v>
      </c>
      <c r="O139" s="230">
        <f t="shared" ca="1" si="24"/>
        <v>15360168.154429048</v>
      </c>
      <c r="P139" s="40"/>
      <c r="Q139" s="53"/>
      <c r="R139" s="12"/>
      <c r="S139"/>
      <c r="U139" s="123"/>
    </row>
    <row r="140" spans="1:22" x14ac:dyDescent="0.2">
      <c r="A140" s="66">
        <v>44377</v>
      </c>
      <c r="B140" s="114">
        <f t="shared" si="25"/>
        <v>2021</v>
      </c>
      <c r="C140" s="114">
        <f t="shared" si="26"/>
        <v>6</v>
      </c>
      <c r="D140" s="103"/>
      <c r="E140" s="103"/>
      <c r="F140" s="171">
        <f ca="1">CDM!D148</f>
        <v>1038798.6979376742</v>
      </c>
      <c r="G140" s="103"/>
      <c r="H140" s="111">
        <f ca="1">Weather!AX66</f>
        <v>8.3199999999999985</v>
      </c>
      <c r="I140" s="111">
        <f ca="1">Weather!AY66</f>
        <v>115.62</v>
      </c>
      <c r="J140" s="113">
        <v>30</v>
      </c>
      <c r="K140" s="108">
        <f t="shared" si="18"/>
        <v>0</v>
      </c>
      <c r="L140" s="112"/>
      <c r="M140" s="112"/>
      <c r="N140" s="151">
        <f>'Customer Count'!I127-'Customer Count'!H127</f>
        <v>14562.404999556964</v>
      </c>
      <c r="O140" s="230">
        <f t="shared" ca="1" si="24"/>
        <v>17135532.511445716</v>
      </c>
      <c r="P140" s="40"/>
      <c r="Q140" s="53"/>
      <c r="R140" s="12"/>
      <c r="S140"/>
      <c r="U140" s="123"/>
    </row>
    <row r="141" spans="1:22" x14ac:dyDescent="0.2">
      <c r="A141" s="66">
        <v>44408</v>
      </c>
      <c r="B141" s="114">
        <f t="shared" si="25"/>
        <v>2021</v>
      </c>
      <c r="C141" s="114">
        <f t="shared" si="26"/>
        <v>7</v>
      </c>
      <c r="D141" s="103"/>
      <c r="E141" s="103"/>
      <c r="F141" s="171">
        <f ca="1">CDM!D149</f>
        <v>1038798.6979376742</v>
      </c>
      <c r="G141" s="103"/>
      <c r="H141" s="111">
        <f ca="1">Weather!AX67</f>
        <v>0</v>
      </c>
      <c r="I141" s="111">
        <f ca="1">Weather!AY67</f>
        <v>224.87000000000003</v>
      </c>
      <c r="J141" s="113">
        <v>31</v>
      </c>
      <c r="K141" s="108">
        <f t="shared" si="18"/>
        <v>0</v>
      </c>
      <c r="L141" s="112"/>
      <c r="M141" s="112"/>
      <c r="N141" s="151">
        <f>'Customer Count'!I128-'Customer Count'!H128</f>
        <v>14574.70670163759</v>
      </c>
      <c r="O141" s="230">
        <f t="shared" ca="1" si="24"/>
        <v>20821856.414302781</v>
      </c>
      <c r="P141" s="40"/>
      <c r="Q141" s="53"/>
      <c r="R141" s="12"/>
      <c r="S141"/>
      <c r="U141" s="123"/>
    </row>
    <row r="142" spans="1:22" x14ac:dyDescent="0.2">
      <c r="A142" s="66">
        <v>44439</v>
      </c>
      <c r="B142" s="114">
        <f t="shared" si="25"/>
        <v>2021</v>
      </c>
      <c r="C142" s="114">
        <f t="shared" si="26"/>
        <v>8</v>
      </c>
      <c r="D142" s="103"/>
      <c r="E142" s="103"/>
      <c r="F142" s="171">
        <f ca="1">CDM!D150</f>
        <v>1038798.6979376742</v>
      </c>
      <c r="G142" s="103"/>
      <c r="H142" s="111">
        <f ca="1">Weather!AX68</f>
        <v>9.9999999999999638E-3</v>
      </c>
      <c r="I142" s="111">
        <f ca="1">Weather!AY68</f>
        <v>186.09000000000003</v>
      </c>
      <c r="J142" s="113">
        <v>31</v>
      </c>
      <c r="K142" s="108">
        <f t="shared" si="18"/>
        <v>0</v>
      </c>
      <c r="L142" s="112"/>
      <c r="M142" s="112"/>
      <c r="N142" s="151">
        <f>'Customer Count'!I129-'Customer Count'!H129</f>
        <v>14587.019992718553</v>
      </c>
      <c r="O142" s="230">
        <f t="shared" ca="1" si="24"/>
        <v>19681629.780514505</v>
      </c>
      <c r="P142" s="40"/>
      <c r="Q142" s="53"/>
      <c r="R142" s="12"/>
      <c r="S142"/>
      <c r="U142" s="123"/>
    </row>
    <row r="143" spans="1:22" x14ac:dyDescent="0.2">
      <c r="A143" s="66">
        <v>44469</v>
      </c>
      <c r="B143" s="114">
        <f t="shared" si="25"/>
        <v>2021</v>
      </c>
      <c r="C143" s="114">
        <f t="shared" si="26"/>
        <v>9</v>
      </c>
      <c r="D143" s="103"/>
      <c r="E143" s="103"/>
      <c r="F143" s="171">
        <f ca="1">CDM!D151</f>
        <v>1038798.6979376742</v>
      </c>
      <c r="G143" s="103"/>
      <c r="H143" s="111">
        <f ca="1">Weather!AX69</f>
        <v>19.43</v>
      </c>
      <c r="I143" s="111">
        <f ca="1">Weather!AY69</f>
        <v>90.78</v>
      </c>
      <c r="J143" s="113">
        <v>30</v>
      </c>
      <c r="K143" s="108">
        <f t="shared" si="18"/>
        <v>0</v>
      </c>
      <c r="L143" s="112"/>
      <c r="M143" s="112"/>
      <c r="N143" s="151">
        <f>'Customer Count'!I130-'Customer Count'!H130</f>
        <v>14599.344883167309</v>
      </c>
      <c r="O143" s="230">
        <f t="shared" ca="1" si="24"/>
        <v>16492014.293958737</v>
      </c>
      <c r="P143" s="40"/>
      <c r="Q143" s="53"/>
      <c r="R143" s="12"/>
      <c r="S143"/>
      <c r="U143" s="123"/>
    </row>
    <row r="144" spans="1:22" x14ac:dyDescent="0.2">
      <c r="A144" s="66">
        <v>44500</v>
      </c>
      <c r="B144" s="114">
        <f t="shared" si="25"/>
        <v>2021</v>
      </c>
      <c r="C144" s="114">
        <f t="shared" si="26"/>
        <v>10</v>
      </c>
      <c r="D144" s="103"/>
      <c r="E144" s="103"/>
      <c r="F144" s="171">
        <f ca="1">CDM!D152</f>
        <v>1038798.6979376742</v>
      </c>
      <c r="G144" s="103"/>
      <c r="H144" s="111">
        <f ca="1">Weather!AX70</f>
        <v>147.23999999999998</v>
      </c>
      <c r="I144" s="111">
        <f ca="1">Weather!AY70</f>
        <v>14.710000000000003</v>
      </c>
      <c r="J144" s="113">
        <v>31</v>
      </c>
      <c r="K144" s="108">
        <f t="shared" ref="K144:K158" si="28">K132</f>
        <v>0</v>
      </c>
      <c r="L144" s="112"/>
      <c r="M144" s="112"/>
      <c r="N144" s="151">
        <f>'Customer Count'!I131-'Customer Count'!H131</f>
        <v>14611.681383364732</v>
      </c>
      <c r="O144" s="230">
        <f t="shared" ca="1" si="24"/>
        <v>15535202.439896761</v>
      </c>
      <c r="P144" s="40"/>
      <c r="Q144" s="53"/>
      <c r="R144" s="12"/>
      <c r="S144"/>
    </row>
    <row r="145" spans="1:19" x14ac:dyDescent="0.2">
      <c r="A145" s="66">
        <v>44530</v>
      </c>
      <c r="B145" s="114">
        <f t="shared" si="25"/>
        <v>2021</v>
      </c>
      <c r="C145" s="114">
        <f t="shared" si="26"/>
        <v>11</v>
      </c>
      <c r="D145" s="103"/>
      <c r="E145" s="103"/>
      <c r="F145" s="171">
        <f ca="1">CDM!D153</f>
        <v>1038798.6979376742</v>
      </c>
      <c r="G145" s="103"/>
      <c r="H145" s="111">
        <f ca="1">Weather!AX71</f>
        <v>331.03</v>
      </c>
      <c r="I145" s="111">
        <f ca="1">Weather!AY71</f>
        <v>0.54000000000000026</v>
      </c>
      <c r="J145" s="113">
        <v>30</v>
      </c>
      <c r="K145" s="108">
        <f t="shared" si="28"/>
        <v>0</v>
      </c>
      <c r="L145" s="112"/>
      <c r="M145" s="112"/>
      <c r="N145" s="151">
        <f>'Customer Count'!I132-'Customer Count'!H132</f>
        <v>14624.029503705133</v>
      </c>
      <c r="O145" s="230">
        <f t="shared" ca="1" si="24"/>
        <v>15764978.819801264</v>
      </c>
      <c r="P145" s="40"/>
      <c r="Q145" s="53"/>
      <c r="R145" s="12"/>
      <c r="S145"/>
    </row>
    <row r="146" spans="1:19" x14ac:dyDescent="0.2">
      <c r="A146" s="66">
        <v>44561</v>
      </c>
      <c r="B146" s="114">
        <f t="shared" si="25"/>
        <v>2021</v>
      </c>
      <c r="C146" s="114">
        <f t="shared" si="26"/>
        <v>12</v>
      </c>
      <c r="D146" s="103"/>
      <c r="E146" s="103"/>
      <c r="F146" s="171">
        <f ca="1">CDM!D154</f>
        <v>1038798.6979376742</v>
      </c>
      <c r="G146" s="103"/>
      <c r="H146" s="111">
        <f ca="1">Weather!AX72</f>
        <v>485.42000000000007</v>
      </c>
      <c r="I146" s="111">
        <f ca="1">Weather!AY72</f>
        <v>0</v>
      </c>
      <c r="J146" s="113">
        <v>31</v>
      </c>
      <c r="K146" s="108">
        <f t="shared" si="28"/>
        <v>0</v>
      </c>
      <c r="L146" s="112"/>
      <c r="M146" s="112"/>
      <c r="N146" s="151">
        <f>'Customer Count'!I133-'Customer Count'!H133</f>
        <v>14636.389254596274</v>
      </c>
      <c r="O146" s="230">
        <f t="shared" ca="1" si="24"/>
        <v>17208548.331067901</v>
      </c>
      <c r="P146" s="40"/>
      <c r="Q146" s="53"/>
      <c r="R146" s="12"/>
      <c r="S146"/>
    </row>
    <row r="147" spans="1:19" x14ac:dyDescent="0.2">
      <c r="A147" s="66">
        <v>44592</v>
      </c>
      <c r="B147" s="114">
        <f t="shared" si="25"/>
        <v>2022</v>
      </c>
      <c r="C147" s="114">
        <f t="shared" si="26"/>
        <v>1</v>
      </c>
      <c r="D147" s="103"/>
      <c r="E147" s="103"/>
      <c r="F147" s="171">
        <f ca="1">CDM!D155</f>
        <v>1005081.2242870992</v>
      </c>
      <c r="G147" s="103"/>
      <c r="H147" s="111">
        <f ca="1">H135</f>
        <v>607.33000000000004</v>
      </c>
      <c r="I147" s="111">
        <f ca="1">I135</f>
        <v>0</v>
      </c>
      <c r="J147" s="113">
        <v>31</v>
      </c>
      <c r="K147" s="108">
        <f t="shared" si="28"/>
        <v>0</v>
      </c>
      <c r="L147" s="112"/>
      <c r="M147" s="112"/>
      <c r="N147" s="151">
        <f>'Customer Count'!I134-'Customer Count'!H134</f>
        <v>14648.760646459366</v>
      </c>
      <c r="O147" s="231">
        <f t="shared" ca="1" si="24"/>
        <v>17970901.868818771</v>
      </c>
      <c r="P147" s="40"/>
      <c r="Q147" s="53"/>
      <c r="R147" s="12"/>
      <c r="S147"/>
    </row>
    <row r="148" spans="1:19" x14ac:dyDescent="0.2">
      <c r="A148" s="66">
        <v>44620</v>
      </c>
      <c r="B148" s="114">
        <f t="shared" si="25"/>
        <v>2022</v>
      </c>
      <c r="C148" s="114">
        <f t="shared" si="26"/>
        <v>2</v>
      </c>
      <c r="D148" s="103"/>
      <c r="E148" s="103"/>
      <c r="F148" s="171">
        <f ca="1">CDM!D156</f>
        <v>1005081.2242870992</v>
      </c>
      <c r="G148" s="103"/>
      <c r="H148" s="111">
        <f t="shared" ref="H148:I158" ca="1" si="29">H136</f>
        <v>533.1</v>
      </c>
      <c r="I148" s="111">
        <f t="shared" ca="1" si="29"/>
        <v>0</v>
      </c>
      <c r="J148" s="113">
        <v>28</v>
      </c>
      <c r="K148" s="108">
        <f t="shared" si="28"/>
        <v>0</v>
      </c>
      <c r="L148" s="112"/>
      <c r="M148" s="112"/>
      <c r="N148" s="151">
        <f>'Customer Count'!I135-'Customer Count'!H135</f>
        <v>14661.143689729104</v>
      </c>
      <c r="O148" s="231">
        <f t="shared" ca="1" si="24"/>
        <v>16030667.908521317</v>
      </c>
      <c r="P148" s="40"/>
      <c r="Q148" s="53"/>
      <c r="R148" s="12"/>
      <c r="S148"/>
    </row>
    <row r="149" spans="1:19" x14ac:dyDescent="0.2">
      <c r="A149" s="66">
        <v>44651</v>
      </c>
      <c r="B149" s="114">
        <f t="shared" si="25"/>
        <v>2022</v>
      </c>
      <c r="C149" s="114">
        <f t="shared" si="26"/>
        <v>3</v>
      </c>
      <c r="D149" s="103"/>
      <c r="E149" s="103"/>
      <c r="F149" s="171">
        <f ca="1">CDM!D157</f>
        <v>1005081.2242870992</v>
      </c>
      <c r="G149" s="103"/>
      <c r="H149" s="111">
        <f t="shared" ca="1" si="29"/>
        <v>453.77</v>
      </c>
      <c r="I149" s="111">
        <f t="shared" ca="1" si="29"/>
        <v>0.26000000000000012</v>
      </c>
      <c r="J149" s="113">
        <v>31</v>
      </c>
      <c r="K149" s="108">
        <f t="shared" si="28"/>
        <v>1</v>
      </c>
      <c r="L149" s="112"/>
      <c r="M149" s="112"/>
      <c r="N149" s="151">
        <f>'Customer Count'!I136-'Customer Count'!H136</f>
        <v>14673.538394853656</v>
      </c>
      <c r="O149" s="231">
        <f t="shared" ca="1" si="24"/>
        <v>16363181.537183139</v>
      </c>
      <c r="P149" s="40"/>
      <c r="Q149" s="53"/>
      <c r="R149" s="12"/>
      <c r="S149"/>
    </row>
    <row r="150" spans="1:19" x14ac:dyDescent="0.2">
      <c r="A150" s="66">
        <v>44681</v>
      </c>
      <c r="B150" s="114">
        <f t="shared" si="25"/>
        <v>2022</v>
      </c>
      <c r="C150" s="114">
        <f t="shared" si="26"/>
        <v>4</v>
      </c>
      <c r="D150" s="103"/>
      <c r="E150" s="103"/>
      <c r="F150" s="171">
        <f ca="1">CDM!D158</f>
        <v>1005081.2242870992</v>
      </c>
      <c r="G150" s="103"/>
      <c r="H150" s="111">
        <f t="shared" ca="1" si="29"/>
        <v>276.92999999999995</v>
      </c>
      <c r="I150" s="111">
        <f t="shared" ca="1" si="29"/>
        <v>1.2600000000000002</v>
      </c>
      <c r="J150" s="113">
        <v>30</v>
      </c>
      <c r="K150" s="108">
        <f t="shared" si="28"/>
        <v>1</v>
      </c>
      <c r="L150" s="112"/>
      <c r="M150" s="112"/>
      <c r="N150" s="151">
        <f>'Customer Count'!I137-'Customer Count'!H137</f>
        <v>14685.944772294675</v>
      </c>
      <c r="O150" s="231">
        <f t="shared" ca="1" si="24"/>
        <v>14809693.407295547</v>
      </c>
      <c r="P150" s="40"/>
      <c r="Q150" s="53"/>
      <c r="R150" s="12"/>
      <c r="S150"/>
    </row>
    <row r="151" spans="1:19" x14ac:dyDescent="0.2">
      <c r="A151" s="66">
        <v>44712</v>
      </c>
      <c r="B151" s="114">
        <f t="shared" si="25"/>
        <v>2022</v>
      </c>
      <c r="C151" s="114">
        <f t="shared" si="26"/>
        <v>5</v>
      </c>
      <c r="D151" s="103"/>
      <c r="E151" s="103"/>
      <c r="F151" s="171">
        <f ca="1">CDM!D159</f>
        <v>1005081.2242870992</v>
      </c>
      <c r="G151" s="103"/>
      <c r="H151" s="111">
        <f t="shared" ca="1" si="29"/>
        <v>91.789999999999992</v>
      </c>
      <c r="I151" s="111">
        <f t="shared" ca="1" si="29"/>
        <v>44.669999999999995</v>
      </c>
      <c r="J151" s="113">
        <v>31</v>
      </c>
      <c r="K151" s="108">
        <f t="shared" si="28"/>
        <v>1</v>
      </c>
      <c r="L151" s="112"/>
      <c r="M151" s="112"/>
      <c r="N151" s="151">
        <f>'Customer Count'!I138-'Customer Count'!H138</f>
        <v>14698.362832527331</v>
      </c>
      <c r="O151" s="231">
        <f t="shared" ca="1" si="24"/>
        <v>15452553.980921827</v>
      </c>
      <c r="P151" s="40"/>
      <c r="Q151" s="53"/>
      <c r="R151" s="12"/>
      <c r="S151"/>
    </row>
    <row r="152" spans="1:19" x14ac:dyDescent="0.2">
      <c r="A152" s="66">
        <v>44742</v>
      </c>
      <c r="B152" s="114">
        <f t="shared" si="25"/>
        <v>2022</v>
      </c>
      <c r="C152" s="114">
        <f t="shared" si="26"/>
        <v>6</v>
      </c>
      <c r="D152" s="103"/>
      <c r="E152" s="103"/>
      <c r="F152" s="171">
        <f ca="1">CDM!D160</f>
        <v>1005081.2242870992</v>
      </c>
      <c r="G152" s="103"/>
      <c r="H152" s="111">
        <f t="shared" ca="1" si="29"/>
        <v>8.3199999999999985</v>
      </c>
      <c r="I152" s="111">
        <f t="shared" ca="1" si="29"/>
        <v>115.62</v>
      </c>
      <c r="J152" s="113">
        <v>30</v>
      </c>
      <c r="K152" s="108">
        <f t="shared" si="28"/>
        <v>0</v>
      </c>
      <c r="L152" s="112"/>
      <c r="M152" s="112"/>
      <c r="N152" s="151">
        <f>'Customer Count'!I139-'Customer Count'!H139</f>
        <v>14710.792586040297</v>
      </c>
      <c r="O152" s="231">
        <f t="shared" ca="1" si="24"/>
        <v>17228005.353237271</v>
      </c>
      <c r="P152" s="40"/>
      <c r="Q152" s="53"/>
      <c r="R152" s="12"/>
      <c r="S152"/>
    </row>
    <row r="153" spans="1:19" x14ac:dyDescent="0.2">
      <c r="A153" s="66">
        <v>44773</v>
      </c>
      <c r="B153" s="114">
        <f t="shared" si="25"/>
        <v>2022</v>
      </c>
      <c r="C153" s="114">
        <f t="shared" si="26"/>
        <v>7</v>
      </c>
      <c r="D153" s="103"/>
      <c r="E153" s="103"/>
      <c r="F153" s="171">
        <f ca="1">CDM!D161</f>
        <v>1005081.2242870992</v>
      </c>
      <c r="G153" s="103"/>
      <c r="H153" s="111">
        <f t="shared" ca="1" si="29"/>
        <v>0</v>
      </c>
      <c r="I153" s="111">
        <f t="shared" ca="1" si="29"/>
        <v>224.87000000000003</v>
      </c>
      <c r="J153" s="113">
        <v>31</v>
      </c>
      <c r="K153" s="108">
        <f t="shared" si="28"/>
        <v>0</v>
      </c>
      <c r="L153" s="112"/>
      <c r="M153" s="112"/>
      <c r="N153" s="151">
        <f>'Customer Count'!I140-'Customer Count'!H140</f>
        <v>14723.234043335771</v>
      </c>
      <c r="O153" s="231">
        <f t="shared" ca="1" si="24"/>
        <v>20914416.349376045</v>
      </c>
      <c r="P153" s="40"/>
      <c r="Q153" s="53"/>
      <c r="R153" s="12"/>
      <c r="S153"/>
    </row>
    <row r="154" spans="1:19" x14ac:dyDescent="0.2">
      <c r="A154" s="66">
        <v>44804</v>
      </c>
      <c r="B154" s="114">
        <f t="shared" si="25"/>
        <v>2022</v>
      </c>
      <c r="C154" s="114">
        <f t="shared" si="26"/>
        <v>8</v>
      </c>
      <c r="D154" s="103"/>
      <c r="E154" s="103"/>
      <c r="F154" s="171">
        <f ca="1">CDM!D162</f>
        <v>1005081.2242870992</v>
      </c>
      <c r="G154" s="103"/>
      <c r="H154" s="111">
        <f t="shared" ca="1" si="29"/>
        <v>9.9999999999999638E-3</v>
      </c>
      <c r="I154" s="111">
        <f t="shared" ca="1" si="29"/>
        <v>186.09000000000003</v>
      </c>
      <c r="J154" s="113">
        <v>31</v>
      </c>
      <c r="K154" s="108">
        <f t="shared" si="28"/>
        <v>0</v>
      </c>
      <c r="L154" s="112"/>
      <c r="M154" s="112"/>
      <c r="N154" s="151">
        <f>'Customer Count'!I141-'Customer Count'!H141</f>
        <v>14735.687214929501</v>
      </c>
      <c r="O154" s="231">
        <f t="shared" ca="1" si="24"/>
        <v>19774276.886953201</v>
      </c>
      <c r="P154" s="40"/>
      <c r="Q154" s="53"/>
      <c r="R154" s="12"/>
      <c r="S154"/>
    </row>
    <row r="155" spans="1:19" x14ac:dyDescent="0.2">
      <c r="A155" s="66">
        <v>44834</v>
      </c>
      <c r="B155" s="114">
        <f t="shared" si="25"/>
        <v>2022</v>
      </c>
      <c r="C155" s="114">
        <f t="shared" si="26"/>
        <v>9</v>
      </c>
      <c r="D155" s="103"/>
      <c r="E155" s="103"/>
      <c r="F155" s="171">
        <f ca="1">CDM!D163</f>
        <v>1005081.2242870992</v>
      </c>
      <c r="G155" s="103"/>
      <c r="H155" s="111">
        <f t="shared" ca="1" si="29"/>
        <v>19.43</v>
      </c>
      <c r="I155" s="111">
        <f t="shared" ca="1" si="29"/>
        <v>90.78</v>
      </c>
      <c r="J155" s="113">
        <v>30</v>
      </c>
      <c r="K155" s="108">
        <f t="shared" si="28"/>
        <v>0</v>
      </c>
      <c r="L155" s="112"/>
      <c r="M155" s="112"/>
      <c r="N155" s="151">
        <f>'Customer Count'!I142-'Customer Count'!H142</f>
        <v>14748.152111350762</v>
      </c>
      <c r="O155" s="231">
        <f t="shared" ca="1" si="24"/>
        <v>16584748.649947429</v>
      </c>
      <c r="P155" s="40"/>
      <c r="Q155" s="53"/>
      <c r="R155" s="12"/>
      <c r="S155"/>
    </row>
    <row r="156" spans="1:19" x14ac:dyDescent="0.2">
      <c r="A156" s="66">
        <v>44865</v>
      </c>
      <c r="B156" s="114">
        <f t="shared" si="25"/>
        <v>2022</v>
      </c>
      <c r="C156" s="114">
        <f t="shared" si="26"/>
        <v>10</v>
      </c>
      <c r="D156" s="103"/>
      <c r="E156" s="103"/>
      <c r="F156" s="171">
        <f ca="1">CDM!D164</f>
        <v>1005081.2242870992</v>
      </c>
      <c r="G156" s="103"/>
      <c r="H156" s="111">
        <f t="shared" ca="1" si="29"/>
        <v>147.23999999999998</v>
      </c>
      <c r="I156" s="111">
        <f t="shared" ca="1" si="29"/>
        <v>14.710000000000003</v>
      </c>
      <c r="J156" s="113">
        <v>31</v>
      </c>
      <c r="K156" s="108">
        <f t="shared" si="28"/>
        <v>0</v>
      </c>
      <c r="L156" s="112"/>
      <c r="M156" s="112"/>
      <c r="N156" s="151">
        <f>'Customer Count'!I143-'Customer Count'!H143</f>
        <v>14760.628743142401</v>
      </c>
      <c r="O156" s="231">
        <f t="shared" ca="1" si="24"/>
        <v>15628024.123720948</v>
      </c>
      <c r="P156" s="40"/>
      <c r="Q156" s="53"/>
      <c r="R156" s="12"/>
      <c r="S156"/>
    </row>
    <row r="157" spans="1:19" x14ac:dyDescent="0.2">
      <c r="A157" s="66">
        <v>44895</v>
      </c>
      <c r="B157" s="114">
        <f t="shared" si="25"/>
        <v>2022</v>
      </c>
      <c r="C157" s="114">
        <f t="shared" si="26"/>
        <v>11</v>
      </c>
      <c r="D157" s="103"/>
      <c r="E157" s="103"/>
      <c r="F157" s="171">
        <f ca="1">CDM!D165</f>
        <v>1005081.2242870992</v>
      </c>
      <c r="G157" s="103"/>
      <c r="H157" s="111">
        <f t="shared" ca="1" si="29"/>
        <v>331.03</v>
      </c>
      <c r="I157" s="111">
        <f t="shared" ca="1" si="29"/>
        <v>0.54000000000000026</v>
      </c>
      <c r="J157" s="113">
        <v>30</v>
      </c>
      <c r="K157" s="108">
        <f t="shared" si="28"/>
        <v>0</v>
      </c>
      <c r="L157" s="112"/>
      <c r="M157" s="112"/>
      <c r="N157" s="151">
        <f>'Customer Count'!I144-'Customer Count'!H144</f>
        <v>14773.117120860836</v>
      </c>
      <c r="O157" s="231">
        <f t="shared" ca="1" si="24"/>
        <v>15857887.909847468</v>
      </c>
      <c r="P157" s="40"/>
      <c r="Q157" s="53"/>
      <c r="R157" s="12"/>
      <c r="S157"/>
    </row>
    <row r="158" spans="1:19" x14ac:dyDescent="0.2">
      <c r="A158" s="66">
        <v>44926</v>
      </c>
      <c r="B158" s="114">
        <f t="shared" si="25"/>
        <v>2022</v>
      </c>
      <c r="C158" s="114">
        <f t="shared" si="26"/>
        <v>12</v>
      </c>
      <c r="D158" s="103"/>
      <c r="E158" s="103"/>
      <c r="F158" s="171">
        <f ca="1">CDM!D166</f>
        <v>1005081.2242870992</v>
      </c>
      <c r="G158" s="103"/>
      <c r="H158" s="111">
        <f t="shared" ca="1" si="29"/>
        <v>485.42000000000007</v>
      </c>
      <c r="I158" s="111">
        <f t="shared" ca="1" si="29"/>
        <v>0</v>
      </c>
      <c r="J158" s="113">
        <v>31</v>
      </c>
      <c r="K158" s="108">
        <f t="shared" si="28"/>
        <v>0</v>
      </c>
      <c r="L158" s="112"/>
      <c r="M158" s="112"/>
      <c r="N158" s="151">
        <f>'Customer Count'!I145-'Customer Count'!H145</f>
        <v>14785.617255076055</v>
      </c>
      <c r="O158" s="231">
        <f t="shared" ca="1" si="24"/>
        <v>17301544.905823745</v>
      </c>
      <c r="P158" s="40"/>
      <c r="Q158" s="53"/>
      <c r="R158" s="12"/>
      <c r="S158"/>
    </row>
    <row r="159" spans="1:19" x14ac:dyDescent="0.2">
      <c r="A159" s="41"/>
      <c r="B159" s="6"/>
      <c r="C159" s="6"/>
      <c r="J159" s="10"/>
      <c r="K159" s="10"/>
      <c r="S159"/>
    </row>
    <row r="160" spans="1:19" x14ac:dyDescent="0.2">
      <c r="A160" s="41"/>
      <c r="B160" s="6"/>
      <c r="C160" s="6"/>
      <c r="J160" s="10"/>
      <c r="K160" s="10"/>
      <c r="S160"/>
    </row>
    <row r="161" spans="1:26" x14ac:dyDescent="0.2">
      <c r="A161" s="41"/>
      <c r="B161" s="41"/>
      <c r="C161" s="41"/>
      <c r="J161" s="10"/>
      <c r="K161" s="10"/>
      <c r="S161"/>
    </row>
    <row r="162" spans="1:26" x14ac:dyDescent="0.2">
      <c r="A162" s="41"/>
      <c r="B162" s="41"/>
      <c r="C162" s="41"/>
      <c r="H162" s="14"/>
      <c r="I162" s="76" t="s">
        <v>65</v>
      </c>
      <c r="J162" s="10"/>
      <c r="K162" s="10"/>
      <c r="O162" s="40">
        <f ca="1">SUM(O3:O146)</f>
        <v>2368019207.5003448</v>
      </c>
    </row>
    <row r="163" spans="1:26" x14ac:dyDescent="0.2">
      <c r="A163" s="41"/>
      <c r="B163" s="41"/>
      <c r="C163" s="41"/>
      <c r="J163" s="10"/>
      <c r="K163" s="10"/>
    </row>
    <row r="164" spans="1:26" x14ac:dyDescent="0.2">
      <c r="O164" s="6"/>
      <c r="P164" s="196" t="s">
        <v>131</v>
      </c>
      <c r="Q164" s="55" t="s">
        <v>142</v>
      </c>
      <c r="R164" s="196" t="s">
        <v>146</v>
      </c>
      <c r="S164" s="55" t="s">
        <v>226</v>
      </c>
      <c r="T164" s="5"/>
      <c r="W164" s="55"/>
      <c r="X164" s="55"/>
      <c r="Y164" s="55"/>
      <c r="Z164" s="55"/>
    </row>
    <row r="165" spans="1:26" x14ac:dyDescent="0.2">
      <c r="A165" s="32">
        <v>2011</v>
      </c>
      <c r="D165" s="6">
        <f>SUMIF($B$3:$B$158,$A165,D$3:D$158)</f>
        <v>190473063.91087499</v>
      </c>
      <c r="E165" s="6">
        <f>SUMIF($B$3:$B$158,$A165,E$3:E$158)</f>
        <v>0</v>
      </c>
      <c r="F165" s="6">
        <f ca="1">SUMIF($B$3:$B$158,$A165,F$3:F$158)</f>
        <v>520824.3209481074</v>
      </c>
      <c r="G165" s="6">
        <f ca="1">SUMIF($B$3:$B$158,$A165,G$3:G$158)</f>
        <v>190993888.23182315</v>
      </c>
      <c r="O165" s="6">
        <f>SUMIF($B$3:$B$158,$A165,O$3:O$158)</f>
        <v>190092384.40525234</v>
      </c>
      <c r="P165" s="128">
        <f t="shared" ref="P165:P176" ca="1" si="30">F165</f>
        <v>520824.3209481074</v>
      </c>
      <c r="Q165" s="48">
        <f ca="1">O165-P165</f>
        <v>189571560.08430424</v>
      </c>
      <c r="R165" s="6">
        <f t="shared" ref="R165:R174" si="31">E165</f>
        <v>0</v>
      </c>
      <c r="S165" s="72">
        <f t="shared" ref="S165:S174" ca="1" si="32">O165-P165+R165</f>
        <v>189571560.08430424</v>
      </c>
      <c r="T165" s="44">
        <f t="shared" ref="T165:T174" ca="1" si="33">D165-S165</f>
        <v>901503.82657074928</v>
      </c>
      <c r="U165" s="47">
        <f t="shared" ref="U165:U174" ca="1" si="34">T165/S165</f>
        <v>4.7554803377143811E-3</v>
      </c>
      <c r="X165" s="128"/>
      <c r="Y165" s="128"/>
      <c r="Z165" s="128"/>
    </row>
    <row r="166" spans="1:26" x14ac:dyDescent="0.2">
      <c r="A166" s="32">
        <v>2012</v>
      </c>
      <c r="D166" s="6">
        <f t="shared" ref="D166:G176" si="35">SUMIF($B$3:$B$158,$A166,D$3:D$158)</f>
        <v>191452810.61006799</v>
      </c>
      <c r="E166" s="6">
        <f t="shared" si="35"/>
        <v>0</v>
      </c>
      <c r="F166" s="6">
        <f t="shared" ca="1" si="35"/>
        <v>1532724.4935625999</v>
      </c>
      <c r="G166" s="6">
        <f t="shared" ca="1" si="35"/>
        <v>192985535.10363057</v>
      </c>
      <c r="O166" s="6">
        <f t="shared" ref="O166:O172" si="36">SUMIF($B$3:$B$158,$A166,O$3:O$158)</f>
        <v>191985538.89649025</v>
      </c>
      <c r="P166" s="128">
        <f t="shared" ca="1" si="30"/>
        <v>1532724.4935625999</v>
      </c>
      <c r="Q166" s="48">
        <f t="shared" ref="Q166:Q174" ca="1" si="37">O166-P166</f>
        <v>190452814.40292764</v>
      </c>
      <c r="R166" s="6">
        <f t="shared" si="31"/>
        <v>0</v>
      </c>
      <c r="S166" s="72">
        <f t="shared" ca="1" si="32"/>
        <v>190452814.40292764</v>
      </c>
      <c r="T166" s="44">
        <f t="shared" ca="1" si="33"/>
        <v>999996.2071403563</v>
      </c>
      <c r="U166" s="47">
        <f t="shared" ca="1" si="34"/>
        <v>5.2506244671435233E-3</v>
      </c>
      <c r="X166" s="128"/>
      <c r="Y166" s="128"/>
      <c r="Z166" s="128"/>
    </row>
    <row r="167" spans="1:26" x14ac:dyDescent="0.2">
      <c r="A167" s="32">
        <v>2013</v>
      </c>
      <c r="D167" s="6">
        <f t="shared" si="35"/>
        <v>189981587.17494002</v>
      </c>
      <c r="E167" s="6">
        <f t="shared" si="35"/>
        <v>0</v>
      </c>
      <c r="F167" s="6">
        <f t="shared" ca="1" si="35"/>
        <v>2655730.9873594944</v>
      </c>
      <c r="G167" s="6">
        <f t="shared" ca="1" si="35"/>
        <v>192637318.16229948</v>
      </c>
      <c r="O167" s="6">
        <f t="shared" si="36"/>
        <v>190418026.38922206</v>
      </c>
      <c r="P167" s="128">
        <f t="shared" ca="1" si="30"/>
        <v>2655730.9873594944</v>
      </c>
      <c r="Q167" s="48">
        <f t="shared" ca="1" si="37"/>
        <v>187762295.40186256</v>
      </c>
      <c r="R167" s="6">
        <f t="shared" si="31"/>
        <v>0</v>
      </c>
      <c r="S167" s="72">
        <f t="shared" ca="1" si="32"/>
        <v>187762295.40186256</v>
      </c>
      <c r="T167" s="44">
        <f t="shared" ca="1" si="33"/>
        <v>2219291.7730774581</v>
      </c>
      <c r="U167" s="47">
        <f t="shared" ca="1" si="34"/>
        <v>1.1819688123899252E-2</v>
      </c>
      <c r="X167" s="128"/>
      <c r="Y167" s="128"/>
      <c r="Z167" s="128"/>
    </row>
    <row r="168" spans="1:26" x14ac:dyDescent="0.2">
      <c r="A168" s="32">
        <v>2014</v>
      </c>
      <c r="D168" s="6">
        <f t="shared" si="35"/>
        <v>188316012.84</v>
      </c>
      <c r="E168" s="6">
        <f t="shared" si="35"/>
        <v>0</v>
      </c>
      <c r="F168" s="6">
        <f t="shared" ca="1" si="35"/>
        <v>3764717.9785461775</v>
      </c>
      <c r="G168" s="6">
        <f ca="1">SUMIF($B$3:$B$158,$A168,G$3:G$158)</f>
        <v>192080730.81854618</v>
      </c>
      <c r="O168" s="6">
        <f t="shared" si="36"/>
        <v>193114285.42579129</v>
      </c>
      <c r="P168" s="128">
        <f t="shared" ca="1" si="30"/>
        <v>3764717.9785461775</v>
      </c>
      <c r="Q168" s="48">
        <f t="shared" ca="1" si="37"/>
        <v>189349567.44724512</v>
      </c>
      <c r="R168" s="6">
        <f t="shared" si="31"/>
        <v>0</v>
      </c>
      <c r="S168" s="72">
        <f t="shared" ca="1" si="32"/>
        <v>189349567.44724512</v>
      </c>
      <c r="T168" s="44">
        <f t="shared" ca="1" si="33"/>
        <v>-1033554.6072451174</v>
      </c>
      <c r="U168" s="47">
        <f t="shared" ca="1" si="34"/>
        <v>-5.4584471524239267E-3</v>
      </c>
      <c r="X168" s="128"/>
      <c r="Y168" s="128"/>
      <c r="Z168" s="128"/>
    </row>
    <row r="169" spans="1:26" x14ac:dyDescent="0.2">
      <c r="A169" s="42">
        <v>2015</v>
      </c>
      <c r="B169" s="42"/>
      <c r="C169" s="42"/>
      <c r="D169" s="6">
        <f t="shared" si="35"/>
        <v>188795455.39999998</v>
      </c>
      <c r="E169" s="6">
        <f t="shared" si="35"/>
        <v>0</v>
      </c>
      <c r="F169" s="6">
        <f t="shared" ca="1" si="35"/>
        <v>5732266.0412412714</v>
      </c>
      <c r="G169" s="6">
        <f t="shared" ca="1" si="35"/>
        <v>194527721.44124129</v>
      </c>
      <c r="O169" s="6">
        <f>SUMIF($B$3:$B$158,$A169,O$3:O$158)</f>
        <v>196549576.44292995</v>
      </c>
      <c r="P169" s="128">
        <f t="shared" ca="1" si="30"/>
        <v>5732266.0412412714</v>
      </c>
      <c r="Q169" s="48">
        <f t="shared" ca="1" si="37"/>
        <v>190817310.40168869</v>
      </c>
      <c r="R169" s="6">
        <f t="shared" si="31"/>
        <v>0</v>
      </c>
      <c r="S169" s="72">
        <f t="shared" ca="1" si="32"/>
        <v>190817310.40168869</v>
      </c>
      <c r="T169" s="44">
        <f t="shared" ca="1" si="33"/>
        <v>-2021855.0016887188</v>
      </c>
      <c r="U169" s="47">
        <f t="shared" ca="1" si="34"/>
        <v>-1.059576302292764E-2</v>
      </c>
      <c r="X169" s="128"/>
      <c r="Y169" s="128"/>
      <c r="Z169" s="128"/>
    </row>
    <row r="170" spans="1:26" x14ac:dyDescent="0.2">
      <c r="A170" s="32">
        <v>2016</v>
      </c>
      <c r="D170" s="6">
        <f t="shared" si="35"/>
        <v>189916009.50999996</v>
      </c>
      <c r="E170" s="6">
        <f t="shared" si="35"/>
        <v>0</v>
      </c>
      <c r="F170" s="6">
        <f t="shared" ca="1" si="35"/>
        <v>8429939.1914095152</v>
      </c>
      <c r="G170" s="6">
        <f ca="1">SUMIF($B$3:$B$158,$A170,G$3:G$158)</f>
        <v>198345948.70140949</v>
      </c>
      <c r="O170" s="6">
        <f t="shared" si="36"/>
        <v>201871354.17034224</v>
      </c>
      <c r="P170" s="128">
        <f t="shared" ca="1" si="30"/>
        <v>8429939.1914095152</v>
      </c>
      <c r="Q170" s="48">
        <f t="shared" ca="1" si="37"/>
        <v>193441414.97893271</v>
      </c>
      <c r="R170" s="6">
        <f t="shared" si="31"/>
        <v>0</v>
      </c>
      <c r="S170" s="72">
        <f t="shared" ca="1" si="32"/>
        <v>193441414.97893271</v>
      </c>
      <c r="T170" s="44">
        <f t="shared" ca="1" si="33"/>
        <v>-3525405.4689327478</v>
      </c>
      <c r="U170" s="47">
        <f t="shared" ca="1" si="34"/>
        <v>-1.8224667501096869E-2</v>
      </c>
      <c r="X170" s="128"/>
      <c r="Y170" s="128"/>
      <c r="Z170" s="128"/>
    </row>
    <row r="171" spans="1:26" x14ac:dyDescent="0.2">
      <c r="A171" s="42">
        <v>2017</v>
      </c>
      <c r="B171" s="42"/>
      <c r="C171" s="42"/>
      <c r="D171" s="6">
        <f t="shared" si="35"/>
        <v>211070217.70538622</v>
      </c>
      <c r="E171" s="6">
        <f t="shared" si="35"/>
        <v>29983391.131810207</v>
      </c>
      <c r="F171" s="6">
        <f t="shared" ca="1" si="35"/>
        <v>10777674.105339322</v>
      </c>
      <c r="G171" s="6">
        <f t="shared" ca="1" si="35"/>
        <v>191864500.67891529</v>
      </c>
      <c r="O171" s="6">
        <f>SUMIF($B$3:$B$158,$A171,O$3:O$158)</f>
        <v>195655026.40164921</v>
      </c>
      <c r="P171" s="128">
        <f t="shared" ca="1" si="30"/>
        <v>10777674.105339322</v>
      </c>
      <c r="Q171" s="48">
        <f t="shared" ca="1" si="37"/>
        <v>184877352.29630989</v>
      </c>
      <c r="R171" s="6">
        <f t="shared" si="31"/>
        <v>29983391.131810207</v>
      </c>
      <c r="S171" s="72">
        <f t="shared" ca="1" si="32"/>
        <v>214860743.42812011</v>
      </c>
      <c r="T171" s="44">
        <f t="shared" ca="1" si="33"/>
        <v>-3790525.722733885</v>
      </c>
      <c r="U171" s="47">
        <f t="shared" ca="1" si="34"/>
        <v>-1.7641778866887215E-2</v>
      </c>
      <c r="X171" s="128"/>
      <c r="Y171" s="128"/>
      <c r="Z171" s="128"/>
    </row>
    <row r="172" spans="1:26" x14ac:dyDescent="0.2">
      <c r="A172" s="32">
        <v>2018</v>
      </c>
      <c r="D172" s="6">
        <f t="shared" si="35"/>
        <v>237650537.15783811</v>
      </c>
      <c r="E172" s="6">
        <f t="shared" si="35"/>
        <v>43380633.574119426</v>
      </c>
      <c r="F172" s="6">
        <f t="shared" ca="1" si="35"/>
        <v>12072341.1015485</v>
      </c>
      <c r="G172" s="6">
        <f t="shared" ca="1" si="35"/>
        <v>206342244.68526715</v>
      </c>
      <c r="O172" s="6">
        <f t="shared" si="36"/>
        <v>204340963.4353236</v>
      </c>
      <c r="P172" s="128">
        <f t="shared" ca="1" si="30"/>
        <v>12072341.1015485</v>
      </c>
      <c r="Q172" s="48">
        <f t="shared" ca="1" si="37"/>
        <v>192268622.3337751</v>
      </c>
      <c r="R172" s="6">
        <f t="shared" si="31"/>
        <v>43380633.574119426</v>
      </c>
      <c r="S172" s="72">
        <f t="shared" ca="1" si="32"/>
        <v>235649255.90789452</v>
      </c>
      <c r="T172" s="44">
        <f t="shared" ca="1" si="33"/>
        <v>2001281.2499435842</v>
      </c>
      <c r="U172" s="47">
        <f t="shared" ca="1" si="34"/>
        <v>8.4926270708268296E-3</v>
      </c>
      <c r="X172" s="128"/>
      <c r="Y172" s="128"/>
      <c r="Z172" s="128"/>
    </row>
    <row r="173" spans="1:26" x14ac:dyDescent="0.2">
      <c r="A173" s="42">
        <v>2019</v>
      </c>
      <c r="B173" s="42"/>
      <c r="C173" s="42"/>
      <c r="D173" s="6">
        <f t="shared" si="35"/>
        <v>239547871.85641468</v>
      </c>
      <c r="E173" s="6">
        <f t="shared" si="35"/>
        <v>49068645.301379278</v>
      </c>
      <c r="F173" s="6">
        <f t="shared" ca="1" si="35"/>
        <v>12639893.64039978</v>
      </c>
      <c r="G173" s="6">
        <f t="shared" ca="1" si="35"/>
        <v>203119120.1954352</v>
      </c>
      <c r="O173" s="6">
        <f>SUMIF($B$3:$B$158,$A173,O$3:O$158)</f>
        <v>198982955.22219941</v>
      </c>
      <c r="P173" s="128">
        <f t="shared" ca="1" si="30"/>
        <v>12639893.64039978</v>
      </c>
      <c r="Q173" s="48">
        <f t="shared" ca="1" si="37"/>
        <v>186343061.58179963</v>
      </c>
      <c r="R173" s="6">
        <f t="shared" si="31"/>
        <v>49068645.301379278</v>
      </c>
      <c r="S173" s="72">
        <f t="shared" ca="1" si="32"/>
        <v>235411706.88317889</v>
      </c>
      <c r="T173" s="44">
        <f t="shared" ca="1" si="33"/>
        <v>4136164.973235786</v>
      </c>
      <c r="U173" s="47">
        <f t="shared" ca="1" si="34"/>
        <v>1.7569920493751501E-2</v>
      </c>
      <c r="X173" s="128"/>
      <c r="Y173" s="128"/>
      <c r="Z173" s="128"/>
    </row>
    <row r="174" spans="1:26" x14ac:dyDescent="0.2">
      <c r="A174" s="32">
        <v>2020</v>
      </c>
      <c r="D174" s="6">
        <f t="shared" si="35"/>
        <v>257550552.01565266</v>
      </c>
      <c r="E174" s="6">
        <f>SUMIF($B$3:$B$158,$A174,E$3:E$158)</f>
        <v>59182119.984162331</v>
      </c>
      <c r="F174" s="6">
        <f ca="1">SUMIF($B$3:$B$158,$A174,F$3:F$158)</f>
        <v>12589383.279705403</v>
      </c>
      <c r="G174" s="6">
        <f t="shared" ca="1" si="35"/>
        <v>210957815.31119573</v>
      </c>
      <c r="O174" s="6">
        <f>SUMIF($B$3:$B$158,$A174,O$3:O$158)</f>
        <v>211212005.06697172</v>
      </c>
      <c r="P174" s="128">
        <f t="shared" ca="1" si="30"/>
        <v>12589383.279705403</v>
      </c>
      <c r="Q174" s="48">
        <f t="shared" ca="1" si="37"/>
        <v>198622621.78726631</v>
      </c>
      <c r="R174" s="6">
        <f t="shared" si="31"/>
        <v>59182119.984162331</v>
      </c>
      <c r="S174" s="72">
        <f t="shared" ca="1" si="32"/>
        <v>257804741.77142864</v>
      </c>
      <c r="T174" s="44">
        <f t="shared" ca="1" si="33"/>
        <v>-254189.7557759881</v>
      </c>
      <c r="U174" s="47">
        <f t="shared" ca="1" si="34"/>
        <v>-9.8597781417594874E-4</v>
      </c>
      <c r="X174" s="128"/>
      <c r="Y174" s="128"/>
      <c r="Z174" s="128"/>
    </row>
    <row r="175" spans="1:26" x14ac:dyDescent="0.2">
      <c r="A175" s="32">
        <v>2021</v>
      </c>
      <c r="F175" s="6">
        <f t="shared" ca="1" si="35"/>
        <v>12465584.375252092</v>
      </c>
      <c r="O175" s="17">
        <f ca="1">SUMIF($B$3:$B$158,$A175,O$3:O$158)</f>
        <v>206481424.54962337</v>
      </c>
      <c r="P175" s="128">
        <f t="shared" ca="1" si="30"/>
        <v>12465584.375252092</v>
      </c>
      <c r="Q175" s="232">
        <f ca="1">O175-P175</f>
        <v>194015840.17437127</v>
      </c>
      <c r="R175" s="50">
        <f ca="1">'Embedded Distributor'!K10</f>
        <v>58368501.882965423</v>
      </c>
      <c r="S175" s="229">
        <f ca="1">O175-P175+R175</f>
        <v>252384342.05733669</v>
      </c>
      <c r="T175" s="44"/>
      <c r="X175" s="128"/>
      <c r="Y175" s="128"/>
      <c r="Z175" s="128"/>
    </row>
    <row r="176" spans="1:26" x14ac:dyDescent="0.2">
      <c r="A176" s="32">
        <v>2022</v>
      </c>
      <c r="F176" s="6">
        <f t="shared" ca="1" si="35"/>
        <v>12060974.691445194</v>
      </c>
      <c r="O176" s="17">
        <f ca="1">SUMIF($B$3:$B$158,$A176,O$3:O$158)</f>
        <v>203915902.88164669</v>
      </c>
      <c r="P176" s="128">
        <f t="shared" ca="1" si="30"/>
        <v>12060974.691445194</v>
      </c>
      <c r="Q176" s="232">
        <f ca="1">O176-P176</f>
        <v>191854928.19020149</v>
      </c>
      <c r="R176" s="50">
        <f ca="1">'Embedded Distributor'!K11</f>
        <v>58660344.392380245</v>
      </c>
      <c r="S176" s="229">
        <f ca="1">O176-P176+R176</f>
        <v>250515272.58258173</v>
      </c>
      <c r="T176" s="44"/>
      <c r="X176" s="128"/>
      <c r="Y176" s="128"/>
      <c r="Z176" s="128"/>
    </row>
    <row r="177" spans="1:20" x14ac:dyDescent="0.2">
      <c r="O177" s="6"/>
      <c r="T177" s="195"/>
    </row>
    <row r="178" spans="1:20" x14ac:dyDescent="0.2">
      <c r="A178" s="54" t="s">
        <v>12</v>
      </c>
      <c r="B178" s="54"/>
      <c r="C178" s="54"/>
      <c r="D178" s="6">
        <f>SUM(D164:D174)</f>
        <v>2084754118.1811748</v>
      </c>
      <c r="G178" s="6">
        <f ca="1">SUM(G164:G174)</f>
        <v>1973854823.3297639</v>
      </c>
      <c r="O178" s="6">
        <f>SUM(O164:O174)</f>
        <v>1974222115.8561721</v>
      </c>
      <c r="P178" s="40"/>
      <c r="S178" s="6">
        <f ca="1">SUM(S165:S174)</f>
        <v>2085121410.7075832</v>
      </c>
      <c r="T178" s="6">
        <f ca="1">O178-G178</f>
        <v>367292.5264081955</v>
      </c>
    </row>
    <row r="179" spans="1:20" x14ac:dyDescent="0.2">
      <c r="T179" s="5"/>
    </row>
    <row r="180" spans="1:20" x14ac:dyDescent="0.2">
      <c r="O180" s="6">
        <f ca="1">SUM(O164:O175)</f>
        <v>2180703540.4057956</v>
      </c>
      <c r="P180" s="40">
        <f ca="1">O162-O180</f>
        <v>187315667.09454918</v>
      </c>
      <c r="S180" s="5"/>
    </row>
    <row r="181" spans="1:20" x14ac:dyDescent="0.2">
      <c r="L181" s="169"/>
      <c r="M181" s="169"/>
      <c r="N181" s="169"/>
      <c r="O181" s="169"/>
      <c r="P181" s="169"/>
      <c r="Q181"/>
      <c r="R181"/>
      <c r="S181" s="5"/>
    </row>
    <row r="182" spans="1:20" x14ac:dyDescent="0.2">
      <c r="S182" s="6"/>
    </row>
    <row r="183" spans="1:20" x14ac:dyDescent="0.2">
      <c r="S183" s="6"/>
    </row>
    <row r="184" spans="1:20" x14ac:dyDescent="0.2">
      <c r="A184" s="54" t="s">
        <v>61</v>
      </c>
      <c r="B184" s="54"/>
      <c r="C184" s="54"/>
      <c r="D184"/>
      <c r="E184"/>
      <c r="F184"/>
      <c r="G184"/>
      <c r="H184"/>
      <c r="I184"/>
      <c r="J184"/>
      <c r="K184"/>
      <c r="L184"/>
      <c r="M184"/>
      <c r="N184"/>
      <c r="O184"/>
      <c r="P184" s="55" t="s">
        <v>131</v>
      </c>
      <c r="Q184" s="195" t="str">
        <f>R164</f>
        <v>Embedded</v>
      </c>
      <c r="R184" s="55" t="s">
        <v>142</v>
      </c>
      <c r="T184" s="6"/>
    </row>
    <row r="185" spans="1:20" x14ac:dyDescent="0.2">
      <c r="A185" s="66">
        <v>44592</v>
      </c>
      <c r="B185" s="114">
        <f t="shared" ref="B185:B196" si="38">YEAR(A185)</f>
        <v>2022</v>
      </c>
      <c r="C185" s="114">
        <f t="shared" ref="C185:C196" si="39">MONTH(A185)</f>
        <v>1</v>
      </c>
      <c r="D185" s="103"/>
      <c r="E185" s="103"/>
      <c r="F185" s="103"/>
      <c r="G185" s="103"/>
      <c r="H185" s="70">
        <f ca="1">Weather!BC61</f>
        <v>608.40383458646636</v>
      </c>
      <c r="I185" s="70">
        <f ca="1">Weather!BD61</f>
        <v>0</v>
      </c>
      <c r="J185" s="67">
        <f>J147</f>
        <v>31</v>
      </c>
      <c r="K185" s="67">
        <f>K147</f>
        <v>0</v>
      </c>
      <c r="L185" s="67"/>
      <c r="M185" s="67"/>
      <c r="N185" s="67">
        <f>N147</f>
        <v>14648.760646459366</v>
      </c>
      <c r="O185" s="67">
        <f t="shared" ref="O185:O196" ca="1" si="40">$U$10+H185*$U$11+I185*$U$12+J185*$U$13+K185*$U$14+L185*$U$15+M185*$U$16+N185*$U$17</f>
        <v>17977549.089694455</v>
      </c>
      <c r="P185" s="44">
        <f t="shared" ref="P185:P196" ca="1" si="41">F147</f>
        <v>1005081.2242870992</v>
      </c>
      <c r="Q185" s="172">
        <f>E123*(1.005^2)</f>
        <v>4881625.8976655016</v>
      </c>
      <c r="R185" s="44">
        <f ca="1">O185-P185+Q185</f>
        <v>21854093.763072856</v>
      </c>
      <c r="S185" s="40"/>
    </row>
    <row r="186" spans="1:20" x14ac:dyDescent="0.2">
      <c r="A186" s="66">
        <v>44620</v>
      </c>
      <c r="B186" s="114">
        <f t="shared" si="38"/>
        <v>2022</v>
      </c>
      <c r="C186" s="114">
        <f t="shared" si="39"/>
        <v>2</v>
      </c>
      <c r="D186" s="103"/>
      <c r="E186" s="103"/>
      <c r="F186" s="103"/>
      <c r="G186" s="103"/>
      <c r="H186" s="70">
        <f ca="1">Weather!BC62</f>
        <v>530.0746616541353</v>
      </c>
      <c r="I186" s="70">
        <f ca="1">Weather!BD62</f>
        <v>0</v>
      </c>
      <c r="J186" s="67">
        <f t="shared" ref="J186:J196" si="42">J148</f>
        <v>28</v>
      </c>
      <c r="K186" s="67">
        <f t="shared" ref="K186:K196" si="43">K148</f>
        <v>0</v>
      </c>
      <c r="L186" s="68"/>
      <c r="M186" s="68"/>
      <c r="N186" s="67">
        <f t="shared" ref="N186:N196" si="44">N148</f>
        <v>14661.143689729104</v>
      </c>
      <c r="O186" s="67">
        <f t="shared" ca="1" si="40"/>
        <v>16011940.543560183</v>
      </c>
      <c r="P186" s="44">
        <f t="shared" ca="1" si="41"/>
        <v>1005081.2242870992</v>
      </c>
      <c r="Q186" s="172">
        <f t="shared" ref="Q186:Q196" si="45">E124*(1.005^2)</f>
        <v>3818961.0387443993</v>
      </c>
      <c r="R186" s="44">
        <f t="shared" ref="R186:R196" ca="1" si="46">O186-P186+Q186</f>
        <v>18825820.358017482</v>
      </c>
      <c r="S186" s="40"/>
    </row>
    <row r="187" spans="1:20" x14ac:dyDescent="0.2">
      <c r="A187" s="66">
        <v>44651</v>
      </c>
      <c r="B187" s="114">
        <f t="shared" si="38"/>
        <v>2022</v>
      </c>
      <c r="C187" s="114">
        <f t="shared" si="39"/>
        <v>3</v>
      </c>
      <c r="D187" s="103"/>
      <c r="E187" s="103"/>
      <c r="F187" s="103"/>
      <c r="G187" s="103"/>
      <c r="H187" s="70">
        <f ca="1">Weather!BC63</f>
        <v>448.21669172932332</v>
      </c>
      <c r="I187" s="70">
        <f ca="1">Weather!BD63</f>
        <v>0.19744360902255842</v>
      </c>
      <c r="J187" s="67">
        <f t="shared" si="42"/>
        <v>31</v>
      </c>
      <c r="K187" s="67">
        <f t="shared" si="43"/>
        <v>1</v>
      </c>
      <c r="L187" s="68"/>
      <c r="M187" s="68"/>
      <c r="N187" s="67">
        <f t="shared" si="44"/>
        <v>14673.538394853656</v>
      </c>
      <c r="O187" s="67">
        <f t="shared" ca="1" si="40"/>
        <v>16326953.814851496</v>
      </c>
      <c r="P187" s="44">
        <f t="shared" ca="1" si="41"/>
        <v>1005081.2242870992</v>
      </c>
      <c r="Q187" s="172">
        <f t="shared" si="45"/>
        <v>4073084.2718148017</v>
      </c>
      <c r="R187" s="44">
        <f t="shared" ca="1" si="46"/>
        <v>19394956.862379197</v>
      </c>
      <c r="S187" s="40"/>
    </row>
    <row r="188" spans="1:20" x14ac:dyDescent="0.2">
      <c r="A188" s="66">
        <v>44681</v>
      </c>
      <c r="B188" s="114">
        <f t="shared" si="38"/>
        <v>2022</v>
      </c>
      <c r="C188" s="114">
        <f t="shared" si="39"/>
        <v>4</v>
      </c>
      <c r="D188" s="103"/>
      <c r="E188" s="103"/>
      <c r="F188" s="103"/>
      <c r="G188" s="103"/>
      <c r="H188" s="70">
        <f ca="1">Weather!BC64</f>
        <v>287.38796992481275</v>
      </c>
      <c r="I188" s="70">
        <f ca="1">Weather!BD64</f>
        <v>0</v>
      </c>
      <c r="J188" s="67">
        <f t="shared" si="42"/>
        <v>30</v>
      </c>
      <c r="K188" s="67">
        <f t="shared" si="43"/>
        <v>1</v>
      </c>
      <c r="L188" s="68"/>
      <c r="M188" s="68"/>
      <c r="N188" s="67">
        <f t="shared" si="44"/>
        <v>14685.944772294675</v>
      </c>
      <c r="O188" s="67">
        <f t="shared" ca="1" si="40"/>
        <v>14837131.636812273</v>
      </c>
      <c r="P188" s="44">
        <f t="shared" ca="1" si="41"/>
        <v>1005081.2242870992</v>
      </c>
      <c r="Q188" s="172">
        <f t="shared" si="45"/>
        <v>3470189.5496893027</v>
      </c>
      <c r="R188" s="44">
        <f ca="1">O188-P188+Q188</f>
        <v>17302239.962214477</v>
      </c>
      <c r="S188" s="40"/>
    </row>
    <row r="189" spans="1:20" x14ac:dyDescent="0.2">
      <c r="A189" s="66">
        <v>44712</v>
      </c>
      <c r="B189" s="114">
        <f t="shared" si="38"/>
        <v>2022</v>
      </c>
      <c r="C189" s="114">
        <f t="shared" si="39"/>
        <v>5</v>
      </c>
      <c r="D189" s="103"/>
      <c r="E189" s="103"/>
      <c r="F189" s="103"/>
      <c r="G189" s="103"/>
      <c r="H189" s="70">
        <f ca="1">Weather!BC65</f>
        <v>96.100075187969935</v>
      </c>
      <c r="I189" s="70">
        <f ca="1">Weather!BD65</f>
        <v>52.986616541353214</v>
      </c>
      <c r="J189" s="67">
        <f t="shared" si="42"/>
        <v>31</v>
      </c>
      <c r="K189" s="67">
        <f t="shared" si="43"/>
        <v>1</v>
      </c>
      <c r="L189" s="68"/>
      <c r="M189" s="68"/>
      <c r="N189" s="67">
        <f t="shared" si="44"/>
        <v>14698.362832527331</v>
      </c>
      <c r="O189" s="67">
        <f t="shared" ca="1" si="40"/>
        <v>15725421.804720864</v>
      </c>
      <c r="P189" s="44">
        <f t="shared" ca="1" si="41"/>
        <v>1005081.2242870992</v>
      </c>
      <c r="Q189" s="172">
        <f t="shared" si="45"/>
        <v>4782713.5030446695</v>
      </c>
      <c r="R189" s="44">
        <f t="shared" ca="1" si="46"/>
        <v>19503054.083478432</v>
      </c>
      <c r="S189" s="40"/>
    </row>
    <row r="190" spans="1:20" x14ac:dyDescent="0.2">
      <c r="A190" s="66">
        <v>44742</v>
      </c>
      <c r="B190" s="114">
        <f t="shared" si="38"/>
        <v>2022</v>
      </c>
      <c r="C190" s="114">
        <f t="shared" si="39"/>
        <v>6</v>
      </c>
      <c r="D190" s="103"/>
      <c r="E190" s="103"/>
      <c r="F190" s="103"/>
      <c r="G190" s="103"/>
      <c r="H190" s="70">
        <f ca="1">Weather!BC66</f>
        <v>7.5652631578947194</v>
      </c>
      <c r="I190" s="70">
        <f ca="1">Weather!BD66</f>
        <v>110.8995488721805</v>
      </c>
      <c r="J190" s="67">
        <f t="shared" si="42"/>
        <v>30</v>
      </c>
      <c r="K190" s="67">
        <f t="shared" si="43"/>
        <v>0</v>
      </c>
      <c r="L190" s="68"/>
      <c r="M190" s="68"/>
      <c r="N190" s="67">
        <f t="shared" si="44"/>
        <v>14710.792586040297</v>
      </c>
      <c r="O190" s="67">
        <f t="shared" ca="1" si="40"/>
        <v>17083599.042884633</v>
      </c>
      <c r="P190" s="44">
        <f t="shared" ca="1" si="41"/>
        <v>1005081.2242870992</v>
      </c>
      <c r="Q190" s="172">
        <f t="shared" si="45"/>
        <v>6097820.3398076184</v>
      </c>
      <c r="R190" s="44">
        <f t="shared" ca="1" si="46"/>
        <v>22176338.158405151</v>
      </c>
      <c r="S190" s="40"/>
    </row>
    <row r="191" spans="1:20" ht="12.75" customHeight="1" x14ac:dyDescent="0.2">
      <c r="A191" s="66">
        <v>44773</v>
      </c>
      <c r="B191" s="114">
        <f t="shared" si="38"/>
        <v>2022</v>
      </c>
      <c r="C191" s="114">
        <f t="shared" si="39"/>
        <v>7</v>
      </c>
      <c r="D191" s="103"/>
      <c r="E191" s="103"/>
      <c r="F191" s="103"/>
      <c r="G191" s="103"/>
      <c r="H191" s="70">
        <f ca="1">Weather!BC67</f>
        <v>0</v>
      </c>
      <c r="I191" s="70">
        <f ca="1">Weather!BD67</f>
        <v>231.80947368421039</v>
      </c>
      <c r="J191" s="67">
        <f t="shared" si="42"/>
        <v>31</v>
      </c>
      <c r="K191" s="67">
        <f t="shared" si="43"/>
        <v>0</v>
      </c>
      <c r="L191" s="68"/>
      <c r="M191" s="68"/>
      <c r="N191" s="67">
        <f t="shared" si="44"/>
        <v>14723.234043335771</v>
      </c>
      <c r="O191" s="67">
        <f t="shared" ca="1" si="40"/>
        <v>21119838.01009281</v>
      </c>
      <c r="P191" s="44">
        <f t="shared" ca="1" si="41"/>
        <v>1005081.2242870992</v>
      </c>
      <c r="Q191" s="172">
        <f t="shared" si="45"/>
        <v>8211423.9535478186</v>
      </c>
      <c r="R191" s="44">
        <f t="shared" ca="1" si="46"/>
        <v>28326180.73935353</v>
      </c>
      <c r="S191" s="40"/>
      <c r="T191" s="100" t="s">
        <v>143</v>
      </c>
    </row>
    <row r="192" spans="1:20" x14ac:dyDescent="0.2">
      <c r="A192" s="66">
        <v>44804</v>
      </c>
      <c r="B192" s="114">
        <f t="shared" si="38"/>
        <v>2022</v>
      </c>
      <c r="C192" s="114">
        <f t="shared" si="39"/>
        <v>8</v>
      </c>
      <c r="D192" s="103"/>
      <c r="E192" s="103"/>
      <c r="F192" s="103"/>
      <c r="G192" s="103"/>
      <c r="H192" s="70">
        <f ca="1">Weather!BC68</f>
        <v>3.9022556390978735E-2</v>
      </c>
      <c r="I192" s="70">
        <f ca="1">Weather!BD68</f>
        <v>180.80398496240605</v>
      </c>
      <c r="J192" s="67">
        <f t="shared" si="42"/>
        <v>31</v>
      </c>
      <c r="K192" s="67">
        <f t="shared" si="43"/>
        <v>0</v>
      </c>
      <c r="L192" s="68"/>
      <c r="M192" s="68"/>
      <c r="N192" s="67">
        <f t="shared" si="44"/>
        <v>14735.687214929501</v>
      </c>
      <c r="O192" s="67">
        <f t="shared" ca="1" si="40"/>
        <v>19617980.411390722</v>
      </c>
      <c r="P192" s="44">
        <f t="shared" ca="1" si="41"/>
        <v>1005081.2242870992</v>
      </c>
      <c r="Q192" s="172">
        <f t="shared" si="45"/>
        <v>6678312.6229654504</v>
      </c>
      <c r="R192" s="44">
        <f t="shared" ca="1" si="46"/>
        <v>25291211.810069073</v>
      </c>
      <c r="S192" s="40"/>
      <c r="T192" s="100"/>
    </row>
    <row r="193" spans="1:21" x14ac:dyDescent="0.2">
      <c r="A193" s="66">
        <v>44834</v>
      </c>
      <c r="B193" s="114">
        <f t="shared" si="38"/>
        <v>2022</v>
      </c>
      <c r="C193" s="114">
        <f t="shared" si="39"/>
        <v>9</v>
      </c>
      <c r="D193" s="103"/>
      <c r="E193" s="103"/>
      <c r="F193" s="103"/>
      <c r="G193" s="103"/>
      <c r="H193" s="70">
        <f ca="1">Weather!BC69</f>
        <v>19.08556390977445</v>
      </c>
      <c r="I193" s="70">
        <f ca="1">Weather!BD69</f>
        <v>89.375714285714309</v>
      </c>
      <c r="J193" s="67">
        <f t="shared" si="42"/>
        <v>30</v>
      </c>
      <c r="K193" s="67">
        <f t="shared" si="43"/>
        <v>0</v>
      </c>
      <c r="L193" s="68"/>
      <c r="M193" s="68"/>
      <c r="N193" s="67">
        <f t="shared" si="44"/>
        <v>14748.152111350762</v>
      </c>
      <c r="O193" s="67">
        <f t="shared" ca="1" si="40"/>
        <v>16541046.994930714</v>
      </c>
      <c r="P193" s="44">
        <f t="shared" ca="1" si="41"/>
        <v>1005081.2242870992</v>
      </c>
      <c r="Q193" s="172">
        <f t="shared" si="45"/>
        <v>4807380.3120908756</v>
      </c>
      <c r="R193" s="44">
        <f t="shared" ca="1" si="46"/>
        <v>20343346.082734488</v>
      </c>
      <c r="S193" s="40"/>
      <c r="T193" s="100"/>
    </row>
    <row r="194" spans="1:21" x14ac:dyDescent="0.2">
      <c r="A194" s="66">
        <v>44865</v>
      </c>
      <c r="B194" s="114">
        <f t="shared" si="38"/>
        <v>2022</v>
      </c>
      <c r="C194" s="114">
        <f t="shared" si="39"/>
        <v>10</v>
      </c>
      <c r="D194" s="103"/>
      <c r="E194" s="103"/>
      <c r="F194" s="103"/>
      <c r="G194" s="103"/>
      <c r="H194" s="70">
        <f ca="1">Weather!BC70</f>
        <v>140.13097744360903</v>
      </c>
      <c r="I194" s="70">
        <f ca="1">Weather!BD70</f>
        <v>13.702255639097729</v>
      </c>
      <c r="J194" s="67">
        <f t="shared" si="42"/>
        <v>31</v>
      </c>
      <c r="K194" s="67">
        <f t="shared" si="43"/>
        <v>0</v>
      </c>
      <c r="L194" s="68"/>
      <c r="M194" s="68"/>
      <c r="N194" s="67">
        <f t="shared" si="44"/>
        <v>14760.628743142401</v>
      </c>
      <c r="O194" s="67">
        <f t="shared" ca="1" si="40"/>
        <v>15554186.895040989</v>
      </c>
      <c r="P194" s="44">
        <f t="shared" ca="1" si="41"/>
        <v>1005081.2242870992</v>
      </c>
      <c r="Q194" s="172">
        <f t="shared" si="45"/>
        <v>4555348.4095345987</v>
      </c>
      <c r="R194" s="44">
        <f t="shared" ca="1" si="46"/>
        <v>19104454.080288488</v>
      </c>
      <c r="S194" s="40"/>
      <c r="T194" s="100"/>
    </row>
    <row r="195" spans="1:21" x14ac:dyDescent="0.2">
      <c r="A195" s="66">
        <v>44895</v>
      </c>
      <c r="B195" s="114">
        <f t="shared" si="38"/>
        <v>2022</v>
      </c>
      <c r="C195" s="114">
        <f t="shared" si="39"/>
        <v>11</v>
      </c>
      <c r="D195" s="103"/>
      <c r="E195" s="103"/>
      <c r="F195" s="103"/>
      <c r="G195" s="103"/>
      <c r="H195" s="70">
        <f ca="1">Weather!BC71</f>
        <v>354.61300751879662</v>
      </c>
      <c r="I195" s="70">
        <f ca="1">Weather!BD71</f>
        <v>0.92398496240600991</v>
      </c>
      <c r="J195" s="67">
        <f t="shared" si="42"/>
        <v>30</v>
      </c>
      <c r="K195" s="67">
        <f t="shared" si="43"/>
        <v>0</v>
      </c>
      <c r="L195" s="68"/>
      <c r="M195" s="68"/>
      <c r="N195" s="67">
        <f t="shared" si="44"/>
        <v>14773.117120860836</v>
      </c>
      <c r="O195" s="67">
        <f t="shared" ca="1" si="40"/>
        <v>16015237.472036235</v>
      </c>
      <c r="P195" s="44">
        <f t="shared" ca="1" si="41"/>
        <v>1005081.2242870992</v>
      </c>
      <c r="Q195" s="172">
        <f t="shared" si="45"/>
        <v>3660890.4698820226</v>
      </c>
      <c r="R195" s="44">
        <f t="shared" ca="1" si="46"/>
        <v>18671046.717631157</v>
      </c>
      <c r="S195" s="40"/>
      <c r="T195" s="101"/>
    </row>
    <row r="196" spans="1:21" ht="15" x14ac:dyDescent="0.25">
      <c r="A196" s="66">
        <v>44926</v>
      </c>
      <c r="B196" s="114">
        <f t="shared" si="38"/>
        <v>2022</v>
      </c>
      <c r="C196" s="114">
        <f t="shared" si="39"/>
        <v>12</v>
      </c>
      <c r="D196" s="103"/>
      <c r="E196" s="103"/>
      <c r="F196" s="103"/>
      <c r="G196" s="103"/>
      <c r="H196" s="70">
        <f ca="1">Weather!BC72</f>
        <v>499.75917293233078</v>
      </c>
      <c r="I196" s="70">
        <f ca="1">Weather!BD72</f>
        <v>0</v>
      </c>
      <c r="J196" s="67">
        <f t="shared" si="42"/>
        <v>31</v>
      </c>
      <c r="K196" s="67">
        <f t="shared" si="43"/>
        <v>0</v>
      </c>
      <c r="L196" s="68"/>
      <c r="M196" s="68"/>
      <c r="N196" s="67">
        <f t="shared" si="44"/>
        <v>14785.617255076055</v>
      </c>
      <c r="O196" s="67">
        <f t="shared" ca="1" si="40"/>
        <v>17390306.853759799</v>
      </c>
      <c r="P196" s="44">
        <f t="shared" ca="1" si="41"/>
        <v>1005081.2242870992</v>
      </c>
      <c r="Q196" s="172">
        <f t="shared" si="45"/>
        <v>4737670.3682164764</v>
      </c>
      <c r="R196" s="44">
        <f t="shared" ca="1" si="46"/>
        <v>21122895.997689176</v>
      </c>
      <c r="S196" s="40">
        <f ca="1">SUM(R185:R196)</f>
        <v>251915638.61533356</v>
      </c>
      <c r="T196" s="96">
        <f ca="1">S176-S196</f>
        <v>-1400366.0327518284</v>
      </c>
    </row>
    <row r="197" spans="1:21" x14ac:dyDescent="0.2">
      <c r="A197"/>
      <c r="B197"/>
      <c r="C197"/>
      <c r="O197" s="48">
        <f ca="1">SUM(O185:O196)</f>
        <v>204201192.56977516</v>
      </c>
      <c r="P197" s="48">
        <f ca="1">SUM(P185:P196)</f>
        <v>12060974.691445194</v>
      </c>
      <c r="Q197" s="48">
        <f>SUM(Q185:Q196)</f>
        <v>59775420.737003528</v>
      </c>
      <c r="R197" s="48">
        <f ca="1">SUM(R185:R196)</f>
        <v>251915638.61533356</v>
      </c>
      <c r="T197" s="47">
        <f ca="1">T196/S176</f>
        <v>-5.5899427540498604E-3</v>
      </c>
    </row>
    <row r="198" spans="1:21" x14ac:dyDescent="0.2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</row>
    <row r="199" spans="1:21" x14ac:dyDescent="0.2">
      <c r="A199" s="54" t="s">
        <v>257</v>
      </c>
      <c r="B199" s="54"/>
      <c r="C199" s="54"/>
      <c r="D199"/>
      <c r="E199"/>
      <c r="F199"/>
      <c r="G199"/>
      <c r="H199"/>
      <c r="I199"/>
      <c r="J199"/>
      <c r="K199"/>
      <c r="L199"/>
      <c r="M199"/>
      <c r="N199"/>
      <c r="O199"/>
      <c r="P199" s="55" t="s">
        <v>131</v>
      </c>
      <c r="Q199" s="257">
        <f>Q196</f>
        <v>4737670.3682164764</v>
      </c>
      <c r="R199" s="55" t="s">
        <v>142</v>
      </c>
      <c r="S199" s="257"/>
      <c r="T199" s="6"/>
      <c r="U199" s="55" t="s">
        <v>259</v>
      </c>
    </row>
    <row r="200" spans="1:21" x14ac:dyDescent="0.2">
      <c r="A200" s="66">
        <f t="shared" ref="A200:A211" si="47">A123</f>
        <v>43861</v>
      </c>
      <c r="B200" s="213">
        <f t="shared" ref="B200:B211" si="48">YEAR(A200)</f>
        <v>2020</v>
      </c>
      <c r="C200" s="213">
        <f t="shared" ref="C200:C211" si="49">MONTH(A200)</f>
        <v>1</v>
      </c>
      <c r="D200" s="258">
        <f t="shared" ref="D200:G204" si="50">D123</f>
        <v>21239209.767112821</v>
      </c>
      <c r="E200" s="258">
        <f t="shared" si="50"/>
        <v>4833173.3349823048</v>
      </c>
      <c r="F200" s="258">
        <f t="shared" ca="1" si="50"/>
        <v>1049115.2733087833</v>
      </c>
      <c r="G200" s="258">
        <f t="shared" ca="1" si="50"/>
        <v>17455151.705439299</v>
      </c>
      <c r="H200" s="258">
        <f t="shared" ref="H200:I211" ca="1" si="51">H147</f>
        <v>607.33000000000004</v>
      </c>
      <c r="I200" s="258">
        <f t="shared" ca="1" si="51"/>
        <v>0</v>
      </c>
      <c r="J200" s="258">
        <f t="shared" ref="J200:K204" si="52">J123</f>
        <v>31</v>
      </c>
      <c r="K200" s="258">
        <f t="shared" si="52"/>
        <v>0</v>
      </c>
      <c r="L200" s="258">
        <f>L147</f>
        <v>0</v>
      </c>
      <c r="M200" s="258">
        <f>M147</f>
        <v>0</v>
      </c>
      <c r="N200" s="258">
        <f t="shared" ref="N200:N211" si="53">N123</f>
        <v>14412.5</v>
      </c>
      <c r="O200" s="67">
        <f t="shared" ref="O200:O211" ca="1" si="54">$U$10+H200*$U$11+I200*$U$12+J200*$U$13+K200*$U$14+L200*$U$15+M200*$U$16+N200*$U$17</f>
        <v>17823667.899324559</v>
      </c>
      <c r="P200" s="44">
        <f t="shared" ref="P200:P211" ca="1" si="55">F123</f>
        <v>1049115.2733087833</v>
      </c>
      <c r="Q200" s="172">
        <f t="shared" ref="Q200:Q211" si="56">E123</f>
        <v>4833173.3349823048</v>
      </c>
      <c r="R200" s="44">
        <f ca="1">O200-P200+Q200</f>
        <v>21607725.960998081</v>
      </c>
      <c r="S200" s="40"/>
      <c r="U200" s="123">
        <f>L200*$U$15+M200*$U$16</f>
        <v>0</v>
      </c>
    </row>
    <row r="201" spans="1:21" x14ac:dyDescent="0.2">
      <c r="A201" s="66">
        <f t="shared" si="47"/>
        <v>43890</v>
      </c>
      <c r="B201" s="213">
        <f t="shared" si="48"/>
        <v>2020</v>
      </c>
      <c r="C201" s="213">
        <f t="shared" si="49"/>
        <v>2</v>
      </c>
      <c r="D201" s="258">
        <f t="shared" si="50"/>
        <v>19035160.954744305</v>
      </c>
      <c r="E201" s="258">
        <f t="shared" si="50"/>
        <v>3781055.952817406</v>
      </c>
      <c r="F201" s="258">
        <f t="shared" ca="1" si="50"/>
        <v>1049115.2733087833</v>
      </c>
      <c r="G201" s="258">
        <f t="shared" ca="1" si="50"/>
        <v>16303220.275235683</v>
      </c>
      <c r="H201" s="258">
        <f t="shared" ca="1" si="51"/>
        <v>533.1</v>
      </c>
      <c r="I201" s="258">
        <f t="shared" ca="1" si="51"/>
        <v>0</v>
      </c>
      <c r="J201" s="258">
        <f t="shared" si="52"/>
        <v>29</v>
      </c>
      <c r="K201" s="258">
        <f t="shared" si="52"/>
        <v>0</v>
      </c>
      <c r="L201" s="258">
        <f>L124</f>
        <v>0</v>
      </c>
      <c r="M201" s="258">
        <f>M124</f>
        <v>0</v>
      </c>
      <c r="N201" s="258">
        <f t="shared" si="53"/>
        <v>14426.5</v>
      </c>
      <c r="O201" s="67">
        <f t="shared" ca="1" si="54"/>
        <v>16380593.070459824</v>
      </c>
      <c r="P201" s="44">
        <f t="shared" ca="1" si="55"/>
        <v>1049115.2733087833</v>
      </c>
      <c r="Q201" s="172">
        <f t="shared" si="56"/>
        <v>3781055.952817406</v>
      </c>
      <c r="R201" s="44">
        <f t="shared" ref="R201:R202" ca="1" si="57">O201-P201+Q201</f>
        <v>19112533.749968447</v>
      </c>
      <c r="S201" s="40"/>
      <c r="U201" s="123">
        <f t="shared" ref="U201:U211" si="58">L201*$U$15+M201*$U$16</f>
        <v>0</v>
      </c>
    </row>
    <row r="202" spans="1:21" x14ac:dyDescent="0.2">
      <c r="A202" s="66">
        <f t="shared" si="47"/>
        <v>43921</v>
      </c>
      <c r="B202" s="213">
        <f t="shared" si="48"/>
        <v>2020</v>
      </c>
      <c r="C202" s="213">
        <f t="shared" si="49"/>
        <v>3</v>
      </c>
      <c r="D202" s="258">
        <f t="shared" si="50"/>
        <v>19087245.664711308</v>
      </c>
      <c r="E202" s="258">
        <f t="shared" si="50"/>
        <v>4032656.886527366</v>
      </c>
      <c r="F202" s="258">
        <f t="shared" ca="1" si="50"/>
        <v>1049115.2733087833</v>
      </c>
      <c r="G202" s="258">
        <f t="shared" ca="1" si="50"/>
        <v>16103704.051492725</v>
      </c>
      <c r="H202" s="258">
        <f t="shared" ca="1" si="51"/>
        <v>453.77</v>
      </c>
      <c r="I202" s="258">
        <f t="shared" ca="1" si="51"/>
        <v>0.26000000000000012</v>
      </c>
      <c r="J202" s="258">
        <f t="shared" si="52"/>
        <v>31</v>
      </c>
      <c r="K202" s="258">
        <f t="shared" si="52"/>
        <v>1</v>
      </c>
      <c r="L202" s="258">
        <f ca="1">H202</f>
        <v>453.77</v>
      </c>
      <c r="M202" s="258">
        <f ca="1">I202</f>
        <v>0.26000000000000012</v>
      </c>
      <c r="N202" s="258">
        <f t="shared" si="53"/>
        <v>14432.5</v>
      </c>
      <c r="O202" s="67">
        <f t="shared" ca="1" si="54"/>
        <v>17103716.959949613</v>
      </c>
      <c r="P202" s="44">
        <f t="shared" ca="1" si="55"/>
        <v>1049115.2733087833</v>
      </c>
      <c r="Q202" s="172">
        <f t="shared" si="56"/>
        <v>4032656.886527366</v>
      </c>
      <c r="R202" s="44">
        <f t="shared" ca="1" si="57"/>
        <v>20087258.573168196</v>
      </c>
      <c r="S202" s="40"/>
      <c r="U202" s="123">
        <f t="shared" ca="1" si="58"/>
        <v>890746.81093737762</v>
      </c>
    </row>
    <row r="203" spans="1:21" x14ac:dyDescent="0.2">
      <c r="A203" s="66">
        <f t="shared" si="47"/>
        <v>43951</v>
      </c>
      <c r="B203" s="213">
        <f t="shared" si="48"/>
        <v>2020</v>
      </c>
      <c r="C203" s="213">
        <f t="shared" si="49"/>
        <v>4</v>
      </c>
      <c r="D203" s="258">
        <f t="shared" si="50"/>
        <v>17079543.476648476</v>
      </c>
      <c r="E203" s="258">
        <f t="shared" si="50"/>
        <v>3435746.1940935161</v>
      </c>
      <c r="F203" s="258">
        <f t="shared" ca="1" si="50"/>
        <v>1049115.2733087833</v>
      </c>
      <c r="G203" s="258">
        <f t="shared" ca="1" si="50"/>
        <v>14692912.555863744</v>
      </c>
      <c r="H203" s="258">
        <f t="shared" ca="1" si="51"/>
        <v>276.92999999999995</v>
      </c>
      <c r="I203" s="258">
        <f t="shared" ca="1" si="51"/>
        <v>1.2600000000000002</v>
      </c>
      <c r="J203" s="258">
        <f t="shared" si="52"/>
        <v>30</v>
      </c>
      <c r="K203" s="258">
        <f t="shared" si="52"/>
        <v>1</v>
      </c>
      <c r="L203" s="258">
        <f t="shared" ref="L203:L211" ca="1" si="59">H203</f>
        <v>276.92999999999995</v>
      </c>
      <c r="M203" s="258">
        <f t="shared" ref="M203:M211" ca="1" si="60">I203</f>
        <v>1.2600000000000002</v>
      </c>
      <c r="N203" s="258">
        <f t="shared" si="53"/>
        <v>14425.5</v>
      </c>
      <c r="O203" s="67">
        <f t="shared" ca="1" si="54"/>
        <v>15197665.451206058</v>
      </c>
      <c r="P203" s="44">
        <f t="shared" ca="1" si="55"/>
        <v>1049115.2733087833</v>
      </c>
      <c r="Q203" s="172">
        <f t="shared" si="56"/>
        <v>3435746.1940935161</v>
      </c>
      <c r="R203" s="44">
        <f ca="1">O203-P203+Q203</f>
        <v>17584296.371990792</v>
      </c>
      <c r="S203" s="40"/>
      <c r="U203" s="123">
        <f t="shared" ca="1" si="58"/>
        <v>550277.18542952836</v>
      </c>
    </row>
    <row r="204" spans="1:21" x14ac:dyDescent="0.2">
      <c r="A204" s="66">
        <f t="shared" si="47"/>
        <v>43982</v>
      </c>
      <c r="B204" s="213">
        <f t="shared" si="48"/>
        <v>2020</v>
      </c>
      <c r="C204" s="213">
        <f t="shared" si="49"/>
        <v>5</v>
      </c>
      <c r="D204" s="258">
        <f t="shared" si="50"/>
        <v>19158490.866862137</v>
      </c>
      <c r="E204" s="258">
        <f t="shared" si="50"/>
        <v>4735242.6950270245</v>
      </c>
      <c r="F204" s="258">
        <f t="shared" ca="1" si="50"/>
        <v>1049115.2733087833</v>
      </c>
      <c r="G204" s="258">
        <f t="shared" ca="1" si="50"/>
        <v>15472363.445143897</v>
      </c>
      <c r="H204" s="258">
        <f t="shared" ca="1" si="51"/>
        <v>91.789999999999992</v>
      </c>
      <c r="I204" s="258">
        <f t="shared" ca="1" si="51"/>
        <v>44.669999999999995</v>
      </c>
      <c r="J204" s="258">
        <f t="shared" si="52"/>
        <v>31</v>
      </c>
      <c r="K204" s="258">
        <f t="shared" si="52"/>
        <v>1</v>
      </c>
      <c r="L204" s="258">
        <f t="shared" ca="1" si="59"/>
        <v>91.789999999999992</v>
      </c>
      <c r="M204" s="258">
        <f t="shared" ca="1" si="60"/>
        <v>44.669999999999995</v>
      </c>
      <c r="N204" s="258">
        <f t="shared" si="53"/>
        <v>14417</v>
      </c>
      <c r="O204" s="67">
        <f t="shared" ca="1" si="54"/>
        <v>15727446.196134057</v>
      </c>
      <c r="P204" s="44">
        <f t="shared" ca="1" si="55"/>
        <v>1049115.2733087833</v>
      </c>
      <c r="Q204" s="172">
        <f t="shared" si="56"/>
        <v>4735242.6950270245</v>
      </c>
      <c r="R204" s="44">
        <f t="shared" ref="R204:R211" ca="1" si="61">O204-P204+Q204</f>
        <v>19413573.617852297</v>
      </c>
      <c r="S204" s="40"/>
      <c r="U204" s="123">
        <f t="shared" ca="1" si="58"/>
        <v>450233.16734265338</v>
      </c>
    </row>
    <row r="205" spans="1:21" x14ac:dyDescent="0.2">
      <c r="A205" s="66">
        <f t="shared" si="47"/>
        <v>44012</v>
      </c>
      <c r="B205" s="213">
        <f t="shared" si="48"/>
        <v>2020</v>
      </c>
      <c r="C205" s="213">
        <f t="shared" si="49"/>
        <v>6</v>
      </c>
      <c r="D205" s="258">
        <f t="shared" ref="D205:E211" si="62">D128</f>
        <v>23659036.820064977</v>
      </c>
      <c r="E205" s="258">
        <f t="shared" si="62"/>
        <v>6037296.4429668775</v>
      </c>
      <c r="F205" s="258">
        <f t="shared" ref="F205:K205" ca="1" si="63">F128</f>
        <v>1049115.2733087833</v>
      </c>
      <c r="G205" s="258">
        <f t="shared" ca="1" si="63"/>
        <v>18670855.650406882</v>
      </c>
      <c r="H205" s="258">
        <f t="shared" ca="1" si="51"/>
        <v>8.3199999999999985</v>
      </c>
      <c r="I205" s="258">
        <f t="shared" ca="1" si="51"/>
        <v>115.62</v>
      </c>
      <c r="J205" s="258">
        <f t="shared" si="63"/>
        <v>30</v>
      </c>
      <c r="K205" s="258">
        <f t="shared" si="63"/>
        <v>0</v>
      </c>
      <c r="L205" s="258">
        <f t="shared" ca="1" si="59"/>
        <v>8.3199999999999985</v>
      </c>
      <c r="M205" s="258">
        <f t="shared" ca="1" si="60"/>
        <v>115.62</v>
      </c>
      <c r="N205" s="258">
        <f t="shared" si="53"/>
        <v>14418.5</v>
      </c>
      <c r="O205" s="67">
        <f t="shared" ca="1" si="54"/>
        <v>17761954.971178744</v>
      </c>
      <c r="P205" s="44">
        <f t="shared" ca="1" si="55"/>
        <v>1049115.2733087833</v>
      </c>
      <c r="Q205" s="172">
        <f t="shared" si="56"/>
        <v>6037296.4429668775</v>
      </c>
      <c r="R205" s="44">
        <f t="shared" ca="1" si="61"/>
        <v>22750136.140836839</v>
      </c>
      <c r="S205" s="40"/>
      <c r="U205" s="123">
        <f t="shared" ca="1" si="58"/>
        <v>716101.82289551944</v>
      </c>
    </row>
    <row r="206" spans="1:21" ht="13.5" customHeight="1" x14ac:dyDescent="0.2">
      <c r="A206" s="66">
        <f t="shared" si="47"/>
        <v>44043</v>
      </c>
      <c r="B206" s="213">
        <f t="shared" si="48"/>
        <v>2020</v>
      </c>
      <c r="C206" s="213">
        <f t="shared" si="49"/>
        <v>7</v>
      </c>
      <c r="D206" s="258">
        <f t="shared" si="62"/>
        <v>31068671.938821949</v>
      </c>
      <c r="E206" s="258">
        <f t="shared" si="62"/>
        <v>8129921.4906045105</v>
      </c>
      <c r="F206" s="258">
        <f t="shared" ref="F206:K206" ca="1" si="64">F129</f>
        <v>1049115.2733087833</v>
      </c>
      <c r="G206" s="258">
        <f t="shared" ca="1" si="64"/>
        <v>23987865.72152622</v>
      </c>
      <c r="H206" s="258">
        <f t="shared" ca="1" si="51"/>
        <v>0</v>
      </c>
      <c r="I206" s="258">
        <f t="shared" ca="1" si="51"/>
        <v>224.87000000000003</v>
      </c>
      <c r="J206" s="258">
        <f t="shared" si="64"/>
        <v>31</v>
      </c>
      <c r="K206" s="258">
        <f t="shared" si="64"/>
        <v>0</v>
      </c>
      <c r="L206" s="258">
        <f t="shared" ca="1" si="59"/>
        <v>0</v>
      </c>
      <c r="M206" s="258">
        <f t="shared" ca="1" si="60"/>
        <v>224.87000000000003</v>
      </c>
      <c r="N206" s="258">
        <f t="shared" si="53"/>
        <v>14418</v>
      </c>
      <c r="O206" s="67">
        <f t="shared" ca="1" si="54"/>
        <v>22085241.502583474</v>
      </c>
      <c r="P206" s="44">
        <f t="shared" ca="1" si="55"/>
        <v>1049115.2733087833</v>
      </c>
      <c r="Q206" s="172">
        <f t="shared" si="56"/>
        <v>8129921.4906045105</v>
      </c>
      <c r="R206" s="44">
        <f t="shared" ca="1" si="61"/>
        <v>29166047.719879203</v>
      </c>
      <c r="S206" s="40"/>
      <c r="T206" s="100" t="s">
        <v>143</v>
      </c>
      <c r="U206" s="123">
        <f t="shared" ca="1" si="58"/>
        <v>1361042.2735725117</v>
      </c>
    </row>
    <row r="207" spans="1:21" x14ac:dyDescent="0.2">
      <c r="A207" s="66">
        <f t="shared" si="47"/>
        <v>44074</v>
      </c>
      <c r="B207" s="213">
        <f t="shared" si="48"/>
        <v>2020</v>
      </c>
      <c r="C207" s="213">
        <f t="shared" si="49"/>
        <v>8</v>
      </c>
      <c r="D207" s="258">
        <f t="shared" si="62"/>
        <v>26721444.06371244</v>
      </c>
      <c r="E207" s="258">
        <f t="shared" si="62"/>
        <v>6612027.0517714433</v>
      </c>
      <c r="F207" s="258">
        <f t="shared" ref="F207:K207" ca="1" si="65">F130</f>
        <v>1049115.2733087833</v>
      </c>
      <c r="G207" s="258">
        <f t="shared" ca="1" si="65"/>
        <v>21158532.285249781</v>
      </c>
      <c r="H207" s="258">
        <f t="shared" ca="1" si="51"/>
        <v>9.9999999999999638E-3</v>
      </c>
      <c r="I207" s="258">
        <f t="shared" ca="1" si="51"/>
        <v>186.09000000000003</v>
      </c>
      <c r="J207" s="258">
        <f t="shared" si="65"/>
        <v>31</v>
      </c>
      <c r="K207" s="258">
        <f t="shared" si="65"/>
        <v>0</v>
      </c>
      <c r="L207" s="258">
        <f t="shared" ca="1" si="59"/>
        <v>9.9999999999999638E-3</v>
      </c>
      <c r="M207" s="258">
        <f t="shared" ca="1" si="60"/>
        <v>186.09000000000003</v>
      </c>
      <c r="N207" s="258">
        <f t="shared" si="53"/>
        <v>14420</v>
      </c>
      <c r="O207" s="67">
        <f t="shared" ca="1" si="54"/>
        <v>20703888.568523832</v>
      </c>
      <c r="P207" s="44">
        <f t="shared" ca="1" si="55"/>
        <v>1049115.2733087833</v>
      </c>
      <c r="Q207" s="172">
        <f t="shared" si="56"/>
        <v>6612027.0517714433</v>
      </c>
      <c r="R207" s="44">
        <f t="shared" ca="1" si="61"/>
        <v>26266800.346986491</v>
      </c>
      <c r="S207" s="40"/>
      <c r="T207" s="100"/>
      <c r="U207" s="123">
        <f t="shared" ca="1" si="58"/>
        <v>1126343.0563010257</v>
      </c>
    </row>
    <row r="208" spans="1:21" x14ac:dyDescent="0.2">
      <c r="A208" s="66">
        <f t="shared" si="47"/>
        <v>44104</v>
      </c>
      <c r="B208" s="213">
        <f t="shared" si="48"/>
        <v>2020</v>
      </c>
      <c r="C208" s="213">
        <f t="shared" si="49"/>
        <v>9</v>
      </c>
      <c r="D208" s="258">
        <f t="shared" si="62"/>
        <v>20324132.402995322</v>
      </c>
      <c r="E208" s="258">
        <f t="shared" si="62"/>
        <v>4759664.6737366663</v>
      </c>
      <c r="F208" s="258">
        <f t="shared" ref="F208:K208" ca="1" si="66">F131</f>
        <v>1049115.2733087833</v>
      </c>
      <c r="G208" s="258">
        <f t="shared" ca="1" si="66"/>
        <v>16613583.00256744</v>
      </c>
      <c r="H208" s="258">
        <f t="shared" ca="1" si="51"/>
        <v>19.43</v>
      </c>
      <c r="I208" s="258">
        <f t="shared" ca="1" si="51"/>
        <v>90.78</v>
      </c>
      <c r="J208" s="258">
        <f t="shared" si="66"/>
        <v>30</v>
      </c>
      <c r="K208" s="258">
        <f t="shared" si="66"/>
        <v>0</v>
      </c>
      <c r="L208" s="258">
        <f t="shared" ca="1" si="59"/>
        <v>19.43</v>
      </c>
      <c r="M208" s="258">
        <f t="shared" ca="1" si="60"/>
        <v>90.78</v>
      </c>
      <c r="N208" s="258">
        <f t="shared" si="53"/>
        <v>14422.5</v>
      </c>
      <c r="O208" s="67">
        <f t="shared" ca="1" si="54"/>
        <v>16969333.505797315</v>
      </c>
      <c r="P208" s="44">
        <f t="shared" ca="1" si="55"/>
        <v>1049115.2733087833</v>
      </c>
      <c r="Q208" s="172">
        <f t="shared" si="56"/>
        <v>4759664.6737366663</v>
      </c>
      <c r="R208" s="44">
        <f t="shared" ca="1" si="61"/>
        <v>20679882.906225197</v>
      </c>
      <c r="S208" s="40"/>
      <c r="T208" s="100"/>
      <c r="U208" s="123">
        <f t="shared" ca="1" si="58"/>
        <v>587526.19943327899</v>
      </c>
    </row>
    <row r="209" spans="1:22" x14ac:dyDescent="0.2">
      <c r="A209" s="66">
        <f t="shared" si="47"/>
        <v>44135</v>
      </c>
      <c r="B209" s="213">
        <f t="shared" si="48"/>
        <v>2020</v>
      </c>
      <c r="C209" s="213">
        <f t="shared" si="49"/>
        <v>10</v>
      </c>
      <c r="D209" s="258">
        <f t="shared" si="62"/>
        <v>19166451.094120812</v>
      </c>
      <c r="E209" s="258">
        <f t="shared" si="62"/>
        <v>4510134.313046311</v>
      </c>
      <c r="F209" s="258">
        <f t="shared" ref="F209:K209" ca="1" si="67">F132</f>
        <v>1049115.2733087833</v>
      </c>
      <c r="G209" s="258">
        <f t="shared" ca="1" si="67"/>
        <v>15705432.054383285</v>
      </c>
      <c r="H209" s="258">
        <f t="shared" ca="1" si="51"/>
        <v>147.23999999999998</v>
      </c>
      <c r="I209" s="258">
        <f t="shared" ca="1" si="51"/>
        <v>14.710000000000003</v>
      </c>
      <c r="J209" s="258">
        <f t="shared" si="67"/>
        <v>31</v>
      </c>
      <c r="K209" s="258">
        <f t="shared" si="67"/>
        <v>0</v>
      </c>
      <c r="L209" s="258">
        <f t="shared" ca="1" si="59"/>
        <v>147.23999999999998</v>
      </c>
      <c r="M209" s="258">
        <f t="shared" ca="1" si="60"/>
        <v>14.710000000000003</v>
      </c>
      <c r="N209" s="258">
        <f t="shared" si="53"/>
        <v>14423</v>
      </c>
      <c r="O209" s="67">
        <f t="shared" ca="1" si="54"/>
        <v>15795172.782896612</v>
      </c>
      <c r="P209" s="44">
        <f t="shared" ca="1" si="55"/>
        <v>1049115.2733087833</v>
      </c>
      <c r="Q209" s="172">
        <f t="shared" si="56"/>
        <v>4510134.313046311</v>
      </c>
      <c r="R209" s="44">
        <f t="shared" ca="1" si="61"/>
        <v>19256191.822634138</v>
      </c>
      <c r="S209" s="40"/>
      <c r="T209" s="100"/>
      <c r="U209" s="123">
        <f t="shared" ca="1" si="58"/>
        <v>377553.65388453903</v>
      </c>
    </row>
    <row r="210" spans="1:22" x14ac:dyDescent="0.2">
      <c r="A210" s="66">
        <f t="shared" si="47"/>
        <v>44165</v>
      </c>
      <c r="B210" s="213">
        <f t="shared" si="48"/>
        <v>2020</v>
      </c>
      <c r="C210" s="213">
        <f t="shared" si="49"/>
        <v>11</v>
      </c>
      <c r="D210" s="258">
        <f t="shared" si="62"/>
        <v>18736074.894379988</v>
      </c>
      <c r="E210" s="258">
        <f t="shared" si="62"/>
        <v>3624554.3128952486</v>
      </c>
      <c r="F210" s="258">
        <f t="shared" ref="F210:K210" ca="1" si="68">F133</f>
        <v>1049115.2733087833</v>
      </c>
      <c r="G210" s="258">
        <f t="shared" ca="1" si="68"/>
        <v>16160635.854793523</v>
      </c>
      <c r="H210" s="258">
        <f t="shared" ca="1" si="51"/>
        <v>331.03</v>
      </c>
      <c r="I210" s="258">
        <f t="shared" ca="1" si="51"/>
        <v>0.54000000000000026</v>
      </c>
      <c r="J210" s="258">
        <f t="shared" si="68"/>
        <v>30</v>
      </c>
      <c r="K210" s="258">
        <f t="shared" si="68"/>
        <v>0</v>
      </c>
      <c r="L210" s="258">
        <f t="shared" ca="1" si="59"/>
        <v>331.03</v>
      </c>
      <c r="M210" s="258">
        <f t="shared" ca="1" si="60"/>
        <v>0.54000000000000026</v>
      </c>
      <c r="N210" s="258">
        <f t="shared" si="53"/>
        <v>14420</v>
      </c>
      <c r="O210" s="67">
        <f t="shared" ca="1" si="54"/>
        <v>16289760.371518001</v>
      </c>
      <c r="P210" s="44">
        <f t="shared" ca="1" si="55"/>
        <v>1049115.2733087833</v>
      </c>
      <c r="Q210" s="172">
        <f t="shared" si="56"/>
        <v>3624554.3128952486</v>
      </c>
      <c r="R210" s="44">
        <f t="shared" ca="1" si="61"/>
        <v>18865199.411104467</v>
      </c>
      <c r="S210" s="40"/>
      <c r="T210" s="101"/>
      <c r="U210" s="123">
        <f t="shared" ca="1" si="58"/>
        <v>651929.5730847721</v>
      </c>
      <c r="V210" s="123">
        <f ca="1">SUM(U200:U211)</f>
        <v>7662945.8147815214</v>
      </c>
    </row>
    <row r="211" spans="1:22" ht="15" x14ac:dyDescent="0.25">
      <c r="A211" s="66">
        <f t="shared" si="47"/>
        <v>44196</v>
      </c>
      <c r="B211" s="213">
        <f t="shared" si="48"/>
        <v>2020</v>
      </c>
      <c r="C211" s="213">
        <f t="shared" si="49"/>
        <v>12</v>
      </c>
      <c r="D211" s="258">
        <f t="shared" si="62"/>
        <v>22275090.071478143</v>
      </c>
      <c r="E211" s="258">
        <f t="shared" si="62"/>
        <v>4690646.6356936488</v>
      </c>
      <c r="F211" s="258">
        <f t="shared" ref="F211:K211" ca="1" si="69">F134</f>
        <v>1049115.2733087833</v>
      </c>
      <c r="G211" s="258">
        <f t="shared" ca="1" si="69"/>
        <v>18633558.70909328</v>
      </c>
      <c r="H211" s="258">
        <f t="shared" ca="1" si="51"/>
        <v>485.42000000000007</v>
      </c>
      <c r="I211" s="258">
        <f t="shared" ca="1" si="51"/>
        <v>0</v>
      </c>
      <c r="J211" s="258">
        <f t="shared" si="69"/>
        <v>31</v>
      </c>
      <c r="K211" s="258">
        <f t="shared" si="69"/>
        <v>0</v>
      </c>
      <c r="L211" s="258">
        <f t="shared" ca="1" si="59"/>
        <v>485.42000000000007</v>
      </c>
      <c r="M211" s="258">
        <f t="shared" ca="1" si="60"/>
        <v>0</v>
      </c>
      <c r="N211" s="258">
        <f t="shared" si="53"/>
        <v>14426</v>
      </c>
      <c r="O211" s="67">
        <f t="shared" ca="1" si="54"/>
        <v>18028629.083510846</v>
      </c>
      <c r="P211" s="44">
        <f t="shared" ca="1" si="55"/>
        <v>1049115.2733087833</v>
      </c>
      <c r="Q211" s="172">
        <f t="shared" si="56"/>
        <v>4690646.6356936488</v>
      </c>
      <c r="R211" s="44">
        <f t="shared" ca="1" si="61"/>
        <v>21670160.445895709</v>
      </c>
      <c r="S211" s="40">
        <f ca="1">SUM(R200:R211)</f>
        <v>256459807.06753987</v>
      </c>
      <c r="T211" s="96">
        <f ca="1">S174-S211</f>
        <v>1344934.7038887739</v>
      </c>
      <c r="U211" s="123">
        <f t="shared" ca="1" si="58"/>
        <v>951192.07190031465</v>
      </c>
    </row>
    <row r="212" spans="1:22" x14ac:dyDescent="0.2">
      <c r="A212"/>
      <c r="B212"/>
      <c r="C212"/>
      <c r="H212" s="257"/>
      <c r="I212" s="257"/>
      <c r="J212" s="257"/>
      <c r="K212" s="257"/>
      <c r="N212" s="257"/>
      <c r="O212" s="257"/>
      <c r="P212" s="257"/>
      <c r="Q212" s="257"/>
      <c r="R212" s="257"/>
      <c r="S212" s="257"/>
      <c r="T212" s="47">
        <f ca="1">T211/S174</f>
        <v>5.2168734160879075E-3</v>
      </c>
    </row>
  </sheetData>
  <printOptions gridLines="1"/>
  <pageMargins left="0.38" right="0.75" top="0.73" bottom="0.74" header="0.5" footer="0.5"/>
  <pageSetup scale="15" orientation="landscape" r:id="rId1"/>
  <headerFooter alignWithMargins="0">
    <oddFooter>&amp;L&amp;Z&amp;F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2:AF208"/>
  <sheetViews>
    <sheetView topLeftCell="E1" workbookViewId="0">
      <pane ySplit="2" topLeftCell="A153" activePane="bottomLeft" state="frozen"/>
      <selection activeCell="O30" sqref="O30"/>
      <selection pane="bottomLeft" activeCell="R2" sqref="R2"/>
    </sheetView>
  </sheetViews>
  <sheetFormatPr defaultRowHeight="12.75" x14ac:dyDescent="0.2"/>
  <cols>
    <col min="1" max="2" width="11.85546875" style="32" customWidth="1"/>
    <col min="3" max="3" width="6.140625" style="32" bestFit="1" customWidth="1"/>
    <col min="4" max="7" width="16.85546875" style="6" customWidth="1"/>
    <col min="8" max="8" width="11.5703125" style="253" customWidth="1"/>
    <col min="9" max="11" width="13.42578125" style="253" customWidth="1"/>
    <col min="12" max="12" width="10.140625" style="253" customWidth="1"/>
    <col min="13" max="13" width="12.42578125" style="253" customWidth="1"/>
    <col min="14" max="17" width="12.140625" style="29" customWidth="1"/>
    <col min="18" max="18" width="13" style="19" customWidth="1"/>
    <col min="19" max="19" width="15.5703125" style="253" bestFit="1" customWidth="1"/>
    <col min="20" max="20" width="16" style="253" customWidth="1"/>
    <col min="21" max="21" width="17.28515625" style="253" customWidth="1"/>
    <col min="22" max="22" width="12.85546875" style="253" customWidth="1"/>
    <col min="23" max="23" width="16.140625" style="253" customWidth="1"/>
    <col min="24" max="24" width="25.85546875" bestFit="1" customWidth="1"/>
    <col min="25" max="25" width="15" bestFit="1" customWidth="1"/>
    <col min="26" max="26" width="24.140625" bestFit="1" customWidth="1"/>
    <col min="27" max="27" width="22.5703125" bestFit="1" customWidth="1"/>
    <col min="28" max="28" width="26.42578125" bestFit="1" customWidth="1"/>
    <col min="29" max="29" width="23.28515625" bestFit="1" customWidth="1"/>
    <col min="30" max="30" width="14.5703125" bestFit="1" customWidth="1"/>
    <col min="31" max="31" width="14.7109375" bestFit="1" customWidth="1"/>
    <col min="32" max="32" width="40.7109375" bestFit="1" customWidth="1"/>
    <col min="33" max="33" width="42.85546875" bestFit="1" customWidth="1"/>
  </cols>
  <sheetData>
    <row r="2" spans="1:32" s="28" customFormat="1" ht="76.5" x14ac:dyDescent="0.2">
      <c r="A2" s="131" t="s">
        <v>129</v>
      </c>
      <c r="B2" s="131" t="s">
        <v>84</v>
      </c>
      <c r="C2" s="131" t="s">
        <v>43</v>
      </c>
      <c r="D2" s="80" t="s">
        <v>71</v>
      </c>
      <c r="E2" s="80" t="s">
        <v>144</v>
      </c>
      <c r="F2" s="80" t="s">
        <v>147</v>
      </c>
      <c r="G2" s="80" t="s">
        <v>145</v>
      </c>
      <c r="H2" s="81" t="s">
        <v>4</v>
      </c>
      <c r="I2" s="81" t="s">
        <v>5</v>
      </c>
      <c r="J2" s="81" t="s">
        <v>253</v>
      </c>
      <c r="K2" s="81" t="s">
        <v>254</v>
      </c>
      <c r="L2" s="81" t="s">
        <v>6</v>
      </c>
      <c r="M2" s="81" t="s">
        <v>185</v>
      </c>
      <c r="N2" s="82" t="s">
        <v>209</v>
      </c>
      <c r="O2" s="82" t="str">
        <f>Data!AD1</f>
        <v>COVID CDD</v>
      </c>
      <c r="P2" s="82" t="s">
        <v>255</v>
      </c>
      <c r="Q2" s="82" t="s">
        <v>256</v>
      </c>
      <c r="R2" s="306" t="s">
        <v>277</v>
      </c>
      <c r="S2" s="81" t="s">
        <v>13</v>
      </c>
      <c r="T2" s="83" t="s">
        <v>14</v>
      </c>
      <c r="U2" s="81" t="s">
        <v>15</v>
      </c>
      <c r="V2" s="81" t="s">
        <v>42</v>
      </c>
      <c r="X2" s="46"/>
      <c r="Y2" s="46"/>
      <c r="Z2" s="46"/>
      <c r="AA2" s="46"/>
      <c r="AB2" s="46"/>
      <c r="AC2" s="46"/>
      <c r="AD2" s="46"/>
      <c r="AE2" s="46"/>
      <c r="AF2" s="46"/>
    </row>
    <row r="3" spans="1:32" ht="15" x14ac:dyDescent="0.25">
      <c r="A3" s="66">
        <v>40209</v>
      </c>
      <c r="B3" s="114">
        <f>YEAR(A3)</f>
        <v>2010</v>
      </c>
      <c r="C3" s="114">
        <f>MONTH(A3)</f>
        <v>1</v>
      </c>
      <c r="D3" s="107">
        <f>Purchases!C3</f>
        <v>16710571.449999999</v>
      </c>
      <c r="E3" s="94"/>
      <c r="F3" s="171"/>
      <c r="G3" s="94">
        <f>D3+F3-E3</f>
        <v>16710571.449999999</v>
      </c>
      <c r="H3" s="90">
        <f>Weather!H110</f>
        <v>627.19999999999993</v>
      </c>
      <c r="I3" s="90">
        <f>Weather!I110</f>
        <v>0</v>
      </c>
      <c r="J3" s="90">
        <f ca="1">Weather!AX61</f>
        <v>607.33000000000004</v>
      </c>
      <c r="K3" s="90">
        <f ca="1">Weather!AY61</f>
        <v>0</v>
      </c>
      <c r="L3" s="108">
        <v>31</v>
      </c>
      <c r="M3" s="108">
        <v>0</v>
      </c>
      <c r="N3" s="152">
        <v>0</v>
      </c>
      <c r="O3" s="152">
        <v>0</v>
      </c>
      <c r="P3" s="152"/>
      <c r="Q3" s="152"/>
      <c r="R3" s="149">
        <v>12341</v>
      </c>
      <c r="S3" s="67">
        <f ca="1">G3+(J3-H3)*$Y$11+(K3-I3)*$Y$12+(P3-N3)*$Y$15+(Q3-O3)*$Y$16</f>
        <v>16587572.730770331</v>
      </c>
      <c r="T3" s="40">
        <f t="shared" ref="T3:T66" ca="1" si="0">S3-G3</f>
        <v>-122998.71922966838</v>
      </c>
      <c r="U3" s="53">
        <f t="shared" ref="U3:U66" ca="1" si="1">T3/G3</f>
        <v>-7.3605333963410562E-3</v>
      </c>
      <c r="V3" s="12">
        <f t="shared" ref="V3:V66" ca="1" si="2">ABS(U3)</f>
        <v>7.3605333963410562E-3</v>
      </c>
      <c r="W3" s="12"/>
      <c r="X3" s="46"/>
      <c r="Y3" s="46"/>
      <c r="Z3" s="46"/>
      <c r="AA3" s="46"/>
      <c r="AB3" s="46"/>
      <c r="AC3" s="46"/>
      <c r="AD3" s="46"/>
      <c r="AE3" s="46"/>
      <c r="AF3" s="46"/>
    </row>
    <row r="4" spans="1:32" ht="15" x14ac:dyDescent="0.25">
      <c r="A4" s="66">
        <v>40237</v>
      </c>
      <c r="B4" s="114">
        <f t="shared" ref="B4:B67" si="3">YEAR(A4)</f>
        <v>2010</v>
      </c>
      <c r="C4" s="114">
        <f t="shared" ref="C4:C67" si="4">MONTH(A4)</f>
        <v>2</v>
      </c>
      <c r="D4" s="107">
        <f>Purchases!C4</f>
        <v>14688782.35</v>
      </c>
      <c r="E4" s="94"/>
      <c r="F4" s="171"/>
      <c r="G4" s="94">
        <f t="shared" ref="G4:G67" si="5">D4+F4-E4</f>
        <v>14688782.35</v>
      </c>
      <c r="H4" s="90">
        <f>Weather!H111</f>
        <v>521.79999999999995</v>
      </c>
      <c r="I4" s="90">
        <f>Weather!I111</f>
        <v>0</v>
      </c>
      <c r="J4" s="90">
        <f ca="1">Weather!AX62</f>
        <v>533.1</v>
      </c>
      <c r="K4" s="90">
        <f ca="1">Weather!AY62</f>
        <v>0</v>
      </c>
      <c r="L4" s="108">
        <v>28</v>
      </c>
      <c r="M4" s="108">
        <v>0</v>
      </c>
      <c r="N4" s="152">
        <f>Data!AC3</f>
        <v>0</v>
      </c>
      <c r="O4" s="152">
        <f>Data!AD3</f>
        <v>0</v>
      </c>
      <c r="P4" s="152"/>
      <c r="Q4" s="152"/>
      <c r="R4" s="149">
        <v>12365.727272727272</v>
      </c>
      <c r="S4" s="67">
        <f t="shared" ref="S4:S67" ca="1" si="6">G4+(J4-H4)*$Y$11+(K4-I4)*$Y$12+(P4-N4)*$Y$15+(Q4-O4)*$Y$16</f>
        <v>14758731.294504039</v>
      </c>
      <c r="T4" s="40">
        <f t="shared" ca="1" si="0"/>
        <v>69948.944504039362</v>
      </c>
      <c r="U4" s="53">
        <f t="shared" ca="1" si="1"/>
        <v>4.7620655570568358E-3</v>
      </c>
      <c r="V4" s="12">
        <f t="shared" ca="1" si="2"/>
        <v>4.7620655570568358E-3</v>
      </c>
      <c r="W4" s="153"/>
      <c r="X4" s="220"/>
      <c r="Y4" s="220"/>
      <c r="Z4" s="46"/>
      <c r="AA4" s="46"/>
      <c r="AB4" s="46"/>
      <c r="AC4" s="46"/>
      <c r="AD4" s="46"/>
      <c r="AE4" s="46"/>
      <c r="AF4" s="46"/>
    </row>
    <row r="5" spans="1:32" ht="15" x14ac:dyDescent="0.25">
      <c r="A5" s="66">
        <v>40268</v>
      </c>
      <c r="B5" s="114">
        <f t="shared" si="3"/>
        <v>2010</v>
      </c>
      <c r="C5" s="114">
        <f t="shared" si="4"/>
        <v>3</v>
      </c>
      <c r="D5" s="107">
        <f>Purchases!C5</f>
        <v>14685368.52</v>
      </c>
      <c r="E5" s="94"/>
      <c r="F5" s="171"/>
      <c r="G5" s="94">
        <f t="shared" si="5"/>
        <v>14685368.52</v>
      </c>
      <c r="H5" s="90">
        <f>Weather!H112</f>
        <v>360.7</v>
      </c>
      <c r="I5" s="90">
        <f>Weather!I112</f>
        <v>0</v>
      </c>
      <c r="J5" s="90">
        <f ca="1">Weather!AX63</f>
        <v>453.77</v>
      </c>
      <c r="K5" s="90">
        <f ca="1">Weather!AY63</f>
        <v>0.26000000000000012</v>
      </c>
      <c r="L5" s="108">
        <v>31</v>
      </c>
      <c r="M5" s="108">
        <v>1</v>
      </c>
      <c r="N5" s="152">
        <f>Data!AC4</f>
        <v>0</v>
      </c>
      <c r="O5" s="152">
        <f>Data!AD4</f>
        <v>0</v>
      </c>
      <c r="P5" s="152"/>
      <c r="Q5" s="152"/>
      <c r="R5" s="149">
        <v>12391.454545454544</v>
      </c>
      <c r="S5" s="67">
        <f t="shared" ca="1" si="6"/>
        <v>15269184.331534011</v>
      </c>
      <c r="T5" s="40">
        <f t="shared" ca="1" si="0"/>
        <v>583815.81153401174</v>
      </c>
      <c r="U5" s="53">
        <f t="shared" ca="1" si="1"/>
        <v>3.9754930953139728E-2</v>
      </c>
      <c r="V5" s="12">
        <f t="shared" ca="1" si="2"/>
        <v>3.9754930953139728E-2</v>
      </c>
      <c r="W5" s="153"/>
      <c r="X5" s="46" t="s">
        <v>182</v>
      </c>
      <c r="Y5" s="46"/>
      <c r="Z5" s="46"/>
      <c r="AA5" s="46"/>
      <c r="AB5" s="46"/>
      <c r="AC5" s="46"/>
      <c r="AD5" s="46"/>
      <c r="AE5" s="46"/>
      <c r="AF5" s="46"/>
    </row>
    <row r="6" spans="1:32" ht="15" x14ac:dyDescent="0.25">
      <c r="A6" s="66">
        <v>40298</v>
      </c>
      <c r="B6" s="114">
        <f t="shared" si="3"/>
        <v>2010</v>
      </c>
      <c r="C6" s="114">
        <f t="shared" si="4"/>
        <v>4</v>
      </c>
      <c r="D6" s="107">
        <f>Purchases!C6</f>
        <v>13053838.199999999</v>
      </c>
      <c r="E6" s="94"/>
      <c r="F6" s="171"/>
      <c r="G6" s="94">
        <f t="shared" si="5"/>
        <v>13053838.199999999</v>
      </c>
      <c r="H6" s="90">
        <f>Weather!H113</f>
        <v>159.69999999999999</v>
      </c>
      <c r="I6" s="90">
        <f>Weather!I113</f>
        <v>6.6000000000000014</v>
      </c>
      <c r="J6" s="90">
        <f ca="1">Weather!AX64</f>
        <v>276.92999999999995</v>
      </c>
      <c r="K6" s="90">
        <f ca="1">Weather!AY64</f>
        <v>1.2600000000000002</v>
      </c>
      <c r="L6" s="108">
        <v>30</v>
      </c>
      <c r="M6" s="108">
        <v>1</v>
      </c>
      <c r="N6" s="152">
        <f>Data!AC5</f>
        <v>0</v>
      </c>
      <c r="O6" s="152">
        <f>Data!AD5</f>
        <v>0</v>
      </c>
      <c r="P6" s="152"/>
      <c r="Q6" s="152"/>
      <c r="R6" s="149">
        <v>12417.181818181816</v>
      </c>
      <c r="S6" s="67">
        <f t="shared" ca="1" si="6"/>
        <v>13621437.884874158</v>
      </c>
      <c r="T6" s="40">
        <f t="shared" ca="1" si="0"/>
        <v>567599.68487415835</v>
      </c>
      <c r="U6" s="53">
        <f t="shared" ca="1" si="1"/>
        <v>4.3481440184708155E-2</v>
      </c>
      <c r="V6" s="12">
        <f t="shared" ca="1" si="2"/>
        <v>4.3481440184708155E-2</v>
      </c>
      <c r="W6" s="153"/>
      <c r="X6" s="46" t="s">
        <v>156</v>
      </c>
      <c r="Y6" s="46"/>
      <c r="Z6" s="46"/>
      <c r="AA6" s="46"/>
      <c r="AB6" s="46"/>
      <c r="AC6" s="46"/>
      <c r="AD6" s="46"/>
      <c r="AE6" s="46"/>
      <c r="AF6" s="46"/>
    </row>
    <row r="7" spans="1:32" ht="15" x14ac:dyDescent="0.25">
      <c r="A7" s="66">
        <v>40329</v>
      </c>
      <c r="B7" s="114">
        <f t="shared" si="3"/>
        <v>2010</v>
      </c>
      <c r="C7" s="114">
        <f t="shared" si="4"/>
        <v>5</v>
      </c>
      <c r="D7" s="107">
        <f>Purchases!C7</f>
        <v>14445330.75</v>
      </c>
      <c r="E7" s="94"/>
      <c r="F7" s="171"/>
      <c r="G7" s="94">
        <f t="shared" si="5"/>
        <v>14445330.75</v>
      </c>
      <c r="H7" s="90">
        <f>Weather!H114</f>
        <v>78.5</v>
      </c>
      <c r="I7" s="90">
        <f>Weather!I114</f>
        <v>69.400000000000006</v>
      </c>
      <c r="J7" s="90">
        <f ca="1">Weather!AX65</f>
        <v>91.789999999999992</v>
      </c>
      <c r="K7" s="90">
        <f ca="1">Weather!AY65</f>
        <v>44.669999999999995</v>
      </c>
      <c r="L7" s="108">
        <v>31</v>
      </c>
      <c r="M7" s="108">
        <v>1</v>
      </c>
      <c r="N7" s="152">
        <f>Data!AC6</f>
        <v>0</v>
      </c>
      <c r="O7" s="152">
        <f>Data!AD6</f>
        <v>0</v>
      </c>
      <c r="P7" s="152"/>
      <c r="Q7" s="152"/>
      <c r="R7" s="149">
        <v>12443.909090909088</v>
      </c>
      <c r="S7" s="67">
        <f t="shared" ca="1" si="6"/>
        <v>13795542.955138257</v>
      </c>
      <c r="T7" s="40">
        <f t="shared" ca="1" si="0"/>
        <v>-649787.79486174323</v>
      </c>
      <c r="U7" s="53">
        <f t="shared" ca="1" si="1"/>
        <v>-4.4982548763152636E-2</v>
      </c>
      <c r="V7" s="12">
        <f t="shared" ca="1" si="2"/>
        <v>4.4982548763152636E-2</v>
      </c>
      <c r="W7" s="153"/>
      <c r="X7" s="46" t="s">
        <v>279</v>
      </c>
      <c r="Y7" s="46"/>
      <c r="Z7" s="46"/>
      <c r="AA7" s="46"/>
      <c r="AB7" s="46"/>
      <c r="AC7" s="46"/>
      <c r="AD7" s="46"/>
      <c r="AE7" s="46"/>
      <c r="AF7" s="46"/>
    </row>
    <row r="8" spans="1:32" ht="15" x14ac:dyDescent="0.25">
      <c r="A8" s="66">
        <v>40359</v>
      </c>
      <c r="B8" s="114">
        <f t="shared" si="3"/>
        <v>2010</v>
      </c>
      <c r="C8" s="114">
        <f t="shared" si="4"/>
        <v>6</v>
      </c>
      <c r="D8" s="107">
        <f>Purchases!C8</f>
        <v>16128916.77</v>
      </c>
      <c r="E8" s="94"/>
      <c r="F8" s="171"/>
      <c r="G8" s="94">
        <f t="shared" si="5"/>
        <v>16128916.77</v>
      </c>
      <c r="H8" s="90">
        <f>Weather!H115</f>
        <v>5.6999999999999993</v>
      </c>
      <c r="I8" s="90">
        <f>Weather!I115</f>
        <v>122.50000000000003</v>
      </c>
      <c r="J8" s="90">
        <f ca="1">Weather!AX66</f>
        <v>8.3199999999999985</v>
      </c>
      <c r="K8" s="90">
        <f ca="1">Weather!AY66</f>
        <v>115.62</v>
      </c>
      <c r="L8" s="108">
        <v>30</v>
      </c>
      <c r="M8" s="108">
        <v>0</v>
      </c>
      <c r="N8" s="152">
        <f>Data!AC7</f>
        <v>0</v>
      </c>
      <c r="O8" s="152">
        <f>Data!AD7</f>
        <v>0</v>
      </c>
      <c r="P8" s="152"/>
      <c r="Q8" s="152"/>
      <c r="R8" s="149">
        <v>12470.63636363636</v>
      </c>
      <c r="S8" s="67">
        <f t="shared" ca="1" si="6"/>
        <v>15941473.894653961</v>
      </c>
      <c r="T8" s="40">
        <f t="shared" ca="1" si="0"/>
        <v>-187442.87534603849</v>
      </c>
      <c r="U8" s="53">
        <f t="shared" ca="1" si="1"/>
        <v>-1.1621541484713019E-2</v>
      </c>
      <c r="V8" s="12">
        <f t="shared" ca="1" si="2"/>
        <v>1.1621541484713019E-2</v>
      </c>
      <c r="W8" s="153"/>
      <c r="X8" s="46"/>
      <c r="Y8" s="46"/>
      <c r="Z8" s="46"/>
      <c r="AA8" s="46"/>
      <c r="AB8" s="46"/>
      <c r="AC8" s="46"/>
      <c r="AD8" s="46"/>
      <c r="AE8" s="46"/>
      <c r="AF8" s="46"/>
    </row>
    <row r="9" spans="1:32" ht="15" x14ac:dyDescent="0.25">
      <c r="A9" s="66">
        <v>40390</v>
      </c>
      <c r="B9" s="114">
        <f t="shared" si="3"/>
        <v>2010</v>
      </c>
      <c r="C9" s="114">
        <f t="shared" si="4"/>
        <v>7</v>
      </c>
      <c r="D9" s="107">
        <f>Purchases!C9</f>
        <v>19784906.43</v>
      </c>
      <c r="E9" s="94"/>
      <c r="F9" s="171"/>
      <c r="G9" s="94">
        <f t="shared" si="5"/>
        <v>19784906.43</v>
      </c>
      <c r="H9" s="90">
        <f>Weather!H116</f>
        <v>0</v>
      </c>
      <c r="I9" s="90">
        <f>Weather!I116</f>
        <v>234.69999999999996</v>
      </c>
      <c r="J9" s="90">
        <f ca="1">Weather!AX67</f>
        <v>0</v>
      </c>
      <c r="K9" s="90">
        <f ca="1">Weather!AY67</f>
        <v>224.87000000000003</v>
      </c>
      <c r="L9" s="108">
        <v>31</v>
      </c>
      <c r="M9" s="108">
        <v>0</v>
      </c>
      <c r="N9" s="152">
        <f>Data!AC8</f>
        <v>0</v>
      </c>
      <c r="O9" s="152">
        <f>Data!AD8</f>
        <v>0</v>
      </c>
      <c r="P9" s="152"/>
      <c r="Q9" s="152"/>
      <c r="R9" s="149">
        <v>12498.363636363632</v>
      </c>
      <c r="S9" s="67">
        <f t="shared" ca="1" si="6"/>
        <v>19493919.675566398</v>
      </c>
      <c r="T9" s="40">
        <f t="shared" ca="1" si="0"/>
        <v>-290986.75443360209</v>
      </c>
      <c r="U9" s="53">
        <f t="shared" ca="1" si="1"/>
        <v>-1.4707512287870957E-2</v>
      </c>
      <c r="V9" s="12">
        <f t="shared" ca="1" si="2"/>
        <v>1.4707512287870957E-2</v>
      </c>
      <c r="W9" s="153"/>
      <c r="X9" s="46"/>
      <c r="Y9" s="46" t="s">
        <v>157</v>
      </c>
      <c r="Z9" s="46" t="s">
        <v>158</v>
      </c>
      <c r="AA9" s="46" t="s">
        <v>159</v>
      </c>
      <c r="AB9" s="46" t="s">
        <v>160</v>
      </c>
      <c r="AC9" s="46"/>
      <c r="AD9" s="46"/>
      <c r="AE9" s="46"/>
      <c r="AF9" s="46"/>
    </row>
    <row r="10" spans="1:32" ht="15" x14ac:dyDescent="0.25">
      <c r="A10" s="66">
        <v>40421</v>
      </c>
      <c r="B10" s="114">
        <f t="shared" si="3"/>
        <v>2010</v>
      </c>
      <c r="C10" s="114">
        <f t="shared" si="4"/>
        <v>8</v>
      </c>
      <c r="D10" s="107">
        <f>Purchases!C10</f>
        <v>19044589.699999999</v>
      </c>
      <c r="E10" s="94"/>
      <c r="F10" s="171"/>
      <c r="G10" s="94">
        <f t="shared" si="5"/>
        <v>19044589.699999999</v>
      </c>
      <c r="H10" s="90">
        <f>Weather!H117</f>
        <v>0</v>
      </c>
      <c r="I10" s="90">
        <f>Weather!I117</f>
        <v>206.29999999999998</v>
      </c>
      <c r="J10" s="90">
        <f ca="1">Weather!AX68</f>
        <v>9.9999999999999638E-3</v>
      </c>
      <c r="K10" s="90">
        <f ca="1">Weather!AY68</f>
        <v>186.09000000000003</v>
      </c>
      <c r="L10" s="108">
        <v>31</v>
      </c>
      <c r="M10" s="108">
        <v>0</v>
      </c>
      <c r="N10" s="152">
        <f>Data!AC9</f>
        <v>0</v>
      </c>
      <c r="O10" s="152">
        <f>Data!AD9</f>
        <v>0</v>
      </c>
      <c r="P10" s="152"/>
      <c r="Q10" s="152"/>
      <c r="R10" s="149">
        <v>12525.090909090904</v>
      </c>
      <c r="S10" s="67">
        <f t="shared" ca="1" si="6"/>
        <v>18446397.043521091</v>
      </c>
      <c r="T10" s="40">
        <f t="shared" ca="1" si="0"/>
        <v>-598192.65647890791</v>
      </c>
      <c r="U10" s="53">
        <f t="shared" ca="1" si="1"/>
        <v>-3.1410109952587112E-2</v>
      </c>
      <c r="V10" s="12">
        <f t="shared" ca="1" si="2"/>
        <v>3.1410109952587112E-2</v>
      </c>
      <c r="W10" s="153"/>
      <c r="X10" s="46" t="s">
        <v>161</v>
      </c>
      <c r="Y10" s="222">
        <v>-10298151.2541788</v>
      </c>
      <c r="Z10" s="223">
        <v>1741363.73157309</v>
      </c>
      <c r="AA10" s="224">
        <v>-5.9138427357021799</v>
      </c>
      <c r="AB10" s="225">
        <v>3.69379849028044E-8</v>
      </c>
      <c r="AC10" s="46"/>
      <c r="AD10" s="46"/>
      <c r="AE10" s="46"/>
      <c r="AF10" s="46"/>
    </row>
    <row r="11" spans="1:32" ht="15" x14ac:dyDescent="0.25">
      <c r="A11" s="66">
        <v>40451</v>
      </c>
      <c r="B11" s="114">
        <f t="shared" si="3"/>
        <v>2010</v>
      </c>
      <c r="C11" s="114">
        <f t="shared" si="4"/>
        <v>9</v>
      </c>
      <c r="D11" s="107">
        <f>Purchases!C11</f>
        <v>14895979.83</v>
      </c>
      <c r="E11" s="94"/>
      <c r="F11" s="171"/>
      <c r="G11" s="94">
        <f t="shared" si="5"/>
        <v>14895979.83</v>
      </c>
      <c r="H11" s="90">
        <f>Weather!H118</f>
        <v>26.9</v>
      </c>
      <c r="I11" s="90">
        <f>Weather!I118</f>
        <v>57.600000000000023</v>
      </c>
      <c r="J11" s="90">
        <f ca="1">Weather!AX69</f>
        <v>19.43</v>
      </c>
      <c r="K11" s="90">
        <f ca="1">Weather!AY69</f>
        <v>90.78</v>
      </c>
      <c r="L11" s="108">
        <v>30</v>
      </c>
      <c r="M11" s="108">
        <v>0</v>
      </c>
      <c r="N11" s="152">
        <f>Data!AC10</f>
        <v>0</v>
      </c>
      <c r="O11" s="152">
        <f>Data!AD10</f>
        <v>0</v>
      </c>
      <c r="P11" s="152"/>
      <c r="Q11" s="152"/>
      <c r="R11" s="149">
        <v>12552.818181818177</v>
      </c>
      <c r="S11" s="67">
        <f t="shared" ca="1" si="6"/>
        <v>15831930.547930328</v>
      </c>
      <c r="T11" s="40">
        <f t="shared" ca="1" si="0"/>
        <v>935950.7179303281</v>
      </c>
      <c r="U11" s="53">
        <f t="shared" ca="1" si="1"/>
        <v>6.2832437248965325E-2</v>
      </c>
      <c r="V11" s="12">
        <f t="shared" ca="1" si="2"/>
        <v>6.2832437248965325E-2</v>
      </c>
      <c r="W11" s="153"/>
      <c r="X11" s="46" t="s">
        <v>95</v>
      </c>
      <c r="Y11" s="222">
        <v>6190.17208000344</v>
      </c>
      <c r="Z11" s="223">
        <v>234.913194700167</v>
      </c>
      <c r="AA11" s="224">
        <v>26.350891391623701</v>
      </c>
      <c r="AB11" s="225">
        <v>7.9162916743882204E-50</v>
      </c>
      <c r="AC11" s="46"/>
      <c r="AD11" s="46"/>
      <c r="AE11" s="46"/>
      <c r="AF11" s="46"/>
    </row>
    <row r="12" spans="1:32" ht="15" x14ac:dyDescent="0.25">
      <c r="A12" s="66">
        <v>40482</v>
      </c>
      <c r="B12" s="114">
        <f t="shared" si="3"/>
        <v>2010</v>
      </c>
      <c r="C12" s="114">
        <f t="shared" si="4"/>
        <v>10</v>
      </c>
      <c r="D12" s="107">
        <f>Purchases!C12</f>
        <v>13951924.74</v>
      </c>
      <c r="E12" s="94"/>
      <c r="F12" s="171"/>
      <c r="G12" s="94">
        <f t="shared" si="5"/>
        <v>13951924.74</v>
      </c>
      <c r="H12" s="90">
        <f>Weather!H119</f>
        <v>158.19999999999999</v>
      </c>
      <c r="I12" s="90">
        <f>Weather!I119</f>
        <v>2.5</v>
      </c>
      <c r="J12" s="90">
        <f ca="1">Weather!AX70</f>
        <v>147.23999999999998</v>
      </c>
      <c r="K12" s="90">
        <f ca="1">Weather!AY70</f>
        <v>14.710000000000003</v>
      </c>
      <c r="L12" s="108">
        <v>31</v>
      </c>
      <c r="M12" s="108">
        <v>0</v>
      </c>
      <c r="N12" s="152">
        <f>Data!AC11</f>
        <v>0</v>
      </c>
      <c r="O12" s="152">
        <f>Data!AD11</f>
        <v>0</v>
      </c>
      <c r="P12" s="152"/>
      <c r="Q12" s="152"/>
      <c r="R12" s="149">
        <v>12579.545454545449</v>
      </c>
      <c r="S12" s="67">
        <f t="shared" ca="1" si="6"/>
        <v>14245519.749184679</v>
      </c>
      <c r="T12" s="40">
        <f t="shared" ca="1" si="0"/>
        <v>293595.00918467902</v>
      </c>
      <c r="U12" s="53">
        <f t="shared" ca="1" si="1"/>
        <v>2.1043333780531776E-2</v>
      </c>
      <c r="V12" s="12">
        <f t="shared" ca="1" si="2"/>
        <v>2.1043333780531776E-2</v>
      </c>
      <c r="W12" s="153"/>
      <c r="X12" s="46" t="s">
        <v>96</v>
      </c>
      <c r="Y12" s="222">
        <v>29601.907877274101</v>
      </c>
      <c r="Z12" s="223">
        <v>704.35813319939302</v>
      </c>
      <c r="AA12" s="224">
        <v>42.026785071415198</v>
      </c>
      <c r="AB12" s="225">
        <v>2.0676710038397801E-70</v>
      </c>
      <c r="AC12" s="221"/>
      <c r="AD12" s="46"/>
      <c r="AE12" s="46"/>
      <c r="AF12" s="46"/>
    </row>
    <row r="13" spans="1:32" ht="15" x14ac:dyDescent="0.25">
      <c r="A13" s="66">
        <v>40512</v>
      </c>
      <c r="B13" s="114">
        <f t="shared" si="3"/>
        <v>2010</v>
      </c>
      <c r="C13" s="114">
        <f t="shared" si="4"/>
        <v>11</v>
      </c>
      <c r="D13" s="107">
        <f>Purchases!C13</f>
        <v>14495200.18</v>
      </c>
      <c r="E13" s="94"/>
      <c r="F13" s="171"/>
      <c r="G13" s="94">
        <f t="shared" si="5"/>
        <v>14495200.18</v>
      </c>
      <c r="H13" s="90">
        <f>Weather!H120</f>
        <v>332.40000000000003</v>
      </c>
      <c r="I13" s="90">
        <f>Weather!I120</f>
        <v>0</v>
      </c>
      <c r="J13" s="90">
        <f ca="1">Weather!AX71</f>
        <v>331.03</v>
      </c>
      <c r="K13" s="90">
        <f ca="1">Weather!AY71</f>
        <v>0.54000000000000026</v>
      </c>
      <c r="L13" s="108">
        <v>30</v>
      </c>
      <c r="M13" s="108">
        <v>0</v>
      </c>
      <c r="N13" s="152">
        <f>Data!AC12</f>
        <v>0</v>
      </c>
      <c r="O13" s="152">
        <f>Data!AD12</f>
        <v>0</v>
      </c>
      <c r="P13" s="152"/>
      <c r="Q13" s="152"/>
      <c r="R13" s="149">
        <v>12605.272727272721</v>
      </c>
      <c r="S13" s="67">
        <f t="shared" ca="1" si="6"/>
        <v>14502704.674504124</v>
      </c>
      <c r="T13" s="40">
        <f t="shared" ca="1" si="0"/>
        <v>7504.4945041239262</v>
      </c>
      <c r="U13" s="53">
        <f t="shared" ca="1" si="1"/>
        <v>5.1772272275883301E-4</v>
      </c>
      <c r="V13" s="12">
        <f t="shared" ca="1" si="2"/>
        <v>5.1772272275883301E-4</v>
      </c>
      <c r="W13" s="153"/>
      <c r="X13" s="46" t="s">
        <v>183</v>
      </c>
      <c r="Y13" s="222">
        <v>496151.46908410301</v>
      </c>
      <c r="Z13" s="223">
        <v>35453.772104253199</v>
      </c>
      <c r="AA13" s="224">
        <v>13.994321045025901</v>
      </c>
      <c r="AB13" s="225">
        <v>2.4118276797962701E-26</v>
      </c>
      <c r="AC13" s="30"/>
      <c r="AD13" s="46"/>
      <c r="AE13" s="46"/>
      <c r="AF13" s="46"/>
    </row>
    <row r="14" spans="1:32" ht="15" x14ac:dyDescent="0.25">
      <c r="A14" s="66">
        <v>40543</v>
      </c>
      <c r="B14" s="114">
        <f t="shared" si="3"/>
        <v>2010</v>
      </c>
      <c r="C14" s="114">
        <f t="shared" si="4"/>
        <v>12</v>
      </c>
      <c r="D14" s="107">
        <f>Purchases!C14</f>
        <v>17057264.129999999</v>
      </c>
      <c r="E14" s="94"/>
      <c r="F14" s="171"/>
      <c r="G14" s="94">
        <f t="shared" si="5"/>
        <v>17057264.129999999</v>
      </c>
      <c r="H14" s="90">
        <f>Weather!H121</f>
        <v>595</v>
      </c>
      <c r="I14" s="90">
        <f>Weather!I121</f>
        <v>0</v>
      </c>
      <c r="J14" s="90">
        <f ca="1">Weather!AX72</f>
        <v>485.42000000000007</v>
      </c>
      <c r="K14" s="90">
        <f ca="1">Weather!AY72</f>
        <v>0</v>
      </c>
      <c r="L14" s="108">
        <v>31</v>
      </c>
      <c r="M14" s="108">
        <v>0</v>
      </c>
      <c r="N14" s="152">
        <f>Data!AC13</f>
        <v>0</v>
      </c>
      <c r="O14" s="152">
        <f>Data!AD13</f>
        <v>0</v>
      </c>
      <c r="P14" s="152"/>
      <c r="Q14" s="152"/>
      <c r="R14" s="149">
        <v>12665</v>
      </c>
      <c r="S14" s="67">
        <f t="shared" ca="1" si="6"/>
        <v>16378945.073473223</v>
      </c>
      <c r="T14" s="40">
        <f t="shared" ca="1" si="0"/>
        <v>-678319.0565267764</v>
      </c>
      <c r="U14" s="53">
        <f t="shared" ca="1" si="1"/>
        <v>-3.9767166138546299E-2</v>
      </c>
      <c r="V14" s="12">
        <f t="shared" ca="1" si="2"/>
        <v>3.9767166138546299E-2</v>
      </c>
      <c r="W14" s="153"/>
      <c r="X14" s="46" t="s">
        <v>187</v>
      </c>
      <c r="Y14" s="222">
        <v>-680295.11147241399</v>
      </c>
      <c r="Z14" s="223">
        <v>96377.697846802097</v>
      </c>
      <c r="AA14" s="224">
        <v>-7.0586362475038804</v>
      </c>
      <c r="AB14" s="225">
        <v>1.4918716675239701E-10</v>
      </c>
      <c r="AC14" s="30"/>
      <c r="AD14" s="46"/>
      <c r="AE14" s="46"/>
      <c r="AF14" s="46"/>
    </row>
    <row r="15" spans="1:32" ht="15" x14ac:dyDescent="0.25">
      <c r="A15" s="66">
        <v>40574</v>
      </c>
      <c r="B15" s="114">
        <f t="shared" si="3"/>
        <v>2011</v>
      </c>
      <c r="C15" s="114">
        <f t="shared" si="4"/>
        <v>1</v>
      </c>
      <c r="D15" s="107">
        <f>Purchases!C15</f>
        <v>16972495.279649999</v>
      </c>
      <c r="E15" s="94"/>
      <c r="F15" s="171">
        <f ca="1">CDM!D23</f>
        <v>6677.2348839500955</v>
      </c>
      <c r="G15" s="94">
        <f t="shared" ca="1" si="5"/>
        <v>16979172.514533948</v>
      </c>
      <c r="H15" s="90">
        <f>Weather!H122</f>
        <v>681</v>
      </c>
      <c r="I15" s="90">
        <f>Weather!I122</f>
        <v>0</v>
      </c>
      <c r="J15" s="90">
        <f t="shared" ref="J15:K34" ca="1" si="7">J3</f>
        <v>607.33000000000004</v>
      </c>
      <c r="K15" s="90">
        <f t="shared" ca="1" si="7"/>
        <v>0</v>
      </c>
      <c r="L15" s="108">
        <v>31</v>
      </c>
      <c r="M15" s="108">
        <f>M3</f>
        <v>0</v>
      </c>
      <c r="N15" s="152">
        <f>Data!AC2</f>
        <v>0</v>
      </c>
      <c r="O15" s="152">
        <f>Data!AD2</f>
        <v>0</v>
      </c>
      <c r="P15" s="152"/>
      <c r="Q15" s="152"/>
      <c r="R15" s="150">
        <f>Data!AH2</f>
        <v>12677.666666666668</v>
      </c>
      <c r="S15" s="67">
        <f t="shared" ca="1" si="6"/>
        <v>16523142.537400095</v>
      </c>
      <c r="T15" s="40">
        <f t="shared" ca="1" si="0"/>
        <v>-456029.97713385336</v>
      </c>
      <c r="U15" s="53">
        <f t="shared" ca="1" si="1"/>
        <v>-2.6858197991892579E-2</v>
      </c>
      <c r="V15" s="12">
        <f t="shared" ca="1" si="2"/>
        <v>2.6858197991892579E-2</v>
      </c>
      <c r="W15" s="153"/>
      <c r="X15" s="46" t="s">
        <v>210</v>
      </c>
      <c r="Y15" s="222">
        <v>1959.52385954496</v>
      </c>
      <c r="Z15" s="223">
        <v>578.68408704901003</v>
      </c>
      <c r="AA15" s="224">
        <v>3.3861720123280299</v>
      </c>
      <c r="AB15" s="46">
        <v>9.7828800191209105E-4</v>
      </c>
      <c r="AC15" s="30"/>
      <c r="AD15" s="46"/>
      <c r="AE15" s="46"/>
      <c r="AF15" s="46"/>
    </row>
    <row r="16" spans="1:32" ht="15" x14ac:dyDescent="0.25">
      <c r="A16" s="66">
        <v>40602</v>
      </c>
      <c r="B16" s="114">
        <f t="shared" si="3"/>
        <v>2011</v>
      </c>
      <c r="C16" s="114">
        <f t="shared" si="4"/>
        <v>2</v>
      </c>
      <c r="D16" s="107">
        <f>Purchases!C16</f>
        <v>15034235.442599999</v>
      </c>
      <c r="E16" s="94"/>
      <c r="F16" s="171">
        <f ca="1">CDM!D24</f>
        <v>13354.469767900191</v>
      </c>
      <c r="G16" s="94">
        <f t="shared" ca="1" si="5"/>
        <v>15047589.912367899</v>
      </c>
      <c r="H16" s="90">
        <f>Weather!H123</f>
        <v>554.70000000000005</v>
      </c>
      <c r="I16" s="90">
        <f>Weather!I123</f>
        <v>0</v>
      </c>
      <c r="J16" s="90">
        <f t="shared" ca="1" si="7"/>
        <v>533.1</v>
      </c>
      <c r="K16" s="90">
        <f t="shared" ca="1" si="7"/>
        <v>0</v>
      </c>
      <c r="L16" s="108">
        <v>29</v>
      </c>
      <c r="M16" s="108">
        <f t="shared" ref="M16:M79" si="8">M4</f>
        <v>0</v>
      </c>
      <c r="N16" s="152">
        <f>Data!AC3</f>
        <v>0</v>
      </c>
      <c r="O16" s="152">
        <f>Data!AD3</f>
        <v>0</v>
      </c>
      <c r="P16" s="152"/>
      <c r="Q16" s="152"/>
      <c r="R16" s="150">
        <f>Data!AH3</f>
        <v>12690.333333333334</v>
      </c>
      <c r="S16" s="67">
        <f t="shared" ca="1" si="6"/>
        <v>14913882.195439825</v>
      </c>
      <c r="T16" s="40">
        <f t="shared" ca="1" si="0"/>
        <v>-133707.71692807414</v>
      </c>
      <c r="U16" s="53">
        <f t="shared" ca="1" si="1"/>
        <v>-8.8856566205447445E-3</v>
      </c>
      <c r="V16" s="12">
        <f t="shared" ca="1" si="2"/>
        <v>8.8856566205447445E-3</v>
      </c>
      <c r="W16" s="153"/>
      <c r="X16" s="46" t="s">
        <v>207</v>
      </c>
      <c r="Y16" s="222">
        <v>6052.5738140815201</v>
      </c>
      <c r="Z16" s="223">
        <v>1328.21390682317</v>
      </c>
      <c r="AA16" s="224">
        <v>4.5569270002285203</v>
      </c>
      <c r="AB16" s="225">
        <v>1.3306838785660701E-5</v>
      </c>
      <c r="AC16" s="46"/>
      <c r="AD16" s="46"/>
      <c r="AE16" s="46"/>
      <c r="AF16" s="46"/>
    </row>
    <row r="17" spans="1:32" ht="15" x14ac:dyDescent="0.25">
      <c r="A17" s="66">
        <v>40633</v>
      </c>
      <c r="B17" s="114">
        <f t="shared" si="3"/>
        <v>2011</v>
      </c>
      <c r="C17" s="114">
        <f t="shared" si="4"/>
        <v>3</v>
      </c>
      <c r="D17" s="107">
        <f>Purchases!C17</f>
        <v>15600132.157400001</v>
      </c>
      <c r="E17" s="94"/>
      <c r="F17" s="171">
        <f ca="1">CDM!D25</f>
        <v>20031.704651850287</v>
      </c>
      <c r="G17" s="94">
        <f t="shared" ca="1" si="5"/>
        <v>15620163.862051852</v>
      </c>
      <c r="H17" s="90">
        <f>Weather!H124</f>
        <v>486.60000000000014</v>
      </c>
      <c r="I17" s="90">
        <f>Weather!I124</f>
        <v>0</v>
      </c>
      <c r="J17" s="90">
        <f t="shared" ca="1" si="7"/>
        <v>453.77</v>
      </c>
      <c r="K17" s="90">
        <f t="shared" ca="1" si="7"/>
        <v>0.26000000000000012</v>
      </c>
      <c r="L17" s="108">
        <v>31</v>
      </c>
      <c r="M17" s="108">
        <f t="shared" si="8"/>
        <v>1</v>
      </c>
      <c r="N17" s="152">
        <f>Data!AC4</f>
        <v>0</v>
      </c>
      <c r="O17" s="152">
        <f>Data!AD4</f>
        <v>0</v>
      </c>
      <c r="P17" s="152"/>
      <c r="Q17" s="152"/>
      <c r="R17" s="150">
        <f>Data!AH4</f>
        <v>12722.000000000002</v>
      </c>
      <c r="S17" s="67">
        <f t="shared" ca="1" si="6"/>
        <v>15424637.00871343</v>
      </c>
      <c r="T17" s="40">
        <f t="shared" ca="1" si="0"/>
        <v>-195526.85333842225</v>
      </c>
      <c r="U17" s="53">
        <f t="shared" ca="1" si="1"/>
        <v>-1.2517592969267225E-2</v>
      </c>
      <c r="V17" s="12">
        <f t="shared" ca="1" si="2"/>
        <v>1.2517592969267225E-2</v>
      </c>
      <c r="W17" s="153"/>
      <c r="X17" s="46" t="s">
        <v>278</v>
      </c>
      <c r="Y17" s="222">
        <v>623.18448586627403</v>
      </c>
      <c r="Z17" s="223">
        <v>101.11157434258899</v>
      </c>
      <c r="AA17" s="224">
        <v>6.1633348102640104</v>
      </c>
      <c r="AB17" s="225">
        <v>1.1514164628853401E-8</v>
      </c>
      <c r="AC17" s="221"/>
      <c r="AD17" s="221"/>
      <c r="AE17" s="221"/>
      <c r="AF17" s="221"/>
    </row>
    <row r="18" spans="1:32" ht="15" x14ac:dyDescent="0.25">
      <c r="A18" s="66">
        <v>40663</v>
      </c>
      <c r="B18" s="114">
        <f t="shared" si="3"/>
        <v>2011</v>
      </c>
      <c r="C18" s="114">
        <f t="shared" si="4"/>
        <v>4</v>
      </c>
      <c r="D18" s="107">
        <f>Purchases!C18</f>
        <v>13905160.764599999</v>
      </c>
      <c r="E18" s="94"/>
      <c r="F18" s="171">
        <f ca="1">CDM!D26</f>
        <v>26708.939535800382</v>
      </c>
      <c r="G18" s="94">
        <f t="shared" ca="1" si="5"/>
        <v>13931869.7041358</v>
      </c>
      <c r="H18" s="90">
        <f>Weather!H125</f>
        <v>274.59999999999997</v>
      </c>
      <c r="I18" s="90">
        <f>Weather!I125</f>
        <v>0</v>
      </c>
      <c r="J18" s="90">
        <f t="shared" ca="1" si="7"/>
        <v>276.92999999999995</v>
      </c>
      <c r="K18" s="90">
        <f t="shared" ca="1" si="7"/>
        <v>1.2600000000000002</v>
      </c>
      <c r="L18" s="108">
        <v>30</v>
      </c>
      <c r="M18" s="108">
        <f t="shared" si="8"/>
        <v>1</v>
      </c>
      <c r="N18" s="152">
        <f>Data!AC5</f>
        <v>0</v>
      </c>
      <c r="O18" s="152">
        <f>Data!AD5</f>
        <v>0</v>
      </c>
      <c r="P18" s="152"/>
      <c r="Q18" s="152"/>
      <c r="R18" s="150">
        <f>Data!AH5</f>
        <v>12644.66666666667</v>
      </c>
      <c r="S18" s="67">
        <f t="shared" ca="1" si="6"/>
        <v>13983591.209007572</v>
      </c>
      <c r="T18" s="40">
        <f t="shared" ca="1" si="0"/>
        <v>51721.504871772602</v>
      </c>
      <c r="U18" s="53">
        <f t="shared" ca="1" si="1"/>
        <v>3.7124597035542626E-3</v>
      </c>
      <c r="V18" s="12">
        <f t="shared" ca="1" si="2"/>
        <v>3.7124597035542626E-3</v>
      </c>
      <c r="W18" s="153"/>
      <c r="X18" s="46"/>
      <c r="Z18" s="46"/>
      <c r="AA18" s="46"/>
      <c r="AB18" s="46"/>
      <c r="AC18" s="170"/>
      <c r="AD18" s="170"/>
      <c r="AE18" s="170"/>
      <c r="AF18" s="170"/>
    </row>
    <row r="19" spans="1:32" ht="15" x14ac:dyDescent="0.25">
      <c r="A19" s="66">
        <v>40694</v>
      </c>
      <c r="B19" s="114">
        <f t="shared" si="3"/>
        <v>2011</v>
      </c>
      <c r="C19" s="114">
        <f t="shared" si="4"/>
        <v>5</v>
      </c>
      <c r="D19" s="107">
        <f>Purchases!C19</f>
        <v>13964088.668949999</v>
      </c>
      <c r="E19" s="94"/>
      <c r="F19" s="171">
        <f ca="1">CDM!D27</f>
        <v>33386.174419750474</v>
      </c>
      <c r="G19" s="94">
        <f t="shared" ca="1" si="5"/>
        <v>13997474.84336975</v>
      </c>
      <c r="H19" s="90">
        <f>Weather!H126</f>
        <v>113.3</v>
      </c>
      <c r="I19" s="90">
        <f>Weather!I126</f>
        <v>28.099999999999998</v>
      </c>
      <c r="J19" s="90">
        <f t="shared" ca="1" si="7"/>
        <v>91.789999999999992</v>
      </c>
      <c r="K19" s="90">
        <f t="shared" ca="1" si="7"/>
        <v>44.669999999999995</v>
      </c>
      <c r="L19" s="108">
        <v>31</v>
      </c>
      <c r="M19" s="108">
        <f t="shared" si="8"/>
        <v>1</v>
      </c>
      <c r="N19" s="152">
        <f>Data!AC6</f>
        <v>0</v>
      </c>
      <c r="O19" s="152">
        <f>Data!AD6</f>
        <v>0</v>
      </c>
      <c r="P19" s="152"/>
      <c r="Q19" s="152"/>
      <c r="R19" s="150">
        <f>Data!AH6</f>
        <v>12657.333333333336</v>
      </c>
      <c r="S19" s="67">
        <f t="shared" ca="1" si="6"/>
        <v>14354827.855455307</v>
      </c>
      <c r="T19" s="40">
        <f t="shared" ca="1" si="0"/>
        <v>357353.01208555698</v>
      </c>
      <c r="U19" s="53">
        <f t="shared" ca="1" si="1"/>
        <v>2.5529819919971213E-2</v>
      </c>
      <c r="V19" s="12">
        <f t="shared" ca="1" si="2"/>
        <v>2.5529819919971213E-2</v>
      </c>
      <c r="W19" s="153"/>
      <c r="X19" s="46" t="s">
        <v>172</v>
      </c>
      <c r="Y19" s="46"/>
      <c r="Z19" s="46"/>
      <c r="AA19" s="46"/>
      <c r="AB19" s="46"/>
      <c r="AC19" s="170"/>
      <c r="AD19" s="170"/>
      <c r="AE19" s="170"/>
      <c r="AF19" s="170"/>
    </row>
    <row r="20" spans="1:32" ht="15" x14ac:dyDescent="0.25">
      <c r="A20" s="66">
        <v>40724</v>
      </c>
      <c r="B20" s="114">
        <f t="shared" si="3"/>
        <v>2011</v>
      </c>
      <c r="C20" s="114">
        <f t="shared" si="4"/>
        <v>6</v>
      </c>
      <c r="D20" s="107">
        <f>Purchases!C20</f>
        <v>15635949.933149999</v>
      </c>
      <c r="E20" s="94"/>
      <c r="F20" s="171">
        <f ca="1">CDM!D28</f>
        <v>40063.409303700573</v>
      </c>
      <c r="G20" s="94">
        <f t="shared" ca="1" si="5"/>
        <v>15676013.3424537</v>
      </c>
      <c r="H20" s="90">
        <f>Weather!H127</f>
        <v>1.0999999999999996</v>
      </c>
      <c r="I20" s="90">
        <f>Weather!I127</f>
        <v>113.39999999999999</v>
      </c>
      <c r="J20" s="90">
        <f t="shared" ca="1" si="7"/>
        <v>8.3199999999999985</v>
      </c>
      <c r="K20" s="90">
        <f t="shared" ca="1" si="7"/>
        <v>115.62</v>
      </c>
      <c r="L20" s="108">
        <v>30</v>
      </c>
      <c r="M20" s="108">
        <f t="shared" si="8"/>
        <v>0</v>
      </c>
      <c r="N20" s="152">
        <f>Data!AC7</f>
        <v>0</v>
      </c>
      <c r="O20" s="152">
        <f>Data!AD7</f>
        <v>0</v>
      </c>
      <c r="P20" s="152"/>
      <c r="Q20" s="152"/>
      <c r="R20" s="150">
        <f>Data!AH7</f>
        <v>12670.000000000004</v>
      </c>
      <c r="S20" s="67">
        <f t="shared" ca="1" si="6"/>
        <v>15786422.620358873</v>
      </c>
      <c r="T20" s="40">
        <f t="shared" ca="1" si="0"/>
        <v>110409.2779051736</v>
      </c>
      <c r="U20" s="53">
        <f t="shared" ca="1" si="1"/>
        <v>7.0431987708356788E-3</v>
      </c>
      <c r="V20" s="12">
        <f t="shared" ca="1" si="2"/>
        <v>7.0431987708356788E-3</v>
      </c>
      <c r="W20" s="153"/>
      <c r="X20" s="46" t="s">
        <v>162</v>
      </c>
      <c r="Y20" s="46">
        <v>16448790.194414699</v>
      </c>
      <c r="Z20" s="46" t="s">
        <v>163</v>
      </c>
      <c r="AA20" s="46">
        <v>1987580.78477811</v>
      </c>
      <c r="AB20" s="46"/>
      <c r="AC20" s="170"/>
      <c r="AD20" s="170"/>
      <c r="AE20" s="170"/>
      <c r="AF20" s="170"/>
    </row>
    <row r="21" spans="1:32" ht="15" x14ac:dyDescent="0.25">
      <c r="A21" s="66">
        <v>40755</v>
      </c>
      <c r="B21" s="114">
        <f t="shared" si="3"/>
        <v>2011</v>
      </c>
      <c r="C21" s="114">
        <f t="shared" si="4"/>
        <v>7</v>
      </c>
      <c r="D21" s="107">
        <f>Purchases!C21</f>
        <v>20776403.369124997</v>
      </c>
      <c r="E21" s="94"/>
      <c r="F21" s="171">
        <f ca="1">CDM!D29</f>
        <v>46740.644187650672</v>
      </c>
      <c r="G21" s="94">
        <f ca="1">D21+F21-E21</f>
        <v>20823144.013312649</v>
      </c>
      <c r="H21" s="90">
        <f>Weather!H128</f>
        <v>0</v>
      </c>
      <c r="I21" s="90">
        <f>Weather!I128</f>
        <v>271.2</v>
      </c>
      <c r="J21" s="90">
        <f t="shared" ca="1" si="7"/>
        <v>0</v>
      </c>
      <c r="K21" s="90">
        <f t="shared" ca="1" si="7"/>
        <v>224.87000000000003</v>
      </c>
      <c r="L21" s="108">
        <v>31</v>
      </c>
      <c r="M21" s="108">
        <f t="shared" si="8"/>
        <v>0</v>
      </c>
      <c r="N21" s="152">
        <f>Data!AC8</f>
        <v>0</v>
      </c>
      <c r="O21" s="152">
        <f>Data!AD8</f>
        <v>0</v>
      </c>
      <c r="P21" s="152"/>
      <c r="Q21" s="152"/>
      <c r="R21" s="150">
        <f>Data!AH8</f>
        <v>12681.666666666672</v>
      </c>
      <c r="S21" s="67">
        <f t="shared" ca="1" si="6"/>
        <v>19451687.62135854</v>
      </c>
      <c r="T21" s="40">
        <f t="shared" ca="1" si="0"/>
        <v>-1371456.3919541091</v>
      </c>
      <c r="U21" s="53">
        <f t="shared" ca="1" si="1"/>
        <v>-6.5862119143838688E-2</v>
      </c>
      <c r="V21" s="12">
        <f t="shared" ca="1" si="2"/>
        <v>6.5862119143838688E-2</v>
      </c>
      <c r="W21" s="153"/>
      <c r="X21" s="46" t="s">
        <v>164</v>
      </c>
      <c r="Y21" s="46">
        <v>11394167369242</v>
      </c>
      <c r="Z21" s="46" t="s">
        <v>165</v>
      </c>
      <c r="AA21" s="46">
        <v>318957.10875504097</v>
      </c>
      <c r="AB21" s="46"/>
      <c r="AC21" s="170"/>
      <c r="AD21" s="170"/>
      <c r="AE21" s="170"/>
      <c r="AF21" s="170"/>
    </row>
    <row r="22" spans="1:32" ht="15" x14ac:dyDescent="0.25">
      <c r="A22" s="66">
        <v>40786</v>
      </c>
      <c r="B22" s="114">
        <f t="shared" si="3"/>
        <v>2011</v>
      </c>
      <c r="C22" s="114">
        <f t="shared" si="4"/>
        <v>8</v>
      </c>
      <c r="D22" s="107">
        <f>Purchases!C22</f>
        <v>18292832.774299998</v>
      </c>
      <c r="E22" s="94"/>
      <c r="F22" s="171">
        <f ca="1">CDM!D30</f>
        <v>53417.879071600764</v>
      </c>
      <c r="G22" s="94">
        <f t="shared" ca="1" si="5"/>
        <v>18346250.653371599</v>
      </c>
      <c r="H22" s="90">
        <f>Weather!H129</f>
        <v>0</v>
      </c>
      <c r="I22" s="90">
        <f>Weather!I129</f>
        <v>188.29999999999995</v>
      </c>
      <c r="J22" s="90">
        <f t="shared" ca="1" si="7"/>
        <v>9.9999999999999638E-3</v>
      </c>
      <c r="K22" s="90">
        <f t="shared" ca="1" si="7"/>
        <v>186.09000000000003</v>
      </c>
      <c r="L22" s="108">
        <v>31</v>
      </c>
      <c r="M22" s="108">
        <f t="shared" si="8"/>
        <v>0</v>
      </c>
      <c r="N22" s="152">
        <f>Data!AC9</f>
        <v>0</v>
      </c>
      <c r="O22" s="152">
        <f>Data!AD9</f>
        <v>0</v>
      </c>
      <c r="P22" s="152"/>
      <c r="Q22" s="152"/>
      <c r="R22" s="150">
        <f>Data!AH9</f>
        <v>12694.333333333338</v>
      </c>
      <c r="S22" s="67">
        <f t="shared" ca="1" si="6"/>
        <v>18280892.338683624</v>
      </c>
      <c r="T22" s="40">
        <f t="shared" ca="1" si="0"/>
        <v>-65358.314687974751</v>
      </c>
      <c r="U22" s="53">
        <f t="shared" ca="1" si="1"/>
        <v>-3.5624889206429472E-3</v>
      </c>
      <c r="V22" s="12">
        <f t="shared" ca="1" si="2"/>
        <v>3.5624889206429472E-3</v>
      </c>
      <c r="W22" s="153"/>
      <c r="X22" s="46" t="s">
        <v>166</v>
      </c>
      <c r="Y22" s="46">
        <v>0.97580256946212696</v>
      </c>
      <c r="Z22" s="46" t="s">
        <v>167</v>
      </c>
      <c r="AA22" s="46">
        <v>0.97429023005351001</v>
      </c>
      <c r="AB22" s="46"/>
      <c r="AC22" s="170"/>
      <c r="AD22" s="170"/>
      <c r="AE22" s="170"/>
      <c r="AF22" s="170"/>
    </row>
    <row r="23" spans="1:32" ht="15" x14ac:dyDescent="0.25">
      <c r="A23" s="66">
        <v>40816</v>
      </c>
      <c r="B23" s="114">
        <f t="shared" si="3"/>
        <v>2011</v>
      </c>
      <c r="C23" s="114">
        <f t="shared" si="4"/>
        <v>9</v>
      </c>
      <c r="D23" s="107">
        <f>Purchases!C23</f>
        <v>15179291.59935</v>
      </c>
      <c r="E23" s="94"/>
      <c r="F23" s="171">
        <f ca="1">CDM!D31</f>
        <v>60095.113955550856</v>
      </c>
      <c r="G23" s="94">
        <f t="shared" ca="1" si="5"/>
        <v>15239386.713305552</v>
      </c>
      <c r="H23" s="90">
        <f>Weather!H130</f>
        <v>17.399999999999999</v>
      </c>
      <c r="I23" s="90">
        <f>Weather!I130</f>
        <v>81</v>
      </c>
      <c r="J23" s="90">
        <f t="shared" ca="1" si="7"/>
        <v>19.43</v>
      </c>
      <c r="K23" s="90">
        <f t="shared" ca="1" si="7"/>
        <v>90.78</v>
      </c>
      <c r="L23" s="108">
        <v>30</v>
      </c>
      <c r="M23" s="108">
        <f t="shared" si="8"/>
        <v>0</v>
      </c>
      <c r="N23" s="152">
        <f>Data!AC10</f>
        <v>0</v>
      </c>
      <c r="O23" s="152">
        <f>Data!AD10</f>
        <v>0</v>
      </c>
      <c r="P23" s="152"/>
      <c r="Q23" s="152"/>
      <c r="R23" s="150">
        <f>Data!AH10</f>
        <v>12798.000000000005</v>
      </c>
      <c r="S23" s="67">
        <f t="shared" ca="1" si="6"/>
        <v>15541459.421667701</v>
      </c>
      <c r="T23" s="40">
        <f t="shared" ca="1" si="0"/>
        <v>302072.70836214907</v>
      </c>
      <c r="U23" s="53">
        <f t="shared" ca="1" si="1"/>
        <v>1.982184152452858E-2</v>
      </c>
      <c r="V23" s="12">
        <f t="shared" ca="1" si="2"/>
        <v>1.982184152452858E-2</v>
      </c>
      <c r="W23" s="153"/>
      <c r="X23" s="46" t="s">
        <v>208</v>
      </c>
      <c r="Y23" s="46">
        <v>531.02546100366396</v>
      </c>
      <c r="Z23" s="46" t="s">
        <v>169</v>
      </c>
      <c r="AA23" s="225">
        <v>8.9716595913132799E-83</v>
      </c>
      <c r="AB23" s="46"/>
      <c r="AC23" s="170"/>
      <c r="AD23" s="170"/>
      <c r="AE23" s="170"/>
      <c r="AF23" s="170"/>
    </row>
    <row r="24" spans="1:32" ht="15" x14ac:dyDescent="0.25">
      <c r="A24" s="66">
        <v>40847</v>
      </c>
      <c r="B24" s="114">
        <f t="shared" si="3"/>
        <v>2011</v>
      </c>
      <c r="C24" s="114">
        <f t="shared" si="4"/>
        <v>10</v>
      </c>
      <c r="D24" s="107">
        <f>Purchases!C24</f>
        <v>14464910.0175</v>
      </c>
      <c r="E24" s="94"/>
      <c r="F24" s="171">
        <f ca="1">CDM!D32</f>
        <v>66772.348839500948</v>
      </c>
      <c r="G24" s="94">
        <f t="shared" ca="1" si="5"/>
        <v>14531682.366339501</v>
      </c>
      <c r="H24" s="90">
        <f>Weather!H131</f>
        <v>154.9</v>
      </c>
      <c r="I24" s="90">
        <f>Weather!I131</f>
        <v>12.099999999999998</v>
      </c>
      <c r="J24" s="90">
        <f t="shared" ca="1" si="7"/>
        <v>147.23999999999998</v>
      </c>
      <c r="K24" s="90">
        <f t="shared" ca="1" si="7"/>
        <v>14.710000000000003</v>
      </c>
      <c r="L24" s="108">
        <v>31</v>
      </c>
      <c r="M24" s="108">
        <f t="shared" si="8"/>
        <v>0</v>
      </c>
      <c r="N24" s="152">
        <f>Data!AC11</f>
        <v>0</v>
      </c>
      <c r="O24" s="152">
        <f>Data!AD11</f>
        <v>0</v>
      </c>
      <c r="P24" s="152"/>
      <c r="Q24" s="152"/>
      <c r="R24" s="150">
        <f>Data!AH11</f>
        <v>12810.666666666673</v>
      </c>
      <c r="S24" s="67">
        <f t="shared" ca="1" si="6"/>
        <v>14561526.62776636</v>
      </c>
      <c r="T24" s="40">
        <f t="shared" ca="1" si="0"/>
        <v>29844.261426858604</v>
      </c>
      <c r="U24" s="53">
        <f t="shared" ca="1" si="1"/>
        <v>2.0537375284219281E-3</v>
      </c>
      <c r="V24" s="12">
        <f t="shared" ca="1" si="2"/>
        <v>2.0537375284219281E-3</v>
      </c>
      <c r="W24" s="153"/>
      <c r="X24" s="46" t="s">
        <v>170</v>
      </c>
      <c r="Y24" s="46">
        <v>-6.3804003575676602E-2</v>
      </c>
      <c r="Z24" s="46" t="s">
        <v>171</v>
      </c>
      <c r="AA24" s="46">
        <v>2.0999844563451302</v>
      </c>
      <c r="AB24" s="46"/>
      <c r="AC24" s="170"/>
      <c r="AD24" s="170"/>
      <c r="AE24" s="170"/>
      <c r="AF24" s="170"/>
    </row>
    <row r="25" spans="1:32" ht="15" x14ac:dyDescent="0.25">
      <c r="A25" s="66">
        <v>40877</v>
      </c>
      <c r="B25" s="114">
        <f t="shared" si="3"/>
        <v>2011</v>
      </c>
      <c r="C25" s="114">
        <f t="shared" si="4"/>
        <v>11</v>
      </c>
      <c r="D25" s="107">
        <f>Purchases!C25</f>
        <v>14415495.62755</v>
      </c>
      <c r="E25" s="94"/>
      <c r="F25" s="171">
        <f ca="1">CDM!D33</f>
        <v>73449.583723451055</v>
      </c>
      <c r="G25" s="94">
        <f t="shared" ca="1" si="5"/>
        <v>14488945.211273452</v>
      </c>
      <c r="H25" s="90">
        <f>Weather!H132</f>
        <v>246.60000000000005</v>
      </c>
      <c r="I25" s="90">
        <f>Weather!I132</f>
        <v>0</v>
      </c>
      <c r="J25" s="90">
        <f t="shared" ca="1" si="7"/>
        <v>331.03</v>
      </c>
      <c r="K25" s="90">
        <f t="shared" ca="1" si="7"/>
        <v>0.54000000000000026</v>
      </c>
      <c r="L25" s="108">
        <v>30</v>
      </c>
      <c r="M25" s="108">
        <f t="shared" si="8"/>
        <v>0</v>
      </c>
      <c r="N25" s="152">
        <f>Data!AC12</f>
        <v>0</v>
      </c>
      <c r="O25" s="152">
        <f>Data!AD12</f>
        <v>0</v>
      </c>
      <c r="P25" s="152"/>
      <c r="Q25" s="152"/>
      <c r="R25" s="150">
        <f>Data!AH12</f>
        <v>12823.333333333339</v>
      </c>
      <c r="S25" s="67">
        <f t="shared" ca="1" si="6"/>
        <v>15027566.470241871</v>
      </c>
      <c r="T25" s="40">
        <f t="shared" ca="1" si="0"/>
        <v>538621.25896841846</v>
      </c>
      <c r="U25" s="53">
        <f t="shared" ca="1" si="1"/>
        <v>3.7174635635265706E-2</v>
      </c>
      <c r="V25" s="12">
        <f t="shared" ca="1" si="2"/>
        <v>3.7174635635265706E-2</v>
      </c>
      <c r="W25" s="153"/>
      <c r="X25" s="30"/>
      <c r="Y25" s="92"/>
      <c r="Z25" s="226"/>
      <c r="AA25" s="226"/>
      <c r="AB25" s="226"/>
      <c r="AC25" s="170"/>
      <c r="AD25" s="170"/>
      <c r="AE25" s="170"/>
      <c r="AF25" s="170"/>
    </row>
    <row r="26" spans="1:32" ht="15" x14ac:dyDescent="0.25">
      <c r="A26" s="66">
        <v>40908</v>
      </c>
      <c r="B26" s="114">
        <f t="shared" si="3"/>
        <v>2011</v>
      </c>
      <c r="C26" s="114">
        <f t="shared" si="4"/>
        <v>12</v>
      </c>
      <c r="D26" s="107">
        <f>Purchases!C26</f>
        <v>16232068.276699999</v>
      </c>
      <c r="E26" s="94"/>
      <c r="F26" s="171">
        <f ca="1">CDM!D34</f>
        <v>80126.818607401146</v>
      </c>
      <c r="G26" s="94">
        <f t="shared" ca="1" si="5"/>
        <v>16312195.0953074</v>
      </c>
      <c r="H26" s="90">
        <f>Weather!H133</f>
        <v>443.7000000000001</v>
      </c>
      <c r="I26" s="90">
        <f>Weather!I133</f>
        <v>0</v>
      </c>
      <c r="J26" s="90">
        <f t="shared" ca="1" si="7"/>
        <v>485.42000000000007</v>
      </c>
      <c r="K26" s="90">
        <f t="shared" ca="1" si="7"/>
        <v>0</v>
      </c>
      <c r="L26" s="108">
        <v>31</v>
      </c>
      <c r="M26" s="108">
        <f t="shared" si="8"/>
        <v>0</v>
      </c>
      <c r="N26" s="152">
        <f>Data!AC13</f>
        <v>0</v>
      </c>
      <c r="O26" s="152">
        <f>Data!AD13</f>
        <v>0</v>
      </c>
      <c r="P26" s="152"/>
      <c r="Q26" s="152"/>
      <c r="R26" s="150">
        <f>Data!AH13</f>
        <v>12836</v>
      </c>
      <c r="S26" s="67">
        <f t="shared" ca="1" si="6"/>
        <v>16570449.074485144</v>
      </c>
      <c r="T26" s="40">
        <f t="shared" ca="1" si="0"/>
        <v>258253.9791777432</v>
      </c>
      <c r="U26" s="53">
        <f t="shared" ca="1" si="1"/>
        <v>1.5831957481432787E-2</v>
      </c>
      <c r="V26" s="12">
        <f t="shared" ca="1" si="2"/>
        <v>1.5831957481432787E-2</v>
      </c>
      <c r="W26" s="153"/>
      <c r="AC26" s="170"/>
      <c r="AD26" s="170"/>
      <c r="AE26" s="170"/>
      <c r="AF26" s="170"/>
    </row>
    <row r="27" spans="1:32" ht="15" x14ac:dyDescent="0.25">
      <c r="A27" s="66">
        <v>40939</v>
      </c>
      <c r="B27" s="114">
        <f t="shared" si="3"/>
        <v>2012</v>
      </c>
      <c r="C27" s="114">
        <f t="shared" si="4"/>
        <v>1</v>
      </c>
      <c r="D27" s="107">
        <f>Purchases!C27</f>
        <v>16429520.481299998</v>
      </c>
      <c r="E27" s="94"/>
      <c r="F27" s="171">
        <f ca="1">CDM!D35</f>
        <v>92021.125628099777</v>
      </c>
      <c r="G27" s="94">
        <f t="shared" ca="1" si="5"/>
        <v>16521541.606928099</v>
      </c>
      <c r="H27" s="90">
        <f>Weather!H134</f>
        <v>520.59999999999991</v>
      </c>
      <c r="I27" s="90">
        <f>Weather!I134</f>
        <v>0</v>
      </c>
      <c r="J27" s="90">
        <f t="shared" ca="1" si="7"/>
        <v>607.33000000000004</v>
      </c>
      <c r="K27" s="90">
        <f t="shared" ca="1" si="7"/>
        <v>0</v>
      </c>
      <c r="L27" s="108">
        <v>31</v>
      </c>
      <c r="M27" s="108">
        <f t="shared" si="8"/>
        <v>0</v>
      </c>
      <c r="N27" s="152">
        <f>Data!AC14</f>
        <v>0</v>
      </c>
      <c r="O27" s="152">
        <f>Data!AD14</f>
        <v>0</v>
      </c>
      <c r="P27" s="152"/>
      <c r="Q27" s="152"/>
      <c r="R27" s="150">
        <f>Data!AH14</f>
        <v>12982</v>
      </c>
      <c r="S27" s="67">
        <f t="shared" ca="1" si="6"/>
        <v>17058415.231426798</v>
      </c>
      <c r="T27" s="40">
        <f t="shared" ca="1" si="0"/>
        <v>536873.62449869886</v>
      </c>
      <c r="U27" s="53">
        <f t="shared" ca="1" si="1"/>
        <v>3.2495371029636101E-2</v>
      </c>
      <c r="V27" s="12">
        <f t="shared" ca="1" si="2"/>
        <v>3.2495371029636101E-2</v>
      </c>
      <c r="W27" s="153"/>
      <c r="AC27" s="46"/>
      <c r="AD27" s="46"/>
      <c r="AE27" s="46"/>
      <c r="AF27" s="46"/>
    </row>
    <row r="28" spans="1:32" ht="15" x14ac:dyDescent="0.25">
      <c r="A28" s="66">
        <v>40968</v>
      </c>
      <c r="B28" s="114">
        <f t="shared" si="3"/>
        <v>2012</v>
      </c>
      <c r="C28" s="114">
        <f t="shared" si="4"/>
        <v>2</v>
      </c>
      <c r="D28" s="107">
        <f>Purchases!C28</f>
        <v>14922709.590399999</v>
      </c>
      <c r="E28" s="94"/>
      <c r="F28" s="171">
        <f ca="1">CDM!D36</f>
        <v>98513.110264848307</v>
      </c>
      <c r="G28" s="94">
        <f t="shared" ca="1" si="5"/>
        <v>15021222.700664848</v>
      </c>
      <c r="H28" s="90">
        <f>Weather!H135</f>
        <v>452.90000000000003</v>
      </c>
      <c r="I28" s="90">
        <f>Weather!I135</f>
        <v>0</v>
      </c>
      <c r="J28" s="90">
        <f t="shared" ca="1" si="7"/>
        <v>533.1</v>
      </c>
      <c r="K28" s="90">
        <f t="shared" ca="1" si="7"/>
        <v>0</v>
      </c>
      <c r="L28" s="108">
        <v>29</v>
      </c>
      <c r="M28" s="108">
        <f t="shared" si="8"/>
        <v>0</v>
      </c>
      <c r="N28" s="152">
        <f>Data!AC15</f>
        <v>0</v>
      </c>
      <c r="O28" s="152">
        <f>Data!AD15</f>
        <v>0</v>
      </c>
      <c r="P28" s="152"/>
      <c r="Q28" s="152"/>
      <c r="R28" s="150">
        <f>Data!AH15</f>
        <v>12998</v>
      </c>
      <c r="S28" s="67">
        <f t="shared" ca="1" si="6"/>
        <v>15517674.501481123</v>
      </c>
      <c r="T28" s="40">
        <f t="shared" ca="1" si="0"/>
        <v>496451.80081627518</v>
      </c>
      <c r="U28" s="53">
        <f t="shared" ca="1" si="1"/>
        <v>3.3050026000500075E-2</v>
      </c>
      <c r="V28" s="12">
        <f t="shared" ca="1" si="2"/>
        <v>3.3050026000500075E-2</v>
      </c>
      <c r="W28" s="153"/>
      <c r="Y28" s="46"/>
      <c r="Z28" s="304"/>
      <c r="AC28" s="46"/>
      <c r="AD28" s="46"/>
      <c r="AE28" s="46"/>
      <c r="AF28" s="46"/>
    </row>
    <row r="29" spans="1:32" ht="15" x14ac:dyDescent="0.25">
      <c r="A29" s="66">
        <v>40999</v>
      </c>
      <c r="B29" s="114">
        <f t="shared" si="3"/>
        <v>2012</v>
      </c>
      <c r="C29" s="114">
        <f t="shared" si="4"/>
        <v>3</v>
      </c>
      <c r="D29" s="107">
        <f>Purchases!C29</f>
        <v>14512774.780449999</v>
      </c>
      <c r="E29" s="94"/>
      <c r="F29" s="171">
        <f ca="1">CDM!D37</f>
        <v>105005.09490159682</v>
      </c>
      <c r="G29" s="94">
        <f t="shared" ca="1" si="5"/>
        <v>14617779.875351597</v>
      </c>
      <c r="H29" s="90">
        <f>Weather!H136</f>
        <v>281.8</v>
      </c>
      <c r="I29" s="90">
        <f>Weather!I136</f>
        <v>2.6000000000000014</v>
      </c>
      <c r="J29" s="90">
        <f t="shared" ca="1" si="7"/>
        <v>453.77</v>
      </c>
      <c r="K29" s="90">
        <f t="shared" ca="1" si="7"/>
        <v>0.26000000000000012</v>
      </c>
      <c r="L29" s="108">
        <v>31</v>
      </c>
      <c r="M29" s="108">
        <f t="shared" si="8"/>
        <v>1</v>
      </c>
      <c r="N29" s="152">
        <f>Data!AC16</f>
        <v>0</v>
      </c>
      <c r="O29" s="152">
        <f>Data!AD16</f>
        <v>0</v>
      </c>
      <c r="P29" s="152"/>
      <c r="Q29" s="152"/>
      <c r="R29" s="150">
        <f>Data!AH16</f>
        <v>13022</v>
      </c>
      <c r="S29" s="67">
        <f t="shared" ca="1" si="6"/>
        <v>15613035.303516967</v>
      </c>
      <c r="T29" s="40">
        <f t="shared" ca="1" si="0"/>
        <v>995255.4281653706</v>
      </c>
      <c r="U29" s="53">
        <f t="shared" ca="1" si="1"/>
        <v>6.808526579631724E-2</v>
      </c>
      <c r="V29" s="12">
        <f t="shared" ca="1" si="2"/>
        <v>6.808526579631724E-2</v>
      </c>
      <c r="W29" s="153"/>
      <c r="AC29" s="46"/>
      <c r="AD29" s="46"/>
      <c r="AE29" s="46"/>
      <c r="AF29" s="46"/>
    </row>
    <row r="30" spans="1:32" ht="15" x14ac:dyDescent="0.25">
      <c r="A30" s="66">
        <v>41029</v>
      </c>
      <c r="B30" s="114">
        <f t="shared" si="3"/>
        <v>2012</v>
      </c>
      <c r="C30" s="114">
        <f t="shared" si="4"/>
        <v>4</v>
      </c>
      <c r="D30" s="107">
        <f>Purchases!C30</f>
        <v>13420400.940308001</v>
      </c>
      <c r="E30" s="94"/>
      <c r="F30" s="171">
        <f ca="1">CDM!D38</f>
        <v>111497.07953834535</v>
      </c>
      <c r="G30" s="94">
        <f t="shared" ca="1" si="5"/>
        <v>13531898.019846346</v>
      </c>
      <c r="H30" s="90">
        <f>Weather!H137</f>
        <v>246.89999999999992</v>
      </c>
      <c r="I30" s="90">
        <f>Weather!I137</f>
        <v>6.1000000000000014</v>
      </c>
      <c r="J30" s="90">
        <f t="shared" ca="1" si="7"/>
        <v>276.92999999999995</v>
      </c>
      <c r="K30" s="90">
        <f t="shared" ca="1" si="7"/>
        <v>1.2600000000000002</v>
      </c>
      <c r="L30" s="108">
        <v>30</v>
      </c>
      <c r="M30" s="108">
        <f t="shared" si="8"/>
        <v>1</v>
      </c>
      <c r="N30" s="152">
        <f>Data!AC17</f>
        <v>0</v>
      </c>
      <c r="O30" s="152">
        <f>Data!AD17</f>
        <v>0</v>
      </c>
      <c r="P30" s="152"/>
      <c r="Q30" s="152"/>
      <c r="R30" s="150">
        <f>Data!AH17</f>
        <v>13035</v>
      </c>
      <c r="S30" s="67">
        <f t="shared" ca="1" si="6"/>
        <v>13574515.653282842</v>
      </c>
      <c r="T30" s="40">
        <f t="shared" ca="1" si="0"/>
        <v>42617.633436495438</v>
      </c>
      <c r="U30" s="53">
        <f t="shared" ca="1" si="1"/>
        <v>3.1494202346183035E-3</v>
      </c>
      <c r="V30" s="12">
        <f t="shared" ca="1" si="2"/>
        <v>3.1494202346183035E-3</v>
      </c>
      <c r="W30" s="153"/>
      <c r="AC30" s="46"/>
      <c r="AD30" s="46"/>
      <c r="AE30" s="46"/>
      <c r="AF30" s="46"/>
    </row>
    <row r="31" spans="1:32" ht="15" x14ac:dyDescent="0.25">
      <c r="A31" s="66">
        <v>41060</v>
      </c>
      <c r="B31" s="114">
        <f t="shared" si="3"/>
        <v>2012</v>
      </c>
      <c r="C31" s="114">
        <f t="shared" si="4"/>
        <v>5</v>
      </c>
      <c r="D31" s="107">
        <f>Purchases!C31</f>
        <v>14603680.867724</v>
      </c>
      <c r="E31" s="94"/>
      <c r="F31" s="171">
        <f ca="1">CDM!D39</f>
        <v>117989.06417509388</v>
      </c>
      <c r="G31" s="94">
        <f t="shared" ca="1" si="5"/>
        <v>14721669.931899093</v>
      </c>
      <c r="H31" s="90">
        <f>Weather!H138</f>
        <v>45</v>
      </c>
      <c r="I31" s="90">
        <f>Weather!I138</f>
        <v>66.000000000000028</v>
      </c>
      <c r="J31" s="90">
        <f t="shared" ca="1" si="7"/>
        <v>91.789999999999992</v>
      </c>
      <c r="K31" s="90">
        <f t="shared" ca="1" si="7"/>
        <v>44.669999999999995</v>
      </c>
      <c r="L31" s="108">
        <v>31</v>
      </c>
      <c r="M31" s="108">
        <f t="shared" si="8"/>
        <v>1</v>
      </c>
      <c r="N31" s="152">
        <f>Data!AC18</f>
        <v>0</v>
      </c>
      <c r="O31" s="152">
        <f>Data!AD18</f>
        <v>0</v>
      </c>
      <c r="P31" s="152"/>
      <c r="Q31" s="152"/>
      <c r="R31" s="150">
        <f>Data!AH18</f>
        <v>13047</v>
      </c>
      <c r="S31" s="67">
        <f t="shared" ca="1" si="6"/>
        <v>14379899.388500197</v>
      </c>
      <c r="T31" s="40">
        <f t="shared" ca="1" si="0"/>
        <v>-341770.54339889623</v>
      </c>
      <c r="U31" s="53">
        <f t="shared" ca="1" si="1"/>
        <v>-2.3215473854521333E-2</v>
      </c>
      <c r="V31" s="12">
        <f t="shared" ca="1" si="2"/>
        <v>2.3215473854521333E-2</v>
      </c>
      <c r="W31" s="153"/>
      <c r="AC31" s="46"/>
      <c r="AD31" s="46"/>
      <c r="AE31" s="46"/>
      <c r="AF31" s="46"/>
    </row>
    <row r="32" spans="1:32" ht="15" x14ac:dyDescent="0.25">
      <c r="A32" s="66">
        <v>41090</v>
      </c>
      <c r="B32" s="114">
        <f t="shared" si="3"/>
        <v>2012</v>
      </c>
      <c r="C32" s="114">
        <f t="shared" si="4"/>
        <v>6</v>
      </c>
      <c r="D32" s="107">
        <f>Purchases!C32</f>
        <v>17157940.412751999</v>
      </c>
      <c r="E32" s="94"/>
      <c r="F32" s="171">
        <f ca="1">CDM!D40</f>
        <v>124481.0488118424</v>
      </c>
      <c r="G32" s="94">
        <f t="shared" ca="1" si="5"/>
        <v>17282421.461563841</v>
      </c>
      <c r="H32" s="90">
        <f>Weather!H139</f>
        <v>6.6999999999999993</v>
      </c>
      <c r="I32" s="90">
        <f>Weather!I139</f>
        <v>158</v>
      </c>
      <c r="J32" s="90">
        <f t="shared" ca="1" si="7"/>
        <v>8.3199999999999985</v>
      </c>
      <c r="K32" s="90">
        <f t="shared" ca="1" si="7"/>
        <v>115.62</v>
      </c>
      <c r="L32" s="108">
        <v>30</v>
      </c>
      <c r="M32" s="108">
        <f t="shared" si="8"/>
        <v>0</v>
      </c>
      <c r="N32" s="152">
        <f>Data!AC19</f>
        <v>0</v>
      </c>
      <c r="O32" s="152">
        <f>Data!AD19</f>
        <v>0</v>
      </c>
      <c r="P32" s="152"/>
      <c r="Q32" s="152"/>
      <c r="R32" s="150">
        <f>Data!AH19</f>
        <v>13055</v>
      </c>
      <c r="S32" s="67">
        <f t="shared" ca="1" si="6"/>
        <v>16037920.68449457</v>
      </c>
      <c r="T32" s="40">
        <f t="shared" ca="1" si="0"/>
        <v>-1244500.7770692706</v>
      </c>
      <c r="U32" s="53">
        <f t="shared" ca="1" si="1"/>
        <v>-7.2009630122552223E-2</v>
      </c>
      <c r="V32" s="12">
        <f t="shared" ca="1" si="2"/>
        <v>7.2009630122552223E-2</v>
      </c>
      <c r="W32" s="153"/>
      <c r="AC32" s="46"/>
      <c r="AD32" s="46"/>
      <c r="AE32" s="46"/>
      <c r="AF32" s="46"/>
    </row>
    <row r="33" spans="1:32" ht="15" x14ac:dyDescent="0.25">
      <c r="A33" s="66">
        <v>41121</v>
      </c>
      <c r="B33" s="114">
        <f t="shared" si="3"/>
        <v>2012</v>
      </c>
      <c r="C33" s="114">
        <f t="shared" si="4"/>
        <v>7</v>
      </c>
      <c r="D33" s="107">
        <f>Purchases!C33</f>
        <v>20944843.982699998</v>
      </c>
      <c r="E33" s="94"/>
      <c r="F33" s="171">
        <f ca="1">CDM!D41</f>
        <v>130973.03344859093</v>
      </c>
      <c r="G33" s="94">
        <f t="shared" ca="1" si="5"/>
        <v>21075817.01614859</v>
      </c>
      <c r="H33" s="90">
        <f>Weather!H140</f>
        <v>0</v>
      </c>
      <c r="I33" s="90">
        <f>Weather!I140</f>
        <v>267.10000000000008</v>
      </c>
      <c r="J33" s="90">
        <f t="shared" ca="1" si="7"/>
        <v>0</v>
      </c>
      <c r="K33" s="90">
        <f t="shared" ca="1" si="7"/>
        <v>224.87000000000003</v>
      </c>
      <c r="L33" s="108">
        <v>31</v>
      </c>
      <c r="M33" s="108">
        <f t="shared" si="8"/>
        <v>0</v>
      </c>
      <c r="N33" s="152">
        <f>Data!AC20</f>
        <v>0</v>
      </c>
      <c r="O33" s="152">
        <f>Data!AD20</f>
        <v>0</v>
      </c>
      <c r="P33" s="152"/>
      <c r="Q33" s="152"/>
      <c r="R33" s="150">
        <f>Data!AH20</f>
        <v>13068</v>
      </c>
      <c r="S33" s="67">
        <f t="shared" ca="1" si="6"/>
        <v>19825728.446491301</v>
      </c>
      <c r="T33" s="40">
        <f t="shared" ca="1" si="0"/>
        <v>-1250088.5696572885</v>
      </c>
      <c r="U33" s="53">
        <f t="shared" ca="1" si="1"/>
        <v>-5.9313884187713953E-2</v>
      </c>
      <c r="V33" s="12">
        <f t="shared" ca="1" si="2"/>
        <v>5.9313884187713953E-2</v>
      </c>
      <c r="W33" s="153"/>
      <c r="AC33" s="226"/>
      <c r="AD33" s="226"/>
      <c r="AE33" s="226"/>
      <c r="AF33" s="46"/>
    </row>
    <row r="34" spans="1:32" ht="15" x14ac:dyDescent="0.25">
      <c r="A34" s="66">
        <v>41152</v>
      </c>
      <c r="B34" s="114">
        <f t="shared" si="3"/>
        <v>2012</v>
      </c>
      <c r="C34" s="114">
        <f t="shared" si="4"/>
        <v>8</v>
      </c>
      <c r="D34" s="107">
        <f>Purchases!C34</f>
        <v>18739592.12965</v>
      </c>
      <c r="E34" s="94"/>
      <c r="F34" s="171">
        <f ca="1">CDM!D42</f>
        <v>137465.01808533946</v>
      </c>
      <c r="G34" s="94">
        <f t="shared" ca="1" si="5"/>
        <v>18877057.147735339</v>
      </c>
      <c r="H34" s="90">
        <f>Weather!H141</f>
        <v>0</v>
      </c>
      <c r="I34" s="90">
        <f>Weather!I141</f>
        <v>193.7</v>
      </c>
      <c r="J34" s="90">
        <f t="shared" ca="1" si="7"/>
        <v>9.9999999999999638E-3</v>
      </c>
      <c r="K34" s="90">
        <f t="shared" ca="1" si="7"/>
        <v>186.09000000000003</v>
      </c>
      <c r="L34" s="108">
        <v>31</v>
      </c>
      <c r="M34" s="108">
        <f t="shared" si="8"/>
        <v>0</v>
      </c>
      <c r="N34" s="152">
        <f>Data!AC21</f>
        <v>0</v>
      </c>
      <c r="O34" s="152">
        <f>Data!AD21</f>
        <v>0</v>
      </c>
      <c r="P34" s="152"/>
      <c r="Q34" s="152"/>
      <c r="R34" s="150">
        <f>Data!AH21</f>
        <v>13087</v>
      </c>
      <c r="S34" s="67">
        <f t="shared" ca="1" si="6"/>
        <v>18651848.530510083</v>
      </c>
      <c r="T34" s="40">
        <f t="shared" ca="1" si="0"/>
        <v>-225208.61722525582</v>
      </c>
      <c r="U34" s="53">
        <f t="shared" ca="1" si="1"/>
        <v>-1.1930282112446424E-2</v>
      </c>
      <c r="V34" s="12">
        <f t="shared" ca="1" si="2"/>
        <v>1.1930282112446424E-2</v>
      </c>
      <c r="W34" s="153"/>
      <c r="X34" s="30"/>
      <c r="Y34" s="92"/>
      <c r="Z34" s="226"/>
      <c r="AA34" s="226"/>
      <c r="AB34" s="226"/>
      <c r="AC34" s="226"/>
      <c r="AD34" s="226"/>
      <c r="AE34" s="226"/>
      <c r="AF34" s="46"/>
    </row>
    <row r="35" spans="1:32" ht="15" x14ac:dyDescent="0.25">
      <c r="A35" s="66">
        <v>41182</v>
      </c>
      <c r="B35" s="114">
        <f t="shared" si="3"/>
        <v>2012</v>
      </c>
      <c r="C35" s="114">
        <f t="shared" si="4"/>
        <v>9</v>
      </c>
      <c r="D35" s="107">
        <f>Purchases!C35</f>
        <v>15430254.123528</v>
      </c>
      <c r="E35" s="94"/>
      <c r="F35" s="171">
        <f ca="1">CDM!D43</f>
        <v>143957.00272208799</v>
      </c>
      <c r="G35" s="94">
        <f t="shared" ca="1" si="5"/>
        <v>15574211.126250088</v>
      </c>
      <c r="H35" s="90">
        <f>Weather!H142</f>
        <v>29.5</v>
      </c>
      <c r="I35" s="90">
        <f>Weather!I142</f>
        <v>65.899999999999977</v>
      </c>
      <c r="J35" s="90">
        <f t="shared" ref="J35:K54" ca="1" si="9">J23</f>
        <v>19.43</v>
      </c>
      <c r="K35" s="90">
        <f t="shared" ca="1" si="9"/>
        <v>90.78</v>
      </c>
      <c r="L35" s="108">
        <v>30</v>
      </c>
      <c r="M35" s="108">
        <f t="shared" si="8"/>
        <v>0</v>
      </c>
      <c r="N35" s="152">
        <f>Data!AC22</f>
        <v>0</v>
      </c>
      <c r="O35" s="152">
        <f>Data!AD22</f>
        <v>0</v>
      </c>
      <c r="P35" s="152"/>
      <c r="Q35" s="152"/>
      <c r="R35" s="150">
        <f>Data!AH22</f>
        <v>13106</v>
      </c>
      <c r="S35" s="67">
        <f t="shared" ca="1" si="6"/>
        <v>16248371.561391033</v>
      </c>
      <c r="T35" s="40">
        <f t="shared" ca="1" si="0"/>
        <v>674160.43514094502</v>
      </c>
      <c r="U35" s="53">
        <f t="shared" ca="1" si="1"/>
        <v>4.3286971627388447E-2</v>
      </c>
      <c r="V35" s="12">
        <f t="shared" ca="1" si="2"/>
        <v>4.3286971627388447E-2</v>
      </c>
      <c r="W35" s="153"/>
      <c r="X35" s="30"/>
      <c r="Y35" s="92"/>
      <c r="Z35" s="226"/>
      <c r="AA35" s="226"/>
      <c r="AB35" s="226"/>
      <c r="AC35" s="226"/>
      <c r="AD35" s="226"/>
      <c r="AE35" s="226"/>
      <c r="AF35" s="46"/>
    </row>
    <row r="36" spans="1:32" ht="15" x14ac:dyDescent="0.25">
      <c r="A36" s="66">
        <v>41213</v>
      </c>
      <c r="B36" s="114">
        <f t="shared" si="3"/>
        <v>2012</v>
      </c>
      <c r="C36" s="114">
        <f t="shared" si="4"/>
        <v>10</v>
      </c>
      <c r="D36" s="107">
        <f>Purchases!C36</f>
        <v>14418668.859476</v>
      </c>
      <c r="E36" s="94"/>
      <c r="F36" s="171">
        <f ca="1">CDM!D44</f>
        <v>150448.98735883652</v>
      </c>
      <c r="G36" s="94">
        <f t="shared" ca="1" si="5"/>
        <v>14569117.846834837</v>
      </c>
      <c r="H36" s="90">
        <f>Weather!H143</f>
        <v>163.89999999999995</v>
      </c>
      <c r="I36" s="90">
        <f>Weather!I143</f>
        <v>6.3000000000000007</v>
      </c>
      <c r="J36" s="90">
        <f t="shared" ca="1" si="9"/>
        <v>147.23999999999998</v>
      </c>
      <c r="K36" s="90">
        <f t="shared" ca="1" si="9"/>
        <v>14.710000000000003</v>
      </c>
      <c r="L36" s="108">
        <v>31</v>
      </c>
      <c r="M36" s="108">
        <f t="shared" si="8"/>
        <v>0</v>
      </c>
      <c r="N36" s="152">
        <f>Data!AC23</f>
        <v>0</v>
      </c>
      <c r="O36" s="152">
        <f>Data!AD23</f>
        <v>0</v>
      </c>
      <c r="P36" s="152"/>
      <c r="Q36" s="152"/>
      <c r="R36" s="150">
        <f>Data!AH23</f>
        <v>13102</v>
      </c>
      <c r="S36" s="67">
        <f t="shared" ca="1" si="6"/>
        <v>14714941.625229854</v>
      </c>
      <c r="T36" s="40">
        <f t="shared" ca="1" si="0"/>
        <v>145823.77839501761</v>
      </c>
      <c r="U36" s="53">
        <f t="shared" ca="1" si="1"/>
        <v>1.0009101438265739E-2</v>
      </c>
      <c r="V36" s="12">
        <f t="shared" ca="1" si="2"/>
        <v>1.0009101438265739E-2</v>
      </c>
      <c r="W36" s="153"/>
      <c r="X36" s="30"/>
      <c r="Y36" s="92"/>
      <c r="Z36" s="226"/>
      <c r="AA36" s="226"/>
      <c r="AB36" s="226"/>
      <c r="AC36" s="226"/>
      <c r="AD36" s="226"/>
      <c r="AE36" s="226"/>
      <c r="AF36" s="46"/>
    </row>
    <row r="37" spans="1:32" ht="15" x14ac:dyDescent="0.25">
      <c r="A37" s="66">
        <v>41243</v>
      </c>
      <c r="B37" s="114">
        <f t="shared" si="3"/>
        <v>2012</v>
      </c>
      <c r="C37" s="114">
        <f t="shared" si="4"/>
        <v>11</v>
      </c>
      <c r="D37" s="107">
        <f>Purchases!C37</f>
        <v>14689598.23167</v>
      </c>
      <c r="E37" s="94"/>
      <c r="F37" s="171">
        <f ca="1">CDM!D45</f>
        <v>156940.97199558502</v>
      </c>
      <c r="G37" s="94">
        <f t="shared" ca="1" si="5"/>
        <v>14846539.203665584</v>
      </c>
      <c r="H37" s="90">
        <f>Weather!H144</f>
        <v>349.40000000000003</v>
      </c>
      <c r="I37" s="90">
        <f>Weather!I144</f>
        <v>0</v>
      </c>
      <c r="J37" s="90">
        <f t="shared" ca="1" si="9"/>
        <v>331.03</v>
      </c>
      <c r="K37" s="90">
        <f t="shared" ca="1" si="9"/>
        <v>0.54000000000000026</v>
      </c>
      <c r="L37" s="108">
        <v>30</v>
      </c>
      <c r="M37" s="108">
        <f t="shared" si="8"/>
        <v>0</v>
      </c>
      <c r="N37" s="152">
        <f>Data!AC24</f>
        <v>0</v>
      </c>
      <c r="O37" s="152">
        <f>Data!AD24</f>
        <v>0</v>
      </c>
      <c r="P37" s="152"/>
      <c r="Q37" s="152"/>
      <c r="R37" s="150">
        <f>Data!AH24</f>
        <v>13102</v>
      </c>
      <c r="S37" s="67">
        <f t="shared" ca="1" si="6"/>
        <v>14748810.772809649</v>
      </c>
      <c r="T37" s="40">
        <f t="shared" ca="1" si="0"/>
        <v>-97728.430855935439</v>
      </c>
      <c r="U37" s="53">
        <f t="shared" ca="1" si="1"/>
        <v>-6.5825731852583169E-3</v>
      </c>
      <c r="V37" s="12">
        <f t="shared" ca="1" si="2"/>
        <v>6.5825731852583169E-3</v>
      </c>
      <c r="W37" s="153"/>
      <c r="X37" s="30"/>
      <c r="Y37" s="92"/>
      <c r="Z37" s="226"/>
      <c r="AA37" s="226"/>
      <c r="AB37" s="226"/>
      <c r="AC37" s="226"/>
      <c r="AD37" s="226"/>
      <c r="AE37" s="226"/>
      <c r="AF37" s="46"/>
    </row>
    <row r="38" spans="1:32" ht="15" x14ac:dyDescent="0.25">
      <c r="A38" s="66">
        <v>41274</v>
      </c>
      <c r="B38" s="114">
        <f t="shared" si="3"/>
        <v>2012</v>
      </c>
      <c r="C38" s="114">
        <f t="shared" si="4"/>
        <v>12</v>
      </c>
      <c r="D38" s="107">
        <f>Purchases!C38</f>
        <v>16182826.210109999</v>
      </c>
      <c r="E38" s="94"/>
      <c r="F38" s="171">
        <f ca="1">CDM!D46</f>
        <v>163432.95663233357</v>
      </c>
      <c r="G38" s="94">
        <f t="shared" ca="1" si="5"/>
        <v>16346259.166742332</v>
      </c>
      <c r="H38" s="90">
        <f>Weather!H145</f>
        <v>431.60000000000008</v>
      </c>
      <c r="I38" s="90">
        <f>Weather!I145</f>
        <v>0</v>
      </c>
      <c r="J38" s="90">
        <f t="shared" ca="1" si="9"/>
        <v>485.42000000000007</v>
      </c>
      <c r="K38" s="90">
        <f t="shared" ca="1" si="9"/>
        <v>0</v>
      </c>
      <c r="L38" s="108">
        <v>31</v>
      </c>
      <c r="M38" s="108">
        <f t="shared" si="8"/>
        <v>0</v>
      </c>
      <c r="N38" s="152">
        <f>Data!AC25</f>
        <v>0</v>
      </c>
      <c r="O38" s="152">
        <f>Data!AD25</f>
        <v>0</v>
      </c>
      <c r="P38" s="152"/>
      <c r="Q38" s="152"/>
      <c r="R38" s="150">
        <f>Data!AH25</f>
        <v>13165</v>
      </c>
      <c r="S38" s="67">
        <f t="shared" ca="1" si="6"/>
        <v>16679414.228088118</v>
      </c>
      <c r="T38" s="40">
        <f t="shared" ca="1" si="0"/>
        <v>333155.06134578586</v>
      </c>
      <c r="U38" s="53">
        <f t="shared" ca="1" si="1"/>
        <v>2.0381119493297545E-2</v>
      </c>
      <c r="V38" s="12">
        <f t="shared" ca="1" si="2"/>
        <v>2.0381119493297545E-2</v>
      </c>
      <c r="W38" s="153"/>
      <c r="X38" s="46"/>
      <c r="Y38" s="226"/>
      <c r="Z38" s="226"/>
      <c r="AA38" s="226"/>
      <c r="AB38" s="226"/>
      <c r="AC38" s="226"/>
      <c r="AD38" s="226"/>
      <c r="AE38" s="226"/>
      <c r="AF38" s="46"/>
    </row>
    <row r="39" spans="1:32" ht="15" x14ac:dyDescent="0.25">
      <c r="A39" s="66">
        <v>41305</v>
      </c>
      <c r="B39" s="114">
        <f t="shared" si="3"/>
        <v>2013</v>
      </c>
      <c r="C39" s="114">
        <f t="shared" si="4"/>
        <v>1</v>
      </c>
      <c r="D39" s="107">
        <f>Purchases!C39</f>
        <v>16622084.10345</v>
      </c>
      <c r="E39" s="94"/>
      <c r="F39" s="171">
        <f ca="1">CDM!D47</f>
        <v>177234.05246947324</v>
      </c>
      <c r="G39" s="94">
        <f t="shared" ca="1" si="5"/>
        <v>16799318.155919474</v>
      </c>
      <c r="H39" s="90">
        <f>Weather!H146</f>
        <v>550.29999999999995</v>
      </c>
      <c r="I39" s="90">
        <f>Weather!I146</f>
        <v>0</v>
      </c>
      <c r="J39" s="90">
        <f t="shared" ca="1" si="9"/>
        <v>607.33000000000004</v>
      </c>
      <c r="K39" s="90">
        <f t="shared" ca="1" si="9"/>
        <v>0</v>
      </c>
      <c r="L39" s="108">
        <v>31</v>
      </c>
      <c r="M39" s="108">
        <f t="shared" si="8"/>
        <v>0</v>
      </c>
      <c r="N39" s="152">
        <f>Data!AC26</f>
        <v>0</v>
      </c>
      <c r="O39" s="152">
        <f>Data!AD26</f>
        <v>0</v>
      </c>
      <c r="P39" s="152"/>
      <c r="Q39" s="152"/>
      <c r="R39" s="150">
        <f>Data!AH26</f>
        <v>13168</v>
      </c>
      <c r="S39" s="67">
        <f t="shared" ca="1" si="6"/>
        <v>17152343.669642068</v>
      </c>
      <c r="T39" s="40">
        <f t="shared" ca="1" si="0"/>
        <v>353025.51372259483</v>
      </c>
      <c r="U39" s="53">
        <f t="shared" ca="1" si="1"/>
        <v>2.1014276320387524E-2</v>
      </c>
      <c r="V39" s="12">
        <f t="shared" ca="1" si="2"/>
        <v>2.1014276320387524E-2</v>
      </c>
      <c r="W39" s="153"/>
      <c r="X39" s="46"/>
      <c r="Y39" s="226"/>
      <c r="Z39" s="226"/>
      <c r="AA39" s="226"/>
      <c r="AB39" s="226"/>
      <c r="AC39" s="226"/>
      <c r="AD39" s="226"/>
      <c r="AE39" s="226"/>
      <c r="AF39" s="46"/>
    </row>
    <row r="40" spans="1:32" ht="15" x14ac:dyDescent="0.25">
      <c r="A40" s="66">
        <v>41333</v>
      </c>
      <c r="B40" s="114">
        <f t="shared" si="3"/>
        <v>2013</v>
      </c>
      <c r="C40" s="114">
        <f t="shared" si="4"/>
        <v>2</v>
      </c>
      <c r="D40" s="107">
        <f>Purchases!C40</f>
        <v>15003411.894210001</v>
      </c>
      <c r="E40" s="94"/>
      <c r="F40" s="171">
        <f ca="1">CDM!D48</f>
        <v>185248.02758653107</v>
      </c>
      <c r="G40" s="94">
        <f t="shared" ca="1" si="5"/>
        <v>15188659.921796532</v>
      </c>
      <c r="H40" s="90">
        <f>Weather!H147</f>
        <v>534.5</v>
      </c>
      <c r="I40" s="90">
        <f>Weather!I147</f>
        <v>0</v>
      </c>
      <c r="J40" s="90">
        <f t="shared" ca="1" si="9"/>
        <v>533.1</v>
      </c>
      <c r="K40" s="90">
        <f t="shared" ca="1" si="9"/>
        <v>0</v>
      </c>
      <c r="L40" s="108">
        <v>28</v>
      </c>
      <c r="M40" s="108">
        <f t="shared" si="8"/>
        <v>0</v>
      </c>
      <c r="N40" s="152">
        <f>Data!AC27</f>
        <v>0</v>
      </c>
      <c r="O40" s="152">
        <f>Data!AD27</f>
        <v>0</v>
      </c>
      <c r="P40" s="152"/>
      <c r="Q40" s="152"/>
      <c r="R40" s="150">
        <f>Data!AH27</f>
        <v>13175.5</v>
      </c>
      <c r="S40" s="67">
        <f t="shared" ca="1" si="6"/>
        <v>15179993.680884527</v>
      </c>
      <c r="T40" s="40">
        <f t="shared" ca="1" si="0"/>
        <v>-8666.2409120053053</v>
      </c>
      <c r="U40" s="53">
        <f t="shared" ca="1" si="1"/>
        <v>-5.7057310892640305E-4</v>
      </c>
      <c r="V40" s="12">
        <f t="shared" ca="1" si="2"/>
        <v>5.7057310892640305E-4</v>
      </c>
      <c r="W40" s="153"/>
      <c r="X40" s="221"/>
      <c r="Y40" s="227"/>
      <c r="Z40" s="227"/>
      <c r="AA40" s="227"/>
      <c r="AB40" s="227"/>
      <c r="AC40" s="227"/>
      <c r="AD40" s="226"/>
      <c r="AE40" s="226"/>
      <c r="AF40" s="46"/>
    </row>
    <row r="41" spans="1:32" ht="15" x14ac:dyDescent="0.25">
      <c r="A41" s="66">
        <v>41364</v>
      </c>
      <c r="B41" s="114">
        <f t="shared" si="3"/>
        <v>2013</v>
      </c>
      <c r="C41" s="114">
        <f t="shared" si="4"/>
        <v>3</v>
      </c>
      <c r="D41" s="107">
        <f>Purchases!C41</f>
        <v>15405740.23608</v>
      </c>
      <c r="E41" s="94"/>
      <c r="F41" s="171">
        <f ca="1">CDM!D49</f>
        <v>193262.00270358886</v>
      </c>
      <c r="G41" s="94">
        <f t="shared" ca="1" si="5"/>
        <v>15599002.238783589</v>
      </c>
      <c r="H41" s="90">
        <f>Weather!H148</f>
        <v>463.2000000000001</v>
      </c>
      <c r="I41" s="90">
        <f>Weather!I148</f>
        <v>0</v>
      </c>
      <c r="J41" s="90">
        <f t="shared" ca="1" si="9"/>
        <v>453.77</v>
      </c>
      <c r="K41" s="90">
        <f t="shared" ca="1" si="9"/>
        <v>0.26000000000000012</v>
      </c>
      <c r="L41" s="108">
        <v>31</v>
      </c>
      <c r="M41" s="108">
        <f t="shared" si="8"/>
        <v>1</v>
      </c>
      <c r="N41" s="152">
        <f>Data!AC28</f>
        <v>0</v>
      </c>
      <c r="O41" s="152">
        <f>Data!AD28</f>
        <v>0</v>
      </c>
      <c r="P41" s="152"/>
      <c r="Q41" s="152"/>
      <c r="R41" s="150">
        <f>Data!AH28</f>
        <v>13181.5</v>
      </c>
      <c r="S41" s="67">
        <f t="shared" ca="1" si="6"/>
        <v>15548325.412117247</v>
      </c>
      <c r="T41" s="40">
        <f t="shared" ca="1" si="0"/>
        <v>-50676.826666342095</v>
      </c>
      <c r="U41" s="53">
        <f t="shared" ca="1" si="1"/>
        <v>-3.2487223150942939E-3</v>
      </c>
      <c r="V41" s="12">
        <f t="shared" ca="1" si="2"/>
        <v>3.2487223150942939E-3</v>
      </c>
      <c r="W41" s="153"/>
      <c r="X41" s="30"/>
      <c r="Y41" s="92"/>
      <c r="Z41" s="92"/>
      <c r="AA41" s="92"/>
      <c r="AB41" s="92"/>
      <c r="AC41" s="92"/>
      <c r="AD41" s="226"/>
      <c r="AE41" s="226"/>
      <c r="AF41" s="46"/>
    </row>
    <row r="42" spans="1:32" ht="15" x14ac:dyDescent="0.25">
      <c r="A42" s="66">
        <v>41394</v>
      </c>
      <c r="B42" s="114">
        <f t="shared" si="3"/>
        <v>2013</v>
      </c>
      <c r="C42" s="114">
        <f t="shared" si="4"/>
        <v>4</v>
      </c>
      <c r="D42" s="107">
        <f>Purchases!C42</f>
        <v>13953064.21022</v>
      </c>
      <c r="E42" s="94"/>
      <c r="F42" s="171">
        <f ca="1">CDM!D50</f>
        <v>201275.97782064669</v>
      </c>
      <c r="G42" s="94">
        <f t="shared" ca="1" si="5"/>
        <v>14154340.188040646</v>
      </c>
      <c r="H42" s="90">
        <f>Weather!H149</f>
        <v>280</v>
      </c>
      <c r="I42" s="90">
        <f>Weather!I149</f>
        <v>0</v>
      </c>
      <c r="J42" s="90">
        <f t="shared" ca="1" si="9"/>
        <v>276.92999999999995</v>
      </c>
      <c r="K42" s="90">
        <f t="shared" ca="1" si="9"/>
        <v>1.2600000000000002</v>
      </c>
      <c r="L42" s="108">
        <v>30</v>
      </c>
      <c r="M42" s="108">
        <f t="shared" si="8"/>
        <v>1</v>
      </c>
      <c r="N42" s="152">
        <f>Data!AC29</f>
        <v>0</v>
      </c>
      <c r="O42" s="152">
        <f>Data!AD29</f>
        <v>0</v>
      </c>
      <c r="P42" s="152"/>
      <c r="Q42" s="152"/>
      <c r="R42" s="150">
        <f>Data!AH29</f>
        <v>13183.5</v>
      </c>
      <c r="S42" s="67">
        <f t="shared" ca="1" si="6"/>
        <v>14172634.7636804</v>
      </c>
      <c r="T42" s="40">
        <f t="shared" ca="1" si="0"/>
        <v>18294.575639754534</v>
      </c>
      <c r="U42" s="53">
        <f t="shared" ca="1" si="1"/>
        <v>1.2925064253586384E-3</v>
      </c>
      <c r="V42" s="12">
        <f t="shared" ca="1" si="2"/>
        <v>1.2925064253586384E-3</v>
      </c>
      <c r="W42" s="153"/>
      <c r="X42" s="30"/>
      <c r="Y42" s="92"/>
      <c r="Z42" s="92"/>
      <c r="AA42" s="92"/>
      <c r="AB42" s="92"/>
      <c r="AC42" s="92"/>
      <c r="AD42" s="226"/>
      <c r="AE42" s="226"/>
      <c r="AF42" s="46"/>
    </row>
    <row r="43" spans="1:32" ht="15" x14ac:dyDescent="0.25">
      <c r="A43" s="66">
        <v>41425</v>
      </c>
      <c r="B43" s="114">
        <f t="shared" si="3"/>
        <v>2013</v>
      </c>
      <c r="C43" s="114">
        <f t="shared" si="4"/>
        <v>5</v>
      </c>
      <c r="D43" s="107">
        <f>Purchases!C43</f>
        <v>14135961.105699999</v>
      </c>
      <c r="E43" s="94"/>
      <c r="F43" s="171">
        <f ca="1">CDM!D51</f>
        <v>209289.95293770451</v>
      </c>
      <c r="G43" s="94">
        <f t="shared" ca="1" si="5"/>
        <v>14345251.058637705</v>
      </c>
      <c r="H43" s="90">
        <f>Weather!H150</f>
        <v>72.2</v>
      </c>
      <c r="I43" s="90">
        <f>Weather!I150</f>
        <v>45</v>
      </c>
      <c r="J43" s="90">
        <f t="shared" ca="1" si="9"/>
        <v>91.789999999999992</v>
      </c>
      <c r="K43" s="90">
        <f t="shared" ca="1" si="9"/>
        <v>44.669999999999995</v>
      </c>
      <c r="L43" s="108">
        <v>31</v>
      </c>
      <c r="M43" s="108">
        <f t="shared" si="8"/>
        <v>1</v>
      </c>
      <c r="N43" s="152">
        <f>Data!AC30</f>
        <v>0</v>
      </c>
      <c r="O43" s="152">
        <f>Data!AD30</f>
        <v>0</v>
      </c>
      <c r="P43" s="152"/>
      <c r="Q43" s="152"/>
      <c r="R43" s="150">
        <f>Data!AH30</f>
        <v>13186.5</v>
      </c>
      <c r="S43" s="67">
        <f t="shared" ca="1" si="6"/>
        <v>14456747.900085472</v>
      </c>
      <c r="T43" s="40">
        <f t="shared" ca="1" si="0"/>
        <v>111496.84144776687</v>
      </c>
      <c r="U43" s="53">
        <f t="shared" ca="1" si="1"/>
        <v>7.7723869029556851E-3</v>
      </c>
      <c r="V43" s="12">
        <f t="shared" ca="1" si="2"/>
        <v>7.7723869029556851E-3</v>
      </c>
      <c r="W43" s="153"/>
      <c r="X43" s="30"/>
      <c r="Y43" s="92"/>
      <c r="Z43" s="92"/>
      <c r="AA43" s="92"/>
      <c r="AB43" s="92"/>
      <c r="AC43" s="92"/>
      <c r="AD43" s="226"/>
      <c r="AE43" s="226"/>
      <c r="AF43" s="46"/>
    </row>
    <row r="44" spans="1:32" ht="15" x14ac:dyDescent="0.25">
      <c r="A44" s="66">
        <v>41455</v>
      </c>
      <c r="B44" s="114">
        <f t="shared" si="3"/>
        <v>2013</v>
      </c>
      <c r="C44" s="114">
        <f t="shared" si="4"/>
        <v>6</v>
      </c>
      <c r="D44" s="107">
        <f>Purchases!C44</f>
        <v>15880216.29284</v>
      </c>
      <c r="E44" s="94"/>
      <c r="F44" s="171">
        <f ca="1">CDM!D52</f>
        <v>217303.92805476233</v>
      </c>
      <c r="G44" s="94">
        <f t="shared" ca="1" si="5"/>
        <v>16097520.220894763</v>
      </c>
      <c r="H44" s="90">
        <f>Weather!H151</f>
        <v>15.099999999999998</v>
      </c>
      <c r="I44" s="90">
        <f>Weather!I151</f>
        <v>109.1</v>
      </c>
      <c r="J44" s="90">
        <f t="shared" ca="1" si="9"/>
        <v>8.3199999999999985</v>
      </c>
      <c r="K44" s="90">
        <f t="shared" ca="1" si="9"/>
        <v>115.62</v>
      </c>
      <c r="L44" s="108">
        <v>30</v>
      </c>
      <c r="M44" s="108">
        <f t="shared" si="8"/>
        <v>0</v>
      </c>
      <c r="N44" s="152">
        <f>Data!AC31</f>
        <v>0</v>
      </c>
      <c r="O44" s="152">
        <f>Data!AD31</f>
        <v>0</v>
      </c>
      <c r="P44" s="152"/>
      <c r="Q44" s="152"/>
      <c r="R44" s="150">
        <f>Data!AH31</f>
        <v>13193</v>
      </c>
      <c r="S44" s="67">
        <f t="shared" ca="1" si="6"/>
        <v>16248555.293552168</v>
      </c>
      <c r="T44" s="40">
        <f t="shared" ca="1" si="0"/>
        <v>151035.07265740447</v>
      </c>
      <c r="U44" s="53">
        <f t="shared" ca="1" si="1"/>
        <v>9.3825055402855916E-3</v>
      </c>
      <c r="V44" s="12">
        <f t="shared" ca="1" si="2"/>
        <v>9.3825055402855916E-3</v>
      </c>
      <c r="W44" s="153"/>
      <c r="X44" s="46"/>
      <c r="Y44" s="226"/>
      <c r="Z44" s="226"/>
      <c r="AA44" s="226"/>
      <c r="AB44" s="226"/>
      <c r="AC44" s="226"/>
      <c r="AD44" s="226"/>
      <c r="AE44" s="226"/>
      <c r="AF44" s="46"/>
    </row>
    <row r="45" spans="1:32" ht="15" x14ac:dyDescent="0.25">
      <c r="A45" s="66">
        <v>41486</v>
      </c>
      <c r="B45" s="114">
        <f t="shared" si="3"/>
        <v>2013</v>
      </c>
      <c r="C45" s="114">
        <f t="shared" si="4"/>
        <v>7</v>
      </c>
      <c r="D45" s="107">
        <f>Purchases!C45</f>
        <v>19373764.10244</v>
      </c>
      <c r="E45" s="94"/>
      <c r="F45" s="171">
        <f ca="1">CDM!D53</f>
        <v>225317.90317182016</v>
      </c>
      <c r="G45" s="94">
        <f t="shared" ca="1" si="5"/>
        <v>19599082.005611818</v>
      </c>
      <c r="H45" s="90">
        <f>Weather!H152</f>
        <v>0</v>
      </c>
      <c r="I45" s="90">
        <f>Weather!I152</f>
        <v>202.99999999999994</v>
      </c>
      <c r="J45" s="90">
        <f t="shared" ca="1" si="9"/>
        <v>0</v>
      </c>
      <c r="K45" s="90">
        <f t="shared" ca="1" si="9"/>
        <v>224.87000000000003</v>
      </c>
      <c r="L45" s="108">
        <v>31</v>
      </c>
      <c r="M45" s="108">
        <f t="shared" si="8"/>
        <v>0</v>
      </c>
      <c r="N45" s="152">
        <f>Data!AC32</f>
        <v>0</v>
      </c>
      <c r="O45" s="152">
        <f>Data!AD32</f>
        <v>0</v>
      </c>
      <c r="P45" s="152"/>
      <c r="Q45" s="152"/>
      <c r="R45" s="150">
        <f>Data!AH32</f>
        <v>13197</v>
      </c>
      <c r="S45" s="67">
        <f t="shared" ca="1" si="6"/>
        <v>20246475.730887804</v>
      </c>
      <c r="T45" s="40">
        <f t="shared" ca="1" si="0"/>
        <v>647393.7252759859</v>
      </c>
      <c r="U45" s="53">
        <f t="shared" ca="1" si="1"/>
        <v>3.303183919994912E-2</v>
      </c>
      <c r="V45" s="12">
        <f t="shared" ca="1" si="2"/>
        <v>3.303183919994912E-2</v>
      </c>
      <c r="W45" s="153"/>
      <c r="X45" s="221"/>
      <c r="Y45" s="227"/>
      <c r="Z45" s="227"/>
      <c r="AA45" s="227"/>
      <c r="AB45" s="227"/>
      <c r="AC45" s="227"/>
      <c r="AD45" s="227"/>
      <c r="AE45" s="227"/>
      <c r="AF45" s="221"/>
    </row>
    <row r="46" spans="1:32" ht="15" x14ac:dyDescent="0.25">
      <c r="A46" s="66">
        <v>41517</v>
      </c>
      <c r="B46" s="114">
        <f t="shared" si="3"/>
        <v>2013</v>
      </c>
      <c r="C46" s="114">
        <f t="shared" si="4"/>
        <v>8</v>
      </c>
      <c r="D46" s="107">
        <f>Purchases!C46</f>
        <v>17518528.28576</v>
      </c>
      <c r="E46" s="94"/>
      <c r="F46" s="171">
        <f ca="1">CDM!D54</f>
        <v>233331.87828887795</v>
      </c>
      <c r="G46" s="94">
        <f t="shared" ca="1" si="5"/>
        <v>17751860.164048877</v>
      </c>
      <c r="H46" s="90">
        <f>Weather!H153</f>
        <v>0</v>
      </c>
      <c r="I46" s="90">
        <f>Weather!I153</f>
        <v>154.30000000000004</v>
      </c>
      <c r="J46" s="90">
        <f t="shared" ca="1" si="9"/>
        <v>9.9999999999999638E-3</v>
      </c>
      <c r="K46" s="90">
        <f t="shared" ca="1" si="9"/>
        <v>186.09000000000003</v>
      </c>
      <c r="L46" s="108">
        <v>31</v>
      </c>
      <c r="M46" s="108">
        <f t="shared" si="8"/>
        <v>0</v>
      </c>
      <c r="N46" s="152">
        <f>Data!AC33</f>
        <v>0</v>
      </c>
      <c r="O46" s="152">
        <f>Data!AD33</f>
        <v>0</v>
      </c>
      <c r="P46" s="152"/>
      <c r="Q46" s="152"/>
      <c r="R46" s="150">
        <f>Data!AH33</f>
        <v>13195.5</v>
      </c>
      <c r="S46" s="67">
        <f t="shared" ca="1" si="6"/>
        <v>18692966.71718822</v>
      </c>
      <c r="T46" s="40">
        <f t="shared" ca="1" si="0"/>
        <v>941106.55313934386</v>
      </c>
      <c r="U46" s="53">
        <f t="shared" ca="1" si="1"/>
        <v>5.3014531685263939E-2</v>
      </c>
      <c r="V46" s="12">
        <f t="shared" ca="1" si="2"/>
        <v>5.3014531685263939E-2</v>
      </c>
      <c r="W46" s="153"/>
      <c r="X46" s="30"/>
      <c r="Y46" s="92"/>
      <c r="Z46" s="92"/>
      <c r="AA46" s="92"/>
      <c r="AB46" s="92"/>
      <c r="AC46" s="92"/>
      <c r="AD46" s="92"/>
      <c r="AE46" s="92"/>
      <c r="AF46" s="30"/>
    </row>
    <row r="47" spans="1:32" ht="15" x14ac:dyDescent="0.25">
      <c r="A47" s="66">
        <v>41547</v>
      </c>
      <c r="B47" s="114">
        <f t="shared" si="3"/>
        <v>2013</v>
      </c>
      <c r="C47" s="114">
        <f t="shared" si="4"/>
        <v>9</v>
      </c>
      <c r="D47" s="107">
        <f>Purchases!C47</f>
        <v>15118315.780299999</v>
      </c>
      <c r="E47" s="94"/>
      <c r="F47" s="171">
        <f ca="1">CDM!D55</f>
        <v>241345.85340593578</v>
      </c>
      <c r="G47" s="94">
        <f t="shared" ca="1" si="5"/>
        <v>15359661.633705935</v>
      </c>
      <c r="H47" s="90">
        <f>Weather!H154</f>
        <v>40.6</v>
      </c>
      <c r="I47" s="90">
        <f>Weather!I154</f>
        <v>60.800000000000011</v>
      </c>
      <c r="J47" s="90">
        <f t="shared" ca="1" si="9"/>
        <v>19.43</v>
      </c>
      <c r="K47" s="90">
        <f t="shared" ca="1" si="9"/>
        <v>90.78</v>
      </c>
      <c r="L47" s="108">
        <v>30</v>
      </c>
      <c r="M47" s="108">
        <f t="shared" si="8"/>
        <v>0</v>
      </c>
      <c r="N47" s="152">
        <f>Data!AC34</f>
        <v>0</v>
      </c>
      <c r="O47" s="152">
        <f>Data!AD34</f>
        <v>0</v>
      </c>
      <c r="P47" s="152"/>
      <c r="Q47" s="152"/>
      <c r="R47" s="150">
        <f>Data!AH34</f>
        <v>13199</v>
      </c>
      <c r="S47" s="67">
        <f t="shared" ca="1" si="6"/>
        <v>16116080.88893294</v>
      </c>
      <c r="T47" s="40">
        <f t="shared" ca="1" si="0"/>
        <v>756419.25522700511</v>
      </c>
      <c r="U47" s="53">
        <f t="shared" ca="1" si="1"/>
        <v>4.9247130129942744E-2</v>
      </c>
      <c r="V47" s="12">
        <f t="shared" ca="1" si="2"/>
        <v>4.9247130129942744E-2</v>
      </c>
      <c r="W47" s="153"/>
      <c r="X47" s="30"/>
      <c r="Y47" s="92"/>
      <c r="Z47" s="92"/>
      <c r="AA47" s="92"/>
      <c r="AB47" s="92"/>
      <c r="AC47" s="92"/>
      <c r="AD47" s="92"/>
      <c r="AE47" s="92"/>
      <c r="AF47" s="30"/>
    </row>
    <row r="48" spans="1:32" ht="15" x14ac:dyDescent="0.25">
      <c r="A48" s="66">
        <v>41578</v>
      </c>
      <c r="B48" s="114">
        <f t="shared" si="3"/>
        <v>2013</v>
      </c>
      <c r="C48" s="114">
        <f t="shared" si="4"/>
        <v>10</v>
      </c>
      <c r="D48" s="107">
        <f>Purchases!C48</f>
        <v>14697969.943470001</v>
      </c>
      <c r="E48" s="94"/>
      <c r="F48" s="171">
        <f ca="1">CDM!D56</f>
        <v>249359.8285229936</v>
      </c>
      <c r="G48" s="94">
        <f t="shared" ca="1" si="5"/>
        <v>14947329.771992994</v>
      </c>
      <c r="H48" s="90">
        <f>Weather!H155</f>
        <v>139.4</v>
      </c>
      <c r="I48" s="90">
        <f>Weather!I155</f>
        <v>12.399999999999999</v>
      </c>
      <c r="J48" s="90">
        <f t="shared" ca="1" si="9"/>
        <v>147.23999999999998</v>
      </c>
      <c r="K48" s="90">
        <f t="shared" ca="1" si="9"/>
        <v>14.710000000000003</v>
      </c>
      <c r="L48" s="108">
        <v>31</v>
      </c>
      <c r="M48" s="108">
        <f t="shared" si="8"/>
        <v>0</v>
      </c>
      <c r="N48" s="152">
        <f>Data!AC35</f>
        <v>0</v>
      </c>
      <c r="O48" s="152">
        <f>Data!AD35</f>
        <v>0</v>
      </c>
      <c r="P48" s="152"/>
      <c r="Q48" s="152"/>
      <c r="R48" s="150">
        <f>Data!AH35</f>
        <v>13209.5</v>
      </c>
      <c r="S48" s="67">
        <f t="shared" ca="1" si="6"/>
        <v>15064241.128296724</v>
      </c>
      <c r="T48" s="40">
        <f t="shared" ca="1" si="0"/>
        <v>116911.35630372912</v>
      </c>
      <c r="U48" s="53">
        <f t="shared" ca="1" si="1"/>
        <v>7.8215546246117786E-3</v>
      </c>
      <c r="V48" s="12">
        <f t="shared" ca="1" si="2"/>
        <v>7.8215546246117786E-3</v>
      </c>
      <c r="W48" s="153"/>
      <c r="X48" s="30"/>
      <c r="Y48" s="92"/>
      <c r="Z48" s="92"/>
      <c r="AA48" s="92"/>
      <c r="AB48" s="92"/>
      <c r="AC48" s="92"/>
      <c r="AD48" s="92"/>
      <c r="AE48" s="92"/>
      <c r="AF48" s="30"/>
    </row>
    <row r="49" spans="1:32" ht="15" x14ac:dyDescent="0.25">
      <c r="A49" s="66">
        <v>41608</v>
      </c>
      <c r="B49" s="114">
        <f t="shared" si="3"/>
        <v>2013</v>
      </c>
      <c r="C49" s="114">
        <f t="shared" si="4"/>
        <v>11</v>
      </c>
      <c r="D49" s="107">
        <f>Purchases!C49</f>
        <v>15084391.12145</v>
      </c>
      <c r="E49" s="94"/>
      <c r="F49" s="171">
        <f ca="1">CDM!D57</f>
        <v>257373.8036400514</v>
      </c>
      <c r="G49" s="94">
        <f t="shared" ca="1" si="5"/>
        <v>15341764.92509005</v>
      </c>
      <c r="H49" s="90">
        <f>Weather!H156</f>
        <v>382.2</v>
      </c>
      <c r="I49" s="90">
        <f>Weather!I156</f>
        <v>0</v>
      </c>
      <c r="J49" s="90">
        <f t="shared" ca="1" si="9"/>
        <v>331.03</v>
      </c>
      <c r="K49" s="90">
        <f t="shared" ca="1" si="9"/>
        <v>0.54000000000000026</v>
      </c>
      <c r="L49" s="108">
        <v>30</v>
      </c>
      <c r="M49" s="108">
        <f t="shared" si="8"/>
        <v>0</v>
      </c>
      <c r="N49" s="152">
        <f>Data!AC36</f>
        <v>0</v>
      </c>
      <c r="O49" s="152">
        <f>Data!AD36</f>
        <v>0</v>
      </c>
      <c r="P49" s="152"/>
      <c r="Q49" s="152"/>
      <c r="R49" s="150">
        <f>Data!AH36</f>
        <v>13240.5</v>
      </c>
      <c r="S49" s="67">
        <f t="shared" ca="1" si="6"/>
        <v>15040998.850010004</v>
      </c>
      <c r="T49" s="40">
        <f t="shared" ca="1" si="0"/>
        <v>-300766.07508004643</v>
      </c>
      <c r="U49" s="53">
        <f t="shared" ca="1" si="1"/>
        <v>-1.9604398617017724E-2</v>
      </c>
      <c r="V49" s="12">
        <f t="shared" ca="1" si="2"/>
        <v>1.9604398617017724E-2</v>
      </c>
      <c r="W49" s="153"/>
      <c r="X49" s="30"/>
      <c r="Y49" s="92"/>
      <c r="Z49" s="92"/>
      <c r="AA49" s="92"/>
      <c r="AB49" s="92"/>
      <c r="AC49" s="92"/>
      <c r="AD49" s="92"/>
      <c r="AE49" s="92"/>
      <c r="AF49" s="30"/>
    </row>
    <row r="50" spans="1:32" ht="15" x14ac:dyDescent="0.25">
      <c r="A50" s="66">
        <v>41639</v>
      </c>
      <c r="B50" s="114">
        <f t="shared" si="3"/>
        <v>2013</v>
      </c>
      <c r="C50" s="114">
        <f t="shared" si="4"/>
        <v>12</v>
      </c>
      <c r="D50" s="107">
        <f>Purchases!C50</f>
        <v>17188140.099020001</v>
      </c>
      <c r="E50" s="94"/>
      <c r="F50" s="171">
        <f ca="1">CDM!D58</f>
        <v>265387.77875710925</v>
      </c>
      <c r="G50" s="94">
        <f t="shared" ca="1" si="5"/>
        <v>17453527.877777111</v>
      </c>
      <c r="H50" s="90">
        <f>Weather!H157</f>
        <v>577.70000000000016</v>
      </c>
      <c r="I50" s="90">
        <f>Weather!I157</f>
        <v>0</v>
      </c>
      <c r="J50" s="90">
        <f t="shared" ca="1" si="9"/>
        <v>485.42000000000007</v>
      </c>
      <c r="K50" s="90">
        <f t="shared" ca="1" si="9"/>
        <v>0</v>
      </c>
      <c r="L50" s="108">
        <v>31</v>
      </c>
      <c r="M50" s="108">
        <f t="shared" si="8"/>
        <v>0</v>
      </c>
      <c r="N50" s="152">
        <f>Data!AC37</f>
        <v>0</v>
      </c>
      <c r="O50" s="152">
        <f>Data!AD37</f>
        <v>0</v>
      </c>
      <c r="P50" s="152"/>
      <c r="Q50" s="152"/>
      <c r="R50" s="150">
        <f>Data!AH37</f>
        <v>13289</v>
      </c>
      <c r="S50" s="67">
        <f t="shared" ca="1" si="6"/>
        <v>16882298.798234392</v>
      </c>
      <c r="T50" s="40">
        <f t="shared" ca="1" si="0"/>
        <v>-571229.07954271883</v>
      </c>
      <c r="U50" s="53">
        <f t="shared" ca="1" si="1"/>
        <v>-3.2728574047774163E-2</v>
      </c>
      <c r="V50" s="12">
        <f t="shared" ca="1" si="2"/>
        <v>3.2728574047774163E-2</v>
      </c>
      <c r="W50" s="153"/>
      <c r="X50" s="30"/>
      <c r="Y50" s="92"/>
      <c r="Z50" s="92"/>
      <c r="AA50" s="92"/>
      <c r="AB50" s="92"/>
      <c r="AC50" s="92"/>
      <c r="AD50" s="92"/>
      <c r="AE50" s="92"/>
      <c r="AF50" s="30"/>
    </row>
    <row r="51" spans="1:32" ht="15" x14ac:dyDescent="0.25">
      <c r="A51" s="66">
        <v>41670</v>
      </c>
      <c r="B51" s="114">
        <f t="shared" si="3"/>
        <v>2014</v>
      </c>
      <c r="C51" s="114">
        <f t="shared" si="4"/>
        <v>1</v>
      </c>
      <c r="D51" s="107">
        <f>Purchases!C51</f>
        <v>17832921.899999999</v>
      </c>
      <c r="E51" s="94"/>
      <c r="F51" s="171">
        <f ca="1">CDM!D59</f>
        <v>277670.04482652136</v>
      </c>
      <c r="G51" s="94">
        <f t="shared" ca="1" si="5"/>
        <v>18110591.944826521</v>
      </c>
      <c r="H51" s="90">
        <f>Weather!H158</f>
        <v>717.50000000000023</v>
      </c>
      <c r="I51" s="90">
        <f>Weather!I158</f>
        <v>0</v>
      </c>
      <c r="J51" s="90">
        <f t="shared" ca="1" si="9"/>
        <v>607.33000000000004</v>
      </c>
      <c r="K51" s="90">
        <f t="shared" ca="1" si="9"/>
        <v>0</v>
      </c>
      <c r="L51" s="108">
        <v>31</v>
      </c>
      <c r="M51" s="108">
        <f t="shared" si="8"/>
        <v>0</v>
      </c>
      <c r="N51" s="152">
        <f>Data!AC38</f>
        <v>0</v>
      </c>
      <c r="O51" s="152">
        <f>Data!AD38</f>
        <v>0</v>
      </c>
      <c r="P51" s="152"/>
      <c r="Q51" s="152"/>
      <c r="R51" s="150">
        <f>Data!AH38</f>
        <v>13317</v>
      </c>
      <c r="S51" s="67">
        <f t="shared" ca="1" si="6"/>
        <v>17428620.68677254</v>
      </c>
      <c r="T51" s="40">
        <f t="shared" ca="1" si="0"/>
        <v>-681971.25805398077</v>
      </c>
      <c r="U51" s="53">
        <f t="shared" ca="1" si="1"/>
        <v>-3.7655934169992328E-2</v>
      </c>
      <c r="V51" s="12">
        <f t="shared" ca="1" si="2"/>
        <v>3.7655934169992328E-2</v>
      </c>
      <c r="W51" s="153"/>
      <c r="X51" s="30"/>
      <c r="Y51" s="92"/>
      <c r="Z51" s="92"/>
      <c r="AA51" s="92"/>
      <c r="AB51" s="92"/>
      <c r="AC51" s="92"/>
      <c r="AD51" s="92"/>
      <c r="AE51" s="92"/>
      <c r="AF51" s="30"/>
    </row>
    <row r="52" spans="1:32" ht="15" x14ac:dyDescent="0.25">
      <c r="A52" s="66">
        <v>41698</v>
      </c>
      <c r="B52" s="114">
        <f t="shared" si="3"/>
        <v>2014</v>
      </c>
      <c r="C52" s="114">
        <f t="shared" si="4"/>
        <v>2</v>
      </c>
      <c r="D52" s="107">
        <f>Purchases!C52</f>
        <v>15630733.610000001</v>
      </c>
      <c r="E52" s="94"/>
      <c r="F52" s="171">
        <f ca="1">CDM!D60</f>
        <v>284225.7636239141</v>
      </c>
      <c r="G52" s="94">
        <f t="shared" ca="1" si="5"/>
        <v>15914959.373623915</v>
      </c>
      <c r="H52" s="90">
        <f>Weather!H159</f>
        <v>627.09999999999991</v>
      </c>
      <c r="I52" s="90">
        <f>Weather!I159</f>
        <v>0</v>
      </c>
      <c r="J52" s="90">
        <f t="shared" ca="1" si="9"/>
        <v>533.1</v>
      </c>
      <c r="K52" s="90">
        <f t="shared" ca="1" si="9"/>
        <v>0</v>
      </c>
      <c r="L52" s="108">
        <v>29</v>
      </c>
      <c r="M52" s="108">
        <f t="shared" si="8"/>
        <v>0</v>
      </c>
      <c r="N52" s="152">
        <f>Data!AC39</f>
        <v>0</v>
      </c>
      <c r="O52" s="152">
        <f>Data!AD39</f>
        <v>0</v>
      </c>
      <c r="P52" s="152"/>
      <c r="Q52" s="152"/>
      <c r="R52" s="150">
        <f>Data!AH39</f>
        <v>13348</v>
      </c>
      <c r="S52" s="67">
        <f t="shared" ca="1" si="6"/>
        <v>15333083.198103592</v>
      </c>
      <c r="T52" s="40">
        <f t="shared" ca="1" si="0"/>
        <v>-581876.17552032322</v>
      </c>
      <c r="U52" s="53">
        <f t="shared" ca="1" si="1"/>
        <v>-3.6561587237519108E-2</v>
      </c>
      <c r="V52" s="12">
        <f t="shared" ca="1" si="2"/>
        <v>3.6561587237519108E-2</v>
      </c>
      <c r="W52" s="153"/>
      <c r="X52" s="30"/>
      <c r="Y52" s="92"/>
      <c r="Z52" s="92"/>
      <c r="AA52" s="92"/>
      <c r="AB52" s="92"/>
      <c r="AC52" s="92"/>
      <c r="AD52" s="92"/>
      <c r="AE52" s="92"/>
      <c r="AF52" s="30"/>
    </row>
    <row r="53" spans="1:32" ht="15" x14ac:dyDescent="0.25">
      <c r="A53" s="66">
        <v>41729</v>
      </c>
      <c r="B53" s="114">
        <f t="shared" si="3"/>
        <v>2014</v>
      </c>
      <c r="C53" s="114">
        <f t="shared" si="4"/>
        <v>3</v>
      </c>
      <c r="D53" s="107">
        <f>Purchases!C53</f>
        <v>16233179.18</v>
      </c>
      <c r="E53" s="94"/>
      <c r="F53" s="171">
        <f ca="1">CDM!D61</f>
        <v>290781.48242130684</v>
      </c>
      <c r="G53" s="94">
        <f t="shared" ca="1" si="5"/>
        <v>16523960.662421307</v>
      </c>
      <c r="H53" s="90">
        <f>Weather!H160</f>
        <v>585.9</v>
      </c>
      <c r="I53" s="90">
        <f>Weather!I160</f>
        <v>0</v>
      </c>
      <c r="J53" s="90">
        <f t="shared" ca="1" si="9"/>
        <v>453.77</v>
      </c>
      <c r="K53" s="90">
        <f t="shared" ca="1" si="9"/>
        <v>0.26000000000000012</v>
      </c>
      <c r="L53" s="108">
        <v>31</v>
      </c>
      <c r="M53" s="108">
        <f t="shared" si="8"/>
        <v>1</v>
      </c>
      <c r="N53" s="152">
        <f>Data!AC40</f>
        <v>0</v>
      </c>
      <c r="O53" s="152">
        <f>Data!AD40</f>
        <v>0</v>
      </c>
      <c r="P53" s="152"/>
      <c r="Q53" s="152"/>
      <c r="R53" s="150">
        <f>Data!AH40</f>
        <v>13384.5</v>
      </c>
      <c r="S53" s="67">
        <f t="shared" ca="1" si="6"/>
        <v>15713749.721538544</v>
      </c>
      <c r="T53" s="40">
        <f t="shared" ca="1" si="0"/>
        <v>-810210.94088276289</v>
      </c>
      <c r="U53" s="53">
        <f t="shared" ca="1" si="1"/>
        <v>-4.9032490299092749E-2</v>
      </c>
      <c r="V53" s="12">
        <f t="shared" ca="1" si="2"/>
        <v>4.9032490299092749E-2</v>
      </c>
      <c r="W53" s="153"/>
      <c r="X53" s="30"/>
      <c r="Y53" s="92"/>
      <c r="Z53" s="92"/>
      <c r="AA53" s="92"/>
      <c r="AB53" s="92"/>
      <c r="AC53" s="92"/>
      <c r="AD53" s="92"/>
      <c r="AE53" s="92"/>
      <c r="AF53" s="30"/>
    </row>
    <row r="54" spans="1:32" ht="15" x14ac:dyDescent="0.25">
      <c r="A54" s="66">
        <v>41759</v>
      </c>
      <c r="B54" s="114">
        <f t="shared" si="3"/>
        <v>2014</v>
      </c>
      <c r="C54" s="114">
        <f t="shared" si="4"/>
        <v>4</v>
      </c>
      <c r="D54" s="107">
        <f>Purchases!C54</f>
        <v>13779375.02</v>
      </c>
      <c r="E54" s="94"/>
      <c r="F54" s="171">
        <f ca="1">CDM!D62</f>
        <v>297337.20121869957</v>
      </c>
      <c r="G54" s="94">
        <f t="shared" ca="1" si="5"/>
        <v>14076712.2212187</v>
      </c>
      <c r="H54" s="90">
        <f>Weather!H161</f>
        <v>272.09999999999991</v>
      </c>
      <c r="I54" s="90">
        <f>Weather!I161</f>
        <v>0.39999999999999858</v>
      </c>
      <c r="J54" s="90">
        <f t="shared" ca="1" si="9"/>
        <v>276.92999999999995</v>
      </c>
      <c r="K54" s="90">
        <f t="shared" ca="1" si="9"/>
        <v>1.2600000000000002</v>
      </c>
      <c r="L54" s="108">
        <v>30</v>
      </c>
      <c r="M54" s="108">
        <f t="shared" si="8"/>
        <v>1</v>
      </c>
      <c r="N54" s="152">
        <f>Data!AC41</f>
        <v>0</v>
      </c>
      <c r="O54" s="152">
        <f>Data!AD41</f>
        <v>0</v>
      </c>
      <c r="P54" s="152"/>
      <c r="Q54" s="152"/>
      <c r="R54" s="150">
        <f>Data!AH41</f>
        <v>13413</v>
      </c>
      <c r="S54" s="67">
        <f t="shared" ca="1" si="6"/>
        <v>14132068.393139571</v>
      </c>
      <c r="T54" s="40">
        <f t="shared" ca="1" si="0"/>
        <v>55356.171920871362</v>
      </c>
      <c r="U54" s="53">
        <f t="shared" ca="1" si="1"/>
        <v>3.9324645592618973E-3</v>
      </c>
      <c r="V54" s="12">
        <f t="shared" ca="1" si="2"/>
        <v>3.9324645592618973E-3</v>
      </c>
      <c r="W54" s="153"/>
      <c r="X54" s="30"/>
      <c r="Y54" s="92"/>
      <c r="Z54" s="92"/>
      <c r="AA54" s="92"/>
      <c r="AB54" s="92"/>
      <c r="AC54" s="92"/>
      <c r="AD54" s="92"/>
      <c r="AE54" s="92"/>
      <c r="AF54" s="30"/>
    </row>
    <row r="55" spans="1:32" ht="15" x14ac:dyDescent="0.25">
      <c r="A55" s="66">
        <v>41790</v>
      </c>
      <c r="B55" s="114">
        <f t="shared" si="3"/>
        <v>2014</v>
      </c>
      <c r="C55" s="114">
        <f t="shared" si="4"/>
        <v>5</v>
      </c>
      <c r="D55" s="107">
        <f>Purchases!C55</f>
        <v>13816260.479999999</v>
      </c>
      <c r="E55" s="94"/>
      <c r="F55" s="171">
        <f ca="1">CDM!D63</f>
        <v>303892.92001609231</v>
      </c>
      <c r="G55" s="94">
        <f t="shared" ca="1" si="5"/>
        <v>14120153.400016092</v>
      </c>
      <c r="H55" s="90">
        <f>Weather!H162</f>
        <v>80.000000000000014</v>
      </c>
      <c r="I55" s="90">
        <f>Weather!I162</f>
        <v>24.299999999999997</v>
      </c>
      <c r="J55" s="90">
        <f t="shared" ref="J55:K74" ca="1" si="10">J43</f>
        <v>91.789999999999992</v>
      </c>
      <c r="K55" s="90">
        <f t="shared" ca="1" si="10"/>
        <v>44.669999999999995</v>
      </c>
      <c r="L55" s="108">
        <v>31</v>
      </c>
      <c r="M55" s="108">
        <f t="shared" si="8"/>
        <v>1</v>
      </c>
      <c r="N55" s="152">
        <f>Data!AC42</f>
        <v>0</v>
      </c>
      <c r="O55" s="152">
        <f>Data!AD42</f>
        <v>0</v>
      </c>
      <c r="P55" s="152"/>
      <c r="Q55" s="152"/>
      <c r="R55" s="150">
        <f>Data!AH42</f>
        <v>13446</v>
      </c>
      <c r="S55" s="67">
        <f t="shared" ca="1" si="6"/>
        <v>14796126.392299406</v>
      </c>
      <c r="T55" s="40">
        <f t="shared" ca="1" si="0"/>
        <v>675972.99228331447</v>
      </c>
      <c r="U55" s="53">
        <f t="shared" ca="1" si="1"/>
        <v>4.7872921287281774E-2</v>
      </c>
      <c r="V55" s="12">
        <f t="shared" ca="1" si="2"/>
        <v>4.7872921287281774E-2</v>
      </c>
      <c r="W55" s="153"/>
      <c r="X55" s="30"/>
      <c r="Y55" s="92"/>
      <c r="Z55" s="92"/>
      <c r="AA55" s="92"/>
      <c r="AB55" s="92"/>
      <c r="AC55" s="92"/>
      <c r="AD55" s="92"/>
      <c r="AE55" s="92"/>
      <c r="AF55" s="30"/>
    </row>
    <row r="56" spans="1:32" ht="15" x14ac:dyDescent="0.25">
      <c r="A56" s="66">
        <v>41820</v>
      </c>
      <c r="B56" s="114">
        <f t="shared" si="3"/>
        <v>2014</v>
      </c>
      <c r="C56" s="114">
        <f t="shared" si="4"/>
        <v>6</v>
      </c>
      <c r="D56" s="107">
        <f>Purchases!C56</f>
        <v>15763795.030000001</v>
      </c>
      <c r="E56" s="94"/>
      <c r="F56" s="171">
        <f ca="1">CDM!D64</f>
        <v>310448.63881348504</v>
      </c>
      <c r="G56" s="94">
        <f t="shared" ca="1" si="5"/>
        <v>16074243.668813486</v>
      </c>
      <c r="H56" s="90">
        <f>Weather!H163</f>
        <v>2.4999999999999982</v>
      </c>
      <c r="I56" s="90">
        <f>Weather!I163</f>
        <v>121.8</v>
      </c>
      <c r="J56" s="90">
        <f t="shared" ca="1" si="10"/>
        <v>8.3199999999999985</v>
      </c>
      <c r="K56" s="90">
        <f t="shared" ca="1" si="10"/>
        <v>115.62</v>
      </c>
      <c r="L56" s="108">
        <v>30</v>
      </c>
      <c r="M56" s="108">
        <f t="shared" si="8"/>
        <v>0</v>
      </c>
      <c r="N56" s="152">
        <f>Data!AC43</f>
        <v>0</v>
      </c>
      <c r="O56" s="152">
        <f>Data!AD43</f>
        <v>0</v>
      </c>
      <c r="P56" s="152"/>
      <c r="Q56" s="152"/>
      <c r="R56" s="150">
        <f>Data!AH43</f>
        <v>13471.5</v>
      </c>
      <c r="S56" s="67">
        <f t="shared" ca="1" si="6"/>
        <v>15927330.679637551</v>
      </c>
      <c r="T56" s="40">
        <f t="shared" ca="1" si="0"/>
        <v>-146912.98917593434</v>
      </c>
      <c r="U56" s="53">
        <f t="shared" ca="1" si="1"/>
        <v>-9.1396517436753942E-3</v>
      </c>
      <c r="V56" s="12">
        <f t="shared" ca="1" si="2"/>
        <v>9.1396517436753942E-3</v>
      </c>
      <c r="W56" s="153"/>
      <c r="X56" s="46"/>
      <c r="Y56" s="46"/>
      <c r="Z56" s="46"/>
      <c r="AA56" s="46"/>
      <c r="AB56" s="46"/>
      <c r="AC56" s="46"/>
      <c r="AD56" s="46"/>
      <c r="AE56" s="46"/>
      <c r="AF56" s="46"/>
    </row>
    <row r="57" spans="1:32" ht="15" x14ac:dyDescent="0.25">
      <c r="A57" s="66">
        <v>41851</v>
      </c>
      <c r="B57" s="114">
        <f t="shared" si="3"/>
        <v>2014</v>
      </c>
      <c r="C57" s="114">
        <f t="shared" si="4"/>
        <v>7</v>
      </c>
      <c r="D57" s="107">
        <f>Purchases!C57</f>
        <v>17256405.399999999</v>
      </c>
      <c r="E57" s="94"/>
      <c r="F57" s="171">
        <f ca="1">CDM!D65</f>
        <v>317004.35761087778</v>
      </c>
      <c r="G57" s="94">
        <f t="shared" ca="1" si="5"/>
        <v>17573409.757610876</v>
      </c>
      <c r="H57" s="90">
        <f>Weather!H164</f>
        <v>0</v>
      </c>
      <c r="I57" s="90">
        <f>Weather!I164</f>
        <v>149.90000000000003</v>
      </c>
      <c r="J57" s="90">
        <f t="shared" ca="1" si="10"/>
        <v>0</v>
      </c>
      <c r="K57" s="90">
        <f t="shared" ca="1" si="10"/>
        <v>224.87000000000003</v>
      </c>
      <c r="L57" s="108">
        <v>31</v>
      </c>
      <c r="M57" s="108">
        <f t="shared" si="8"/>
        <v>0</v>
      </c>
      <c r="N57" s="152">
        <f>Data!AC44</f>
        <v>0</v>
      </c>
      <c r="O57" s="152">
        <f>Data!AD44</f>
        <v>0</v>
      </c>
      <c r="P57" s="152"/>
      <c r="Q57" s="152"/>
      <c r="R57" s="150">
        <f>Data!AH44</f>
        <v>13503</v>
      </c>
      <c r="S57" s="67">
        <f t="shared" ca="1" si="6"/>
        <v>19792664.791170117</v>
      </c>
      <c r="T57" s="40">
        <f t="shared" ca="1" si="0"/>
        <v>2219255.0335592404</v>
      </c>
      <c r="U57" s="53">
        <f t="shared" ca="1" si="1"/>
        <v>0.12628482828143822</v>
      </c>
      <c r="V57" s="12">
        <f t="shared" ca="1" si="2"/>
        <v>0.12628482828143822</v>
      </c>
      <c r="W57" s="153"/>
      <c r="X57" s="46"/>
      <c r="Y57" s="46"/>
      <c r="Z57" s="46"/>
      <c r="AA57" s="46"/>
      <c r="AB57" s="46"/>
      <c r="AC57" s="46"/>
      <c r="AD57" s="46"/>
      <c r="AE57" s="46"/>
      <c r="AF57" s="46"/>
    </row>
    <row r="58" spans="1:32" ht="15" x14ac:dyDescent="0.25">
      <c r="A58" s="66">
        <v>41882</v>
      </c>
      <c r="B58" s="114">
        <f t="shared" si="3"/>
        <v>2014</v>
      </c>
      <c r="C58" s="114">
        <f t="shared" si="4"/>
        <v>8</v>
      </c>
      <c r="D58" s="107">
        <f>Purchases!C58</f>
        <v>17022827.640000001</v>
      </c>
      <c r="E58" s="94"/>
      <c r="F58" s="171">
        <f ca="1">CDM!D66</f>
        <v>323560.07640827051</v>
      </c>
      <c r="G58" s="94">
        <f t="shared" ca="1" si="5"/>
        <v>17346387.716408271</v>
      </c>
      <c r="H58" s="90">
        <f>Weather!H165</f>
        <v>9.9999999999999645E-2</v>
      </c>
      <c r="I58" s="90">
        <f>Weather!I165</f>
        <v>146.79999999999998</v>
      </c>
      <c r="J58" s="90">
        <f t="shared" ca="1" si="10"/>
        <v>9.9999999999999638E-3</v>
      </c>
      <c r="K58" s="90">
        <f t="shared" ca="1" si="10"/>
        <v>186.09000000000003</v>
      </c>
      <c r="L58" s="108">
        <v>31</v>
      </c>
      <c r="M58" s="108">
        <f t="shared" si="8"/>
        <v>0</v>
      </c>
      <c r="N58" s="152">
        <f>Data!AC45</f>
        <v>0</v>
      </c>
      <c r="O58" s="152">
        <f>Data!AD45</f>
        <v>0</v>
      </c>
      <c r="P58" s="152"/>
      <c r="Q58" s="152"/>
      <c r="R58" s="150">
        <f>Data!AH45</f>
        <v>13541.5</v>
      </c>
      <c r="S58" s="67">
        <f t="shared" ca="1" si="6"/>
        <v>18508889.561419174</v>
      </c>
      <c r="T58" s="40">
        <f t="shared" ca="1" si="0"/>
        <v>1162501.8450109027</v>
      </c>
      <c r="U58" s="53">
        <f t="shared" ca="1" si="1"/>
        <v>6.7016941164717E-2</v>
      </c>
      <c r="V58" s="12">
        <f t="shared" ca="1" si="2"/>
        <v>6.7016941164717E-2</v>
      </c>
      <c r="W58" s="153"/>
      <c r="X58" s="228"/>
      <c r="Y58" s="46"/>
      <c r="Z58" s="46"/>
      <c r="AA58" s="46"/>
      <c r="AB58" s="46"/>
      <c r="AC58" s="46"/>
      <c r="AD58" s="46"/>
      <c r="AE58" s="46"/>
      <c r="AF58" s="46"/>
    </row>
    <row r="59" spans="1:32" ht="15" x14ac:dyDescent="0.25">
      <c r="A59" s="66">
        <v>41912</v>
      </c>
      <c r="B59" s="114">
        <f t="shared" si="3"/>
        <v>2014</v>
      </c>
      <c r="C59" s="114">
        <f t="shared" si="4"/>
        <v>9</v>
      </c>
      <c r="D59" s="107">
        <f>Purchases!C59</f>
        <v>15128454.74</v>
      </c>
      <c r="E59" s="94"/>
      <c r="F59" s="171">
        <f ca="1">CDM!D67</f>
        <v>330115.79520566325</v>
      </c>
      <c r="G59" s="94">
        <f t="shared" ca="1" si="5"/>
        <v>15458570.535205664</v>
      </c>
      <c r="H59" s="90">
        <f>Weather!H166</f>
        <v>28.4</v>
      </c>
      <c r="I59" s="90">
        <f>Weather!I166</f>
        <v>71.299999999999983</v>
      </c>
      <c r="J59" s="90">
        <f t="shared" ca="1" si="10"/>
        <v>19.43</v>
      </c>
      <c r="K59" s="90">
        <f t="shared" ca="1" si="10"/>
        <v>90.78</v>
      </c>
      <c r="L59" s="108">
        <v>30</v>
      </c>
      <c r="M59" s="108">
        <f t="shared" si="8"/>
        <v>0</v>
      </c>
      <c r="N59" s="152">
        <f>Data!AC46</f>
        <v>0</v>
      </c>
      <c r="O59" s="152">
        <f>Data!AD46</f>
        <v>0</v>
      </c>
      <c r="P59" s="152"/>
      <c r="Q59" s="152"/>
      <c r="R59" s="150">
        <f>Data!AH46</f>
        <v>13605.5</v>
      </c>
      <c r="S59" s="67">
        <f t="shared" ca="1" si="6"/>
        <v>15979689.857097333</v>
      </c>
      <c r="T59" s="40">
        <f t="shared" ca="1" si="0"/>
        <v>521119.32189166918</v>
      </c>
      <c r="U59" s="53">
        <f t="shared" ca="1" si="1"/>
        <v>3.3710705702371474E-2</v>
      </c>
      <c r="V59" s="12">
        <f t="shared" ca="1" si="2"/>
        <v>3.3710705702371474E-2</v>
      </c>
      <c r="W59" s="153"/>
      <c r="X59" s="46"/>
      <c r="Y59" s="46"/>
      <c r="Z59" s="46"/>
      <c r="AA59" s="46"/>
      <c r="AB59" s="46"/>
      <c r="AC59" s="46"/>
      <c r="AD59" s="46"/>
      <c r="AE59" s="46"/>
      <c r="AF59" s="46"/>
    </row>
    <row r="60" spans="1:32" ht="15" x14ac:dyDescent="0.25">
      <c r="A60" s="66">
        <v>41943</v>
      </c>
      <c r="B60" s="114">
        <f t="shared" si="3"/>
        <v>2014</v>
      </c>
      <c r="C60" s="114">
        <f t="shared" si="4"/>
        <v>10</v>
      </c>
      <c r="D60" s="107">
        <f>Purchases!C60</f>
        <v>14319576.609999999</v>
      </c>
      <c r="E60" s="94"/>
      <c r="F60" s="171">
        <f ca="1">CDM!D68</f>
        <v>336671.51400305599</v>
      </c>
      <c r="G60" s="94">
        <f t="shared" ca="1" si="5"/>
        <v>14656248.124003055</v>
      </c>
      <c r="H60" s="90">
        <f>Weather!H167</f>
        <v>142.9</v>
      </c>
      <c r="I60" s="90">
        <f>Weather!I167</f>
        <v>10.400000000000002</v>
      </c>
      <c r="J60" s="90">
        <f t="shared" ca="1" si="10"/>
        <v>147.23999999999998</v>
      </c>
      <c r="K60" s="90">
        <f t="shared" ca="1" si="10"/>
        <v>14.710000000000003</v>
      </c>
      <c r="L60" s="108">
        <v>31</v>
      </c>
      <c r="M60" s="108">
        <f t="shared" si="8"/>
        <v>0</v>
      </c>
      <c r="N60" s="152">
        <f>Data!AC47</f>
        <v>0</v>
      </c>
      <c r="O60" s="152">
        <f>Data!AD47</f>
        <v>0</v>
      </c>
      <c r="P60" s="152"/>
      <c r="Q60" s="152"/>
      <c r="R60" s="150">
        <f>Data!AH47</f>
        <v>13677.5</v>
      </c>
      <c r="S60" s="67">
        <f t="shared" ca="1" si="6"/>
        <v>14810697.69378132</v>
      </c>
      <c r="T60" s="40">
        <f t="shared" ca="1" si="0"/>
        <v>154449.56977826543</v>
      </c>
      <c r="U60" s="53">
        <f t="shared" ca="1" si="1"/>
        <v>1.0538138306031945E-2</v>
      </c>
      <c r="V60" s="12">
        <f t="shared" ca="1" si="2"/>
        <v>1.0538138306031945E-2</v>
      </c>
      <c r="W60" s="153"/>
      <c r="X60" s="220"/>
      <c r="Y60" s="220"/>
      <c r="Z60" s="46"/>
      <c r="AA60" s="46"/>
      <c r="AB60" s="46"/>
      <c r="AC60" s="46"/>
      <c r="AD60" s="46"/>
      <c r="AE60" s="46"/>
      <c r="AF60" s="46"/>
    </row>
    <row r="61" spans="1:32" ht="15" x14ac:dyDescent="0.25">
      <c r="A61" s="66">
        <v>41973</v>
      </c>
      <c r="B61" s="114">
        <f t="shared" si="3"/>
        <v>2014</v>
      </c>
      <c r="C61" s="114">
        <f t="shared" si="4"/>
        <v>11</v>
      </c>
      <c r="D61" s="107">
        <f>Purchases!C61</f>
        <v>15066567.450000001</v>
      </c>
      <c r="E61" s="94"/>
      <c r="F61" s="171">
        <f ca="1">CDM!D69</f>
        <v>343227.23280044872</v>
      </c>
      <c r="G61" s="94">
        <f t="shared" ca="1" si="5"/>
        <v>15409794.682800449</v>
      </c>
      <c r="H61" s="90">
        <f>Weather!H168</f>
        <v>391.89999999999992</v>
      </c>
      <c r="I61" s="90">
        <f>Weather!I168</f>
        <v>0</v>
      </c>
      <c r="J61" s="90">
        <f t="shared" ca="1" si="10"/>
        <v>331.03</v>
      </c>
      <c r="K61" s="90">
        <f t="shared" ca="1" si="10"/>
        <v>0.54000000000000026</v>
      </c>
      <c r="L61" s="108">
        <v>30</v>
      </c>
      <c r="M61" s="108">
        <f t="shared" si="8"/>
        <v>0</v>
      </c>
      <c r="N61" s="152">
        <f>Data!AC48</f>
        <v>0</v>
      </c>
      <c r="O61" s="152">
        <f>Data!AD48</f>
        <v>0</v>
      </c>
      <c r="P61" s="152"/>
      <c r="Q61" s="152"/>
      <c r="R61" s="150">
        <f>Data!AH48</f>
        <v>13706.5</v>
      </c>
      <c r="S61" s="67">
        <f t="shared" ca="1" si="6"/>
        <v>15048983.938544368</v>
      </c>
      <c r="T61" s="40">
        <f t="shared" ca="1" si="0"/>
        <v>-360810.74425608106</v>
      </c>
      <c r="U61" s="53">
        <f t="shared" ca="1" si="1"/>
        <v>-2.3414377133706903E-2</v>
      </c>
      <c r="V61" s="12">
        <f t="shared" ca="1" si="2"/>
        <v>2.3414377133706903E-2</v>
      </c>
      <c r="W61" s="153"/>
      <c r="X61" s="30"/>
      <c r="Y61" s="92"/>
      <c r="Z61" s="226"/>
      <c r="AA61" s="226"/>
      <c r="AB61" s="226"/>
      <c r="AC61" s="226"/>
      <c r="AD61" s="226"/>
      <c r="AE61" s="226"/>
      <c r="AF61" s="226"/>
    </row>
    <row r="62" spans="1:32" ht="15" x14ac:dyDescent="0.25">
      <c r="A62" s="66">
        <v>42004</v>
      </c>
      <c r="B62" s="114">
        <f t="shared" si="3"/>
        <v>2014</v>
      </c>
      <c r="C62" s="114">
        <f t="shared" si="4"/>
        <v>12</v>
      </c>
      <c r="D62" s="107">
        <f>Purchases!C62</f>
        <v>16465915.779999999</v>
      </c>
      <c r="E62" s="94"/>
      <c r="F62" s="171">
        <f ca="1">CDM!D70</f>
        <v>349782.95159784146</v>
      </c>
      <c r="G62" s="94">
        <f t="shared" ca="1" si="5"/>
        <v>16815698.731597841</v>
      </c>
      <c r="H62" s="90">
        <f>Weather!H169</f>
        <v>472.4</v>
      </c>
      <c r="I62" s="90">
        <f>Weather!I169</f>
        <v>0</v>
      </c>
      <c r="J62" s="90">
        <f t="shared" ca="1" si="10"/>
        <v>485.42000000000007</v>
      </c>
      <c r="K62" s="90">
        <f t="shared" ca="1" si="10"/>
        <v>0</v>
      </c>
      <c r="L62" s="108">
        <v>31</v>
      </c>
      <c r="M62" s="108">
        <f t="shared" si="8"/>
        <v>0</v>
      </c>
      <c r="N62" s="152">
        <f>Data!AC49</f>
        <v>0</v>
      </c>
      <c r="O62" s="152">
        <f>Data!AD49</f>
        <v>0</v>
      </c>
      <c r="P62" s="152"/>
      <c r="Q62" s="152"/>
      <c r="R62" s="150">
        <f>Data!AH49</f>
        <v>13732.5</v>
      </c>
      <c r="S62" s="67">
        <f t="shared" ca="1" si="6"/>
        <v>16896294.772079486</v>
      </c>
      <c r="T62" s="40">
        <f t="shared" ca="1" si="0"/>
        <v>80596.040481645614</v>
      </c>
      <c r="U62" s="53">
        <f t="shared" ca="1" si="1"/>
        <v>4.792904640364434E-3</v>
      </c>
      <c r="V62" s="12">
        <f t="shared" ca="1" si="2"/>
        <v>4.792904640364434E-3</v>
      </c>
      <c r="W62" s="153"/>
      <c r="X62" s="30"/>
      <c r="Y62" s="92"/>
      <c r="Z62" s="226"/>
      <c r="AA62" s="226"/>
      <c r="AB62" s="226"/>
      <c r="AC62" s="226"/>
      <c r="AD62" s="226"/>
      <c r="AE62" s="226"/>
      <c r="AF62" s="226"/>
    </row>
    <row r="63" spans="1:32" ht="15" x14ac:dyDescent="0.25">
      <c r="A63" s="66">
        <v>42035</v>
      </c>
      <c r="B63" s="114">
        <f t="shared" si="3"/>
        <v>2015</v>
      </c>
      <c r="C63" s="114">
        <f t="shared" si="4"/>
        <v>1</v>
      </c>
      <c r="D63" s="107">
        <f>Purchases!C63</f>
        <v>17410556.84</v>
      </c>
      <c r="E63" s="94"/>
      <c r="F63" s="171">
        <f ca="1">CDM!D71</f>
        <v>365944.52587267006</v>
      </c>
      <c r="G63" s="94">
        <f t="shared" ca="1" si="5"/>
        <v>17776501.36587267</v>
      </c>
      <c r="H63" s="90">
        <f>Weather!H170</f>
        <v>696.89999999999986</v>
      </c>
      <c r="I63" s="90">
        <f>Weather!I170</f>
        <v>0</v>
      </c>
      <c r="J63" s="90">
        <f t="shared" ca="1" si="10"/>
        <v>607.33000000000004</v>
      </c>
      <c r="K63" s="90">
        <f t="shared" ca="1" si="10"/>
        <v>0</v>
      </c>
      <c r="L63" s="108">
        <v>31</v>
      </c>
      <c r="M63" s="108">
        <f t="shared" si="8"/>
        <v>0</v>
      </c>
      <c r="N63" s="152">
        <f>Data!AC50</f>
        <v>0</v>
      </c>
      <c r="O63" s="152">
        <f>Data!AD50</f>
        <v>0</v>
      </c>
      <c r="P63" s="152"/>
      <c r="Q63" s="152"/>
      <c r="R63" s="150">
        <f>Data!AH50</f>
        <v>13760.5</v>
      </c>
      <c r="S63" s="67">
        <f t="shared" ca="1" si="6"/>
        <v>17222047.652666762</v>
      </c>
      <c r="T63" s="40">
        <f t="shared" ca="1" si="0"/>
        <v>-554453.71320590749</v>
      </c>
      <c r="U63" s="53">
        <f t="shared" ca="1" si="1"/>
        <v>-3.1190260771466978E-2</v>
      </c>
      <c r="V63" s="12">
        <f t="shared" ca="1" si="2"/>
        <v>3.1190260771466978E-2</v>
      </c>
      <c r="W63" s="153"/>
      <c r="X63" s="30"/>
      <c r="Y63" s="92"/>
      <c r="Z63" s="226"/>
      <c r="AA63" s="226"/>
      <c r="AB63" s="226"/>
      <c r="AC63" s="226"/>
      <c r="AD63" s="226"/>
      <c r="AE63" s="226"/>
      <c r="AF63" s="226"/>
    </row>
    <row r="64" spans="1:32" ht="15" x14ac:dyDescent="0.25">
      <c r="A64" s="66">
        <v>42063</v>
      </c>
      <c r="B64" s="114">
        <f t="shared" si="3"/>
        <v>2015</v>
      </c>
      <c r="C64" s="114">
        <f t="shared" si="4"/>
        <v>2</v>
      </c>
      <c r="D64" s="107">
        <f>Purchases!C64</f>
        <v>16200376.42</v>
      </c>
      <c r="E64" s="94"/>
      <c r="F64" s="171">
        <f ca="1">CDM!D72</f>
        <v>386261.67330856749</v>
      </c>
      <c r="G64" s="94">
        <f ca="1">D64+F64-E64</f>
        <v>16586638.093308568</v>
      </c>
      <c r="H64" s="90">
        <f>Weather!H171</f>
        <v>758.99999999999989</v>
      </c>
      <c r="I64" s="90">
        <f>Weather!I171</f>
        <v>0</v>
      </c>
      <c r="J64" s="90">
        <f t="shared" ca="1" si="10"/>
        <v>533.1</v>
      </c>
      <c r="K64" s="90">
        <f t="shared" ca="1" si="10"/>
        <v>0</v>
      </c>
      <c r="L64" s="108">
        <v>28</v>
      </c>
      <c r="M64" s="108">
        <f t="shared" si="8"/>
        <v>0</v>
      </c>
      <c r="N64" s="152">
        <f>Data!AC51</f>
        <v>0</v>
      </c>
      <c r="O64" s="152">
        <f>Data!AD51</f>
        <v>0</v>
      </c>
      <c r="P64" s="152"/>
      <c r="Q64" s="152"/>
      <c r="R64" s="150">
        <f>Data!AH51</f>
        <v>13767.5</v>
      </c>
      <c r="S64" s="67">
        <f t="shared" ca="1" si="6"/>
        <v>15188278.220435791</v>
      </c>
      <c r="T64" s="40">
        <f t="shared" ca="1" si="0"/>
        <v>-1398359.8728727773</v>
      </c>
      <c r="U64" s="53">
        <f t="shared" ca="1" si="1"/>
        <v>-8.4306407664185304E-2</v>
      </c>
      <c r="V64" s="12">
        <f t="shared" ca="1" si="2"/>
        <v>8.4306407664185304E-2</v>
      </c>
      <c r="W64" s="153"/>
      <c r="X64" s="30"/>
      <c r="Y64" s="92"/>
      <c r="Z64" s="226"/>
      <c r="AA64" s="226"/>
      <c r="AB64" s="226"/>
      <c r="AC64" s="226"/>
      <c r="AD64" s="226"/>
      <c r="AE64" s="226"/>
      <c r="AF64" s="226"/>
    </row>
    <row r="65" spans="1:32" ht="15" x14ac:dyDescent="0.25">
      <c r="A65" s="66">
        <v>42094</v>
      </c>
      <c r="B65" s="114">
        <f t="shared" si="3"/>
        <v>2015</v>
      </c>
      <c r="C65" s="114">
        <f t="shared" si="4"/>
        <v>3</v>
      </c>
      <c r="D65" s="107">
        <f>Purchases!C65</f>
        <v>15791088.430000002</v>
      </c>
      <c r="E65" s="94"/>
      <c r="F65" s="171">
        <f ca="1">CDM!D73</f>
        <v>406578.82074446493</v>
      </c>
      <c r="G65" s="94">
        <f t="shared" ca="1" si="5"/>
        <v>16197667.250744466</v>
      </c>
      <c r="H65" s="90">
        <f>Weather!H172</f>
        <v>519.4</v>
      </c>
      <c r="I65" s="90">
        <f>Weather!I172</f>
        <v>0</v>
      </c>
      <c r="J65" s="90">
        <f t="shared" ca="1" si="10"/>
        <v>453.77</v>
      </c>
      <c r="K65" s="90">
        <f t="shared" ca="1" si="10"/>
        <v>0.26000000000000012</v>
      </c>
      <c r="L65" s="108">
        <v>31</v>
      </c>
      <c r="M65" s="108">
        <f t="shared" si="8"/>
        <v>1</v>
      </c>
      <c r="N65" s="152">
        <f>Data!AC52</f>
        <v>0</v>
      </c>
      <c r="O65" s="152">
        <f>Data!AD52</f>
        <v>0</v>
      </c>
      <c r="P65" s="152"/>
      <c r="Q65" s="152"/>
      <c r="R65" s="150">
        <f>Data!AH52</f>
        <v>13776</v>
      </c>
      <c r="S65" s="67">
        <f t="shared" ca="1" si="6"/>
        <v>15799102.753181931</v>
      </c>
      <c r="T65" s="40">
        <f t="shared" ca="1" si="0"/>
        <v>-398564.49756253511</v>
      </c>
      <c r="U65" s="53">
        <f t="shared" ca="1" si="1"/>
        <v>-2.4606289991802158E-2</v>
      </c>
      <c r="V65" s="12">
        <f t="shared" ca="1" si="2"/>
        <v>2.4606289991802158E-2</v>
      </c>
      <c r="W65" s="153"/>
      <c r="X65" s="30"/>
      <c r="Y65" s="92"/>
      <c r="Z65" s="226"/>
      <c r="AA65" s="226"/>
      <c r="AB65" s="226"/>
      <c r="AC65" s="226"/>
      <c r="AD65" s="226"/>
      <c r="AE65" s="226"/>
      <c r="AF65" s="226"/>
    </row>
    <row r="66" spans="1:32" ht="15" x14ac:dyDescent="0.25">
      <c r="A66" s="66">
        <v>42124</v>
      </c>
      <c r="B66" s="114">
        <f t="shared" si="3"/>
        <v>2015</v>
      </c>
      <c r="C66" s="114">
        <f t="shared" si="4"/>
        <v>4</v>
      </c>
      <c r="D66" s="107">
        <f>Purchases!C66</f>
        <v>13751123.979999999</v>
      </c>
      <c r="E66" s="94"/>
      <c r="F66" s="171">
        <f ca="1">CDM!D74</f>
        <v>426895.96818036237</v>
      </c>
      <c r="G66" s="94">
        <f t="shared" ca="1" si="5"/>
        <v>14178019.948180361</v>
      </c>
      <c r="H66" s="90">
        <f>Weather!H173</f>
        <v>240.10000000000002</v>
      </c>
      <c r="I66" s="90">
        <f>Weather!I173</f>
        <v>0.30000000000000071</v>
      </c>
      <c r="J66" s="90">
        <f t="shared" ca="1" si="10"/>
        <v>276.92999999999995</v>
      </c>
      <c r="K66" s="90">
        <f t="shared" ca="1" si="10"/>
        <v>1.2600000000000002</v>
      </c>
      <c r="L66" s="108">
        <v>30</v>
      </c>
      <c r="M66" s="108">
        <f t="shared" si="8"/>
        <v>1</v>
      </c>
      <c r="N66" s="152">
        <f>Data!AC53</f>
        <v>0</v>
      </c>
      <c r="O66" s="152">
        <f>Data!AD53</f>
        <v>0</v>
      </c>
      <c r="P66" s="152"/>
      <c r="Q66" s="152"/>
      <c r="R66" s="150">
        <f>Data!AH53</f>
        <v>13787.5</v>
      </c>
      <c r="S66" s="67">
        <f t="shared" ca="1" si="6"/>
        <v>14434421.817449071</v>
      </c>
      <c r="T66" s="40">
        <f t="shared" ca="1" si="0"/>
        <v>256401.86926870979</v>
      </c>
      <c r="U66" s="53">
        <f t="shared" ca="1" si="1"/>
        <v>1.8084462442981467E-2</v>
      </c>
      <c r="V66" s="12">
        <f t="shared" ca="1" si="2"/>
        <v>1.8084462442981467E-2</v>
      </c>
      <c r="W66" s="153"/>
      <c r="X66" s="46"/>
      <c r="Y66" s="226"/>
      <c r="Z66" s="226"/>
      <c r="AA66" s="226"/>
      <c r="AB66" s="226"/>
      <c r="AC66" s="226"/>
      <c r="AD66" s="226"/>
      <c r="AE66" s="226"/>
      <c r="AF66" s="226"/>
    </row>
    <row r="67" spans="1:32" ht="15" x14ac:dyDescent="0.25">
      <c r="A67" s="66">
        <v>42155</v>
      </c>
      <c r="B67" s="114">
        <f t="shared" si="3"/>
        <v>2015</v>
      </c>
      <c r="C67" s="114">
        <f t="shared" si="4"/>
        <v>5</v>
      </c>
      <c r="D67" s="107">
        <f>Purchases!C67</f>
        <v>14187561.25</v>
      </c>
      <c r="E67" s="94"/>
      <c r="F67" s="171">
        <f ca="1">CDM!D75</f>
        <v>447213.11561625981</v>
      </c>
      <c r="G67" s="94">
        <f t="shared" ca="1" si="5"/>
        <v>14634774.36561626</v>
      </c>
      <c r="H67" s="90">
        <f>Weather!H174</f>
        <v>54.4</v>
      </c>
      <c r="I67" s="90">
        <f>Weather!I174</f>
        <v>72</v>
      </c>
      <c r="J67" s="90">
        <f t="shared" ca="1" si="10"/>
        <v>91.789999999999992</v>
      </c>
      <c r="K67" s="90">
        <f t="shared" ca="1" si="10"/>
        <v>44.669999999999995</v>
      </c>
      <c r="L67" s="108">
        <v>31</v>
      </c>
      <c r="M67" s="108">
        <f t="shared" si="8"/>
        <v>1</v>
      </c>
      <c r="N67" s="152">
        <f>Data!AC54</f>
        <v>0</v>
      </c>
      <c r="O67" s="152">
        <f>Data!AD54</f>
        <v>0</v>
      </c>
      <c r="P67" s="152"/>
      <c r="Q67" s="152"/>
      <c r="R67" s="150">
        <f>Data!AH54</f>
        <v>13792.5</v>
      </c>
      <c r="S67" s="67">
        <f t="shared" ca="1" si="6"/>
        <v>14057204.757401686</v>
      </c>
      <c r="T67" s="40">
        <f t="shared" ref="T67:T130" ca="1" si="11">S67-G67</f>
        <v>-577569.60821457393</v>
      </c>
      <c r="U67" s="53">
        <f t="shared" ref="U67:U130" ca="1" si="12">T67/G67</f>
        <v>-3.94655628973377E-2</v>
      </c>
      <c r="V67" s="12">
        <f t="shared" ref="V67:V121" ca="1" si="13">ABS(U67)</f>
        <v>3.94655628973377E-2</v>
      </c>
      <c r="W67" s="153"/>
      <c r="X67" s="46"/>
      <c r="Y67" s="226"/>
      <c r="Z67" s="226"/>
      <c r="AA67" s="226"/>
      <c r="AB67" s="226"/>
      <c r="AC67" s="226"/>
      <c r="AD67" s="226"/>
      <c r="AE67" s="226"/>
      <c r="AF67" s="226"/>
    </row>
    <row r="68" spans="1:32" ht="15" x14ac:dyDescent="0.25">
      <c r="A68" s="66">
        <v>42185</v>
      </c>
      <c r="B68" s="114">
        <f t="shared" ref="B68:B131" si="14">YEAR(A68)</f>
        <v>2015</v>
      </c>
      <c r="C68" s="114">
        <f t="shared" ref="C68:C131" si="15">MONTH(A68)</f>
        <v>6</v>
      </c>
      <c r="D68" s="107">
        <f>Purchases!C68</f>
        <v>14895713.270000001</v>
      </c>
      <c r="E68" s="94"/>
      <c r="F68" s="171">
        <f ca="1">CDM!D76</f>
        <v>467530.26305215724</v>
      </c>
      <c r="G68" s="94">
        <f t="shared" ref="G68:G131" ca="1" si="16">D68+F68-E68</f>
        <v>15363243.533052159</v>
      </c>
      <c r="H68" s="90">
        <f>Weather!H175</f>
        <v>21.500000000000004</v>
      </c>
      <c r="I68" s="90">
        <f>Weather!I175</f>
        <v>80.000000000000014</v>
      </c>
      <c r="J68" s="90">
        <f t="shared" ca="1" si="10"/>
        <v>8.3199999999999985</v>
      </c>
      <c r="K68" s="90">
        <f t="shared" ca="1" si="10"/>
        <v>115.62</v>
      </c>
      <c r="L68" s="108">
        <v>30</v>
      </c>
      <c r="M68" s="108">
        <f t="shared" si="8"/>
        <v>0</v>
      </c>
      <c r="N68" s="152">
        <f>Data!AC55</f>
        <v>0</v>
      </c>
      <c r="O68" s="152">
        <f>Data!AD55</f>
        <v>0</v>
      </c>
      <c r="P68" s="152"/>
      <c r="Q68" s="152"/>
      <c r="R68" s="150">
        <f>Data!AH55</f>
        <v>13793.5</v>
      </c>
      <c r="S68" s="67">
        <f t="shared" ref="S68:S131" ca="1" si="17">G68+(J68-H68)*$Y$11+(K68-I68)*$Y$12+(P68-N68)*$Y$15+(Q68-O68)*$Y$16</f>
        <v>16336077.023626218</v>
      </c>
      <c r="T68" s="40">
        <f t="shared" ca="1" si="11"/>
        <v>972833.49057405815</v>
      </c>
      <c r="U68" s="53">
        <f t="shared" ca="1" si="12"/>
        <v>6.3322142129760853E-2</v>
      </c>
      <c r="V68" s="12">
        <f t="shared" ca="1" si="13"/>
        <v>6.3322142129760853E-2</v>
      </c>
      <c r="W68" s="153"/>
      <c r="X68" s="221"/>
      <c r="Y68" s="227"/>
      <c r="Z68" s="227"/>
      <c r="AA68" s="227"/>
      <c r="AB68" s="227"/>
      <c r="AC68" s="227"/>
      <c r="AD68" s="226"/>
      <c r="AE68" s="226"/>
      <c r="AF68" s="226"/>
    </row>
    <row r="69" spans="1:32" ht="15" x14ac:dyDescent="0.25">
      <c r="A69" s="66">
        <v>42216</v>
      </c>
      <c r="B69" s="114">
        <f t="shared" si="14"/>
        <v>2015</v>
      </c>
      <c r="C69" s="114">
        <f t="shared" si="15"/>
        <v>7</v>
      </c>
      <c r="D69" s="107">
        <f>Purchases!C69</f>
        <v>18727962.900000002</v>
      </c>
      <c r="E69" s="94"/>
      <c r="F69" s="171">
        <f ca="1">CDM!D77</f>
        <v>487847.41048805468</v>
      </c>
      <c r="G69" s="94">
        <f t="shared" ca="1" si="16"/>
        <v>19215810.310488056</v>
      </c>
      <c r="H69" s="90">
        <f>Weather!H176</f>
        <v>0</v>
      </c>
      <c r="I69" s="90">
        <f>Weather!I176</f>
        <v>187.49999999999997</v>
      </c>
      <c r="J69" s="90">
        <f t="shared" ca="1" si="10"/>
        <v>0</v>
      </c>
      <c r="K69" s="90">
        <f t="shared" ca="1" si="10"/>
        <v>224.87000000000003</v>
      </c>
      <c r="L69" s="108">
        <v>31</v>
      </c>
      <c r="M69" s="108">
        <f t="shared" si="8"/>
        <v>0</v>
      </c>
      <c r="N69" s="152">
        <f>Data!AC56</f>
        <v>0</v>
      </c>
      <c r="O69" s="152">
        <f>Data!AD56</f>
        <v>0</v>
      </c>
      <c r="P69" s="152"/>
      <c r="Q69" s="152"/>
      <c r="R69" s="150">
        <f>Data!AH56</f>
        <v>13794.5</v>
      </c>
      <c r="S69" s="67">
        <f t="shared" ca="1" si="17"/>
        <v>20322033.607861791</v>
      </c>
      <c r="T69" s="40">
        <f t="shared" ca="1" si="11"/>
        <v>1106223.2973737344</v>
      </c>
      <c r="U69" s="53">
        <f t="shared" ca="1" si="12"/>
        <v>5.7568391834610995E-2</v>
      </c>
      <c r="V69" s="12">
        <f t="shared" ca="1" si="13"/>
        <v>5.7568391834610995E-2</v>
      </c>
      <c r="W69" s="153"/>
      <c r="X69" s="30"/>
      <c r="Y69" s="92"/>
      <c r="Z69" s="92"/>
      <c r="AA69" s="92"/>
      <c r="AB69" s="92"/>
      <c r="AC69" s="92"/>
      <c r="AD69" s="226"/>
      <c r="AE69" s="226"/>
      <c r="AF69" s="226"/>
    </row>
    <row r="70" spans="1:32" ht="15" x14ac:dyDescent="0.25">
      <c r="A70" s="66">
        <v>42247</v>
      </c>
      <c r="B70" s="114">
        <f t="shared" si="14"/>
        <v>2015</v>
      </c>
      <c r="C70" s="114">
        <f t="shared" si="15"/>
        <v>8</v>
      </c>
      <c r="D70" s="107">
        <f>Purchases!C70</f>
        <v>17447202.449999999</v>
      </c>
      <c r="E70" s="94"/>
      <c r="F70" s="171">
        <f ca="1">CDM!D78</f>
        <v>508164.55792395212</v>
      </c>
      <c r="G70" s="94">
        <f t="shared" ca="1" si="16"/>
        <v>17955367.007923953</v>
      </c>
      <c r="H70" s="90">
        <f>Weather!H177</f>
        <v>0</v>
      </c>
      <c r="I70" s="90">
        <f>Weather!I177</f>
        <v>161.79999999999998</v>
      </c>
      <c r="J70" s="90">
        <f t="shared" ca="1" si="10"/>
        <v>9.9999999999999638E-3</v>
      </c>
      <c r="K70" s="90">
        <f t="shared" ca="1" si="10"/>
        <v>186.09000000000003</v>
      </c>
      <c r="L70" s="108">
        <v>31</v>
      </c>
      <c r="M70" s="108">
        <f t="shared" si="8"/>
        <v>0</v>
      </c>
      <c r="N70" s="152">
        <f>Data!AC57</f>
        <v>0</v>
      </c>
      <c r="O70" s="152">
        <f>Data!AD57</f>
        <v>0</v>
      </c>
      <c r="P70" s="152"/>
      <c r="Q70" s="152"/>
      <c r="R70" s="150">
        <f>Data!AH57</f>
        <v>13800.5</v>
      </c>
      <c r="S70" s="67">
        <f t="shared" ca="1" si="17"/>
        <v>18674459.251983743</v>
      </c>
      <c r="T70" s="40">
        <f t="shared" ca="1" si="11"/>
        <v>719092.24405978993</v>
      </c>
      <c r="U70" s="53">
        <f t="shared" ca="1" si="12"/>
        <v>4.0048874731574383E-2</v>
      </c>
      <c r="V70" s="12">
        <f t="shared" ca="1" si="13"/>
        <v>4.0048874731574383E-2</v>
      </c>
      <c r="W70" s="153"/>
      <c r="X70" s="30"/>
      <c r="Y70" s="92"/>
      <c r="Z70" s="92"/>
      <c r="AA70" s="92"/>
      <c r="AB70" s="92"/>
      <c r="AC70" s="92"/>
      <c r="AD70" s="226"/>
      <c r="AE70" s="226"/>
      <c r="AF70" s="226"/>
    </row>
    <row r="71" spans="1:32" ht="15" x14ac:dyDescent="0.25">
      <c r="A71" s="66">
        <v>42277</v>
      </c>
      <c r="B71" s="114">
        <f t="shared" si="14"/>
        <v>2015</v>
      </c>
      <c r="C71" s="114">
        <f t="shared" si="15"/>
        <v>9</v>
      </c>
      <c r="D71" s="107">
        <f>Purchases!C71</f>
        <v>16730321.560000001</v>
      </c>
      <c r="E71" s="94"/>
      <c r="F71" s="171">
        <f ca="1">CDM!D79</f>
        <v>528481.70535984961</v>
      </c>
      <c r="G71" s="94">
        <f t="shared" ca="1" si="16"/>
        <v>17258803.265359849</v>
      </c>
      <c r="H71" s="90">
        <f>Weather!H178</f>
        <v>7.5000000000000018</v>
      </c>
      <c r="I71" s="90">
        <f>Weather!I178</f>
        <v>136.80000000000004</v>
      </c>
      <c r="J71" s="90">
        <f t="shared" ca="1" si="10"/>
        <v>19.43</v>
      </c>
      <c r="K71" s="90">
        <f t="shared" ca="1" si="10"/>
        <v>90.78</v>
      </c>
      <c r="L71" s="108">
        <v>30</v>
      </c>
      <c r="M71" s="108">
        <f t="shared" si="8"/>
        <v>0</v>
      </c>
      <c r="N71" s="152">
        <f>Data!AC58</f>
        <v>0</v>
      </c>
      <c r="O71" s="152">
        <f>Data!AD58</f>
        <v>0</v>
      </c>
      <c r="P71" s="152"/>
      <c r="Q71" s="152"/>
      <c r="R71" s="150">
        <f>Data!AH58</f>
        <v>13815.5</v>
      </c>
      <c r="S71" s="67">
        <f t="shared" ca="1" si="17"/>
        <v>15970372.217762133</v>
      </c>
      <c r="T71" s="40">
        <f t="shared" ca="1" si="11"/>
        <v>-1288431.0475977156</v>
      </c>
      <c r="U71" s="53">
        <f t="shared" ca="1" si="12"/>
        <v>-7.4653556668307711E-2</v>
      </c>
      <c r="V71" s="12">
        <f t="shared" ca="1" si="13"/>
        <v>7.4653556668307711E-2</v>
      </c>
      <c r="W71" s="153"/>
      <c r="X71" s="30"/>
      <c r="Y71" s="92"/>
      <c r="Z71" s="92"/>
      <c r="AA71" s="92"/>
      <c r="AB71" s="92"/>
      <c r="AC71" s="92"/>
      <c r="AD71" s="226"/>
      <c r="AE71" s="226"/>
      <c r="AF71" s="226"/>
    </row>
    <row r="72" spans="1:32" ht="15" x14ac:dyDescent="0.25">
      <c r="A72" s="66">
        <v>42308</v>
      </c>
      <c r="B72" s="114">
        <f t="shared" si="14"/>
        <v>2015</v>
      </c>
      <c r="C72" s="114">
        <f t="shared" si="15"/>
        <v>10</v>
      </c>
      <c r="D72" s="107">
        <f>Purchases!C72</f>
        <v>14060097.34</v>
      </c>
      <c r="E72" s="94"/>
      <c r="F72" s="171">
        <f ca="1">CDM!D80</f>
        <v>548798.85279574699</v>
      </c>
      <c r="G72" s="94">
        <f t="shared" ca="1" si="16"/>
        <v>14608896.192795746</v>
      </c>
      <c r="H72" s="90">
        <f>Weather!H179</f>
        <v>149.19999999999999</v>
      </c>
      <c r="I72" s="90">
        <f>Weather!I179</f>
        <v>4.6999999999999957</v>
      </c>
      <c r="J72" s="90">
        <f t="shared" ca="1" si="10"/>
        <v>147.23999999999998</v>
      </c>
      <c r="K72" s="90">
        <f t="shared" ca="1" si="10"/>
        <v>14.710000000000003</v>
      </c>
      <c r="L72" s="108">
        <v>31</v>
      </c>
      <c r="M72" s="108">
        <f t="shared" si="8"/>
        <v>0</v>
      </c>
      <c r="N72" s="152">
        <f>Data!AC59</f>
        <v>0</v>
      </c>
      <c r="O72" s="152">
        <f>Data!AD59</f>
        <v>0</v>
      </c>
      <c r="P72" s="152"/>
      <c r="Q72" s="152"/>
      <c r="R72" s="150">
        <f>Data!AH59</f>
        <v>13826.5</v>
      </c>
      <c r="S72" s="67">
        <f t="shared" ca="1" si="17"/>
        <v>14893078.553370453</v>
      </c>
      <c r="T72" s="40">
        <f t="shared" ca="1" si="11"/>
        <v>284182.36057470739</v>
      </c>
      <c r="U72" s="53">
        <f t="shared" ca="1" si="12"/>
        <v>1.9452692169504876E-2</v>
      </c>
      <c r="V72" s="12">
        <f t="shared" ca="1" si="13"/>
        <v>1.9452692169504876E-2</v>
      </c>
      <c r="W72" s="153"/>
      <c r="X72" s="46"/>
      <c r="Y72" s="226"/>
      <c r="Z72" s="226"/>
      <c r="AA72" s="226"/>
      <c r="AB72" s="226"/>
      <c r="AC72" s="226"/>
      <c r="AD72" s="226"/>
      <c r="AE72" s="226"/>
      <c r="AF72" s="226"/>
    </row>
    <row r="73" spans="1:32" ht="15" x14ac:dyDescent="0.25">
      <c r="A73" s="66">
        <v>42338</v>
      </c>
      <c r="B73" s="114">
        <f t="shared" si="14"/>
        <v>2015</v>
      </c>
      <c r="C73" s="114">
        <f t="shared" si="15"/>
        <v>11</v>
      </c>
      <c r="D73" s="107">
        <f>Purchases!C73</f>
        <v>14124167.139999999</v>
      </c>
      <c r="E73" s="94"/>
      <c r="F73" s="171">
        <f ca="1">CDM!D81</f>
        <v>569116.00023164437</v>
      </c>
      <c r="G73" s="94">
        <f t="shared" ca="1" si="16"/>
        <v>14693283.140231643</v>
      </c>
      <c r="H73" s="90">
        <f>Weather!H180</f>
        <v>246.00000000000006</v>
      </c>
      <c r="I73" s="90">
        <f>Weather!I180</f>
        <v>2.3000000000000007</v>
      </c>
      <c r="J73" s="90">
        <f t="shared" ca="1" si="10"/>
        <v>331.03</v>
      </c>
      <c r="K73" s="90">
        <f t="shared" ca="1" si="10"/>
        <v>0.54000000000000026</v>
      </c>
      <c r="L73" s="108">
        <v>30</v>
      </c>
      <c r="M73" s="108">
        <f t="shared" si="8"/>
        <v>0</v>
      </c>
      <c r="N73" s="152">
        <f>Data!AC60</f>
        <v>0</v>
      </c>
      <c r="O73" s="152">
        <f>Data!AD60</f>
        <v>0</v>
      </c>
      <c r="P73" s="152"/>
      <c r="Q73" s="152"/>
      <c r="R73" s="150">
        <f>Data!AH60</f>
        <v>13834.5</v>
      </c>
      <c r="S73" s="67">
        <f t="shared" ca="1" si="17"/>
        <v>15167534.114330333</v>
      </c>
      <c r="T73" s="40">
        <f t="shared" ca="1" si="11"/>
        <v>474250.97409868985</v>
      </c>
      <c r="U73" s="53">
        <f t="shared" ca="1" si="12"/>
        <v>3.227671920376627E-2</v>
      </c>
      <c r="V73" s="12">
        <f t="shared" ca="1" si="13"/>
        <v>3.227671920376627E-2</v>
      </c>
      <c r="W73" s="153"/>
      <c r="X73" s="221"/>
      <c r="Y73" s="227"/>
      <c r="Z73" s="227"/>
      <c r="AA73" s="227"/>
      <c r="AB73" s="227"/>
      <c r="AC73" s="227"/>
      <c r="AD73" s="227"/>
      <c r="AE73" s="227"/>
      <c r="AF73" s="227"/>
    </row>
    <row r="74" spans="1:32" ht="15" x14ac:dyDescent="0.25">
      <c r="A74" s="66">
        <v>42369</v>
      </c>
      <c r="B74" s="114">
        <f t="shared" si="14"/>
        <v>2015</v>
      </c>
      <c r="C74" s="114">
        <f t="shared" si="15"/>
        <v>12</v>
      </c>
      <c r="D74" s="107">
        <f>Purchases!C74</f>
        <v>15469283.82</v>
      </c>
      <c r="E74" s="94"/>
      <c r="F74" s="171">
        <f ca="1">CDM!D82</f>
        <v>589433.14766754187</v>
      </c>
      <c r="G74" s="94">
        <f t="shared" ca="1" si="16"/>
        <v>16058716.967667542</v>
      </c>
      <c r="H74" s="90">
        <f>Weather!H181</f>
        <v>338.79999999999995</v>
      </c>
      <c r="I74" s="90">
        <f>Weather!I181</f>
        <v>0</v>
      </c>
      <c r="J74" s="90">
        <f t="shared" ca="1" si="10"/>
        <v>485.42000000000007</v>
      </c>
      <c r="K74" s="90">
        <f t="shared" ca="1" si="10"/>
        <v>0</v>
      </c>
      <c r="L74" s="108">
        <v>31</v>
      </c>
      <c r="M74" s="108">
        <f t="shared" si="8"/>
        <v>0</v>
      </c>
      <c r="N74" s="152">
        <f>Data!AC61</f>
        <v>0</v>
      </c>
      <c r="O74" s="152">
        <f>Data!AD61</f>
        <v>0</v>
      </c>
      <c r="P74" s="152"/>
      <c r="Q74" s="152"/>
      <c r="R74" s="150">
        <f>Data!AH61</f>
        <v>13843</v>
      </c>
      <c r="S74" s="67">
        <f t="shared" ca="1" si="17"/>
        <v>16966319.998037647</v>
      </c>
      <c r="T74" s="40">
        <f t="shared" ca="1" si="11"/>
        <v>907603.03037010506</v>
      </c>
      <c r="U74" s="53">
        <f t="shared" ca="1" si="12"/>
        <v>5.6517779857348738E-2</v>
      </c>
      <c r="V74" s="12">
        <f t="shared" ca="1" si="13"/>
        <v>5.6517779857348738E-2</v>
      </c>
      <c r="W74" s="153"/>
      <c r="X74" s="30"/>
      <c r="Y74" s="92"/>
      <c r="Z74" s="92"/>
      <c r="AA74" s="92"/>
      <c r="AB74" s="92"/>
      <c r="AC74" s="92"/>
      <c r="AD74" s="92"/>
      <c r="AE74" s="92"/>
      <c r="AF74" s="92"/>
    </row>
    <row r="75" spans="1:32" ht="15" x14ac:dyDescent="0.25">
      <c r="A75" s="66">
        <v>42400</v>
      </c>
      <c r="B75" s="114">
        <f t="shared" si="14"/>
        <v>2016</v>
      </c>
      <c r="C75" s="114">
        <f t="shared" si="15"/>
        <v>1</v>
      </c>
      <c r="D75" s="107">
        <f>Purchases!C75</f>
        <v>16335083.52</v>
      </c>
      <c r="E75" s="104"/>
      <c r="F75" s="171">
        <f ca="1">CDM!D83</f>
        <v>604292.67941233143</v>
      </c>
      <c r="G75" s="94">
        <f t="shared" ca="1" si="16"/>
        <v>16939376.199412331</v>
      </c>
      <c r="H75" s="90">
        <f>Weather!H182</f>
        <v>575.59999999999991</v>
      </c>
      <c r="I75" s="90">
        <f>Weather!I182</f>
        <v>0</v>
      </c>
      <c r="J75" s="90">
        <f t="shared" ref="J75:K94" ca="1" si="18">J63</f>
        <v>607.33000000000004</v>
      </c>
      <c r="K75" s="90">
        <f t="shared" ca="1" si="18"/>
        <v>0</v>
      </c>
      <c r="L75" s="108">
        <v>31</v>
      </c>
      <c r="M75" s="108">
        <f t="shared" si="8"/>
        <v>0</v>
      </c>
      <c r="N75" s="152">
        <f>Data!AC62</f>
        <v>0</v>
      </c>
      <c r="O75" s="152">
        <f>Data!AD62</f>
        <v>0</v>
      </c>
      <c r="P75" s="152"/>
      <c r="Q75" s="152"/>
      <c r="R75" s="150">
        <f>Data!AH62</f>
        <v>13847</v>
      </c>
      <c r="S75" s="67">
        <f t="shared" ca="1" si="17"/>
        <v>17135790.359510843</v>
      </c>
      <c r="T75" s="40">
        <f t="shared" ca="1" si="11"/>
        <v>196414.16009851173</v>
      </c>
      <c r="U75" s="53">
        <f t="shared" ca="1" si="12"/>
        <v>1.1595123562184411E-2</v>
      </c>
      <c r="V75" s="12">
        <f t="shared" ca="1" si="13"/>
        <v>1.1595123562184411E-2</v>
      </c>
      <c r="W75" s="153"/>
      <c r="X75" s="30"/>
      <c r="Y75" s="92"/>
      <c r="Z75" s="92"/>
      <c r="AA75" s="92"/>
      <c r="AB75" s="92"/>
      <c r="AC75" s="92"/>
      <c r="AD75" s="92"/>
      <c r="AE75" s="92"/>
      <c r="AF75" s="92"/>
    </row>
    <row r="76" spans="1:32" ht="15" x14ac:dyDescent="0.25">
      <c r="A76" s="66">
        <v>42429</v>
      </c>
      <c r="B76" s="114">
        <f t="shared" si="14"/>
        <v>2016</v>
      </c>
      <c r="C76" s="114">
        <f t="shared" si="15"/>
        <v>2</v>
      </c>
      <c r="D76" s="107">
        <f>Purchases!C76</f>
        <v>14794270.139999997</v>
      </c>
      <c r="E76" s="104"/>
      <c r="F76" s="171">
        <f ca="1">CDM!D84</f>
        <v>622147.63454053656</v>
      </c>
      <c r="G76" s="94">
        <f t="shared" ca="1" si="16"/>
        <v>15416417.774540534</v>
      </c>
      <c r="H76" s="90">
        <f>Weather!H183</f>
        <v>492.59999999999997</v>
      </c>
      <c r="I76" s="90">
        <f>Weather!I183</f>
        <v>0</v>
      </c>
      <c r="J76" s="90">
        <f t="shared" ca="1" si="18"/>
        <v>533.1</v>
      </c>
      <c r="K76" s="90">
        <f t="shared" ca="1" si="18"/>
        <v>0</v>
      </c>
      <c r="L76" s="108">
        <v>29</v>
      </c>
      <c r="M76" s="108">
        <f t="shared" si="8"/>
        <v>0</v>
      </c>
      <c r="N76" s="152">
        <f>Data!AC63</f>
        <v>0</v>
      </c>
      <c r="O76" s="152">
        <f>Data!AD63</f>
        <v>0</v>
      </c>
      <c r="P76" s="152"/>
      <c r="Q76" s="152"/>
      <c r="R76" s="150">
        <f>Data!AH63</f>
        <v>13849.5</v>
      </c>
      <c r="S76" s="67">
        <f t="shared" ca="1" si="17"/>
        <v>15667119.743780674</v>
      </c>
      <c r="T76" s="40">
        <f t="shared" ca="1" si="11"/>
        <v>250701.96924014017</v>
      </c>
      <c r="U76" s="53">
        <f t="shared" ca="1" si="12"/>
        <v>1.6262011895796073E-2</v>
      </c>
      <c r="V76" s="12">
        <f t="shared" ca="1" si="13"/>
        <v>1.6262011895796073E-2</v>
      </c>
      <c r="W76" s="153"/>
      <c r="X76" s="30"/>
      <c r="Y76" s="92"/>
      <c r="Z76" s="92"/>
      <c r="AA76" s="92"/>
      <c r="AB76" s="92"/>
      <c r="AC76" s="92"/>
      <c r="AD76" s="92"/>
      <c r="AE76" s="92"/>
      <c r="AF76" s="92"/>
    </row>
    <row r="77" spans="1:32" ht="15" x14ac:dyDescent="0.25">
      <c r="A77" s="66">
        <v>42460</v>
      </c>
      <c r="B77" s="114">
        <f t="shared" si="14"/>
        <v>2016</v>
      </c>
      <c r="C77" s="114">
        <f t="shared" si="15"/>
        <v>3</v>
      </c>
      <c r="D77" s="107">
        <f>Purchases!C77</f>
        <v>14632046.780000001</v>
      </c>
      <c r="E77" s="104"/>
      <c r="F77" s="171">
        <f ca="1">CDM!D85</f>
        <v>640002.58966874168</v>
      </c>
      <c r="G77" s="94">
        <f t="shared" ca="1" si="16"/>
        <v>15272049.369668743</v>
      </c>
      <c r="H77" s="90">
        <f>Weather!H184</f>
        <v>371.59999999999991</v>
      </c>
      <c r="I77" s="90">
        <f>Weather!I184</f>
        <v>0</v>
      </c>
      <c r="J77" s="90">
        <f t="shared" ca="1" si="18"/>
        <v>453.77</v>
      </c>
      <c r="K77" s="90">
        <f t="shared" ca="1" si="18"/>
        <v>0.26000000000000012</v>
      </c>
      <c r="L77" s="108">
        <v>31</v>
      </c>
      <c r="M77" s="108">
        <f t="shared" si="8"/>
        <v>1</v>
      </c>
      <c r="N77" s="152">
        <f>Data!AC64</f>
        <v>0</v>
      </c>
      <c r="O77" s="152">
        <f>Data!AD64</f>
        <v>0</v>
      </c>
      <c r="P77" s="152"/>
      <c r="Q77" s="152"/>
      <c r="R77" s="150">
        <f>Data!AH64</f>
        <v>13853.5</v>
      </c>
      <c r="S77" s="67">
        <f t="shared" ca="1" si="17"/>
        <v>15788392.305530718</v>
      </c>
      <c r="T77" s="40">
        <f t="shared" ca="1" si="11"/>
        <v>516342.93586197495</v>
      </c>
      <c r="U77" s="53">
        <f t="shared" ca="1" si="12"/>
        <v>3.3809669112742968E-2</v>
      </c>
      <c r="V77" s="12">
        <f t="shared" ca="1" si="13"/>
        <v>3.3809669112742968E-2</v>
      </c>
      <c r="W77" s="153"/>
      <c r="X77" s="30"/>
      <c r="Y77" s="92"/>
      <c r="Z77" s="92"/>
      <c r="AA77" s="92"/>
      <c r="AB77" s="92"/>
      <c r="AC77" s="92"/>
      <c r="AD77" s="92"/>
      <c r="AE77" s="92"/>
      <c r="AF77" s="92"/>
    </row>
    <row r="78" spans="1:32" ht="15" x14ac:dyDescent="0.25">
      <c r="A78" s="66">
        <v>42490</v>
      </c>
      <c r="B78" s="114">
        <f t="shared" si="14"/>
        <v>2016</v>
      </c>
      <c r="C78" s="114">
        <f t="shared" si="15"/>
        <v>4</v>
      </c>
      <c r="D78" s="107">
        <f>Purchases!C78</f>
        <v>13549514.359999999</v>
      </c>
      <c r="E78" s="104"/>
      <c r="F78" s="171">
        <f ca="1">CDM!D86</f>
        <v>657857.54479694681</v>
      </c>
      <c r="G78" s="94">
        <f t="shared" ca="1" si="16"/>
        <v>14207371.904796947</v>
      </c>
      <c r="H78" s="90">
        <f>Weather!H185</f>
        <v>318.49999999999989</v>
      </c>
      <c r="I78" s="90">
        <f>Weather!I185</f>
        <v>0.5</v>
      </c>
      <c r="J78" s="90">
        <f t="shared" ca="1" si="18"/>
        <v>276.92999999999995</v>
      </c>
      <c r="K78" s="90">
        <f t="shared" ca="1" si="18"/>
        <v>1.2600000000000002</v>
      </c>
      <c r="L78" s="108">
        <v>30</v>
      </c>
      <c r="M78" s="108">
        <f t="shared" si="8"/>
        <v>1</v>
      </c>
      <c r="N78" s="152">
        <f>Data!AC65</f>
        <v>0</v>
      </c>
      <c r="O78" s="152">
        <f>Data!AD65</f>
        <v>0</v>
      </c>
      <c r="P78" s="152"/>
      <c r="Q78" s="152"/>
      <c r="R78" s="150">
        <f>Data!AH65</f>
        <v>13855.5</v>
      </c>
      <c r="S78" s="67">
        <f t="shared" ca="1" si="17"/>
        <v>13972543.901417932</v>
      </c>
      <c r="T78" s="40">
        <f t="shared" ca="1" si="11"/>
        <v>-234828.00337901525</v>
      </c>
      <c r="U78" s="53">
        <f t="shared" ca="1" si="12"/>
        <v>-1.6528602541876759E-2</v>
      </c>
      <c r="V78" s="12">
        <f t="shared" ca="1" si="13"/>
        <v>1.6528602541876759E-2</v>
      </c>
      <c r="W78" s="153"/>
      <c r="X78" s="30"/>
      <c r="Y78" s="92"/>
      <c r="Z78" s="92"/>
      <c r="AA78" s="92"/>
      <c r="AB78" s="92"/>
      <c r="AC78" s="92"/>
      <c r="AD78" s="92"/>
      <c r="AE78" s="92"/>
      <c r="AF78" s="92"/>
    </row>
    <row r="79" spans="1:32" ht="15" x14ac:dyDescent="0.25">
      <c r="A79" s="66">
        <v>42521</v>
      </c>
      <c r="B79" s="114">
        <f t="shared" si="14"/>
        <v>2016</v>
      </c>
      <c r="C79" s="114">
        <f t="shared" si="15"/>
        <v>5</v>
      </c>
      <c r="D79" s="107">
        <f>Purchases!C79</f>
        <v>14337851.494000001</v>
      </c>
      <c r="E79" s="104"/>
      <c r="F79" s="171">
        <f ca="1">CDM!D87</f>
        <v>675712.49992515193</v>
      </c>
      <c r="G79" s="94">
        <f t="shared" ca="1" si="16"/>
        <v>15013563.993925152</v>
      </c>
      <c r="H79" s="90">
        <f>Weather!H186</f>
        <v>96.200000000000017</v>
      </c>
      <c r="I79" s="90">
        <f>Weather!I186</f>
        <v>69.399999999999991</v>
      </c>
      <c r="J79" s="90">
        <f t="shared" ca="1" si="18"/>
        <v>91.789999999999992</v>
      </c>
      <c r="K79" s="90">
        <f t="shared" ca="1" si="18"/>
        <v>44.669999999999995</v>
      </c>
      <c r="L79" s="108">
        <v>31</v>
      </c>
      <c r="M79" s="108">
        <f t="shared" si="8"/>
        <v>1</v>
      </c>
      <c r="N79" s="152">
        <f>Data!AC66</f>
        <v>0</v>
      </c>
      <c r="O79" s="152">
        <f>Data!AD66</f>
        <v>0</v>
      </c>
      <c r="P79" s="152"/>
      <c r="Q79" s="152"/>
      <c r="R79" s="150">
        <f>Data!AH66</f>
        <v>13857</v>
      </c>
      <c r="S79" s="67">
        <f t="shared" ca="1" si="17"/>
        <v>14254210.153247349</v>
      </c>
      <c r="T79" s="40">
        <f t="shared" ca="1" si="11"/>
        <v>-759353.84067780338</v>
      </c>
      <c r="U79" s="53">
        <f t="shared" ca="1" si="12"/>
        <v>-5.057785353198322E-2</v>
      </c>
      <c r="V79" s="12">
        <f t="shared" ca="1" si="13"/>
        <v>5.057785353198322E-2</v>
      </c>
      <c r="W79" s="153"/>
      <c r="X79" s="30"/>
      <c r="Y79" s="92"/>
      <c r="Z79" s="92"/>
      <c r="AA79" s="92"/>
      <c r="AB79" s="92"/>
      <c r="AC79" s="92"/>
      <c r="AD79" s="92"/>
      <c r="AE79" s="92"/>
      <c r="AF79" s="92"/>
    </row>
    <row r="80" spans="1:32" ht="15" x14ac:dyDescent="0.25">
      <c r="A80" s="66">
        <v>42551</v>
      </c>
      <c r="B80" s="114">
        <f t="shared" si="14"/>
        <v>2016</v>
      </c>
      <c r="C80" s="114">
        <f t="shared" si="15"/>
        <v>6</v>
      </c>
      <c r="D80" s="107">
        <f>Purchases!C80</f>
        <v>16249758.006000003</v>
      </c>
      <c r="E80" s="104"/>
      <c r="F80" s="171">
        <f ca="1">CDM!D88</f>
        <v>693567.45505335706</v>
      </c>
      <c r="G80" s="94">
        <f t="shared" ca="1" si="16"/>
        <v>16943325.46105336</v>
      </c>
      <c r="H80" s="90">
        <f>Weather!H187</f>
        <v>6.8999999999999986</v>
      </c>
      <c r="I80" s="90">
        <f>Weather!I187</f>
        <v>125.59999999999998</v>
      </c>
      <c r="J80" s="90">
        <f t="shared" ca="1" si="18"/>
        <v>8.3199999999999985</v>
      </c>
      <c r="K80" s="90">
        <f t="shared" ca="1" si="18"/>
        <v>115.62</v>
      </c>
      <c r="L80" s="108">
        <v>30</v>
      </c>
      <c r="M80" s="108">
        <f t="shared" ref="M80:M143" si="19">M68</f>
        <v>0</v>
      </c>
      <c r="N80" s="152">
        <f>Data!AC67</f>
        <v>0</v>
      </c>
      <c r="O80" s="152">
        <f>Data!AD67</f>
        <v>0</v>
      </c>
      <c r="P80" s="152"/>
      <c r="Q80" s="152"/>
      <c r="R80" s="150">
        <f>Data!AH67</f>
        <v>13858</v>
      </c>
      <c r="S80" s="67">
        <f t="shared" ca="1" si="17"/>
        <v>16656688.464791769</v>
      </c>
      <c r="T80" s="40">
        <f t="shared" ca="1" si="11"/>
        <v>-286636.99626159109</v>
      </c>
      <c r="U80" s="53">
        <f t="shared" ca="1" si="12"/>
        <v>-1.6917398943936179E-2</v>
      </c>
      <c r="V80" s="12">
        <f t="shared" ca="1" si="13"/>
        <v>1.6917398943936179E-2</v>
      </c>
      <c r="W80" s="153"/>
      <c r="X80" s="46"/>
      <c r="Y80" s="46"/>
      <c r="Z80" s="46"/>
      <c r="AA80" s="46"/>
      <c r="AB80" s="46"/>
      <c r="AC80" s="46"/>
      <c r="AD80" s="46"/>
      <c r="AE80" s="46"/>
      <c r="AF80" s="46"/>
    </row>
    <row r="81" spans="1:32" ht="15" x14ac:dyDescent="0.25">
      <c r="A81" s="66">
        <v>42582</v>
      </c>
      <c r="B81" s="114">
        <f t="shared" si="14"/>
        <v>2016</v>
      </c>
      <c r="C81" s="114">
        <f t="shared" si="15"/>
        <v>7</v>
      </c>
      <c r="D81" s="107">
        <f>Purchases!C81</f>
        <v>19768835.849999994</v>
      </c>
      <c r="E81" s="104"/>
      <c r="F81" s="171">
        <f ca="1">CDM!D89</f>
        <v>711422.41018156218</v>
      </c>
      <c r="G81" s="94">
        <f t="shared" ca="1" si="16"/>
        <v>20480258.260181557</v>
      </c>
      <c r="H81" s="90">
        <f>Weather!H188</f>
        <v>0</v>
      </c>
      <c r="I81" s="90">
        <f>Weather!I188</f>
        <v>243.00000000000006</v>
      </c>
      <c r="J81" s="90">
        <f t="shared" ca="1" si="18"/>
        <v>0</v>
      </c>
      <c r="K81" s="90">
        <f t="shared" ca="1" si="18"/>
        <v>224.87000000000003</v>
      </c>
      <c r="L81" s="108">
        <v>31</v>
      </c>
      <c r="M81" s="108">
        <f t="shared" si="19"/>
        <v>0</v>
      </c>
      <c r="N81" s="152">
        <f>Data!AC68</f>
        <v>0</v>
      </c>
      <c r="O81" s="152">
        <f>Data!AD68</f>
        <v>0</v>
      </c>
      <c r="P81" s="152"/>
      <c r="Q81" s="152"/>
      <c r="R81" s="150">
        <f>Data!AH68</f>
        <v>13857</v>
      </c>
      <c r="S81" s="67">
        <f t="shared" ca="1" si="17"/>
        <v>19943575.670366578</v>
      </c>
      <c r="T81" s="40">
        <f t="shared" ca="1" si="11"/>
        <v>-536682.58981497958</v>
      </c>
      <c r="U81" s="53">
        <f t="shared" ca="1" si="12"/>
        <v>-2.6204874127901838E-2</v>
      </c>
      <c r="V81" s="12">
        <f t="shared" ca="1" si="13"/>
        <v>2.6204874127901838E-2</v>
      </c>
      <c r="W81" s="153"/>
      <c r="X81" s="46"/>
      <c r="Y81" s="46"/>
      <c r="Z81" s="46"/>
      <c r="AA81" s="46"/>
      <c r="AB81" s="46"/>
      <c r="AC81" s="46"/>
      <c r="AD81" s="46"/>
      <c r="AE81" s="46"/>
      <c r="AF81" s="46"/>
    </row>
    <row r="82" spans="1:32" ht="15" x14ac:dyDescent="0.25">
      <c r="A82" s="66">
        <v>42613</v>
      </c>
      <c r="B82" s="114">
        <f t="shared" si="14"/>
        <v>2016</v>
      </c>
      <c r="C82" s="114">
        <f t="shared" si="15"/>
        <v>8</v>
      </c>
      <c r="D82" s="107">
        <f>Purchases!C82</f>
        <v>20746903.439999998</v>
      </c>
      <c r="E82" s="104"/>
      <c r="F82" s="171">
        <f ca="1">CDM!D90</f>
        <v>729277.36530976731</v>
      </c>
      <c r="G82" s="94">
        <f t="shared" ca="1" si="16"/>
        <v>21476180.805309765</v>
      </c>
      <c r="H82" s="90">
        <f>Weather!H189</f>
        <v>0</v>
      </c>
      <c r="I82" s="90">
        <f>Weather!I189</f>
        <v>260.80000000000007</v>
      </c>
      <c r="J82" s="90">
        <f t="shared" ca="1" si="18"/>
        <v>9.9999999999999638E-3</v>
      </c>
      <c r="K82" s="90">
        <f t="shared" ca="1" si="18"/>
        <v>186.09000000000003</v>
      </c>
      <c r="L82" s="108">
        <v>31</v>
      </c>
      <c r="M82" s="108">
        <f t="shared" si="19"/>
        <v>0</v>
      </c>
      <c r="N82" s="152">
        <f>Data!AC69</f>
        <v>0</v>
      </c>
      <c r="O82" s="152">
        <f>Data!AD69</f>
        <v>0</v>
      </c>
      <c r="P82" s="152"/>
      <c r="Q82" s="152"/>
      <c r="R82" s="150">
        <f>Data!AH69</f>
        <v>13858.5</v>
      </c>
      <c r="S82" s="67">
        <f t="shared" ca="1" si="17"/>
        <v>19264684.169519417</v>
      </c>
      <c r="T82" s="40">
        <f t="shared" ca="1" si="11"/>
        <v>-2211496.6357903481</v>
      </c>
      <c r="U82" s="53">
        <f t="shared" ca="1" si="12"/>
        <v>-0.10297439083040212</v>
      </c>
      <c r="V82" s="12">
        <f t="shared" ca="1" si="13"/>
        <v>0.10297439083040212</v>
      </c>
      <c r="W82" s="153"/>
      <c r="X82" s="46"/>
      <c r="Y82" s="46"/>
      <c r="Z82" s="46"/>
      <c r="AA82" s="46"/>
      <c r="AB82" s="46"/>
      <c r="AC82" s="46"/>
      <c r="AD82" s="46"/>
      <c r="AE82" s="46"/>
      <c r="AF82" s="46"/>
    </row>
    <row r="83" spans="1:32" ht="15" x14ac:dyDescent="0.25">
      <c r="A83" s="66">
        <v>42643</v>
      </c>
      <c r="B83" s="114">
        <f t="shared" si="14"/>
        <v>2016</v>
      </c>
      <c r="C83" s="114">
        <f t="shared" si="15"/>
        <v>9</v>
      </c>
      <c r="D83" s="107">
        <f>Purchases!C83</f>
        <v>16199694.169999998</v>
      </c>
      <c r="E83" s="104"/>
      <c r="F83" s="171">
        <f ca="1">CDM!D91</f>
        <v>747132.32043797243</v>
      </c>
      <c r="G83" s="94">
        <f t="shared" ca="1" si="16"/>
        <v>16946826.49043797</v>
      </c>
      <c r="H83" s="90">
        <f>Weather!H190</f>
        <v>7.5999999999999979</v>
      </c>
      <c r="I83" s="90">
        <f>Weather!I190</f>
        <v>118.89999999999998</v>
      </c>
      <c r="J83" s="90">
        <f t="shared" ca="1" si="18"/>
        <v>19.43</v>
      </c>
      <c r="K83" s="90">
        <f t="shared" ca="1" si="18"/>
        <v>90.78</v>
      </c>
      <c r="L83" s="108">
        <v>30</v>
      </c>
      <c r="M83" s="108">
        <f t="shared" si="19"/>
        <v>0</v>
      </c>
      <c r="N83" s="152">
        <f>Data!AC70</f>
        <v>0</v>
      </c>
      <c r="O83" s="152">
        <f>Data!AD70</f>
        <v>0</v>
      </c>
      <c r="P83" s="152"/>
      <c r="Q83" s="152"/>
      <c r="R83" s="150">
        <f>Data!AH70</f>
        <v>13860.5</v>
      </c>
      <c r="S83" s="67">
        <f t="shared" ca="1" si="17"/>
        <v>16187650.576635463</v>
      </c>
      <c r="T83" s="40">
        <f t="shared" ca="1" si="11"/>
        <v>-759175.9138025064</v>
      </c>
      <c r="U83" s="53">
        <f t="shared" ca="1" si="12"/>
        <v>-4.4797526795406897E-2</v>
      </c>
      <c r="V83" s="12">
        <f t="shared" ca="1" si="13"/>
        <v>4.4797526795406897E-2</v>
      </c>
      <c r="W83" s="153"/>
      <c r="X83" s="46"/>
      <c r="Y83" s="46"/>
      <c r="Z83" s="46"/>
      <c r="AA83" s="46"/>
      <c r="AB83" s="46"/>
      <c r="AC83" s="46"/>
      <c r="AD83" s="46"/>
      <c r="AE83" s="46"/>
      <c r="AF83" s="46"/>
    </row>
    <row r="84" spans="1:32" ht="15" x14ac:dyDescent="0.25">
      <c r="A84" s="66">
        <v>42674</v>
      </c>
      <c r="B84" s="114">
        <f t="shared" si="14"/>
        <v>2016</v>
      </c>
      <c r="C84" s="114">
        <f t="shared" si="15"/>
        <v>10</v>
      </c>
      <c r="D84" s="107">
        <f>Purchases!C84</f>
        <v>13767515.480000002</v>
      </c>
      <c r="E84" s="104"/>
      <c r="F84" s="171">
        <f ca="1">CDM!D92</f>
        <v>764987.27556617756</v>
      </c>
      <c r="G84" s="94">
        <f t="shared" ca="1" si="16"/>
        <v>14532502.75556618</v>
      </c>
      <c r="H84" s="90">
        <f>Weather!H191</f>
        <v>124.30000000000001</v>
      </c>
      <c r="I84" s="90">
        <f>Weather!I191</f>
        <v>29.6</v>
      </c>
      <c r="J84" s="90">
        <f t="shared" ca="1" si="18"/>
        <v>147.23999999999998</v>
      </c>
      <c r="K84" s="90">
        <f t="shared" ca="1" si="18"/>
        <v>14.710000000000003</v>
      </c>
      <c r="L84" s="108">
        <v>31</v>
      </c>
      <c r="M84" s="108">
        <f t="shared" si="19"/>
        <v>0</v>
      </c>
      <c r="N84" s="152">
        <f>Data!AC71</f>
        <v>0</v>
      </c>
      <c r="O84" s="152">
        <f>Data!AD71</f>
        <v>0</v>
      </c>
      <c r="P84" s="152"/>
      <c r="Q84" s="152"/>
      <c r="R84" s="150">
        <f>Data!AH71</f>
        <v>13862.5</v>
      </c>
      <c r="S84" s="67">
        <f t="shared" ca="1" si="17"/>
        <v>14233732.894788846</v>
      </c>
      <c r="T84" s="40">
        <f t="shared" ca="1" si="11"/>
        <v>-298769.86077733338</v>
      </c>
      <c r="U84" s="53">
        <f t="shared" ca="1" si="12"/>
        <v>-2.0558734156296634E-2</v>
      </c>
      <c r="V84" s="12">
        <f t="shared" ca="1" si="13"/>
        <v>2.0558734156296634E-2</v>
      </c>
      <c r="W84" s="153"/>
      <c r="X84" s="46"/>
      <c r="Y84" s="46"/>
      <c r="Z84" s="46"/>
      <c r="AA84" s="46"/>
      <c r="AB84" s="46"/>
      <c r="AC84" s="46"/>
      <c r="AD84" s="46"/>
      <c r="AE84" s="46"/>
      <c r="AF84" s="46"/>
    </row>
    <row r="85" spans="1:32" ht="15" x14ac:dyDescent="0.25">
      <c r="A85" s="66">
        <v>42704</v>
      </c>
      <c r="B85" s="114">
        <f t="shared" si="14"/>
        <v>2016</v>
      </c>
      <c r="C85" s="114">
        <f t="shared" si="15"/>
        <v>11</v>
      </c>
      <c r="D85" s="107">
        <f>Purchases!C85</f>
        <v>13671662.76</v>
      </c>
      <c r="E85" s="104"/>
      <c r="F85" s="171">
        <f ca="1">CDM!D93</f>
        <v>782842.23069438268</v>
      </c>
      <c r="G85" s="94">
        <f t="shared" ca="1" si="16"/>
        <v>14454504.990694383</v>
      </c>
      <c r="H85" s="90">
        <f>Weather!H192</f>
        <v>251.99999999999994</v>
      </c>
      <c r="I85" s="90">
        <f>Weather!I192</f>
        <v>0</v>
      </c>
      <c r="J85" s="90">
        <f t="shared" ca="1" si="18"/>
        <v>331.03</v>
      </c>
      <c r="K85" s="90">
        <f t="shared" ca="1" si="18"/>
        <v>0.54000000000000026</v>
      </c>
      <c r="L85" s="108">
        <v>30</v>
      </c>
      <c r="M85" s="108">
        <f t="shared" si="19"/>
        <v>0</v>
      </c>
      <c r="N85" s="152">
        <f>Data!AC72</f>
        <v>0</v>
      </c>
      <c r="O85" s="152">
        <f>Data!AD72</f>
        <v>0</v>
      </c>
      <c r="P85" s="152"/>
      <c r="Q85" s="152"/>
      <c r="R85" s="150">
        <f>Data!AH72</f>
        <v>13864</v>
      </c>
      <c r="S85" s="67">
        <f t="shared" ca="1" si="17"/>
        <v>14959699.320430784</v>
      </c>
      <c r="T85" s="40">
        <f t="shared" ca="1" si="11"/>
        <v>505194.3297364004</v>
      </c>
      <c r="U85" s="53">
        <f t="shared" ca="1" si="12"/>
        <v>3.4950648954193711E-2</v>
      </c>
      <c r="V85" s="12">
        <f t="shared" ca="1" si="13"/>
        <v>3.4950648954193711E-2</v>
      </c>
      <c r="W85" s="153"/>
      <c r="X85" s="46"/>
      <c r="Y85" s="46"/>
      <c r="Z85" s="46"/>
      <c r="AA85" s="46"/>
      <c r="AB85" s="46"/>
      <c r="AC85" s="46"/>
      <c r="AD85" s="46"/>
      <c r="AE85" s="46"/>
      <c r="AF85" s="46"/>
    </row>
    <row r="86" spans="1:32" ht="15" x14ac:dyDescent="0.25">
      <c r="A86" s="66">
        <v>42735</v>
      </c>
      <c r="B86" s="114">
        <f t="shared" si="14"/>
        <v>2016</v>
      </c>
      <c r="C86" s="114">
        <f t="shared" si="15"/>
        <v>12</v>
      </c>
      <c r="D86" s="107">
        <f>Purchases!C86</f>
        <v>15862873.509999998</v>
      </c>
      <c r="E86" s="104"/>
      <c r="F86" s="171">
        <f ca="1">CDM!D94</f>
        <v>800697.18582258793</v>
      </c>
      <c r="G86" s="94">
        <f t="shared" ca="1" si="16"/>
        <v>16663570.695822585</v>
      </c>
      <c r="H86" s="90">
        <f>Weather!H193</f>
        <v>529</v>
      </c>
      <c r="I86" s="90">
        <f>Weather!I193</f>
        <v>0</v>
      </c>
      <c r="J86" s="90">
        <f t="shared" ca="1" si="18"/>
        <v>485.42000000000007</v>
      </c>
      <c r="K86" s="90">
        <f t="shared" ca="1" si="18"/>
        <v>0</v>
      </c>
      <c r="L86" s="108">
        <v>31</v>
      </c>
      <c r="M86" s="108">
        <f t="shared" si="19"/>
        <v>0</v>
      </c>
      <c r="N86" s="152">
        <f>Data!AC73</f>
        <v>0</v>
      </c>
      <c r="O86" s="152">
        <f>Data!AD73</f>
        <v>0</v>
      </c>
      <c r="P86" s="152"/>
      <c r="Q86" s="152"/>
      <c r="R86" s="150">
        <f>Data!AH73</f>
        <v>13866</v>
      </c>
      <c r="S86" s="67">
        <f t="shared" ca="1" si="17"/>
        <v>16393802.996576035</v>
      </c>
      <c r="T86" s="40">
        <f t="shared" ca="1" si="11"/>
        <v>-269767.69924654998</v>
      </c>
      <c r="U86" s="53">
        <f t="shared" ca="1" si="12"/>
        <v>-1.6189069207968639E-2</v>
      </c>
      <c r="V86" s="12">
        <f t="shared" ca="1" si="13"/>
        <v>1.6189069207968639E-2</v>
      </c>
      <c r="W86" s="153"/>
      <c r="X86" s="46"/>
      <c r="Y86" s="46"/>
      <c r="Z86" s="46"/>
      <c r="AA86" s="46"/>
      <c r="AB86" s="46"/>
      <c r="AC86" s="46"/>
      <c r="AD86" s="46"/>
      <c r="AE86" s="46"/>
      <c r="AF86" s="46"/>
    </row>
    <row r="87" spans="1:32" ht="15" x14ac:dyDescent="0.25">
      <c r="A87" s="66">
        <v>42766</v>
      </c>
      <c r="B87" s="114">
        <f t="shared" si="14"/>
        <v>2017</v>
      </c>
      <c r="C87" s="114">
        <f t="shared" si="15"/>
        <v>1</v>
      </c>
      <c r="D87" s="107">
        <f>Purchases!C87</f>
        <v>15654286.4</v>
      </c>
      <c r="E87" s="104"/>
      <c r="F87" s="171">
        <f ca="1">CDM!D95</f>
        <v>806836.31240434735</v>
      </c>
      <c r="G87" s="94">
        <f t="shared" ca="1" si="16"/>
        <v>16461122.712404348</v>
      </c>
      <c r="H87" s="90">
        <f>Weather!H194</f>
        <v>524.09999999999991</v>
      </c>
      <c r="I87" s="90">
        <f>Weather!I194</f>
        <v>0</v>
      </c>
      <c r="J87" s="90">
        <f t="shared" ca="1" si="18"/>
        <v>607.33000000000004</v>
      </c>
      <c r="K87" s="90">
        <f t="shared" ca="1" si="18"/>
        <v>0</v>
      </c>
      <c r="L87" s="108">
        <v>31</v>
      </c>
      <c r="M87" s="108">
        <f t="shared" si="19"/>
        <v>0</v>
      </c>
      <c r="N87" s="152">
        <f>Data!AC74</f>
        <v>0</v>
      </c>
      <c r="O87" s="152">
        <f>Data!AD74</f>
        <v>0</v>
      </c>
      <c r="P87" s="152"/>
      <c r="Q87" s="152"/>
      <c r="R87" s="150">
        <f>Data!AH74</f>
        <v>13869</v>
      </c>
      <c r="S87" s="67">
        <f t="shared" ca="1" si="17"/>
        <v>16976330.734623034</v>
      </c>
      <c r="T87" s="40">
        <f t="shared" ca="1" si="11"/>
        <v>515208.0222186856</v>
      </c>
      <c r="U87" s="53">
        <f t="shared" ca="1" si="12"/>
        <v>3.1298474060365788E-2</v>
      </c>
      <c r="V87" s="12">
        <f t="shared" ca="1" si="13"/>
        <v>3.1298474060365788E-2</v>
      </c>
      <c r="W87" s="153"/>
      <c r="X87" s="46"/>
      <c r="Y87" s="46"/>
      <c r="Z87" s="46"/>
      <c r="AA87" s="46"/>
      <c r="AB87" s="46"/>
      <c r="AC87" s="46"/>
      <c r="AD87" s="46"/>
      <c r="AE87" s="46"/>
      <c r="AF87" s="46"/>
    </row>
    <row r="88" spans="1:32" ht="15" x14ac:dyDescent="0.25">
      <c r="A88" s="66">
        <v>42794</v>
      </c>
      <c r="B88" s="114">
        <f t="shared" si="14"/>
        <v>2017</v>
      </c>
      <c r="C88" s="114">
        <f t="shared" si="15"/>
        <v>2</v>
      </c>
      <c r="D88" s="107">
        <f>Purchases!C88</f>
        <v>13535413.060000001</v>
      </c>
      <c r="E88" s="104"/>
      <c r="F88" s="171">
        <f ca="1">CDM!D96</f>
        <v>823436.89356324368</v>
      </c>
      <c r="G88" s="94">
        <f t="shared" ca="1" si="16"/>
        <v>14358849.953563245</v>
      </c>
      <c r="H88" s="90">
        <f>Weather!H195</f>
        <v>415.3</v>
      </c>
      <c r="I88" s="90">
        <f>Weather!I195</f>
        <v>0</v>
      </c>
      <c r="J88" s="90">
        <f t="shared" ca="1" si="18"/>
        <v>533.1</v>
      </c>
      <c r="K88" s="90">
        <f t="shared" ca="1" si="18"/>
        <v>0</v>
      </c>
      <c r="L88" s="108">
        <v>28</v>
      </c>
      <c r="M88" s="108">
        <f t="shared" si="19"/>
        <v>0</v>
      </c>
      <c r="N88" s="152">
        <f>Data!AC75</f>
        <v>0</v>
      </c>
      <c r="O88" s="152">
        <f>Data!AD75</f>
        <v>0</v>
      </c>
      <c r="P88" s="152"/>
      <c r="Q88" s="152"/>
      <c r="R88" s="150">
        <f>Data!AH75</f>
        <v>13874.5</v>
      </c>
      <c r="S88" s="67">
        <f t="shared" ca="1" si="17"/>
        <v>15088052.224587651</v>
      </c>
      <c r="T88" s="40">
        <f t="shared" ca="1" si="11"/>
        <v>729202.27102440596</v>
      </c>
      <c r="U88" s="53">
        <f t="shared" ca="1" si="12"/>
        <v>5.0784169580618085E-2</v>
      </c>
      <c r="V88" s="12">
        <f t="shared" ca="1" si="13"/>
        <v>5.0784169580618085E-2</v>
      </c>
      <c r="W88" s="153"/>
      <c r="X88" s="46"/>
      <c r="Y88" s="46"/>
      <c r="Z88" s="46"/>
      <c r="AA88" s="46"/>
      <c r="AB88" s="46"/>
      <c r="AC88" s="46"/>
      <c r="AD88" s="46"/>
      <c r="AE88" s="46"/>
      <c r="AF88" s="46"/>
    </row>
    <row r="89" spans="1:32" x14ac:dyDescent="0.2">
      <c r="A89" s="66">
        <v>42825</v>
      </c>
      <c r="B89" s="114">
        <f t="shared" si="14"/>
        <v>2017</v>
      </c>
      <c r="C89" s="114">
        <f t="shared" si="15"/>
        <v>3</v>
      </c>
      <c r="D89" s="104">
        <f>Purchases!C89</f>
        <v>17164609.959131006</v>
      </c>
      <c r="E89" s="104">
        <v>2413945.7550129993</v>
      </c>
      <c r="F89" s="171">
        <f ca="1">CDM!D97</f>
        <v>840037.47472214</v>
      </c>
      <c r="G89" s="94">
        <f t="shared" ca="1" si="16"/>
        <v>15590701.678840145</v>
      </c>
      <c r="H89" s="90">
        <f>Weather!H196</f>
        <v>478.59999999999997</v>
      </c>
      <c r="I89" s="90">
        <f>Weather!I196</f>
        <v>0</v>
      </c>
      <c r="J89" s="90">
        <f t="shared" ca="1" si="18"/>
        <v>453.77</v>
      </c>
      <c r="K89" s="90">
        <f t="shared" ca="1" si="18"/>
        <v>0.26000000000000012</v>
      </c>
      <c r="L89" s="108">
        <v>31</v>
      </c>
      <c r="M89" s="108">
        <f t="shared" si="19"/>
        <v>1</v>
      </c>
      <c r="N89" s="152">
        <f>Data!AC76</f>
        <v>0</v>
      </c>
      <c r="O89" s="152">
        <f>Data!AD76</f>
        <v>0</v>
      </c>
      <c r="P89" s="152"/>
      <c r="Q89" s="152"/>
      <c r="R89" s="150">
        <f>Data!AH76</f>
        <v>13896</v>
      </c>
      <c r="S89" s="67">
        <f t="shared" ca="1" si="17"/>
        <v>15444696.202141751</v>
      </c>
      <c r="T89" s="40">
        <f t="shared" ca="1" si="11"/>
        <v>-146005.47669839486</v>
      </c>
      <c r="U89" s="53">
        <f t="shared" ca="1" si="12"/>
        <v>-9.3649073470859195E-3</v>
      </c>
      <c r="V89" s="12">
        <f t="shared" ca="1" si="13"/>
        <v>9.3649073470859195E-3</v>
      </c>
      <c r="W89" s="153"/>
      <c r="X89" s="46"/>
      <c r="Y89" s="46"/>
      <c r="Z89" s="46"/>
      <c r="AA89" s="46"/>
      <c r="AB89" s="46"/>
      <c r="AC89" s="46"/>
      <c r="AD89" s="46"/>
      <c r="AE89" s="46"/>
      <c r="AF89" s="46"/>
    </row>
    <row r="90" spans="1:32" x14ac:dyDescent="0.2">
      <c r="A90" s="66">
        <v>42855</v>
      </c>
      <c r="B90" s="114">
        <f t="shared" si="14"/>
        <v>2017</v>
      </c>
      <c r="C90" s="114">
        <f t="shared" si="15"/>
        <v>4</v>
      </c>
      <c r="D90" s="104">
        <f>Purchases!C90</f>
        <v>15201392.558417326</v>
      </c>
      <c r="E90" s="104">
        <v>2181294.6017022091</v>
      </c>
      <c r="F90" s="171">
        <f ca="1">CDM!D98</f>
        <v>856638.05588103621</v>
      </c>
      <c r="G90" s="94">
        <f t="shared" ca="1" si="16"/>
        <v>13876736.012596153</v>
      </c>
      <c r="H90" s="90">
        <f>Weather!H197</f>
        <v>201.29999999999995</v>
      </c>
      <c r="I90" s="90">
        <f>Weather!I197</f>
        <v>5.3000000000000007</v>
      </c>
      <c r="J90" s="90">
        <f t="shared" ca="1" si="18"/>
        <v>276.92999999999995</v>
      </c>
      <c r="K90" s="90">
        <f t="shared" ca="1" si="18"/>
        <v>1.2600000000000002</v>
      </c>
      <c r="L90" s="108">
        <v>30</v>
      </c>
      <c r="M90" s="108">
        <f t="shared" si="19"/>
        <v>1</v>
      </c>
      <c r="N90" s="152">
        <f>Data!AC77</f>
        <v>0</v>
      </c>
      <c r="O90" s="152">
        <f>Data!AD77</f>
        <v>0</v>
      </c>
      <c r="P90" s="152"/>
      <c r="Q90" s="152"/>
      <c r="R90" s="150">
        <f>Data!AH77</f>
        <v>13920</v>
      </c>
      <c r="S90" s="67">
        <f t="shared" ca="1" si="17"/>
        <v>14225307.019182626</v>
      </c>
      <c r="T90" s="40">
        <f t="shared" ca="1" si="11"/>
        <v>348571.00658647344</v>
      </c>
      <c r="U90" s="53">
        <f t="shared" ca="1" si="12"/>
        <v>2.5119091857773293E-2</v>
      </c>
      <c r="V90" s="12">
        <f t="shared" ca="1" si="13"/>
        <v>2.5119091857773293E-2</v>
      </c>
      <c r="W90" s="153"/>
      <c r="X90" s="46"/>
      <c r="Y90" s="46"/>
      <c r="Z90" s="46"/>
      <c r="AA90" s="46"/>
      <c r="AB90" s="46"/>
      <c r="AC90" s="46"/>
      <c r="AD90" s="46"/>
      <c r="AE90" s="46"/>
      <c r="AF90" s="46"/>
    </row>
    <row r="91" spans="1:32" x14ac:dyDescent="0.2">
      <c r="A91" s="66">
        <v>42886</v>
      </c>
      <c r="B91" s="114">
        <f t="shared" si="14"/>
        <v>2017</v>
      </c>
      <c r="C91" s="114">
        <f t="shared" si="15"/>
        <v>5</v>
      </c>
      <c r="D91" s="104">
        <f>Purchases!C91</f>
        <v>16229118.897553997</v>
      </c>
      <c r="E91" s="104">
        <v>2595303.9357047086</v>
      </c>
      <c r="F91" s="171">
        <f ca="1">CDM!D99</f>
        <v>873238.63703993242</v>
      </c>
      <c r="G91" s="94">
        <f t="shared" ca="1" si="16"/>
        <v>14507053.598889221</v>
      </c>
      <c r="H91" s="90">
        <f>Weather!H198</f>
        <v>124.90000000000002</v>
      </c>
      <c r="I91" s="90">
        <f>Weather!I198</f>
        <v>24.000000000000004</v>
      </c>
      <c r="J91" s="90">
        <f t="shared" ca="1" si="18"/>
        <v>91.789999999999992</v>
      </c>
      <c r="K91" s="90">
        <f t="shared" ca="1" si="18"/>
        <v>44.669999999999995</v>
      </c>
      <c r="L91" s="108">
        <v>31</v>
      </c>
      <c r="M91" s="108">
        <f t="shared" si="19"/>
        <v>1</v>
      </c>
      <c r="N91" s="152">
        <f>Data!AC78</f>
        <v>0</v>
      </c>
      <c r="O91" s="152">
        <f>Data!AD78</f>
        <v>0</v>
      </c>
      <c r="P91" s="152"/>
      <c r="Q91" s="152"/>
      <c r="R91" s="150">
        <f>Data!AH78</f>
        <v>13936.5</v>
      </c>
      <c r="S91" s="67">
        <f t="shared" ca="1" si="17"/>
        <v>14913968.437143562</v>
      </c>
      <c r="T91" s="40">
        <f t="shared" ca="1" si="11"/>
        <v>406914.83825434186</v>
      </c>
      <c r="U91" s="53">
        <f t="shared" ca="1" si="12"/>
        <v>2.8049447496733493E-2</v>
      </c>
      <c r="V91" s="12">
        <f t="shared" ca="1" si="13"/>
        <v>2.8049447496733493E-2</v>
      </c>
      <c r="W91" s="153"/>
      <c r="X91" s="46"/>
      <c r="Y91" s="46"/>
      <c r="Z91" s="46"/>
      <c r="AA91" s="46"/>
      <c r="AB91" s="46"/>
      <c r="AC91" s="46"/>
      <c r="AD91" s="46"/>
      <c r="AE91" s="46"/>
      <c r="AF91" s="46"/>
    </row>
    <row r="92" spans="1:32" x14ac:dyDescent="0.2">
      <c r="A92" s="66">
        <v>42916</v>
      </c>
      <c r="B92" s="114">
        <f t="shared" si="14"/>
        <v>2017</v>
      </c>
      <c r="C92" s="114">
        <f t="shared" si="15"/>
        <v>6</v>
      </c>
      <c r="D92" s="104">
        <f>Purchases!C92</f>
        <v>18871717.803001981</v>
      </c>
      <c r="E92" s="104">
        <v>3158025.9024923728</v>
      </c>
      <c r="F92" s="171">
        <f ca="1">CDM!D100</f>
        <v>889839.21819882875</v>
      </c>
      <c r="G92" s="94">
        <f t="shared" ca="1" si="16"/>
        <v>16603531.118708437</v>
      </c>
      <c r="H92" s="90">
        <f>Weather!H199</f>
        <v>5.5999999999999979</v>
      </c>
      <c r="I92" s="90">
        <f>Weather!I199</f>
        <v>118.79999999999998</v>
      </c>
      <c r="J92" s="90">
        <f t="shared" ca="1" si="18"/>
        <v>8.3199999999999985</v>
      </c>
      <c r="K92" s="90">
        <f t="shared" ca="1" si="18"/>
        <v>115.62</v>
      </c>
      <c r="L92" s="108">
        <v>30</v>
      </c>
      <c r="M92" s="108">
        <f t="shared" si="19"/>
        <v>0</v>
      </c>
      <c r="N92" s="152">
        <f>Data!AC79</f>
        <v>0</v>
      </c>
      <c r="O92" s="152">
        <f>Data!AD79</f>
        <v>0</v>
      </c>
      <c r="P92" s="152"/>
      <c r="Q92" s="152"/>
      <c r="R92" s="150">
        <f>Data!AH79</f>
        <v>13949.5</v>
      </c>
      <c r="S92" s="67">
        <f t="shared" ca="1" si="17"/>
        <v>16526234.319716316</v>
      </c>
      <c r="T92" s="40">
        <f t="shared" ca="1" si="11"/>
        <v>-77296.798992121592</v>
      </c>
      <c r="U92" s="53">
        <f t="shared" ca="1" si="12"/>
        <v>-4.6554433776454648E-3</v>
      </c>
      <c r="V92" s="12">
        <f t="shared" ca="1" si="13"/>
        <v>4.6554433776454648E-3</v>
      </c>
      <c r="W92" s="153"/>
      <c r="X92" s="46"/>
      <c r="Y92" s="46"/>
      <c r="Z92" s="46"/>
      <c r="AA92" s="46"/>
      <c r="AB92" s="46"/>
      <c r="AC92" s="46"/>
      <c r="AD92" s="46"/>
      <c r="AE92" s="46"/>
      <c r="AF92" s="46"/>
    </row>
    <row r="93" spans="1:32" x14ac:dyDescent="0.2">
      <c r="A93" s="66">
        <v>42947</v>
      </c>
      <c r="B93" s="114">
        <f t="shared" si="14"/>
        <v>2017</v>
      </c>
      <c r="C93" s="114">
        <f t="shared" si="15"/>
        <v>7</v>
      </c>
      <c r="D93" s="104">
        <f>Purchases!C93</f>
        <v>22363391.152751956</v>
      </c>
      <c r="E93" s="104">
        <v>4500801.1910749236</v>
      </c>
      <c r="F93" s="171">
        <f ca="1">CDM!D101</f>
        <v>906439.79935772507</v>
      </c>
      <c r="G93" s="94">
        <f t="shared" ca="1" si="16"/>
        <v>18769029.761034757</v>
      </c>
      <c r="H93" s="90">
        <f>Weather!H200</f>
        <v>0</v>
      </c>
      <c r="I93" s="90">
        <f>Weather!I200</f>
        <v>182.00000000000006</v>
      </c>
      <c r="J93" s="90">
        <f t="shared" ca="1" si="18"/>
        <v>0</v>
      </c>
      <c r="K93" s="90">
        <f t="shared" ca="1" si="18"/>
        <v>224.87000000000003</v>
      </c>
      <c r="L93" s="108">
        <v>31</v>
      </c>
      <c r="M93" s="108">
        <f t="shared" si="19"/>
        <v>0</v>
      </c>
      <c r="N93" s="152">
        <f>Data!AC80</f>
        <v>0</v>
      </c>
      <c r="O93" s="152">
        <f>Data!AD80</f>
        <v>0</v>
      </c>
      <c r="P93" s="152"/>
      <c r="Q93" s="152"/>
      <c r="R93" s="150">
        <f>Data!AH80</f>
        <v>13959.5</v>
      </c>
      <c r="S93" s="67">
        <f t="shared" ca="1" si="17"/>
        <v>20038063.551733498</v>
      </c>
      <c r="T93" s="40">
        <f t="shared" ca="1" si="11"/>
        <v>1269033.7906987406</v>
      </c>
      <c r="U93" s="53">
        <f t="shared" ca="1" si="12"/>
        <v>6.7613180161997757E-2</v>
      </c>
      <c r="V93" s="12">
        <f t="shared" ca="1" si="13"/>
        <v>6.7613180161997757E-2</v>
      </c>
      <c r="W93" s="153"/>
      <c r="X93" s="46"/>
      <c r="Y93" s="46"/>
      <c r="Z93" s="46"/>
      <c r="AA93" s="46"/>
      <c r="AB93" s="46"/>
      <c r="AC93" s="46"/>
      <c r="AD93" s="46"/>
      <c r="AE93" s="46"/>
      <c r="AF93" s="46"/>
    </row>
    <row r="94" spans="1:32" ht="15" x14ac:dyDescent="0.25">
      <c r="A94" s="66">
        <v>42978</v>
      </c>
      <c r="B94" s="114">
        <f t="shared" si="14"/>
        <v>2017</v>
      </c>
      <c r="C94" s="114">
        <f t="shared" si="15"/>
        <v>8</v>
      </c>
      <c r="D94" s="303">
        <f>Purchases!C94</f>
        <v>21211440.486327328</v>
      </c>
      <c r="E94" s="104">
        <v>4110221.2645936697</v>
      </c>
      <c r="F94" s="171">
        <f ca="1">CDM!D102</f>
        <v>923040.38051662128</v>
      </c>
      <c r="G94" s="94">
        <f t="shared" ca="1" si="16"/>
        <v>18024259.602250282</v>
      </c>
      <c r="H94" s="90">
        <f>Weather!H201</f>
        <v>0</v>
      </c>
      <c r="I94" s="90">
        <f>Weather!I201</f>
        <v>149.30000000000007</v>
      </c>
      <c r="J94" s="90">
        <f t="shared" ca="1" si="18"/>
        <v>9.9999999999999638E-3</v>
      </c>
      <c r="K94" s="90">
        <f t="shared" ca="1" si="18"/>
        <v>186.09000000000003</v>
      </c>
      <c r="L94" s="108">
        <v>31</v>
      </c>
      <c r="M94" s="108">
        <f t="shared" si="19"/>
        <v>0</v>
      </c>
      <c r="N94" s="152">
        <f>Data!AC81</f>
        <v>0</v>
      </c>
      <c r="O94" s="152">
        <f>Data!AD81</f>
        <v>0</v>
      </c>
      <c r="P94" s="152"/>
      <c r="Q94" s="152"/>
      <c r="R94" s="150">
        <f>Data!AH81</f>
        <v>13970</v>
      </c>
      <c r="S94" s="67">
        <f t="shared" ca="1" si="17"/>
        <v>19113375.694775995</v>
      </c>
      <c r="T94" s="40">
        <f t="shared" ca="1" si="11"/>
        <v>1089116.0925257131</v>
      </c>
      <c r="U94" s="53">
        <f t="shared" ca="1" si="12"/>
        <v>6.0425011432355305E-2</v>
      </c>
      <c r="V94" s="12">
        <f t="shared" ca="1" si="13"/>
        <v>6.0425011432355305E-2</v>
      </c>
      <c r="W94" s="153"/>
      <c r="X94" s="46"/>
      <c r="Y94" s="46"/>
      <c r="Z94" s="46"/>
      <c r="AA94" s="46"/>
      <c r="AB94" s="46"/>
      <c r="AC94" s="46"/>
      <c r="AD94" s="46"/>
      <c r="AE94" s="46"/>
      <c r="AF94" s="46"/>
    </row>
    <row r="95" spans="1:32" ht="15" x14ac:dyDescent="0.25">
      <c r="A95" s="66">
        <v>43008</v>
      </c>
      <c r="B95" s="114">
        <f t="shared" si="14"/>
        <v>2017</v>
      </c>
      <c r="C95" s="114">
        <f t="shared" si="15"/>
        <v>9</v>
      </c>
      <c r="D95" s="107">
        <f>Purchases!C95</f>
        <v>19533578.176179972</v>
      </c>
      <c r="E95" s="104">
        <v>4259176.9817509372</v>
      </c>
      <c r="F95" s="171">
        <f ca="1">CDM!D103</f>
        <v>939640.96167551749</v>
      </c>
      <c r="G95" s="94">
        <f t="shared" ca="1" si="16"/>
        <v>16214042.156104552</v>
      </c>
      <c r="H95" s="90">
        <f>Weather!H202</f>
        <v>18.399999999999995</v>
      </c>
      <c r="I95" s="90">
        <f>Weather!I202</f>
        <v>100.2</v>
      </c>
      <c r="J95" s="90">
        <f t="shared" ref="J95:K114" ca="1" si="20">J83</f>
        <v>19.43</v>
      </c>
      <c r="K95" s="90">
        <f t="shared" ca="1" si="20"/>
        <v>90.78</v>
      </c>
      <c r="L95" s="108">
        <v>30</v>
      </c>
      <c r="M95" s="108">
        <f t="shared" si="19"/>
        <v>0</v>
      </c>
      <c r="N95" s="152">
        <f>Data!AC82</f>
        <v>0</v>
      </c>
      <c r="O95" s="152">
        <f>Data!AD82</f>
        <v>0</v>
      </c>
      <c r="P95" s="152"/>
      <c r="Q95" s="152"/>
      <c r="R95" s="150">
        <f>Data!AH82</f>
        <v>13976.5</v>
      </c>
      <c r="S95" s="67">
        <f t="shared" ca="1" si="17"/>
        <v>15941568.061143033</v>
      </c>
      <c r="T95" s="40">
        <f t="shared" ca="1" si="11"/>
        <v>-272474.09496151842</v>
      </c>
      <c r="U95" s="53">
        <f t="shared" ca="1" si="12"/>
        <v>-1.6804822162062315E-2</v>
      </c>
      <c r="V95" s="12">
        <f t="shared" ca="1" si="13"/>
        <v>1.6804822162062315E-2</v>
      </c>
      <c r="W95" s="153"/>
      <c r="X95" s="46"/>
      <c r="Y95" s="46"/>
      <c r="Z95" s="46"/>
      <c r="AA95" s="46"/>
      <c r="AB95" s="46"/>
      <c r="AC95" s="46"/>
      <c r="AD95" s="46"/>
      <c r="AE95" s="46"/>
      <c r="AF95" s="46"/>
    </row>
    <row r="96" spans="1:32" ht="15" x14ac:dyDescent="0.25">
      <c r="A96" s="66">
        <v>43039</v>
      </c>
      <c r="B96" s="114">
        <f t="shared" si="14"/>
        <v>2017</v>
      </c>
      <c r="C96" s="114">
        <f t="shared" si="15"/>
        <v>10</v>
      </c>
      <c r="D96" s="107">
        <f>Purchases!C96</f>
        <v>15916473.155721987</v>
      </c>
      <c r="E96" s="104">
        <v>2009640.1544891417</v>
      </c>
      <c r="F96" s="171">
        <f ca="1">CDM!D104</f>
        <v>956241.54283441382</v>
      </c>
      <c r="G96" s="94">
        <f t="shared" ca="1" si="16"/>
        <v>14863074.54406726</v>
      </c>
      <c r="H96" s="90">
        <f>Weather!H203</f>
        <v>90.100000000000009</v>
      </c>
      <c r="I96" s="90">
        <f>Weather!I203</f>
        <v>40.600000000000009</v>
      </c>
      <c r="J96" s="90">
        <f t="shared" ca="1" si="20"/>
        <v>147.23999999999998</v>
      </c>
      <c r="K96" s="90">
        <f t="shared" ca="1" si="20"/>
        <v>14.710000000000003</v>
      </c>
      <c r="L96" s="108">
        <v>31</v>
      </c>
      <c r="M96" s="108">
        <f t="shared" si="19"/>
        <v>0</v>
      </c>
      <c r="N96" s="152">
        <f>Data!AC83</f>
        <v>0</v>
      </c>
      <c r="O96" s="152">
        <f>Data!AD83</f>
        <v>0</v>
      </c>
      <c r="P96" s="152"/>
      <c r="Q96" s="152"/>
      <c r="R96" s="150">
        <f>Data!AH83</f>
        <v>13995</v>
      </c>
      <c r="S96" s="67">
        <f t="shared" ca="1" si="17"/>
        <v>14450387.58177603</v>
      </c>
      <c r="T96" s="40">
        <f t="shared" ca="1" si="11"/>
        <v>-412686.96229122952</v>
      </c>
      <c r="U96" s="53">
        <f t="shared" ca="1" si="12"/>
        <v>-2.7765921584236252E-2</v>
      </c>
      <c r="V96" s="12">
        <f t="shared" ca="1" si="13"/>
        <v>2.7765921584236252E-2</v>
      </c>
      <c r="W96" s="153"/>
      <c r="X96" s="46"/>
      <c r="Y96" s="46"/>
      <c r="Z96" s="46"/>
      <c r="AA96" s="46"/>
      <c r="AB96" s="46"/>
      <c r="AC96" s="46"/>
      <c r="AD96" s="46"/>
      <c r="AE96" s="46"/>
      <c r="AF96" s="46"/>
    </row>
    <row r="97" spans="1:23" ht="15" x14ac:dyDescent="0.25">
      <c r="A97" s="66">
        <v>43069</v>
      </c>
      <c r="B97" s="114">
        <f t="shared" si="14"/>
        <v>2017</v>
      </c>
      <c r="C97" s="114">
        <f t="shared" si="15"/>
        <v>11</v>
      </c>
      <c r="D97" s="107">
        <f>Purchases!C97</f>
        <v>16479806.154822662</v>
      </c>
      <c r="E97" s="104">
        <v>2222237.4702646215</v>
      </c>
      <c r="F97" s="171">
        <f ca="1">CDM!D105</f>
        <v>972842.12399331015</v>
      </c>
      <c r="G97" s="94">
        <f t="shared" ca="1" si="16"/>
        <v>15230410.808551352</v>
      </c>
      <c r="H97" s="90">
        <f>Weather!H204</f>
        <v>350.69999999999993</v>
      </c>
      <c r="I97" s="90">
        <f>Weather!I204</f>
        <v>0</v>
      </c>
      <c r="J97" s="90">
        <f t="shared" ca="1" si="20"/>
        <v>331.03</v>
      </c>
      <c r="K97" s="90">
        <f t="shared" ca="1" si="20"/>
        <v>0.54000000000000026</v>
      </c>
      <c r="L97" s="108">
        <v>30</v>
      </c>
      <c r="M97" s="108">
        <f t="shared" si="19"/>
        <v>0</v>
      </c>
      <c r="N97" s="152">
        <f>Data!AC84</f>
        <v>0</v>
      </c>
      <c r="O97" s="152">
        <f>Data!AD84</f>
        <v>0</v>
      </c>
      <c r="P97" s="152"/>
      <c r="Q97" s="152"/>
      <c r="R97" s="150">
        <f>Data!AH84</f>
        <v>14030.5</v>
      </c>
      <c r="S97" s="67">
        <f t="shared" ca="1" si="17"/>
        <v>15124635.153991414</v>
      </c>
      <c r="T97" s="40">
        <f t="shared" ca="1" si="11"/>
        <v>-105775.65455993824</v>
      </c>
      <c r="U97" s="53">
        <f t="shared" ca="1" si="12"/>
        <v>-6.945029644279118E-3</v>
      </c>
      <c r="V97" s="12">
        <f t="shared" ca="1" si="13"/>
        <v>6.945029644279118E-3</v>
      </c>
      <c r="W97" s="153"/>
    </row>
    <row r="98" spans="1:23" ht="15" x14ac:dyDescent="0.25">
      <c r="A98" s="66">
        <v>43100</v>
      </c>
      <c r="B98" s="114">
        <f t="shared" si="14"/>
        <v>2017</v>
      </c>
      <c r="C98" s="114">
        <f t="shared" si="15"/>
        <v>12</v>
      </c>
      <c r="D98" s="107">
        <f>Purchases!C98</f>
        <v>18908989.901477978</v>
      </c>
      <c r="E98" s="104">
        <v>2532743.8747246251</v>
      </c>
      <c r="F98" s="171">
        <f ca="1">CDM!D106</f>
        <v>989442.70515220636</v>
      </c>
      <c r="G98" s="94">
        <f t="shared" ca="1" si="16"/>
        <v>17365688.731905557</v>
      </c>
      <c r="H98" s="90">
        <f>Weather!H205</f>
        <v>613.29999999999995</v>
      </c>
      <c r="I98" s="90">
        <f>Weather!I205</f>
        <v>0</v>
      </c>
      <c r="J98" s="90">
        <f t="shared" ca="1" si="20"/>
        <v>485.42000000000007</v>
      </c>
      <c r="K98" s="90">
        <f t="shared" ca="1" si="20"/>
        <v>0</v>
      </c>
      <c r="L98" s="108">
        <v>31</v>
      </c>
      <c r="M98" s="108">
        <f t="shared" si="19"/>
        <v>0</v>
      </c>
      <c r="N98" s="152">
        <f>Data!AC85</f>
        <v>0</v>
      </c>
      <c r="O98" s="152">
        <f>Data!AD85</f>
        <v>0</v>
      </c>
      <c r="P98" s="152"/>
      <c r="Q98" s="152"/>
      <c r="R98" s="150">
        <f>Data!AH85</f>
        <v>14067.5</v>
      </c>
      <c r="S98" s="67">
        <f t="shared" ca="1" si="17"/>
        <v>16574089.526314719</v>
      </c>
      <c r="T98" s="40">
        <f t="shared" ca="1" si="11"/>
        <v>-791599.20559083857</v>
      </c>
      <c r="U98" s="53">
        <f t="shared" ca="1" si="12"/>
        <v>-4.5584095040034467E-2</v>
      </c>
      <c r="V98" s="12">
        <f t="shared" ca="1" si="13"/>
        <v>4.5584095040034467E-2</v>
      </c>
      <c r="W98" s="153"/>
    </row>
    <row r="99" spans="1:23" ht="15" x14ac:dyDescent="0.25">
      <c r="A99" s="66">
        <v>43131</v>
      </c>
      <c r="B99" s="114">
        <f t="shared" si="14"/>
        <v>2018</v>
      </c>
      <c r="C99" s="114">
        <f t="shared" si="15"/>
        <v>1</v>
      </c>
      <c r="D99" s="107">
        <f>Purchases!C99</f>
        <v>18920116.782666825</v>
      </c>
      <c r="E99" s="104">
        <v>1852730.1844645019</v>
      </c>
      <c r="F99" s="171">
        <f ca="1">CDM!D107</f>
        <v>970970.20593671221</v>
      </c>
      <c r="G99" s="94">
        <f t="shared" ca="1" si="16"/>
        <v>18038356.804139033</v>
      </c>
      <c r="H99" s="90">
        <f>Weather!H206</f>
        <v>636.6</v>
      </c>
      <c r="I99" s="90">
        <f>Weather!I206</f>
        <v>0</v>
      </c>
      <c r="J99" s="90">
        <f t="shared" ca="1" si="20"/>
        <v>607.33000000000004</v>
      </c>
      <c r="K99" s="90">
        <f t="shared" ca="1" si="20"/>
        <v>0</v>
      </c>
      <c r="L99" s="108">
        <v>31</v>
      </c>
      <c r="M99" s="108">
        <f t="shared" si="19"/>
        <v>0</v>
      </c>
      <c r="N99" s="152">
        <f>Data!AC86</f>
        <v>0</v>
      </c>
      <c r="O99" s="152">
        <f>Data!AD86</f>
        <v>0</v>
      </c>
      <c r="P99" s="152"/>
      <c r="Q99" s="152"/>
      <c r="R99" s="150">
        <f>Data!AH86</f>
        <v>14068.5</v>
      </c>
      <c r="S99" s="67">
        <f t="shared" ca="1" si="17"/>
        <v>17857170.467357334</v>
      </c>
      <c r="T99" s="40">
        <f t="shared" ca="1" si="11"/>
        <v>-181186.33678169921</v>
      </c>
      <c r="U99" s="53">
        <f t="shared" ca="1" si="12"/>
        <v>-1.0044503429498893E-2</v>
      </c>
      <c r="V99" s="12">
        <f t="shared" ca="1" si="13"/>
        <v>1.0044503429498893E-2</v>
      </c>
      <c r="W99" s="153"/>
    </row>
    <row r="100" spans="1:23" ht="15" x14ac:dyDescent="0.25">
      <c r="A100" s="66">
        <v>43159</v>
      </c>
      <c r="B100" s="114">
        <f t="shared" si="14"/>
        <v>2018</v>
      </c>
      <c r="C100" s="114">
        <f t="shared" si="15"/>
        <v>2</v>
      </c>
      <c r="D100" s="107">
        <f>Purchases!C100</f>
        <v>16165609.621245151</v>
      </c>
      <c r="E100" s="104">
        <v>1758839.4821045175</v>
      </c>
      <c r="F100" s="171">
        <f ca="1">CDM!D108</f>
        <v>977344.42760804482</v>
      </c>
      <c r="G100" s="94">
        <f t="shared" ca="1" si="16"/>
        <v>15384114.566748679</v>
      </c>
      <c r="H100" s="90">
        <f>Weather!H207</f>
        <v>461.90000000000003</v>
      </c>
      <c r="I100" s="90">
        <f>Weather!I207</f>
        <v>0</v>
      </c>
      <c r="J100" s="90">
        <f t="shared" ca="1" si="20"/>
        <v>533.1</v>
      </c>
      <c r="K100" s="90">
        <f t="shared" ca="1" si="20"/>
        <v>0</v>
      </c>
      <c r="L100" s="108">
        <v>29</v>
      </c>
      <c r="M100" s="108">
        <f t="shared" si="19"/>
        <v>0</v>
      </c>
      <c r="N100" s="152">
        <f>Data!AC87</f>
        <v>0</v>
      </c>
      <c r="O100" s="152">
        <f>Data!AD87</f>
        <v>0</v>
      </c>
      <c r="P100" s="152"/>
      <c r="Q100" s="152"/>
      <c r="R100" s="150">
        <f>Data!AH87</f>
        <v>14091</v>
      </c>
      <c r="S100" s="67">
        <f t="shared" ca="1" si="17"/>
        <v>15824854.818844924</v>
      </c>
      <c r="T100" s="40">
        <f t="shared" ca="1" si="11"/>
        <v>440740.25209624507</v>
      </c>
      <c r="U100" s="53">
        <f t="shared" ca="1" si="12"/>
        <v>2.8649049003370255E-2</v>
      </c>
      <c r="V100" s="12">
        <f t="shared" ca="1" si="13"/>
        <v>2.8649049003370255E-2</v>
      </c>
      <c r="W100" s="153"/>
    </row>
    <row r="101" spans="1:23" ht="15" x14ac:dyDescent="0.25">
      <c r="A101" s="66">
        <v>43190</v>
      </c>
      <c r="B101" s="114">
        <f t="shared" si="14"/>
        <v>2018</v>
      </c>
      <c r="C101" s="114">
        <f t="shared" si="15"/>
        <v>3</v>
      </c>
      <c r="D101" s="107">
        <f>Purchases!C101</f>
        <v>17475012.52885266</v>
      </c>
      <c r="E101" s="104">
        <v>2375340.9491960937</v>
      </c>
      <c r="F101" s="171">
        <f ca="1">CDM!D109</f>
        <v>983718.64927937742</v>
      </c>
      <c r="G101" s="94">
        <f t="shared" ca="1" si="16"/>
        <v>16083390.228935946</v>
      </c>
      <c r="H101" s="90">
        <f>Weather!H208</f>
        <v>484.09999999999997</v>
      </c>
      <c r="I101" s="90">
        <f>Weather!I208</f>
        <v>0</v>
      </c>
      <c r="J101" s="90">
        <f t="shared" ca="1" si="20"/>
        <v>453.77</v>
      </c>
      <c r="K101" s="90">
        <f t="shared" ca="1" si="20"/>
        <v>0.26000000000000012</v>
      </c>
      <c r="L101" s="108">
        <v>31</v>
      </c>
      <c r="M101" s="108">
        <f t="shared" si="19"/>
        <v>1</v>
      </c>
      <c r="N101" s="152">
        <f>Data!AC88</f>
        <v>0</v>
      </c>
      <c r="O101" s="152">
        <f>Data!AD88</f>
        <v>0</v>
      </c>
      <c r="P101" s="152"/>
      <c r="Q101" s="152"/>
      <c r="R101" s="150">
        <f>Data!AH88</f>
        <v>14098.5</v>
      </c>
      <c r="S101" s="67">
        <f t="shared" ca="1" si="17"/>
        <v>15903338.805797532</v>
      </c>
      <c r="T101" s="40">
        <f t="shared" ca="1" si="11"/>
        <v>-180051.42313841358</v>
      </c>
      <c r="U101" s="53">
        <f t="shared" ca="1" si="12"/>
        <v>-1.1194867535731335E-2</v>
      </c>
      <c r="V101" s="12">
        <f t="shared" ca="1" si="13"/>
        <v>1.1194867535731335E-2</v>
      </c>
      <c r="W101" s="153"/>
    </row>
    <row r="102" spans="1:23" ht="15" x14ac:dyDescent="0.25">
      <c r="A102" s="66">
        <v>43220</v>
      </c>
      <c r="B102" s="114">
        <f t="shared" si="14"/>
        <v>2018</v>
      </c>
      <c r="C102" s="114">
        <f t="shared" si="15"/>
        <v>4</v>
      </c>
      <c r="D102" s="107">
        <f>Purchases!C102</f>
        <v>16622054.862042977</v>
      </c>
      <c r="E102" s="104">
        <v>2485375.9892984647</v>
      </c>
      <c r="F102" s="171">
        <f ca="1">CDM!D110</f>
        <v>990092.87095071003</v>
      </c>
      <c r="G102" s="94">
        <f t="shared" ca="1" si="16"/>
        <v>15126771.74369522</v>
      </c>
      <c r="H102" s="90">
        <f>Weather!H209</f>
        <v>365.69999999999993</v>
      </c>
      <c r="I102" s="90">
        <f>Weather!I209</f>
        <v>0</v>
      </c>
      <c r="J102" s="90">
        <f t="shared" ca="1" si="20"/>
        <v>276.92999999999995</v>
      </c>
      <c r="K102" s="90">
        <f t="shared" ca="1" si="20"/>
        <v>1.2600000000000002</v>
      </c>
      <c r="L102" s="108">
        <v>30</v>
      </c>
      <c r="M102" s="108">
        <f t="shared" si="19"/>
        <v>1</v>
      </c>
      <c r="N102" s="152">
        <f>Data!AC89</f>
        <v>0</v>
      </c>
      <c r="O102" s="152">
        <f>Data!AD89</f>
        <v>0</v>
      </c>
      <c r="P102" s="152"/>
      <c r="Q102" s="152"/>
      <c r="R102" s="150">
        <f>Data!AH89</f>
        <v>14118</v>
      </c>
      <c r="S102" s="67">
        <f t="shared" ca="1" si="17"/>
        <v>14614568.572078679</v>
      </c>
      <c r="T102" s="40">
        <f t="shared" ca="1" si="11"/>
        <v>-512203.17161654122</v>
      </c>
      <c r="U102" s="53">
        <f t="shared" ca="1" si="12"/>
        <v>-3.3860706057789597E-2</v>
      </c>
      <c r="V102" s="12">
        <f t="shared" ca="1" si="13"/>
        <v>3.3860706057789597E-2</v>
      </c>
      <c r="W102" s="153"/>
    </row>
    <row r="103" spans="1:23" ht="15" x14ac:dyDescent="0.25">
      <c r="A103" s="66">
        <v>43251</v>
      </c>
      <c r="B103" s="114">
        <f t="shared" si="14"/>
        <v>2018</v>
      </c>
      <c r="C103" s="114">
        <f t="shared" si="15"/>
        <v>5</v>
      </c>
      <c r="D103" s="107">
        <f>Purchases!C103</f>
        <v>19779671.223524317</v>
      </c>
      <c r="E103" s="104">
        <v>5433603.1230769819</v>
      </c>
      <c r="F103" s="171">
        <f ca="1">CDM!D111</f>
        <v>996467.09262204263</v>
      </c>
      <c r="G103" s="94">
        <f t="shared" ca="1" si="16"/>
        <v>15342535.193069376</v>
      </c>
      <c r="H103" s="90">
        <f>Weather!H210</f>
        <v>48.800000000000011</v>
      </c>
      <c r="I103" s="90">
        <f>Weather!I210</f>
        <v>60.599999999999994</v>
      </c>
      <c r="J103" s="90">
        <f t="shared" ca="1" si="20"/>
        <v>91.789999999999992</v>
      </c>
      <c r="K103" s="90">
        <f t="shared" ca="1" si="20"/>
        <v>44.669999999999995</v>
      </c>
      <c r="L103" s="108">
        <v>31</v>
      </c>
      <c r="M103" s="108">
        <f t="shared" si="19"/>
        <v>1</v>
      </c>
      <c r="N103" s="152">
        <f>Data!AC90</f>
        <v>0</v>
      </c>
      <c r="O103" s="152">
        <f>Data!AD90</f>
        <v>0</v>
      </c>
      <c r="P103" s="152"/>
      <c r="Q103" s="152"/>
      <c r="R103" s="150">
        <f>Data!AH90</f>
        <v>14141</v>
      </c>
      <c r="S103" s="67">
        <f t="shared" ca="1" si="17"/>
        <v>15137092.298303748</v>
      </c>
      <c r="T103" s="40">
        <f t="shared" ca="1" si="11"/>
        <v>-205442.8947656285</v>
      </c>
      <c r="U103" s="53">
        <f t="shared" ca="1" si="12"/>
        <v>-1.3390413786271283E-2</v>
      </c>
      <c r="V103" s="12">
        <f t="shared" ca="1" si="13"/>
        <v>1.3390413786271283E-2</v>
      </c>
      <c r="W103" s="153"/>
    </row>
    <row r="104" spans="1:23" ht="15" x14ac:dyDescent="0.25">
      <c r="A104" s="66">
        <v>43281</v>
      </c>
      <c r="B104" s="114">
        <f t="shared" si="14"/>
        <v>2018</v>
      </c>
      <c r="C104" s="114">
        <f t="shared" si="15"/>
        <v>6</v>
      </c>
      <c r="D104" s="107">
        <f>Purchases!C104</f>
        <v>19936672.391649656</v>
      </c>
      <c r="E104" s="104">
        <v>3916619.5607652208</v>
      </c>
      <c r="F104" s="171">
        <f ca="1">CDM!D112</f>
        <v>1002841.3142933752</v>
      </c>
      <c r="G104" s="94">
        <f t="shared" ca="1" si="16"/>
        <v>17022894.145177811</v>
      </c>
      <c r="H104" s="90">
        <f>Weather!H211</f>
        <v>5.0999999999999979</v>
      </c>
      <c r="I104" s="90">
        <f>Weather!I211</f>
        <v>112.89999999999998</v>
      </c>
      <c r="J104" s="90">
        <f t="shared" ca="1" si="20"/>
        <v>8.3199999999999985</v>
      </c>
      <c r="K104" s="90">
        <f t="shared" ca="1" si="20"/>
        <v>115.62</v>
      </c>
      <c r="L104" s="108">
        <v>30</v>
      </c>
      <c r="M104" s="108">
        <f t="shared" si="19"/>
        <v>0</v>
      </c>
      <c r="N104" s="152">
        <f>Data!AC91</f>
        <v>0</v>
      </c>
      <c r="O104" s="152">
        <f>Data!AD91</f>
        <v>0</v>
      </c>
      <c r="P104" s="152"/>
      <c r="Q104" s="152"/>
      <c r="R104" s="150">
        <f>Data!AH91</f>
        <v>14154</v>
      </c>
      <c r="S104" s="67">
        <f t="shared" ca="1" si="17"/>
        <v>17123343.688701611</v>
      </c>
      <c r="T104" s="40">
        <f t="shared" ca="1" si="11"/>
        <v>100449.54352379963</v>
      </c>
      <c r="U104" s="53">
        <f t="shared" ca="1" si="12"/>
        <v>5.9008499181823701E-3</v>
      </c>
      <c r="V104" s="12">
        <f t="shared" ca="1" si="13"/>
        <v>5.9008499181823701E-3</v>
      </c>
      <c r="W104" s="153"/>
    </row>
    <row r="105" spans="1:23" ht="15" x14ac:dyDescent="0.25">
      <c r="A105" s="66">
        <v>43312</v>
      </c>
      <c r="B105" s="114">
        <f t="shared" si="14"/>
        <v>2018</v>
      </c>
      <c r="C105" s="114">
        <f t="shared" si="15"/>
        <v>7</v>
      </c>
      <c r="D105" s="107">
        <f>Purchases!C105</f>
        <v>26519724.751660287</v>
      </c>
      <c r="E105" s="104">
        <v>5890671.1113334885</v>
      </c>
      <c r="F105" s="171">
        <f ca="1">CDM!D113</f>
        <v>1009215.5359647078</v>
      </c>
      <c r="G105" s="94">
        <f t="shared" ca="1" si="16"/>
        <v>21638269.176291507</v>
      </c>
      <c r="H105" s="90">
        <f>Weather!H212</f>
        <v>0</v>
      </c>
      <c r="I105" s="90">
        <f>Weather!I212</f>
        <v>237.30000000000007</v>
      </c>
      <c r="J105" s="90">
        <f t="shared" ca="1" si="20"/>
        <v>0</v>
      </c>
      <c r="K105" s="90">
        <f t="shared" ca="1" si="20"/>
        <v>224.87000000000003</v>
      </c>
      <c r="L105" s="108">
        <v>31</v>
      </c>
      <c r="M105" s="108">
        <f t="shared" si="19"/>
        <v>0</v>
      </c>
      <c r="N105" s="152">
        <f>Data!AC92</f>
        <v>0</v>
      </c>
      <c r="O105" s="152">
        <f>Data!AD92</f>
        <v>0</v>
      </c>
      <c r="P105" s="152"/>
      <c r="Q105" s="152"/>
      <c r="R105" s="150">
        <f>Data!AH92</f>
        <v>14164</v>
      </c>
      <c r="S105" s="67">
        <f t="shared" ca="1" si="17"/>
        <v>21270317.461376987</v>
      </c>
      <c r="T105" s="40">
        <f t="shared" ca="1" si="11"/>
        <v>-367951.71491451934</v>
      </c>
      <c r="U105" s="53">
        <f t="shared" ca="1" si="12"/>
        <v>-1.7004674076135189E-2</v>
      </c>
      <c r="V105" s="12">
        <f t="shared" ca="1" si="13"/>
        <v>1.7004674076135189E-2</v>
      </c>
      <c r="W105" s="153"/>
    </row>
    <row r="106" spans="1:23" ht="15" x14ac:dyDescent="0.25">
      <c r="A106" s="66">
        <v>43343</v>
      </c>
      <c r="B106" s="114">
        <f t="shared" si="14"/>
        <v>2018</v>
      </c>
      <c r="C106" s="114">
        <f t="shared" si="15"/>
        <v>8</v>
      </c>
      <c r="D106" s="107">
        <f>Purchases!C106</f>
        <v>26948242.609250635</v>
      </c>
      <c r="E106" s="104">
        <v>6778894.4532912951</v>
      </c>
      <c r="F106" s="171">
        <f ca="1">CDM!D114</f>
        <v>1015589.7576360404</v>
      </c>
      <c r="G106" s="94">
        <f t="shared" ca="1" si="16"/>
        <v>21184937.913595378</v>
      </c>
      <c r="H106" s="90">
        <f>Weather!H213</f>
        <v>0</v>
      </c>
      <c r="I106" s="90">
        <f>Weather!I213</f>
        <v>233.3000000000001</v>
      </c>
      <c r="J106" s="90">
        <f t="shared" ca="1" si="20"/>
        <v>9.9999999999999638E-3</v>
      </c>
      <c r="K106" s="90">
        <f t="shared" ca="1" si="20"/>
        <v>186.09000000000003</v>
      </c>
      <c r="L106" s="108">
        <v>31</v>
      </c>
      <c r="M106" s="108">
        <f t="shared" si="19"/>
        <v>0</v>
      </c>
      <c r="N106" s="152">
        <f>Data!AC93</f>
        <v>0</v>
      </c>
      <c r="O106" s="152">
        <f>Data!AD93</f>
        <v>0</v>
      </c>
      <c r="P106" s="152"/>
      <c r="Q106" s="152"/>
      <c r="R106" s="150">
        <f>Data!AH93</f>
        <v>14169</v>
      </c>
      <c r="S106" s="67">
        <f t="shared" ca="1" si="17"/>
        <v>19787493.744430065</v>
      </c>
      <c r="T106" s="40">
        <f t="shared" ca="1" si="11"/>
        <v>-1397444.1691653132</v>
      </c>
      <c r="U106" s="53">
        <f t="shared" ca="1" si="12"/>
        <v>-6.5964043645769063E-2</v>
      </c>
      <c r="V106" s="12">
        <f t="shared" ca="1" si="13"/>
        <v>6.5964043645769063E-2</v>
      </c>
      <c r="W106" s="153"/>
    </row>
    <row r="107" spans="1:23" ht="15" x14ac:dyDescent="0.25">
      <c r="A107" s="66">
        <v>43373</v>
      </c>
      <c r="B107" s="114">
        <f t="shared" si="14"/>
        <v>2018</v>
      </c>
      <c r="C107" s="114">
        <f t="shared" si="15"/>
        <v>9</v>
      </c>
      <c r="D107" s="107">
        <f>Purchases!C107</f>
        <v>21215817.727722466</v>
      </c>
      <c r="E107" s="104">
        <v>4496004.9261929411</v>
      </c>
      <c r="F107" s="171">
        <f ca="1">CDM!D115</f>
        <v>1021963.9793073732</v>
      </c>
      <c r="G107" s="94">
        <f t="shared" ca="1" si="16"/>
        <v>17741776.780836895</v>
      </c>
      <c r="H107" s="90">
        <f>Weather!H214</f>
        <v>21.299999999999997</v>
      </c>
      <c r="I107" s="90">
        <f>Weather!I214</f>
        <v>121.09999999999998</v>
      </c>
      <c r="J107" s="90">
        <f t="shared" ca="1" si="20"/>
        <v>19.43</v>
      </c>
      <c r="K107" s="90">
        <f t="shared" ca="1" si="20"/>
        <v>90.78</v>
      </c>
      <c r="L107" s="108">
        <v>30</v>
      </c>
      <c r="M107" s="108">
        <f t="shared" si="19"/>
        <v>0</v>
      </c>
      <c r="N107" s="152">
        <f>Data!AC94</f>
        <v>0</v>
      </c>
      <c r="O107" s="152">
        <f>Data!AD94</f>
        <v>0</v>
      </c>
      <c r="P107" s="152"/>
      <c r="Q107" s="152"/>
      <c r="R107" s="150">
        <f>Data!AH94</f>
        <v>14215.5</v>
      </c>
      <c r="S107" s="67">
        <f t="shared" ca="1" si="17"/>
        <v>16832671.312208336</v>
      </c>
      <c r="T107" s="40">
        <f t="shared" ca="1" si="11"/>
        <v>-909105.46862855926</v>
      </c>
      <c r="U107" s="53">
        <f t="shared" ca="1" si="12"/>
        <v>-5.1240948404361331E-2</v>
      </c>
      <c r="V107" s="12">
        <f t="shared" ca="1" si="13"/>
        <v>5.1240948404361331E-2</v>
      </c>
      <c r="W107" s="153"/>
    </row>
    <row r="108" spans="1:23" ht="15" x14ac:dyDescent="0.25">
      <c r="A108" s="66">
        <v>43404</v>
      </c>
      <c r="B108" s="114">
        <f t="shared" si="14"/>
        <v>2018</v>
      </c>
      <c r="C108" s="114">
        <f t="shared" si="15"/>
        <v>10</v>
      </c>
      <c r="D108" s="107">
        <f>Purchases!C108</f>
        <v>17077098.534574993</v>
      </c>
      <c r="E108" s="104">
        <v>2542408.0313404463</v>
      </c>
      <c r="F108" s="171">
        <f ca="1">CDM!D116</f>
        <v>1028338.2009787058</v>
      </c>
      <c r="G108" s="94">
        <f t="shared" ca="1" si="16"/>
        <v>15563028.704213254</v>
      </c>
      <c r="H108" s="90">
        <f>Weather!H215</f>
        <v>187.99999999999994</v>
      </c>
      <c r="I108" s="90">
        <f>Weather!I215</f>
        <v>18.400000000000002</v>
      </c>
      <c r="J108" s="90">
        <f t="shared" ca="1" si="20"/>
        <v>147.23999999999998</v>
      </c>
      <c r="K108" s="90">
        <f t="shared" ca="1" si="20"/>
        <v>14.710000000000003</v>
      </c>
      <c r="L108" s="108">
        <v>31</v>
      </c>
      <c r="M108" s="108">
        <f t="shared" si="19"/>
        <v>0</v>
      </c>
      <c r="N108" s="152">
        <f>Data!AC95</f>
        <v>0</v>
      </c>
      <c r="O108" s="152">
        <f>Data!AD95</f>
        <v>0</v>
      </c>
      <c r="P108" s="152"/>
      <c r="Q108" s="152"/>
      <c r="R108" s="150">
        <f>Data!AH95</f>
        <v>14263.5</v>
      </c>
      <c r="S108" s="67">
        <f t="shared" ca="1" si="17"/>
        <v>15201486.250165172</v>
      </c>
      <c r="T108" s="40">
        <f t="shared" ca="1" si="11"/>
        <v>-361542.45404808223</v>
      </c>
      <c r="U108" s="53">
        <f t="shared" ca="1" si="12"/>
        <v>-2.323085441268927E-2</v>
      </c>
      <c r="V108" s="12">
        <f t="shared" ca="1" si="13"/>
        <v>2.323085441268927E-2</v>
      </c>
      <c r="W108" s="153"/>
    </row>
    <row r="109" spans="1:23" ht="15" x14ac:dyDescent="0.25">
      <c r="A109" s="66">
        <v>43434</v>
      </c>
      <c r="B109" s="114">
        <f t="shared" si="14"/>
        <v>2018</v>
      </c>
      <c r="C109" s="114">
        <f t="shared" si="15"/>
        <v>11</v>
      </c>
      <c r="D109" s="107">
        <f>Purchases!C109</f>
        <v>17872678.440282173</v>
      </c>
      <c r="E109" s="104">
        <v>2900973.5563793778</v>
      </c>
      <c r="F109" s="171">
        <f ca="1">CDM!D117</f>
        <v>1034712.4226500384</v>
      </c>
      <c r="G109" s="94">
        <f t="shared" ca="1" si="16"/>
        <v>16006417.306552835</v>
      </c>
      <c r="H109" s="90">
        <f>Weather!H216</f>
        <v>414.4</v>
      </c>
      <c r="I109" s="90">
        <f>Weather!I216</f>
        <v>0</v>
      </c>
      <c r="J109" s="90">
        <f t="shared" ca="1" si="20"/>
        <v>331.03</v>
      </c>
      <c r="K109" s="90">
        <f t="shared" ca="1" si="20"/>
        <v>0.54000000000000026</v>
      </c>
      <c r="L109" s="108">
        <v>30</v>
      </c>
      <c r="M109" s="108">
        <f t="shared" si="19"/>
        <v>0</v>
      </c>
      <c r="N109" s="152">
        <f>Data!AC96</f>
        <v>0</v>
      </c>
      <c r="O109" s="152">
        <f>Data!AD96</f>
        <v>0</v>
      </c>
      <c r="P109" s="152"/>
      <c r="Q109" s="152"/>
      <c r="R109" s="150">
        <f>Data!AH96</f>
        <v>14268</v>
      </c>
      <c r="S109" s="67">
        <f t="shared" ca="1" si="17"/>
        <v>15506327.690496678</v>
      </c>
      <c r="T109" s="40">
        <f t="shared" ca="1" si="11"/>
        <v>-500089.61605615728</v>
      </c>
      <c r="U109" s="53">
        <f t="shared" ca="1" si="12"/>
        <v>-3.1243069981152283E-2</v>
      </c>
      <c r="V109" s="12">
        <f t="shared" ca="1" si="13"/>
        <v>3.1243069981152283E-2</v>
      </c>
      <c r="W109" s="153"/>
    </row>
    <row r="110" spans="1:23" ht="15" x14ac:dyDescent="0.25">
      <c r="A110" s="66">
        <v>43465</v>
      </c>
      <c r="B110" s="114">
        <f t="shared" si="14"/>
        <v>2018</v>
      </c>
      <c r="C110" s="114">
        <f t="shared" si="15"/>
        <v>12</v>
      </c>
      <c r="D110" s="107">
        <f>Purchases!C110</f>
        <v>19117837.684365984</v>
      </c>
      <c r="E110" s="104">
        <v>2949172.2066761004</v>
      </c>
      <c r="F110" s="171">
        <f ca="1">CDM!D118</f>
        <v>1041086.644321371</v>
      </c>
      <c r="G110" s="94">
        <f ca="1">D110+F110-E110</f>
        <v>17209752.122011255</v>
      </c>
      <c r="H110" s="90">
        <f>Weather!H217</f>
        <v>478.09999999999997</v>
      </c>
      <c r="I110" s="90">
        <f>Weather!I217</f>
        <v>0</v>
      </c>
      <c r="J110" s="90">
        <f t="shared" ca="1" si="20"/>
        <v>485.42000000000007</v>
      </c>
      <c r="K110" s="90">
        <f t="shared" ca="1" si="20"/>
        <v>0</v>
      </c>
      <c r="L110" s="108">
        <v>31</v>
      </c>
      <c r="M110" s="108">
        <f t="shared" si="19"/>
        <v>0</v>
      </c>
      <c r="N110" s="152">
        <f>Data!AC97</f>
        <v>0</v>
      </c>
      <c r="O110" s="152">
        <f>Data!AD97</f>
        <v>0</v>
      </c>
      <c r="P110" s="152"/>
      <c r="Q110" s="152"/>
      <c r="R110" s="150">
        <f>Data!AH97</f>
        <v>14275.5</v>
      </c>
      <c r="S110" s="67">
        <f t="shared" ca="1" si="17"/>
        <v>17255064.181636881</v>
      </c>
      <c r="T110" s="40">
        <f t="shared" ca="1" si="11"/>
        <v>45312.05962562561</v>
      </c>
      <c r="U110" s="53">
        <f t="shared" ca="1" si="12"/>
        <v>2.6329292429303226E-3</v>
      </c>
      <c r="V110" s="12">
        <f t="shared" ca="1" si="13"/>
        <v>2.6329292429303226E-3</v>
      </c>
      <c r="W110" s="153"/>
    </row>
    <row r="111" spans="1:23" ht="15" x14ac:dyDescent="0.25">
      <c r="A111" s="66">
        <v>43496</v>
      </c>
      <c r="B111" s="114">
        <f t="shared" si="14"/>
        <v>2019</v>
      </c>
      <c r="C111" s="114">
        <f t="shared" si="15"/>
        <v>1</v>
      </c>
      <c r="D111" s="107">
        <f>Purchases!C111</f>
        <v>19470279.931793816</v>
      </c>
      <c r="E111" s="104">
        <v>2345384.3176812418</v>
      </c>
      <c r="F111" s="171">
        <f ca="1">CDM!D119</f>
        <v>1047457.2026998744</v>
      </c>
      <c r="G111" s="94">
        <f t="shared" ca="1" si="16"/>
        <v>18172352.816812448</v>
      </c>
      <c r="H111" s="90">
        <f>Weather!H218</f>
        <v>661.19999999999982</v>
      </c>
      <c r="I111" s="90">
        <f>Weather!I218</f>
        <v>0</v>
      </c>
      <c r="J111" s="90">
        <f t="shared" ca="1" si="20"/>
        <v>607.33000000000004</v>
      </c>
      <c r="K111" s="90">
        <f t="shared" ca="1" si="20"/>
        <v>0</v>
      </c>
      <c r="L111" s="108">
        <v>31</v>
      </c>
      <c r="M111" s="108">
        <f t="shared" si="19"/>
        <v>0</v>
      </c>
      <c r="N111" s="152">
        <f>Data!AC98</f>
        <v>0</v>
      </c>
      <c r="O111" s="152">
        <f>Data!AD98</f>
        <v>0</v>
      </c>
      <c r="P111" s="152"/>
      <c r="Q111" s="152"/>
      <c r="R111" s="150">
        <f>Data!AH98</f>
        <v>14283.5</v>
      </c>
      <c r="S111" s="67">
        <f t="shared" ca="1" si="17"/>
        <v>17838888.246862665</v>
      </c>
      <c r="T111" s="40">
        <f t="shared" ca="1" si="11"/>
        <v>-333464.56994978338</v>
      </c>
      <c r="U111" s="53">
        <f t="shared" ca="1" si="12"/>
        <v>-1.8350104321179214E-2</v>
      </c>
      <c r="V111" s="12">
        <f t="shared" ca="1" si="13"/>
        <v>1.8350104321179214E-2</v>
      </c>
      <c r="W111" s="153"/>
    </row>
    <row r="112" spans="1:23" ht="15" x14ac:dyDescent="0.25">
      <c r="A112" s="66">
        <v>43524</v>
      </c>
      <c r="B112" s="114">
        <f t="shared" si="14"/>
        <v>2019</v>
      </c>
      <c r="C112" s="114">
        <f t="shared" si="15"/>
        <v>2</v>
      </c>
      <c r="D112" s="107">
        <f>Purchases!C112</f>
        <v>17623038.944653146</v>
      </c>
      <c r="E112" s="104">
        <v>2502127.9915483254</v>
      </c>
      <c r="F112" s="171">
        <f ca="1">CDM!D120</f>
        <v>1048523.9785786817</v>
      </c>
      <c r="G112" s="94">
        <f t="shared" ca="1" si="16"/>
        <v>16169434.931683503</v>
      </c>
      <c r="H112" s="90">
        <f>Weather!H219</f>
        <v>526.80000000000007</v>
      </c>
      <c r="I112" s="90">
        <f>Weather!I219</f>
        <v>0</v>
      </c>
      <c r="J112" s="90">
        <f t="shared" ca="1" si="20"/>
        <v>533.1</v>
      </c>
      <c r="K112" s="90">
        <f t="shared" ca="1" si="20"/>
        <v>0</v>
      </c>
      <c r="L112" s="108">
        <v>28</v>
      </c>
      <c r="M112" s="108">
        <f t="shared" si="19"/>
        <v>0</v>
      </c>
      <c r="N112" s="152">
        <f>Data!AC99</f>
        <v>0</v>
      </c>
      <c r="O112" s="152">
        <f>Data!AD99</f>
        <v>0</v>
      </c>
      <c r="P112" s="152"/>
      <c r="Q112" s="152"/>
      <c r="R112" s="150">
        <f>Data!AH99</f>
        <v>14284</v>
      </c>
      <c r="S112" s="67">
        <f t="shared" ca="1" si="17"/>
        <v>16208433.015787525</v>
      </c>
      <c r="T112" s="40">
        <f t="shared" ca="1" si="11"/>
        <v>38998.084104022011</v>
      </c>
      <c r="U112" s="53">
        <f t="shared" ca="1" si="12"/>
        <v>2.4118396387251902E-3</v>
      </c>
      <c r="V112" s="12">
        <f t="shared" ca="1" si="13"/>
        <v>2.4118396387251902E-3</v>
      </c>
      <c r="W112" s="153"/>
    </row>
    <row r="113" spans="1:25" ht="15" x14ac:dyDescent="0.25">
      <c r="A113" s="66">
        <v>43555</v>
      </c>
      <c r="B113" s="114">
        <f t="shared" si="14"/>
        <v>2019</v>
      </c>
      <c r="C113" s="114">
        <f t="shared" si="15"/>
        <v>3</v>
      </c>
      <c r="D113" s="107">
        <f>Purchases!C113</f>
        <v>18298309.582286663</v>
      </c>
      <c r="E113" s="104">
        <v>2643551.1870212546</v>
      </c>
      <c r="F113" s="171">
        <f ca="1">CDM!D121</f>
        <v>1049590.7544574891</v>
      </c>
      <c r="G113" s="94">
        <f t="shared" ca="1" si="16"/>
        <v>16704349.149722897</v>
      </c>
      <c r="H113" s="90">
        <f>Weather!H220</f>
        <v>485.99999999999994</v>
      </c>
      <c r="I113" s="90">
        <f>Weather!I220</f>
        <v>0</v>
      </c>
      <c r="J113" s="90">
        <f t="shared" ca="1" si="20"/>
        <v>453.77</v>
      </c>
      <c r="K113" s="90">
        <f t="shared" ca="1" si="20"/>
        <v>0.26000000000000012</v>
      </c>
      <c r="L113" s="108">
        <v>31</v>
      </c>
      <c r="M113" s="108">
        <f t="shared" si="19"/>
        <v>1</v>
      </c>
      <c r="N113" s="152">
        <f>Data!AC100</f>
        <v>0</v>
      </c>
      <c r="O113" s="152">
        <f>Data!AD100</f>
        <v>0</v>
      </c>
      <c r="P113" s="152"/>
      <c r="Q113" s="152"/>
      <c r="R113" s="150">
        <f>Data!AH100</f>
        <v>14283.5</v>
      </c>
      <c r="S113" s="67">
        <f t="shared" ca="1" si="17"/>
        <v>16512536.399632476</v>
      </c>
      <c r="T113" s="40">
        <f t="shared" ca="1" si="11"/>
        <v>-191812.75009042025</v>
      </c>
      <c r="U113" s="53">
        <f t="shared" ca="1" si="12"/>
        <v>-1.1482802973715511E-2</v>
      </c>
      <c r="V113" s="12">
        <f t="shared" ca="1" si="13"/>
        <v>1.1482802973715511E-2</v>
      </c>
      <c r="W113" s="153"/>
    </row>
    <row r="114" spans="1:25" ht="15" x14ac:dyDescent="0.25">
      <c r="A114" s="66">
        <v>43585</v>
      </c>
      <c r="B114" s="114">
        <f t="shared" si="14"/>
        <v>2019</v>
      </c>
      <c r="C114" s="114">
        <f t="shared" si="15"/>
        <v>4</v>
      </c>
      <c r="D114" s="107">
        <f>Purchases!C114</f>
        <v>16030754.75111879</v>
      </c>
      <c r="E114" s="104">
        <v>2306272.4364213278</v>
      </c>
      <c r="F114" s="171">
        <f ca="1">CDM!D122</f>
        <v>1050657.5303362964</v>
      </c>
      <c r="G114" s="94">
        <f t="shared" ca="1" si="16"/>
        <v>14775139.845033761</v>
      </c>
      <c r="H114" s="90">
        <f>Weather!H221</f>
        <v>280.7999999999999</v>
      </c>
      <c r="I114" s="90">
        <f>Weather!I221</f>
        <v>0</v>
      </c>
      <c r="J114" s="90">
        <f t="shared" ca="1" si="20"/>
        <v>276.92999999999995</v>
      </c>
      <c r="K114" s="90">
        <f t="shared" ca="1" si="20"/>
        <v>1.2600000000000002</v>
      </c>
      <c r="L114" s="108">
        <v>30</v>
      </c>
      <c r="M114" s="108">
        <f t="shared" si="19"/>
        <v>1</v>
      </c>
      <c r="N114" s="152">
        <f>Data!AC101</f>
        <v>0</v>
      </c>
      <c r="O114" s="152">
        <f>Data!AD101</f>
        <v>0</v>
      </c>
      <c r="P114" s="152"/>
      <c r="Q114" s="152"/>
      <c r="R114" s="150">
        <f>Data!AH101</f>
        <v>14284.5</v>
      </c>
      <c r="S114" s="67">
        <f t="shared" ca="1" si="17"/>
        <v>14788482.283009512</v>
      </c>
      <c r="T114" s="40">
        <f t="shared" ca="1" si="11"/>
        <v>13342.437975751236</v>
      </c>
      <c r="U114" s="53">
        <f t="shared" ca="1" si="12"/>
        <v>9.0303294017456722E-4</v>
      </c>
      <c r="V114" s="12">
        <f t="shared" ca="1" si="13"/>
        <v>9.0303294017456722E-4</v>
      </c>
      <c r="W114" s="153"/>
      <c r="X114" s="154"/>
    </row>
    <row r="115" spans="1:25" ht="15" x14ac:dyDescent="0.25">
      <c r="A115" s="66">
        <v>43616</v>
      </c>
      <c r="B115" s="114">
        <f t="shared" si="14"/>
        <v>2019</v>
      </c>
      <c r="C115" s="114">
        <f t="shared" si="15"/>
        <v>5</v>
      </c>
      <c r="D115" s="107">
        <f>Purchases!C115</f>
        <v>17509709.360292483</v>
      </c>
      <c r="E115" s="104">
        <v>3898830.8811403029</v>
      </c>
      <c r="F115" s="171">
        <f ca="1">CDM!D123</f>
        <v>1051724.3062151039</v>
      </c>
      <c r="G115" s="94">
        <f t="shared" ca="1" si="16"/>
        <v>14662602.785367284</v>
      </c>
      <c r="H115" s="90">
        <f>Weather!H222</f>
        <v>128.50000000000003</v>
      </c>
      <c r="I115" s="90">
        <f>Weather!I222</f>
        <v>11.700000000000003</v>
      </c>
      <c r="J115" s="90">
        <f t="shared" ref="J115:K134" ca="1" si="21">J103</f>
        <v>91.789999999999992</v>
      </c>
      <c r="K115" s="90">
        <f t="shared" ca="1" si="21"/>
        <v>44.669999999999995</v>
      </c>
      <c r="L115" s="108">
        <v>31</v>
      </c>
      <c r="M115" s="108">
        <f t="shared" si="19"/>
        <v>1</v>
      </c>
      <c r="N115" s="152">
        <f>Data!AC102</f>
        <v>0</v>
      </c>
      <c r="O115" s="152">
        <f>Data!AD102</f>
        <v>0</v>
      </c>
      <c r="P115" s="152"/>
      <c r="Q115" s="152"/>
      <c r="R115" s="150">
        <f>Data!AH102</f>
        <v>14285</v>
      </c>
      <c r="S115" s="67">
        <f t="shared" ca="1" si="17"/>
        <v>15411336.471024085</v>
      </c>
      <c r="T115" s="40">
        <f t="shared" ca="1" si="11"/>
        <v>748733.68565680087</v>
      </c>
      <c r="U115" s="53">
        <f t="shared" ca="1" si="12"/>
        <v>5.1064173026906821E-2</v>
      </c>
      <c r="V115" s="12">
        <f t="shared" ca="1" si="13"/>
        <v>5.1064173026906821E-2</v>
      </c>
      <c r="W115" s="153"/>
    </row>
    <row r="116" spans="1:25" ht="15" x14ac:dyDescent="0.25">
      <c r="A116" s="66">
        <v>43646</v>
      </c>
      <c r="B116" s="114">
        <f t="shared" si="14"/>
        <v>2019</v>
      </c>
      <c r="C116" s="114">
        <f t="shared" si="15"/>
        <v>6</v>
      </c>
      <c r="D116" s="107">
        <f>Purchases!C116</f>
        <v>19696522.675138813</v>
      </c>
      <c r="E116" s="104">
        <v>4853572.3585318187</v>
      </c>
      <c r="F116" s="171">
        <f ca="1">CDM!D124</f>
        <v>1052791.0820939112</v>
      </c>
      <c r="G116" s="94">
        <f t="shared" ca="1" si="16"/>
        <v>15895741.398700908</v>
      </c>
      <c r="H116" s="90">
        <f>Weather!H223</f>
        <v>11.099999999999998</v>
      </c>
      <c r="I116" s="90">
        <f>Weather!I223</f>
        <v>74.600000000000009</v>
      </c>
      <c r="J116" s="90">
        <f t="shared" ca="1" si="21"/>
        <v>8.3199999999999985</v>
      </c>
      <c r="K116" s="90">
        <f t="shared" ca="1" si="21"/>
        <v>115.62</v>
      </c>
      <c r="L116" s="108">
        <v>30</v>
      </c>
      <c r="M116" s="108">
        <f t="shared" si="19"/>
        <v>0</v>
      </c>
      <c r="N116" s="152">
        <f>Data!AC103</f>
        <v>0</v>
      </c>
      <c r="O116" s="152">
        <f>Data!AD103</f>
        <v>0</v>
      </c>
      <c r="P116" s="152"/>
      <c r="Q116" s="152"/>
      <c r="R116" s="150">
        <f>Data!AH103</f>
        <v>14285.5</v>
      </c>
      <c r="S116" s="67">
        <f t="shared" ca="1" si="17"/>
        <v>17092802.981444281</v>
      </c>
      <c r="T116" s="40">
        <f t="shared" ca="1" si="11"/>
        <v>1197061.5827433728</v>
      </c>
      <c r="U116" s="53">
        <f t="shared" ca="1" si="12"/>
        <v>7.5307061980839946E-2</v>
      </c>
      <c r="V116" s="12">
        <f t="shared" ca="1" si="13"/>
        <v>7.5307061980839946E-2</v>
      </c>
      <c r="W116" s="153"/>
    </row>
    <row r="117" spans="1:25" ht="15" x14ac:dyDescent="0.25">
      <c r="A117" s="66">
        <v>43677</v>
      </c>
      <c r="B117" s="114">
        <f t="shared" si="14"/>
        <v>2019</v>
      </c>
      <c r="C117" s="114">
        <f t="shared" si="15"/>
        <v>7</v>
      </c>
      <c r="D117" s="107">
        <f>Purchases!C117</f>
        <v>27560108.31326063</v>
      </c>
      <c r="E117" s="104">
        <v>6991030.6470110817</v>
      </c>
      <c r="F117" s="171">
        <f ca="1">CDM!D125</f>
        <v>1053857.8579727185</v>
      </c>
      <c r="G117" s="94">
        <f t="shared" ca="1" si="16"/>
        <v>21622935.524222266</v>
      </c>
      <c r="H117" s="90">
        <f>Weather!H224</f>
        <v>0</v>
      </c>
      <c r="I117" s="90">
        <f>Weather!I224</f>
        <v>230.10000000000005</v>
      </c>
      <c r="J117" s="90">
        <f t="shared" ca="1" si="21"/>
        <v>0</v>
      </c>
      <c r="K117" s="90">
        <f t="shared" ca="1" si="21"/>
        <v>224.87000000000003</v>
      </c>
      <c r="L117" s="108">
        <v>31</v>
      </c>
      <c r="M117" s="108">
        <f t="shared" si="19"/>
        <v>0</v>
      </c>
      <c r="N117" s="152">
        <f>Data!AC104</f>
        <v>0</v>
      </c>
      <c r="O117" s="152">
        <f>Data!AD104</f>
        <v>0</v>
      </c>
      <c r="P117" s="152"/>
      <c r="Q117" s="152"/>
      <c r="R117" s="150">
        <f>Data!AH104</f>
        <v>14290.5</v>
      </c>
      <c r="S117" s="67">
        <f t="shared" ca="1" si="17"/>
        <v>21468117.546024121</v>
      </c>
      <c r="T117" s="40">
        <f t="shared" ca="1" si="11"/>
        <v>-154817.97819814458</v>
      </c>
      <c r="U117" s="53">
        <f t="shared" ca="1" si="12"/>
        <v>-7.1598963991136022E-3</v>
      </c>
      <c r="V117" s="12">
        <f t="shared" ca="1" si="13"/>
        <v>7.1598963991136022E-3</v>
      </c>
      <c r="W117" s="153"/>
    </row>
    <row r="118" spans="1:25" ht="15" x14ac:dyDescent="0.25">
      <c r="A118" s="66">
        <v>43708</v>
      </c>
      <c r="B118" s="114">
        <f t="shared" si="14"/>
        <v>2019</v>
      </c>
      <c r="C118" s="114">
        <f t="shared" si="15"/>
        <v>8</v>
      </c>
      <c r="D118" s="107">
        <f>Purchases!C118</f>
        <v>24718341.509218462</v>
      </c>
      <c r="E118" s="104">
        <v>6140130.9663574947</v>
      </c>
      <c r="F118" s="171">
        <f ca="1">CDM!D126</f>
        <v>1054924.6338515261</v>
      </c>
      <c r="G118" s="94">
        <f t="shared" ca="1" si="16"/>
        <v>19633135.176712491</v>
      </c>
      <c r="H118" s="90">
        <f>Weather!H225</f>
        <v>0</v>
      </c>
      <c r="I118" s="90">
        <f>Weather!I225</f>
        <v>167.90000000000006</v>
      </c>
      <c r="J118" s="90">
        <f t="shared" ca="1" si="21"/>
        <v>9.9999999999999638E-3</v>
      </c>
      <c r="K118" s="90">
        <f t="shared" ca="1" si="21"/>
        <v>186.09000000000003</v>
      </c>
      <c r="L118" s="108">
        <v>31</v>
      </c>
      <c r="M118" s="108">
        <f t="shared" si="19"/>
        <v>0</v>
      </c>
      <c r="N118" s="152">
        <f>Data!AC105</f>
        <v>0</v>
      </c>
      <c r="O118" s="152">
        <f>Data!AD105</f>
        <v>0</v>
      </c>
      <c r="P118" s="152"/>
      <c r="Q118" s="152"/>
      <c r="R118" s="150">
        <f>Data!AH105</f>
        <v>14301</v>
      </c>
      <c r="S118" s="67">
        <f t="shared" ca="1" si="17"/>
        <v>20171655.782720905</v>
      </c>
      <c r="T118" s="40">
        <f t="shared" ca="1" si="11"/>
        <v>538520.60600841418</v>
      </c>
      <c r="U118" s="53">
        <f t="shared" ca="1" si="12"/>
        <v>2.7429170184045351E-2</v>
      </c>
      <c r="V118" s="12">
        <f t="shared" ca="1" si="13"/>
        <v>2.7429170184045351E-2</v>
      </c>
      <c r="W118" s="153"/>
    </row>
    <row r="119" spans="1:25" ht="15" x14ac:dyDescent="0.25">
      <c r="A119" s="66">
        <v>43738</v>
      </c>
      <c r="B119" s="114">
        <f t="shared" si="14"/>
        <v>2019</v>
      </c>
      <c r="C119" s="114">
        <f t="shared" si="15"/>
        <v>9</v>
      </c>
      <c r="D119" s="107">
        <f>Purchases!C119</f>
        <v>20237615.335729983</v>
      </c>
      <c r="E119" s="104">
        <v>4814361.1713148011</v>
      </c>
      <c r="F119" s="171">
        <f ca="1">CDM!D127</f>
        <v>1055991.4097303334</v>
      </c>
      <c r="G119" s="94">
        <f t="shared" ca="1" si="16"/>
        <v>16479245.574145515</v>
      </c>
      <c r="H119" s="90">
        <f>Weather!H226</f>
        <v>1.6999999999999993</v>
      </c>
      <c r="I119" s="90">
        <f>Weather!I226</f>
        <v>78.699999999999989</v>
      </c>
      <c r="J119" s="90">
        <f t="shared" ca="1" si="21"/>
        <v>19.43</v>
      </c>
      <c r="K119" s="90">
        <f t="shared" ca="1" si="21"/>
        <v>90.78</v>
      </c>
      <c r="L119" s="108">
        <v>30</v>
      </c>
      <c r="M119" s="108">
        <f t="shared" si="19"/>
        <v>0</v>
      </c>
      <c r="N119" s="152">
        <f>Data!AC106</f>
        <v>0</v>
      </c>
      <c r="O119" s="152">
        <f>Data!AD106</f>
        <v>0</v>
      </c>
      <c r="P119" s="152"/>
      <c r="Q119" s="152"/>
      <c r="R119" s="150">
        <f>Data!AH106</f>
        <v>14339.5</v>
      </c>
      <c r="S119" s="67">
        <f t="shared" ca="1" si="17"/>
        <v>16946588.372281447</v>
      </c>
      <c r="T119" s="40">
        <f t="shared" ca="1" si="11"/>
        <v>467342.79813593253</v>
      </c>
      <c r="U119" s="53">
        <f t="shared" ca="1" si="12"/>
        <v>2.8359477746308499E-2</v>
      </c>
      <c r="V119" s="12">
        <f t="shared" ca="1" si="13"/>
        <v>2.8359477746308499E-2</v>
      </c>
      <c r="W119" s="153"/>
    </row>
    <row r="120" spans="1:25" ht="15" x14ac:dyDescent="0.25">
      <c r="A120" s="66">
        <v>43769</v>
      </c>
      <c r="B120" s="114">
        <f t="shared" si="14"/>
        <v>2019</v>
      </c>
      <c r="C120" s="114">
        <f t="shared" si="15"/>
        <v>10</v>
      </c>
      <c r="D120" s="107">
        <f>Purchases!C120</f>
        <v>18098714.600466475</v>
      </c>
      <c r="E120" s="104">
        <v>3841776.1678357082</v>
      </c>
      <c r="F120" s="171">
        <f ca="1">CDM!D128</f>
        <v>1057058.1856091407</v>
      </c>
      <c r="G120" s="94">
        <f t="shared" ca="1" si="16"/>
        <v>15313996.618239906</v>
      </c>
      <c r="H120" s="90">
        <f>Weather!H227</f>
        <v>147.5</v>
      </c>
      <c r="I120" s="90">
        <f>Weather!I227</f>
        <v>6.8000000000000007</v>
      </c>
      <c r="J120" s="90">
        <f t="shared" ca="1" si="21"/>
        <v>147.23999999999998</v>
      </c>
      <c r="K120" s="90">
        <f t="shared" ca="1" si="21"/>
        <v>14.710000000000003</v>
      </c>
      <c r="L120" s="108">
        <v>31</v>
      </c>
      <c r="M120" s="108">
        <f t="shared" si="19"/>
        <v>0</v>
      </c>
      <c r="N120" s="152">
        <f>Data!AC107</f>
        <v>0</v>
      </c>
      <c r="O120" s="152">
        <f>Data!AD107</f>
        <v>0</v>
      </c>
      <c r="P120" s="152"/>
      <c r="Q120" s="152"/>
      <c r="R120" s="150">
        <f>Data!AH107</f>
        <v>14378</v>
      </c>
      <c r="S120" s="67">
        <f t="shared" ca="1" si="17"/>
        <v>15546538.264808344</v>
      </c>
      <c r="T120" s="40">
        <f t="shared" ca="1" si="11"/>
        <v>232541.64656843804</v>
      </c>
      <c r="U120" s="53">
        <f t="shared" ca="1" si="12"/>
        <v>1.5184909097568085E-2</v>
      </c>
      <c r="V120" s="12">
        <f t="shared" ca="1" si="13"/>
        <v>1.5184909097568085E-2</v>
      </c>
      <c r="W120" s="153"/>
    </row>
    <row r="121" spans="1:25" ht="15" x14ac:dyDescent="0.25">
      <c r="A121" s="66">
        <v>43799</v>
      </c>
      <c r="B121" s="114">
        <f t="shared" si="14"/>
        <v>2019</v>
      </c>
      <c r="C121" s="114">
        <f t="shared" si="15"/>
        <v>11</v>
      </c>
      <c r="D121" s="107">
        <f>Purchases!C121</f>
        <v>19512627.908904467</v>
      </c>
      <c r="E121" s="104">
        <v>4374163.1948623955</v>
      </c>
      <c r="F121" s="171">
        <f ca="1">CDM!D129</f>
        <v>1058124.961487948</v>
      </c>
      <c r="G121" s="94">
        <f t="shared" ca="1" si="16"/>
        <v>16196589.67553002</v>
      </c>
      <c r="H121" s="90">
        <f>Weather!H228</f>
        <v>425.2</v>
      </c>
      <c r="I121" s="90">
        <f>Weather!I228</f>
        <v>0</v>
      </c>
      <c r="J121" s="90">
        <f t="shared" ca="1" si="21"/>
        <v>331.03</v>
      </c>
      <c r="K121" s="90">
        <f t="shared" ca="1" si="21"/>
        <v>0.54000000000000026</v>
      </c>
      <c r="L121" s="108">
        <v>30</v>
      </c>
      <c r="M121" s="108">
        <f t="shared" si="19"/>
        <v>0</v>
      </c>
      <c r="N121" s="152">
        <f>Data!AC108</f>
        <v>0</v>
      </c>
      <c r="O121" s="152">
        <f>Data!AD108</f>
        <v>0</v>
      </c>
      <c r="P121" s="152"/>
      <c r="Q121" s="152"/>
      <c r="R121" s="150">
        <f>Data!AH108</f>
        <v>14388</v>
      </c>
      <c r="S121" s="67">
        <f t="shared" ca="1" si="17"/>
        <v>15629646.201009825</v>
      </c>
      <c r="T121" s="40">
        <f t="shared" ca="1" si="11"/>
        <v>-566943.47452019528</v>
      </c>
      <c r="U121" s="53">
        <f t="shared" ca="1" si="12"/>
        <v>-3.5003879574521758E-2</v>
      </c>
      <c r="V121" s="12">
        <f t="shared" ca="1" si="13"/>
        <v>3.5003879574521758E-2</v>
      </c>
      <c r="W121" s="153"/>
    </row>
    <row r="122" spans="1:25" ht="15" x14ac:dyDescent="0.25">
      <c r="A122" s="66">
        <v>43830</v>
      </c>
      <c r="B122" s="114">
        <f t="shared" si="14"/>
        <v>2019</v>
      </c>
      <c r="C122" s="114">
        <f t="shared" si="15"/>
        <v>12</v>
      </c>
      <c r="D122" s="107">
        <f>Purchases!C122</f>
        <v>20791848.943550967</v>
      </c>
      <c r="E122" s="104">
        <v>4357443.9816535302</v>
      </c>
      <c r="F122" s="171">
        <f ca="1">CDM!D130</f>
        <v>1059191.7373667555</v>
      </c>
      <c r="G122" s="94">
        <f t="shared" ca="1" si="16"/>
        <v>17493596.699264191</v>
      </c>
      <c r="H122" s="90">
        <f>Weather!H229</f>
        <v>493.69999999999987</v>
      </c>
      <c r="I122" s="90">
        <f>Weather!I229</f>
        <v>0</v>
      </c>
      <c r="J122" s="90">
        <f t="shared" ca="1" si="21"/>
        <v>485.42000000000007</v>
      </c>
      <c r="K122" s="90">
        <f t="shared" ca="1" si="21"/>
        <v>0</v>
      </c>
      <c r="L122" s="108">
        <v>31</v>
      </c>
      <c r="M122" s="108">
        <f t="shared" si="19"/>
        <v>0</v>
      </c>
      <c r="N122" s="152">
        <f>Data!AC109</f>
        <v>0</v>
      </c>
      <c r="O122" s="152">
        <f>Data!AD109</f>
        <v>0</v>
      </c>
      <c r="P122" s="152"/>
      <c r="Q122" s="152"/>
      <c r="R122" s="150">
        <f>Data!AH109</f>
        <v>14396.5</v>
      </c>
      <c r="S122" s="67">
        <f t="shared" ca="1" si="17"/>
        <v>17442342.074441765</v>
      </c>
      <c r="T122" s="40">
        <f t="shared" ca="1" si="11"/>
        <v>-51254.624822426587</v>
      </c>
      <c r="U122" s="53">
        <f t="shared" ca="1" si="12"/>
        <v>-2.9299077658845557E-3</v>
      </c>
      <c r="V122" s="12">
        <f ca="1">ABS(U122)</f>
        <v>2.9299077658845557E-3</v>
      </c>
      <c r="W122" s="153"/>
      <c r="Y122" s="55" t="s">
        <v>79</v>
      </c>
    </row>
    <row r="123" spans="1:25" ht="15" x14ac:dyDescent="0.25">
      <c r="A123" s="66">
        <v>43861</v>
      </c>
      <c r="B123" s="114">
        <f t="shared" si="14"/>
        <v>2020</v>
      </c>
      <c r="C123" s="114">
        <f t="shared" si="15"/>
        <v>1</v>
      </c>
      <c r="D123" s="107">
        <f>Purchases!C123</f>
        <v>21239209.767112821</v>
      </c>
      <c r="E123" s="104">
        <v>4833173.3349823048</v>
      </c>
      <c r="F123" s="171">
        <f ca="1">CDM!D131</f>
        <v>1049115.2733087833</v>
      </c>
      <c r="G123" s="94">
        <f t="shared" ca="1" si="16"/>
        <v>17455151.705439299</v>
      </c>
      <c r="H123" s="90">
        <f>Weather!H230</f>
        <v>509.5</v>
      </c>
      <c r="I123" s="90">
        <f>Weather!I230</f>
        <v>0</v>
      </c>
      <c r="J123" s="90">
        <f t="shared" ca="1" si="21"/>
        <v>607.33000000000004</v>
      </c>
      <c r="K123" s="90">
        <f t="shared" ca="1" si="21"/>
        <v>0</v>
      </c>
      <c r="L123" s="108">
        <v>31</v>
      </c>
      <c r="M123" s="108">
        <f t="shared" si="19"/>
        <v>0</v>
      </c>
      <c r="N123" s="152">
        <f>Data!AC110</f>
        <v>0</v>
      </c>
      <c r="O123" s="152">
        <f>Data!AD110</f>
        <v>0</v>
      </c>
      <c r="P123" s="152"/>
      <c r="Q123" s="152"/>
      <c r="R123" s="150">
        <f>Data!AH110</f>
        <v>14412.5</v>
      </c>
      <c r="S123" s="67">
        <f t="shared" ca="1" si="17"/>
        <v>18060736.240026034</v>
      </c>
      <c r="T123" s="40">
        <f t="shared" ca="1" si="11"/>
        <v>605584.53458673507</v>
      </c>
      <c r="U123" s="53">
        <f t="shared" ca="1" si="12"/>
        <v>3.4693742271974949E-2</v>
      </c>
      <c r="V123" s="12">
        <f t="shared" ref="V123:V131" ca="1" si="22">ABS(U123)</f>
        <v>3.4693742271974949E-2</v>
      </c>
      <c r="Y123" s="95">
        <v>20997348</v>
      </c>
    </row>
    <row r="124" spans="1:25" ht="15" x14ac:dyDescent="0.25">
      <c r="A124" s="66">
        <v>43890</v>
      </c>
      <c r="B124" s="114">
        <f t="shared" si="14"/>
        <v>2020</v>
      </c>
      <c r="C124" s="114">
        <f t="shared" si="15"/>
        <v>2</v>
      </c>
      <c r="D124" s="107">
        <f>Purchases!C124</f>
        <v>19035160.954744305</v>
      </c>
      <c r="E124" s="104">
        <v>3781055.952817406</v>
      </c>
      <c r="F124" s="171">
        <f ca="1">CDM!D132</f>
        <v>1049115.2733087833</v>
      </c>
      <c r="G124" s="94">
        <f t="shared" ca="1" si="16"/>
        <v>16303220.275235683</v>
      </c>
      <c r="H124" s="90">
        <f>Weather!H231</f>
        <v>506.20000000000005</v>
      </c>
      <c r="I124" s="90">
        <f>Weather!I231</f>
        <v>0</v>
      </c>
      <c r="J124" s="90">
        <f t="shared" ca="1" si="21"/>
        <v>533.1</v>
      </c>
      <c r="K124" s="90">
        <f t="shared" ca="1" si="21"/>
        <v>0</v>
      </c>
      <c r="L124" s="108">
        <v>29</v>
      </c>
      <c r="M124" s="108">
        <f t="shared" si="19"/>
        <v>0</v>
      </c>
      <c r="N124" s="152">
        <f>Data!AC111</f>
        <v>0</v>
      </c>
      <c r="O124" s="152">
        <f>Data!AD111</f>
        <v>0</v>
      </c>
      <c r="P124" s="152"/>
      <c r="Q124" s="152"/>
      <c r="R124" s="150">
        <f>Data!AH111</f>
        <v>14426.5</v>
      </c>
      <c r="S124" s="67">
        <f t="shared" ca="1" si="17"/>
        <v>16469735.904187774</v>
      </c>
      <c r="T124" s="40">
        <f t="shared" ca="1" si="11"/>
        <v>166515.62895209156</v>
      </c>
      <c r="U124" s="53">
        <f t="shared" ca="1" si="12"/>
        <v>1.0213664916557988E-2</v>
      </c>
      <c r="V124" s="12">
        <f t="shared" ca="1" si="22"/>
        <v>1.0213664916557988E-2</v>
      </c>
      <c r="W124"/>
      <c r="Y124" s="95">
        <v>18815297.000000004</v>
      </c>
    </row>
    <row r="125" spans="1:25" ht="15" x14ac:dyDescent="0.25">
      <c r="A125" s="66">
        <v>43921</v>
      </c>
      <c r="B125" s="114">
        <f t="shared" si="14"/>
        <v>2020</v>
      </c>
      <c r="C125" s="114">
        <f t="shared" si="15"/>
        <v>3</v>
      </c>
      <c r="D125" s="107">
        <f>Purchases!C125</f>
        <v>19087245.664711308</v>
      </c>
      <c r="E125" s="104">
        <v>4032656.886527366</v>
      </c>
      <c r="F125" s="171">
        <f ca="1">CDM!D133</f>
        <v>1049115.2733087833</v>
      </c>
      <c r="G125" s="94">
        <f t="shared" ca="1" si="16"/>
        <v>16103704.051492725</v>
      </c>
      <c r="H125" s="90">
        <f>Weather!H232</f>
        <v>380.49999999999989</v>
      </c>
      <c r="I125" s="90">
        <f>Weather!I232</f>
        <v>0</v>
      </c>
      <c r="J125" s="90">
        <f t="shared" ca="1" si="21"/>
        <v>453.77</v>
      </c>
      <c r="K125" s="90">
        <f t="shared" ca="1" si="21"/>
        <v>0.26000000000000012</v>
      </c>
      <c r="L125" s="108">
        <v>31</v>
      </c>
      <c r="M125" s="108">
        <f t="shared" si="19"/>
        <v>1</v>
      </c>
      <c r="N125" s="152">
        <f>Data!AC112</f>
        <v>380.49999999999989</v>
      </c>
      <c r="O125" s="152">
        <f>Data!AD112</f>
        <v>0</v>
      </c>
      <c r="P125" s="152">
        <f ca="1">J125</f>
        <v>453.77</v>
      </c>
      <c r="Q125" s="152">
        <f ca="1">K125</f>
        <v>0.26000000000000012</v>
      </c>
      <c r="R125" s="150">
        <f>Data!AH112</f>
        <v>14432.5</v>
      </c>
      <c r="S125" s="67">
        <f t="shared" ca="1" si="17"/>
        <v>16710102.438223189</v>
      </c>
      <c r="T125" s="40">
        <f t="shared" ca="1" si="11"/>
        <v>606398.38673046418</v>
      </c>
      <c r="U125" s="53">
        <f t="shared" ca="1" si="12"/>
        <v>3.765583276937174E-2</v>
      </c>
      <c r="V125" s="12">
        <f t="shared" ca="1" si="22"/>
        <v>3.765583276937174E-2</v>
      </c>
      <c r="W125"/>
      <c r="Y125" s="95">
        <v>18852854</v>
      </c>
    </row>
    <row r="126" spans="1:25" ht="15" x14ac:dyDescent="0.25">
      <c r="A126" s="66">
        <v>43951</v>
      </c>
      <c r="B126" s="114">
        <f t="shared" si="14"/>
        <v>2020</v>
      </c>
      <c r="C126" s="114">
        <f t="shared" si="15"/>
        <v>4</v>
      </c>
      <c r="D126" s="107">
        <f>Purchases!C126</f>
        <v>17079543.476648476</v>
      </c>
      <c r="E126" s="104">
        <v>3435746.1940935161</v>
      </c>
      <c r="F126" s="171">
        <f ca="1">CDM!D134</f>
        <v>1049115.2733087833</v>
      </c>
      <c r="G126" s="94">
        <f t="shared" ca="1" si="16"/>
        <v>14692912.555863744</v>
      </c>
      <c r="H126" s="90">
        <f>Weather!H233</f>
        <v>289.2999999999999</v>
      </c>
      <c r="I126" s="90">
        <f>Weather!I233</f>
        <v>0</v>
      </c>
      <c r="J126" s="90">
        <f t="shared" ca="1" si="21"/>
        <v>276.92999999999995</v>
      </c>
      <c r="K126" s="90">
        <f t="shared" ca="1" si="21"/>
        <v>1.2600000000000002</v>
      </c>
      <c r="L126" s="108">
        <v>30</v>
      </c>
      <c r="M126" s="108">
        <f t="shared" si="19"/>
        <v>1</v>
      </c>
      <c r="N126" s="152">
        <f>Data!AC113</f>
        <v>289.2999999999999</v>
      </c>
      <c r="O126" s="152">
        <f>Data!AD113</f>
        <v>0</v>
      </c>
      <c r="P126" s="152">
        <f t="shared" ref="P126:P138" ca="1" si="23">J126</f>
        <v>276.92999999999995</v>
      </c>
      <c r="Q126" s="152">
        <f t="shared" ref="Q126:Q138" ca="1" si="24">K126</f>
        <v>1.2600000000000002</v>
      </c>
      <c r="R126" s="150">
        <f>Data!AH113</f>
        <v>14425.5</v>
      </c>
      <c r="S126" s="67">
        <f t="shared" ca="1" si="17"/>
        <v>14637025.464022638</v>
      </c>
      <c r="T126" s="40">
        <f t="shared" ca="1" si="11"/>
        <v>-55887.091841105372</v>
      </c>
      <c r="U126" s="53">
        <f t="shared" ca="1" si="12"/>
        <v>-3.8036768835734741E-3</v>
      </c>
      <c r="V126" s="12">
        <f t="shared" ca="1" si="22"/>
        <v>3.8036768835734741E-3</v>
      </c>
      <c r="W126"/>
      <c r="Y126" s="95">
        <v>16843770</v>
      </c>
    </row>
    <row r="127" spans="1:25" ht="15" x14ac:dyDescent="0.25">
      <c r="A127" s="66">
        <v>43982</v>
      </c>
      <c r="B127" s="114">
        <f t="shared" si="14"/>
        <v>2020</v>
      </c>
      <c r="C127" s="114">
        <f t="shared" si="15"/>
        <v>5</v>
      </c>
      <c r="D127" s="107">
        <f>Purchases!C127</f>
        <v>19158490.866862137</v>
      </c>
      <c r="E127" s="104">
        <v>4735242.6950270245</v>
      </c>
      <c r="F127" s="171">
        <f ca="1">CDM!D135</f>
        <v>1049115.2733087833</v>
      </c>
      <c r="G127" s="94">
        <f t="shared" ca="1" si="16"/>
        <v>15472363.445143897</v>
      </c>
      <c r="H127" s="90">
        <f>Weather!H234</f>
        <v>154.59999999999997</v>
      </c>
      <c r="I127" s="90">
        <f>Weather!I234</f>
        <v>45.599999999999994</v>
      </c>
      <c r="J127" s="90">
        <f t="shared" ca="1" si="21"/>
        <v>91.789999999999992</v>
      </c>
      <c r="K127" s="90">
        <f t="shared" ca="1" si="21"/>
        <v>44.669999999999995</v>
      </c>
      <c r="L127" s="108">
        <v>31</v>
      </c>
      <c r="M127" s="108">
        <f t="shared" si="19"/>
        <v>1</v>
      </c>
      <c r="N127" s="152">
        <f>Data!AC114</f>
        <v>154.59999999999997</v>
      </c>
      <c r="O127" s="152">
        <f>Data!AD114</f>
        <v>45.599999999999994</v>
      </c>
      <c r="P127" s="152">
        <f t="shared" ca="1" si="23"/>
        <v>91.789999999999992</v>
      </c>
      <c r="Q127" s="152">
        <f t="shared" ca="1" si="24"/>
        <v>44.669999999999995</v>
      </c>
      <c r="R127" s="150">
        <f>Data!AH114</f>
        <v>14417</v>
      </c>
      <c r="S127" s="67">
        <f t="shared" ca="1" si="17"/>
        <v>14927322.375207903</v>
      </c>
      <c r="T127" s="40">
        <f t="shared" ca="1" si="11"/>
        <v>-545041.06993599422</v>
      </c>
      <c r="U127" s="53">
        <f t="shared" ca="1" si="12"/>
        <v>-3.5226749414748203E-2</v>
      </c>
      <c r="V127" s="12">
        <f t="shared" ca="1" si="22"/>
        <v>3.5226749414748203E-2</v>
      </c>
      <c r="W127"/>
      <c r="Y127" s="95">
        <v>18884385.000000004</v>
      </c>
    </row>
    <row r="128" spans="1:25" ht="15" x14ac:dyDescent="0.25">
      <c r="A128" s="66">
        <v>44012</v>
      </c>
      <c r="B128" s="114">
        <f t="shared" si="14"/>
        <v>2020</v>
      </c>
      <c r="C128" s="114">
        <f t="shared" si="15"/>
        <v>6</v>
      </c>
      <c r="D128" s="107">
        <f>Purchases!C128</f>
        <v>23659036.820064977</v>
      </c>
      <c r="E128" s="104">
        <v>6037296.4429668775</v>
      </c>
      <c r="F128" s="171">
        <f ca="1">CDM!D136</f>
        <v>1049115.2733087833</v>
      </c>
      <c r="G128" s="94">
        <f t="shared" ca="1" si="16"/>
        <v>18670855.650406882</v>
      </c>
      <c r="H128" s="90">
        <f>Weather!H235</f>
        <v>7.5999999999999979</v>
      </c>
      <c r="I128" s="90">
        <f>Weather!I235</f>
        <v>142</v>
      </c>
      <c r="J128" s="90">
        <f t="shared" ca="1" si="21"/>
        <v>8.3199999999999985</v>
      </c>
      <c r="K128" s="90">
        <f t="shared" ca="1" si="21"/>
        <v>115.62</v>
      </c>
      <c r="L128" s="108">
        <v>30</v>
      </c>
      <c r="M128" s="108">
        <f t="shared" si="19"/>
        <v>0</v>
      </c>
      <c r="N128" s="152">
        <f>Data!AC115</f>
        <v>7.5999999999999979</v>
      </c>
      <c r="O128" s="152">
        <f>Data!AD115</f>
        <v>142</v>
      </c>
      <c r="P128" s="152">
        <f t="shared" ca="1" si="23"/>
        <v>8.3199999999999985</v>
      </c>
      <c r="Q128" s="152">
        <f t="shared" ca="1" si="24"/>
        <v>115.62</v>
      </c>
      <c r="R128" s="150">
        <f>Data!AH115</f>
        <v>14418.5</v>
      </c>
      <c r="S128" s="67">
        <f t="shared" ca="1" si="17"/>
        <v>17736158.204465393</v>
      </c>
      <c r="T128" s="40">
        <f t="shared" ca="1" si="11"/>
        <v>-934697.44594148919</v>
      </c>
      <c r="U128" s="53">
        <f t="shared" ca="1" si="12"/>
        <v>-5.0061843090791605E-2</v>
      </c>
      <c r="V128" s="12">
        <f t="shared" ca="1" si="22"/>
        <v>5.0061843090791605E-2</v>
      </c>
      <c r="W128"/>
      <c r="Y128" s="95">
        <v>23343163</v>
      </c>
    </row>
    <row r="129" spans="1:25" ht="15" x14ac:dyDescent="0.25">
      <c r="A129" s="66">
        <v>44043</v>
      </c>
      <c r="B129" s="114">
        <f t="shared" si="14"/>
        <v>2020</v>
      </c>
      <c r="C129" s="114">
        <f t="shared" si="15"/>
        <v>7</v>
      </c>
      <c r="D129" s="107">
        <f>Purchases!C129</f>
        <v>31068671.938821949</v>
      </c>
      <c r="E129" s="104">
        <v>8129921.4906045105</v>
      </c>
      <c r="F129" s="171">
        <f ca="1">CDM!D137</f>
        <v>1049115.2733087833</v>
      </c>
      <c r="G129" s="94">
        <f t="shared" ca="1" si="16"/>
        <v>23987865.72152622</v>
      </c>
      <c r="H129" s="90">
        <f>Weather!H236</f>
        <v>0</v>
      </c>
      <c r="I129" s="90">
        <f>Weather!I236</f>
        <v>277.60000000000008</v>
      </c>
      <c r="J129" s="90">
        <f t="shared" ca="1" si="21"/>
        <v>0</v>
      </c>
      <c r="K129" s="90">
        <f t="shared" ca="1" si="21"/>
        <v>224.87000000000003</v>
      </c>
      <c r="L129" s="108">
        <v>31</v>
      </c>
      <c r="M129" s="108">
        <f t="shared" si="19"/>
        <v>0</v>
      </c>
      <c r="N129" s="152">
        <f>Data!AC116</f>
        <v>0</v>
      </c>
      <c r="O129" s="152">
        <f>Data!AD116</f>
        <v>277.60000000000008</v>
      </c>
      <c r="P129" s="152">
        <f t="shared" ca="1" si="23"/>
        <v>0</v>
      </c>
      <c r="Q129" s="152">
        <f t="shared" ca="1" si="24"/>
        <v>224.87000000000003</v>
      </c>
      <c r="R129" s="150">
        <f>Data!AH116</f>
        <v>14418</v>
      </c>
      <c r="S129" s="67">
        <f t="shared" ca="1" si="17"/>
        <v>22107804.901941039</v>
      </c>
      <c r="T129" s="40">
        <f t="shared" ca="1" si="11"/>
        <v>-1880060.8195851818</v>
      </c>
      <c r="U129" s="53">
        <f t="shared" ca="1" si="12"/>
        <v>-7.8375493735487009E-2</v>
      </c>
      <c r="V129" s="12">
        <f t="shared" ca="1" si="22"/>
        <v>7.8375493735487009E-2</v>
      </c>
      <c r="W129"/>
      <c r="Y129" s="95">
        <v>30681908.000000004</v>
      </c>
    </row>
    <row r="130" spans="1:25" ht="15" x14ac:dyDescent="0.25">
      <c r="A130" s="66">
        <v>44074</v>
      </c>
      <c r="B130" s="114">
        <f t="shared" si="14"/>
        <v>2020</v>
      </c>
      <c r="C130" s="114">
        <f t="shared" si="15"/>
        <v>8</v>
      </c>
      <c r="D130" s="107">
        <f>Purchases!C130</f>
        <v>26721444.06371244</v>
      </c>
      <c r="E130" s="104">
        <v>6612027.0517714433</v>
      </c>
      <c r="F130" s="171">
        <f ca="1">CDM!D138</f>
        <v>1049115.2733087833</v>
      </c>
      <c r="G130" s="94">
        <f t="shared" ca="1" si="16"/>
        <v>21158532.285249781</v>
      </c>
      <c r="H130" s="90">
        <f>Weather!H237</f>
        <v>0</v>
      </c>
      <c r="I130" s="90">
        <f>Weather!I237</f>
        <v>204.70000000000002</v>
      </c>
      <c r="J130" s="90">
        <f t="shared" ca="1" si="21"/>
        <v>9.9999999999999638E-3</v>
      </c>
      <c r="K130" s="90">
        <f t="shared" ca="1" si="21"/>
        <v>186.09000000000003</v>
      </c>
      <c r="L130" s="108">
        <v>31</v>
      </c>
      <c r="M130" s="108">
        <f t="shared" si="19"/>
        <v>0</v>
      </c>
      <c r="N130" s="152">
        <f>Data!AC117</f>
        <v>0</v>
      </c>
      <c r="O130" s="152">
        <f>Data!AD117</f>
        <v>204.70000000000002</v>
      </c>
      <c r="P130" s="152">
        <f t="shared" ca="1" si="23"/>
        <v>9.9999999999999638E-3</v>
      </c>
      <c r="Q130" s="152">
        <f t="shared" ca="1" si="24"/>
        <v>186.09000000000003</v>
      </c>
      <c r="R130" s="150">
        <f>Data!AH117</f>
        <v>14420</v>
      </c>
      <c r="S130" s="67">
        <f t="shared" ca="1" si="17"/>
        <v>20495083.877933048</v>
      </c>
      <c r="T130" s="40">
        <f t="shared" ca="1" si="11"/>
        <v>-663448.40731673315</v>
      </c>
      <c r="U130" s="53">
        <f t="shared" ca="1" si="12"/>
        <v>-3.1356069427331781E-2</v>
      </c>
      <c r="V130" s="12">
        <f t="shared" ca="1" si="22"/>
        <v>3.1356069427331781E-2</v>
      </c>
      <c r="W130"/>
      <c r="Y130" s="95">
        <v>26345827</v>
      </c>
    </row>
    <row r="131" spans="1:25" ht="15" x14ac:dyDescent="0.25">
      <c r="A131" s="66">
        <v>44104</v>
      </c>
      <c r="B131" s="114">
        <f t="shared" si="14"/>
        <v>2020</v>
      </c>
      <c r="C131" s="114">
        <f t="shared" si="15"/>
        <v>9</v>
      </c>
      <c r="D131" s="107">
        <f>Purchases!C131</f>
        <v>20324132.402995322</v>
      </c>
      <c r="E131" s="104">
        <v>4759664.6737366663</v>
      </c>
      <c r="F131" s="171">
        <f ca="1">CDM!D139</f>
        <v>1049115.2733087833</v>
      </c>
      <c r="G131" s="94">
        <f t="shared" ca="1" si="16"/>
        <v>16613583.00256744</v>
      </c>
      <c r="H131" s="90">
        <f>Weather!H238</f>
        <v>21.899999999999995</v>
      </c>
      <c r="I131" s="90">
        <f>Weather!I238</f>
        <v>73.099999999999994</v>
      </c>
      <c r="J131" s="90">
        <f t="shared" ca="1" si="21"/>
        <v>19.43</v>
      </c>
      <c r="K131" s="90">
        <f t="shared" ca="1" si="21"/>
        <v>90.78</v>
      </c>
      <c r="L131" s="108">
        <v>30</v>
      </c>
      <c r="M131" s="108">
        <f t="shared" si="19"/>
        <v>0</v>
      </c>
      <c r="N131" s="152">
        <f>Data!AC118</f>
        <v>21.899999999999995</v>
      </c>
      <c r="O131" s="152">
        <f>Data!AD118</f>
        <v>73.099999999999994</v>
      </c>
      <c r="P131" s="152">
        <f t="shared" ca="1" si="23"/>
        <v>19.43</v>
      </c>
      <c r="Q131" s="152">
        <f t="shared" ca="1" si="24"/>
        <v>90.78</v>
      </c>
      <c r="R131" s="150">
        <f>Data!AH118</f>
        <v>14422.5</v>
      </c>
      <c r="S131" s="67">
        <f t="shared" ca="1" si="17"/>
        <v>17223824.489899922</v>
      </c>
      <c r="T131" s="40">
        <f ca="1">S131-G131</f>
        <v>610241.48733248189</v>
      </c>
      <c r="U131" s="53">
        <f ca="1">T131/G131</f>
        <v>3.6731479731866148E-2</v>
      </c>
      <c r="V131" s="12">
        <f t="shared" ca="1" si="22"/>
        <v>3.6731479731866148E-2</v>
      </c>
      <c r="W131" s="192">
        <f ca="1">AVERAGE(V3:V134)</f>
        <v>2.9275093942356455E-2</v>
      </c>
      <c r="X131" t="s">
        <v>63</v>
      </c>
      <c r="Y131" s="95">
        <v>20014479</v>
      </c>
    </row>
    <row r="132" spans="1:25" ht="15" x14ac:dyDescent="0.25">
      <c r="A132" s="66">
        <v>44135</v>
      </c>
      <c r="B132" s="114">
        <f t="shared" ref="B132:B158" si="25">YEAR(A132)</f>
        <v>2020</v>
      </c>
      <c r="C132" s="114">
        <f t="shared" ref="C132:C158" si="26">MONTH(A132)</f>
        <v>10</v>
      </c>
      <c r="D132" s="107">
        <f>Purchases!C132</f>
        <v>19166451.094120812</v>
      </c>
      <c r="E132" s="107">
        <v>4510134.313046311</v>
      </c>
      <c r="F132" s="171">
        <f ca="1">CDM!D140</f>
        <v>1049115.2733087833</v>
      </c>
      <c r="G132" s="94">
        <f ca="1">D132+F132-E132</f>
        <v>15705432.054383285</v>
      </c>
      <c r="H132" s="90">
        <f>Weather!H239</f>
        <v>172.2</v>
      </c>
      <c r="I132" s="90">
        <f>Weather!I239</f>
        <v>5.8000000000000007</v>
      </c>
      <c r="J132" s="90">
        <f t="shared" ca="1" si="21"/>
        <v>147.23999999999998</v>
      </c>
      <c r="K132" s="90">
        <f t="shared" ca="1" si="21"/>
        <v>14.710000000000003</v>
      </c>
      <c r="L132" s="67">
        <v>31</v>
      </c>
      <c r="M132" s="108">
        <f t="shared" si="19"/>
        <v>0</v>
      </c>
      <c r="N132" s="152">
        <f>Data!AC119</f>
        <v>172.2</v>
      </c>
      <c r="O132" s="152">
        <f>Data!AD119</f>
        <v>5.8000000000000007</v>
      </c>
      <c r="P132" s="152">
        <f t="shared" ca="1" si="23"/>
        <v>147.23999999999998</v>
      </c>
      <c r="Q132" s="152">
        <f t="shared" ca="1" si="24"/>
        <v>14.710000000000003</v>
      </c>
      <c r="R132" s="150">
        <f>Data!AH119</f>
        <v>14423</v>
      </c>
      <c r="S132" s="67">
        <f ca="1">G132+(J132-H132)*$Y$11+(K132-I132)*$Y$12+(P132-N132)*$Y$15+(Q132-O132)*$Y$16</f>
        <v>15819697.075602137</v>
      </c>
      <c r="T132" s="40">
        <f ca="1">S132-G132</f>
        <v>114265.02121885121</v>
      </c>
      <c r="U132" s="53">
        <f ca="1">T132/G132</f>
        <v>7.275509570394822E-3</v>
      </c>
      <c r="V132" s="12">
        <f ca="1">ABS(U132)</f>
        <v>7.275509570394822E-3</v>
      </c>
      <c r="W132"/>
    </row>
    <row r="133" spans="1:25" ht="15" x14ac:dyDescent="0.25">
      <c r="A133" s="66">
        <v>44165</v>
      </c>
      <c r="B133" s="114">
        <f t="shared" si="25"/>
        <v>2020</v>
      </c>
      <c r="C133" s="114">
        <f t="shared" si="26"/>
        <v>11</v>
      </c>
      <c r="D133" s="107">
        <f>Purchases!C133</f>
        <v>18736074.894379988</v>
      </c>
      <c r="E133" s="107">
        <v>3624554.3128952486</v>
      </c>
      <c r="F133" s="171">
        <f ca="1">CDM!D141</f>
        <v>1049115.2733087833</v>
      </c>
      <c r="G133" s="94">
        <f ca="1">D133+F133-E133</f>
        <v>16160635.854793523</v>
      </c>
      <c r="H133" s="90">
        <f>Weather!H240</f>
        <v>251.89999999999998</v>
      </c>
      <c r="I133" s="90">
        <f>Weather!I240</f>
        <v>3.1000000000000014</v>
      </c>
      <c r="J133" s="90">
        <f t="shared" ca="1" si="21"/>
        <v>331.03</v>
      </c>
      <c r="K133" s="90">
        <f t="shared" ca="1" si="21"/>
        <v>0.54000000000000026</v>
      </c>
      <c r="L133" s="67">
        <v>30</v>
      </c>
      <c r="M133" s="108">
        <f t="shared" si="19"/>
        <v>0</v>
      </c>
      <c r="N133" s="152">
        <f>Data!AC120</f>
        <v>251.89999999999998</v>
      </c>
      <c r="O133" s="152">
        <f>Data!AD120</f>
        <v>3.1000000000000014</v>
      </c>
      <c r="P133" s="152">
        <f t="shared" ca="1" si="23"/>
        <v>331.03</v>
      </c>
      <c r="Q133" s="152">
        <f t="shared" ca="1" si="24"/>
        <v>0.54000000000000026</v>
      </c>
      <c r="R133" s="150">
        <f>Data!AH120</f>
        <v>14420</v>
      </c>
      <c r="S133" s="67">
        <f ca="1">G133+(J133-H133)*$Y$11+(K133-I133)*$Y$12+(P133-N133)*$Y$15+(Q133-O133)*$Y$16</f>
        <v>16714245.821360117</v>
      </c>
      <c r="T133" s="40">
        <f ca="1">S133-G133</f>
        <v>553609.96656659432</v>
      </c>
      <c r="U133" s="53">
        <f ca="1">T133/G133</f>
        <v>3.4256694571976512E-2</v>
      </c>
      <c r="V133" s="12">
        <f ca="1">ABS(U133)</f>
        <v>3.4256694571976512E-2</v>
      </c>
      <c r="W133"/>
    </row>
    <row r="134" spans="1:25" ht="15" x14ac:dyDescent="0.25">
      <c r="A134" s="66">
        <v>44196</v>
      </c>
      <c r="B134" s="114">
        <f t="shared" si="25"/>
        <v>2020</v>
      </c>
      <c r="C134" s="114">
        <f t="shared" si="26"/>
        <v>12</v>
      </c>
      <c r="D134" s="107">
        <f>Purchases!C134</f>
        <v>22275090.071478143</v>
      </c>
      <c r="E134" s="107">
        <v>4690646.6356936488</v>
      </c>
      <c r="F134" s="171">
        <f ca="1">CDM!D142</f>
        <v>1049115.2733087833</v>
      </c>
      <c r="G134" s="94">
        <f ca="1">D134+F134-E134</f>
        <v>18633558.70909328</v>
      </c>
      <c r="H134" s="90">
        <f>Weather!H241</f>
        <v>475.89999999999986</v>
      </c>
      <c r="I134" s="90">
        <f>Weather!I241</f>
        <v>0</v>
      </c>
      <c r="J134" s="90">
        <f t="shared" ca="1" si="21"/>
        <v>485.42000000000007</v>
      </c>
      <c r="K134" s="90">
        <f t="shared" ca="1" si="21"/>
        <v>0</v>
      </c>
      <c r="L134" s="67">
        <v>31</v>
      </c>
      <c r="M134" s="108">
        <f t="shared" si="19"/>
        <v>0</v>
      </c>
      <c r="N134" s="152">
        <f>Data!AC121</f>
        <v>475.89999999999986</v>
      </c>
      <c r="O134" s="152">
        <f>Data!AD121</f>
        <v>0</v>
      </c>
      <c r="P134" s="152">
        <f t="shared" ca="1" si="23"/>
        <v>485.42000000000007</v>
      </c>
      <c r="Q134" s="152">
        <f t="shared" ca="1" si="24"/>
        <v>0</v>
      </c>
      <c r="R134" s="150">
        <f>Data!AH121</f>
        <v>14426</v>
      </c>
      <c r="S134" s="67">
        <f ca="1">G134+(J134-H134)*$Y$11+(K134-I134)*$Y$12+(P134-N134)*$Y$15+(Q134-O134)*$Y$16</f>
        <v>18711143.814437781</v>
      </c>
      <c r="T134" s="40">
        <f ca="1">S134-G134</f>
        <v>77585.105344500393</v>
      </c>
      <c r="U134" s="53">
        <f ca="1">T134/G134</f>
        <v>4.1637298894836678E-3</v>
      </c>
      <c r="V134" s="12">
        <f ca="1">ABS(U134)</f>
        <v>4.1637298894836678E-3</v>
      </c>
      <c r="W134"/>
    </row>
    <row r="135" spans="1:25" x14ac:dyDescent="0.2">
      <c r="A135" s="66">
        <v>44227</v>
      </c>
      <c r="B135" s="114">
        <f t="shared" si="25"/>
        <v>2021</v>
      </c>
      <c r="C135" s="114">
        <f t="shared" si="26"/>
        <v>1</v>
      </c>
      <c r="D135" s="255"/>
      <c r="E135" s="255"/>
      <c r="F135" s="171">
        <f ca="1">CDM!D143</f>
        <v>1038798.6979376742</v>
      </c>
      <c r="G135" s="255"/>
      <c r="H135" s="111">
        <f ca="1">Weather!AX61</f>
        <v>607.33000000000004</v>
      </c>
      <c r="I135" s="111">
        <f ca="1">Weather!AY61</f>
        <v>0</v>
      </c>
      <c r="J135" s="90">
        <f t="shared" ref="J135:K147" ca="1" si="27">J123</f>
        <v>607.33000000000004</v>
      </c>
      <c r="K135" s="90">
        <f t="shared" ca="1" si="27"/>
        <v>0</v>
      </c>
      <c r="L135" s="113">
        <v>31</v>
      </c>
      <c r="M135" s="108">
        <f t="shared" si="19"/>
        <v>0</v>
      </c>
      <c r="N135" s="152">
        <f t="shared" ref="N135:O138" ca="1" si="28">H135</f>
        <v>607.33000000000004</v>
      </c>
      <c r="O135" s="152">
        <f t="shared" ca="1" si="28"/>
        <v>0</v>
      </c>
      <c r="P135" s="152">
        <f t="shared" ca="1" si="23"/>
        <v>607.33000000000004</v>
      </c>
      <c r="Q135" s="152">
        <f t="shared" ca="1" si="24"/>
        <v>0</v>
      </c>
      <c r="R135" s="151">
        <f>'Customer Count'!I122-'Customer Count'!H122</f>
        <v>14501.069962236639</v>
      </c>
      <c r="S135" s="230">
        <f ca="1">$Y$10+H135*$Y$11+I135*$Y$12+L135*$Y$13+M135*$Y$14+N135*$Y$15+O135*$Y$16+R135*$Y$17</f>
        <v>19068940.951321632</v>
      </c>
      <c r="T135" s="40"/>
      <c r="U135" s="53"/>
      <c r="V135" s="12"/>
      <c r="W135"/>
    </row>
    <row r="136" spans="1:25" x14ac:dyDescent="0.2">
      <c r="A136" s="66">
        <v>44255</v>
      </c>
      <c r="B136" s="114">
        <f t="shared" si="25"/>
        <v>2021</v>
      </c>
      <c r="C136" s="114">
        <f t="shared" si="26"/>
        <v>2</v>
      </c>
      <c r="D136" s="255"/>
      <c r="E136" s="255"/>
      <c r="F136" s="171">
        <f ca="1">CDM!D144</f>
        <v>1038798.6979376742</v>
      </c>
      <c r="G136" s="255"/>
      <c r="H136" s="111">
        <f ca="1">Weather!AX62</f>
        <v>533.1</v>
      </c>
      <c r="I136" s="111">
        <f ca="1">Weather!AY62</f>
        <v>0</v>
      </c>
      <c r="J136" s="90">
        <f t="shared" ca="1" si="27"/>
        <v>533.1</v>
      </c>
      <c r="K136" s="90">
        <f t="shared" ca="1" si="27"/>
        <v>0</v>
      </c>
      <c r="L136" s="113">
        <v>28</v>
      </c>
      <c r="M136" s="108">
        <f t="shared" si="19"/>
        <v>0</v>
      </c>
      <c r="N136" s="152">
        <f t="shared" ca="1" si="28"/>
        <v>533.1</v>
      </c>
      <c r="O136" s="152">
        <f t="shared" ca="1" si="28"/>
        <v>0</v>
      </c>
      <c r="P136" s="152">
        <f t="shared" ca="1" si="23"/>
        <v>533.1</v>
      </c>
      <c r="Q136" s="152">
        <f t="shared" ca="1" si="24"/>
        <v>0</v>
      </c>
      <c r="R136" s="151">
        <f>'Customer Count'!I123-'Customer Count'!H123</f>
        <v>14513.313874358173</v>
      </c>
      <c r="S136" s="230">
        <f t="shared" ref="S136:S158" ca="1" si="29">$Y$10+H136*$Y$11+I136*$Y$12+L136*$Y$13+M136*$Y$14+N136*$Y$15+O136*$Y$16+R136*$Y$17</f>
        <v>16983164.830557097</v>
      </c>
      <c r="T136" s="40"/>
      <c r="U136" s="53"/>
      <c r="V136" s="12"/>
      <c r="W136"/>
    </row>
    <row r="137" spans="1:25" x14ac:dyDescent="0.2">
      <c r="A137" s="66">
        <v>44286</v>
      </c>
      <c r="B137" s="114">
        <f t="shared" si="25"/>
        <v>2021</v>
      </c>
      <c r="C137" s="114">
        <f t="shared" si="26"/>
        <v>3</v>
      </c>
      <c r="D137" s="255"/>
      <c r="E137" s="255"/>
      <c r="F137" s="171">
        <f ca="1">CDM!D145</f>
        <v>1038798.6979376742</v>
      </c>
      <c r="G137" s="255"/>
      <c r="H137" s="111">
        <f ca="1">Weather!AX63</f>
        <v>453.77</v>
      </c>
      <c r="I137" s="111">
        <f ca="1">Weather!AY63</f>
        <v>0.26000000000000012</v>
      </c>
      <c r="J137" s="90">
        <f t="shared" ca="1" si="27"/>
        <v>453.77</v>
      </c>
      <c r="K137" s="90">
        <f t="shared" ca="1" si="27"/>
        <v>0.26000000000000012</v>
      </c>
      <c r="L137" s="113">
        <v>31</v>
      </c>
      <c r="M137" s="108">
        <f t="shared" si="19"/>
        <v>1</v>
      </c>
      <c r="N137" s="152">
        <f t="shared" ca="1" si="28"/>
        <v>453.77</v>
      </c>
      <c r="O137" s="152">
        <f t="shared" ca="1" si="28"/>
        <v>0.26000000000000012</v>
      </c>
      <c r="P137" s="152">
        <f t="shared" ca="1" si="23"/>
        <v>453.77</v>
      </c>
      <c r="Q137" s="152">
        <f t="shared" ca="1" si="24"/>
        <v>0.26000000000000012</v>
      </c>
      <c r="R137" s="151">
        <f>'Customer Count'!I124-'Customer Count'!H124</f>
        <v>14525.569323843798</v>
      </c>
      <c r="S137" s="230">
        <f t="shared" ca="1" si="29"/>
        <v>17161716.318679132</v>
      </c>
      <c r="T137" s="40"/>
      <c r="U137" s="53"/>
      <c r="V137" s="12"/>
      <c r="W137"/>
    </row>
    <row r="138" spans="1:25" x14ac:dyDescent="0.2">
      <c r="A138" s="66">
        <v>44316</v>
      </c>
      <c r="B138" s="114">
        <f t="shared" si="25"/>
        <v>2021</v>
      </c>
      <c r="C138" s="114">
        <f t="shared" si="26"/>
        <v>4</v>
      </c>
      <c r="D138" s="255"/>
      <c r="E138" s="255"/>
      <c r="F138" s="171">
        <f ca="1">CDM!D146</f>
        <v>1038798.6979376742</v>
      </c>
      <c r="G138" s="255"/>
      <c r="H138" s="111">
        <f ca="1">Weather!AX64</f>
        <v>276.92999999999995</v>
      </c>
      <c r="I138" s="111">
        <f ca="1">Weather!AY64</f>
        <v>1.2600000000000002</v>
      </c>
      <c r="J138" s="90">
        <f t="shared" ca="1" si="27"/>
        <v>276.92999999999995</v>
      </c>
      <c r="K138" s="90">
        <f t="shared" ca="1" si="27"/>
        <v>1.2600000000000002</v>
      </c>
      <c r="L138" s="113">
        <v>30</v>
      </c>
      <c r="M138" s="108">
        <f t="shared" si="19"/>
        <v>1</v>
      </c>
      <c r="N138" s="152">
        <f t="shared" ca="1" si="28"/>
        <v>276.92999999999995</v>
      </c>
      <c r="O138" s="152">
        <f t="shared" ca="1" si="28"/>
        <v>1.2600000000000002</v>
      </c>
      <c r="P138" s="152">
        <f t="shared" ca="1" si="23"/>
        <v>276.92999999999995</v>
      </c>
      <c r="Q138" s="152">
        <f t="shared" ca="1" si="24"/>
        <v>1.2600000000000002</v>
      </c>
      <c r="R138" s="151">
        <f>'Customer Count'!I125-'Customer Count'!H125</f>
        <v>14537.836320994007</v>
      </c>
      <c r="S138" s="230">
        <f t="shared" ca="1" si="29"/>
        <v>15267671.703648817</v>
      </c>
      <c r="T138" s="40"/>
      <c r="U138" s="53"/>
      <c r="V138" s="12"/>
      <c r="W138"/>
    </row>
    <row r="139" spans="1:25" x14ac:dyDescent="0.2">
      <c r="A139" s="66">
        <v>44347</v>
      </c>
      <c r="B139" s="114">
        <f t="shared" si="25"/>
        <v>2021</v>
      </c>
      <c r="C139" s="114">
        <f t="shared" si="26"/>
        <v>5</v>
      </c>
      <c r="D139" s="255"/>
      <c r="E139" s="255"/>
      <c r="F139" s="171">
        <f ca="1">CDM!D147</f>
        <v>1038798.6979376742</v>
      </c>
      <c r="G139" s="255"/>
      <c r="H139" s="111">
        <f ca="1">Weather!AX65</f>
        <v>91.789999999999992</v>
      </c>
      <c r="I139" s="111">
        <f ca="1">Weather!AY65</f>
        <v>44.669999999999995</v>
      </c>
      <c r="J139" s="90">
        <f t="shared" ca="1" si="27"/>
        <v>91.789999999999992</v>
      </c>
      <c r="K139" s="90">
        <f t="shared" ca="1" si="27"/>
        <v>44.669999999999995</v>
      </c>
      <c r="L139" s="113">
        <v>31</v>
      </c>
      <c r="M139" s="108">
        <f t="shared" si="19"/>
        <v>1</v>
      </c>
      <c r="N139" s="112"/>
      <c r="O139" s="112"/>
      <c r="P139" s="112"/>
      <c r="Q139" s="112"/>
      <c r="R139" s="151">
        <f>'Customer Count'!I126-'Customer Count'!H126</f>
        <v>14550.114876122647</v>
      </c>
      <c r="S139" s="230">
        <f t="shared" ca="1" si="29"/>
        <v>15360168.154429048</v>
      </c>
      <c r="T139" s="40"/>
      <c r="U139" s="53"/>
      <c r="V139" s="12"/>
      <c r="W139"/>
    </row>
    <row r="140" spans="1:25" x14ac:dyDescent="0.2">
      <c r="A140" s="66">
        <v>44377</v>
      </c>
      <c r="B140" s="114">
        <f t="shared" si="25"/>
        <v>2021</v>
      </c>
      <c r="C140" s="114">
        <f t="shared" si="26"/>
        <v>6</v>
      </c>
      <c r="D140" s="255"/>
      <c r="E140" s="255"/>
      <c r="F140" s="171">
        <f ca="1">CDM!D148</f>
        <v>1038798.6979376742</v>
      </c>
      <c r="G140" s="255"/>
      <c r="H140" s="111">
        <f ca="1">Weather!AX66</f>
        <v>8.3199999999999985</v>
      </c>
      <c r="I140" s="111">
        <f ca="1">Weather!AY66</f>
        <v>115.62</v>
      </c>
      <c r="J140" s="90">
        <f t="shared" ca="1" si="27"/>
        <v>8.3199999999999985</v>
      </c>
      <c r="K140" s="90">
        <f t="shared" ca="1" si="27"/>
        <v>115.62</v>
      </c>
      <c r="L140" s="113">
        <v>30</v>
      </c>
      <c r="M140" s="108">
        <f t="shared" si="19"/>
        <v>0</v>
      </c>
      <c r="N140" s="112"/>
      <c r="O140" s="112"/>
      <c r="P140" s="112"/>
      <c r="Q140" s="112"/>
      <c r="R140" s="151">
        <f>'Customer Count'!I127-'Customer Count'!H127</f>
        <v>14562.404999556964</v>
      </c>
      <c r="S140" s="230">
        <f t="shared" ca="1" si="29"/>
        <v>17135532.511445716</v>
      </c>
      <c r="T140" s="40"/>
      <c r="U140" s="53"/>
      <c r="V140" s="12"/>
      <c r="W140"/>
    </row>
    <row r="141" spans="1:25" x14ac:dyDescent="0.2">
      <c r="A141" s="66">
        <v>44408</v>
      </c>
      <c r="B141" s="114">
        <f t="shared" si="25"/>
        <v>2021</v>
      </c>
      <c r="C141" s="114">
        <f t="shared" si="26"/>
        <v>7</v>
      </c>
      <c r="D141" s="255"/>
      <c r="E141" s="255"/>
      <c r="F141" s="171">
        <f ca="1">CDM!D149</f>
        <v>1038798.6979376742</v>
      </c>
      <c r="G141" s="255"/>
      <c r="H141" s="111">
        <f ca="1">Weather!AX67</f>
        <v>0</v>
      </c>
      <c r="I141" s="111">
        <f ca="1">Weather!AY67</f>
        <v>224.87000000000003</v>
      </c>
      <c r="J141" s="90">
        <f t="shared" ca="1" si="27"/>
        <v>0</v>
      </c>
      <c r="K141" s="90">
        <f t="shared" ca="1" si="27"/>
        <v>224.87000000000003</v>
      </c>
      <c r="L141" s="113">
        <v>31</v>
      </c>
      <c r="M141" s="108">
        <f t="shared" si="19"/>
        <v>0</v>
      </c>
      <c r="N141" s="112"/>
      <c r="O141" s="112"/>
      <c r="P141" s="112"/>
      <c r="Q141" s="112"/>
      <c r="R141" s="151">
        <f>'Customer Count'!I128-'Customer Count'!H128</f>
        <v>14574.70670163759</v>
      </c>
      <c r="S141" s="230">
        <f t="shared" ca="1" si="29"/>
        <v>20821856.414302781</v>
      </c>
      <c r="T141" s="40"/>
      <c r="U141" s="53"/>
      <c r="V141" s="12"/>
      <c r="W141"/>
    </row>
    <row r="142" spans="1:25" x14ac:dyDescent="0.2">
      <c r="A142" s="66">
        <v>44439</v>
      </c>
      <c r="B142" s="114">
        <f t="shared" si="25"/>
        <v>2021</v>
      </c>
      <c r="C142" s="114">
        <f t="shared" si="26"/>
        <v>8</v>
      </c>
      <c r="D142" s="255"/>
      <c r="E142" s="255"/>
      <c r="F142" s="171">
        <f ca="1">CDM!D150</f>
        <v>1038798.6979376742</v>
      </c>
      <c r="G142" s="255"/>
      <c r="H142" s="111">
        <f ca="1">Weather!AX68</f>
        <v>9.9999999999999638E-3</v>
      </c>
      <c r="I142" s="111">
        <f ca="1">Weather!AY68</f>
        <v>186.09000000000003</v>
      </c>
      <c r="J142" s="90">
        <f t="shared" ca="1" si="27"/>
        <v>9.9999999999999638E-3</v>
      </c>
      <c r="K142" s="90">
        <f t="shared" ca="1" si="27"/>
        <v>186.09000000000003</v>
      </c>
      <c r="L142" s="113">
        <v>31</v>
      </c>
      <c r="M142" s="108">
        <f t="shared" si="19"/>
        <v>0</v>
      </c>
      <c r="N142" s="112"/>
      <c r="O142" s="112"/>
      <c r="P142" s="112"/>
      <c r="Q142" s="112"/>
      <c r="R142" s="151">
        <f>'Customer Count'!I129-'Customer Count'!H129</f>
        <v>14587.019992718553</v>
      </c>
      <c r="S142" s="230">
        <f t="shared" ca="1" si="29"/>
        <v>19681629.780514505</v>
      </c>
      <c r="T142" s="40"/>
      <c r="U142" s="53"/>
      <c r="V142" s="12"/>
      <c r="W142"/>
    </row>
    <row r="143" spans="1:25" x14ac:dyDescent="0.2">
      <c r="A143" s="66">
        <v>44469</v>
      </c>
      <c r="B143" s="114">
        <f t="shared" si="25"/>
        <v>2021</v>
      </c>
      <c r="C143" s="114">
        <f t="shared" si="26"/>
        <v>9</v>
      </c>
      <c r="D143" s="255"/>
      <c r="E143" s="255"/>
      <c r="F143" s="171">
        <f ca="1">CDM!D151</f>
        <v>1038798.6979376742</v>
      </c>
      <c r="G143" s="255"/>
      <c r="H143" s="111">
        <f ca="1">Weather!AX69</f>
        <v>19.43</v>
      </c>
      <c r="I143" s="111">
        <f ca="1">Weather!AY69</f>
        <v>90.78</v>
      </c>
      <c r="J143" s="90">
        <f t="shared" ca="1" si="27"/>
        <v>19.43</v>
      </c>
      <c r="K143" s="90">
        <f t="shared" ca="1" si="27"/>
        <v>90.78</v>
      </c>
      <c r="L143" s="113">
        <v>30</v>
      </c>
      <c r="M143" s="108">
        <f t="shared" si="19"/>
        <v>0</v>
      </c>
      <c r="N143" s="112"/>
      <c r="O143" s="112"/>
      <c r="P143" s="112"/>
      <c r="Q143" s="112"/>
      <c r="R143" s="151">
        <f>'Customer Count'!I130-'Customer Count'!H130</f>
        <v>14599.344883167309</v>
      </c>
      <c r="S143" s="230">
        <f t="shared" ca="1" si="29"/>
        <v>16492014.293958737</v>
      </c>
      <c r="T143" s="40"/>
      <c r="U143" s="53"/>
      <c r="V143" s="12"/>
      <c r="W143"/>
    </row>
    <row r="144" spans="1:25" x14ac:dyDescent="0.2">
      <c r="A144" s="66">
        <v>44500</v>
      </c>
      <c r="B144" s="114">
        <f t="shared" si="25"/>
        <v>2021</v>
      </c>
      <c r="C144" s="114">
        <f t="shared" si="26"/>
        <v>10</v>
      </c>
      <c r="D144" s="255"/>
      <c r="E144" s="255"/>
      <c r="F144" s="171">
        <f ca="1">CDM!D152</f>
        <v>1038798.6979376742</v>
      </c>
      <c r="G144" s="255"/>
      <c r="H144" s="111">
        <f ca="1">Weather!AX70</f>
        <v>147.23999999999998</v>
      </c>
      <c r="I144" s="111">
        <f ca="1">Weather!AY70</f>
        <v>14.710000000000003</v>
      </c>
      <c r="J144" s="90">
        <f t="shared" ca="1" si="27"/>
        <v>147.23999999999998</v>
      </c>
      <c r="K144" s="90">
        <f t="shared" ca="1" si="27"/>
        <v>14.710000000000003</v>
      </c>
      <c r="L144" s="113">
        <v>31</v>
      </c>
      <c r="M144" s="108">
        <f t="shared" ref="M144:M158" si="30">M132</f>
        <v>0</v>
      </c>
      <c r="N144" s="112"/>
      <c r="O144" s="112"/>
      <c r="P144" s="112"/>
      <c r="Q144" s="112"/>
      <c r="R144" s="151">
        <f>'Customer Count'!I131-'Customer Count'!H131</f>
        <v>14611.681383364732</v>
      </c>
      <c r="S144" s="230">
        <f t="shared" ca="1" si="29"/>
        <v>15535202.439896761</v>
      </c>
      <c r="T144" s="40"/>
      <c r="U144" s="53"/>
      <c r="V144" s="12"/>
      <c r="W144"/>
    </row>
    <row r="145" spans="1:23" x14ac:dyDescent="0.2">
      <c r="A145" s="66">
        <v>44530</v>
      </c>
      <c r="B145" s="114">
        <f t="shared" si="25"/>
        <v>2021</v>
      </c>
      <c r="C145" s="114">
        <f t="shared" si="26"/>
        <v>11</v>
      </c>
      <c r="D145" s="255"/>
      <c r="E145" s="255"/>
      <c r="F145" s="171">
        <f ca="1">CDM!D153</f>
        <v>1038798.6979376742</v>
      </c>
      <c r="G145" s="255"/>
      <c r="H145" s="111">
        <f ca="1">Weather!AX71</f>
        <v>331.03</v>
      </c>
      <c r="I145" s="111">
        <f ca="1">Weather!AY71</f>
        <v>0.54000000000000026</v>
      </c>
      <c r="J145" s="90">
        <f t="shared" ca="1" si="27"/>
        <v>331.03</v>
      </c>
      <c r="K145" s="90">
        <f t="shared" ca="1" si="27"/>
        <v>0.54000000000000026</v>
      </c>
      <c r="L145" s="113">
        <v>30</v>
      </c>
      <c r="M145" s="108">
        <f t="shared" si="30"/>
        <v>0</v>
      </c>
      <c r="N145" s="112"/>
      <c r="O145" s="112"/>
      <c r="P145" s="112"/>
      <c r="Q145" s="112"/>
      <c r="R145" s="151">
        <f>'Customer Count'!I132-'Customer Count'!H132</f>
        <v>14624.029503705133</v>
      </c>
      <c r="S145" s="230">
        <f t="shared" ca="1" si="29"/>
        <v>15764978.819801264</v>
      </c>
      <c r="T145" s="40"/>
      <c r="U145" s="53"/>
      <c r="V145" s="12"/>
      <c r="W145"/>
    </row>
    <row r="146" spans="1:23" x14ac:dyDescent="0.2">
      <c r="A146" s="66">
        <v>44561</v>
      </c>
      <c r="B146" s="114">
        <f t="shared" si="25"/>
        <v>2021</v>
      </c>
      <c r="C146" s="114">
        <f t="shared" si="26"/>
        <v>12</v>
      </c>
      <c r="D146" s="255"/>
      <c r="E146" s="255"/>
      <c r="F146" s="171">
        <f ca="1">CDM!D154</f>
        <v>1038798.6979376742</v>
      </c>
      <c r="G146" s="255"/>
      <c r="H146" s="111">
        <f ca="1">Weather!AX72</f>
        <v>485.42000000000007</v>
      </c>
      <c r="I146" s="111">
        <f ca="1">Weather!AY72</f>
        <v>0</v>
      </c>
      <c r="J146" s="90">
        <f t="shared" ca="1" si="27"/>
        <v>485.42000000000007</v>
      </c>
      <c r="K146" s="90">
        <f t="shared" ca="1" si="27"/>
        <v>0</v>
      </c>
      <c r="L146" s="113">
        <v>31</v>
      </c>
      <c r="M146" s="108">
        <f t="shared" si="30"/>
        <v>0</v>
      </c>
      <c r="N146" s="112"/>
      <c r="O146" s="112"/>
      <c r="P146" s="112"/>
      <c r="Q146" s="112"/>
      <c r="R146" s="151">
        <f>'Customer Count'!I133-'Customer Count'!H133</f>
        <v>14636.389254596274</v>
      </c>
      <c r="S146" s="230">
        <f t="shared" ca="1" si="29"/>
        <v>17208548.331067901</v>
      </c>
      <c r="T146" s="40"/>
      <c r="U146" s="53"/>
      <c r="V146" s="12"/>
      <c r="W146"/>
    </row>
    <row r="147" spans="1:23" x14ac:dyDescent="0.2">
      <c r="A147" s="66">
        <v>44592</v>
      </c>
      <c r="B147" s="114">
        <f t="shared" si="25"/>
        <v>2022</v>
      </c>
      <c r="C147" s="114">
        <f t="shared" si="26"/>
        <v>1</v>
      </c>
      <c r="D147" s="255"/>
      <c r="E147" s="255"/>
      <c r="F147" s="171">
        <f ca="1">CDM!D155</f>
        <v>1005081.2242870992</v>
      </c>
      <c r="G147" s="255"/>
      <c r="H147" s="111">
        <f ca="1">H135</f>
        <v>607.33000000000004</v>
      </c>
      <c r="I147" s="111">
        <f ca="1">I135</f>
        <v>0</v>
      </c>
      <c r="J147" s="90">
        <f t="shared" ca="1" si="27"/>
        <v>607.33000000000004</v>
      </c>
      <c r="K147" s="90">
        <f t="shared" ca="1" si="27"/>
        <v>0</v>
      </c>
      <c r="L147" s="113">
        <v>31</v>
      </c>
      <c r="M147" s="108">
        <f t="shared" si="30"/>
        <v>0</v>
      </c>
      <c r="N147" s="112"/>
      <c r="O147" s="112"/>
      <c r="P147" s="112"/>
      <c r="Q147" s="112"/>
      <c r="R147" s="151">
        <f>'Customer Count'!I134-'Customer Count'!H134</f>
        <v>14648.760646459366</v>
      </c>
      <c r="S147" s="231">
        <f t="shared" ca="1" si="29"/>
        <v>17970901.868818771</v>
      </c>
      <c r="T147" s="40"/>
      <c r="U147" s="53"/>
      <c r="V147" s="12"/>
      <c r="W147"/>
    </row>
    <row r="148" spans="1:23" x14ac:dyDescent="0.2">
      <c r="A148" s="66">
        <v>44620</v>
      </c>
      <c r="B148" s="114">
        <f t="shared" si="25"/>
        <v>2022</v>
      </c>
      <c r="C148" s="114">
        <f t="shared" si="26"/>
        <v>2</v>
      </c>
      <c r="D148" s="255"/>
      <c r="E148" s="255"/>
      <c r="F148" s="171">
        <f ca="1">CDM!D156</f>
        <v>1005081.2242870992</v>
      </c>
      <c r="G148" s="255"/>
      <c r="H148" s="111">
        <f t="shared" ref="H148:K158" ca="1" si="31">H136</f>
        <v>533.1</v>
      </c>
      <c r="I148" s="111">
        <f t="shared" ca="1" si="31"/>
        <v>0</v>
      </c>
      <c r="J148" s="90">
        <f t="shared" ca="1" si="31"/>
        <v>533.1</v>
      </c>
      <c r="K148" s="90">
        <f t="shared" ca="1" si="31"/>
        <v>0</v>
      </c>
      <c r="L148" s="113">
        <v>28</v>
      </c>
      <c r="M148" s="108">
        <f t="shared" si="30"/>
        <v>0</v>
      </c>
      <c r="N148" s="112"/>
      <c r="O148" s="112"/>
      <c r="P148" s="112"/>
      <c r="Q148" s="112"/>
      <c r="R148" s="151">
        <f>'Customer Count'!I135-'Customer Count'!H135</f>
        <v>14661.143689729104</v>
      </c>
      <c r="S148" s="231">
        <f t="shared" ca="1" si="29"/>
        <v>16030667.908521317</v>
      </c>
      <c r="T148" s="40"/>
      <c r="U148" s="53"/>
      <c r="V148" s="12"/>
      <c r="W148"/>
    </row>
    <row r="149" spans="1:23" x14ac:dyDescent="0.2">
      <c r="A149" s="66">
        <v>44651</v>
      </c>
      <c r="B149" s="114">
        <f t="shared" si="25"/>
        <v>2022</v>
      </c>
      <c r="C149" s="114">
        <f t="shared" si="26"/>
        <v>3</v>
      </c>
      <c r="D149" s="255"/>
      <c r="E149" s="255"/>
      <c r="F149" s="171">
        <f ca="1">CDM!D157</f>
        <v>1005081.2242870992</v>
      </c>
      <c r="G149" s="255"/>
      <c r="H149" s="111">
        <f t="shared" ca="1" si="31"/>
        <v>453.77</v>
      </c>
      <c r="I149" s="111">
        <f t="shared" ca="1" si="31"/>
        <v>0.26000000000000012</v>
      </c>
      <c r="J149" s="90">
        <f t="shared" ca="1" si="31"/>
        <v>453.77</v>
      </c>
      <c r="K149" s="90">
        <f t="shared" ca="1" si="31"/>
        <v>0.26000000000000012</v>
      </c>
      <c r="L149" s="113">
        <v>31</v>
      </c>
      <c r="M149" s="108">
        <f t="shared" si="30"/>
        <v>1</v>
      </c>
      <c r="N149" s="112"/>
      <c r="O149" s="112"/>
      <c r="P149" s="112"/>
      <c r="Q149" s="112"/>
      <c r="R149" s="151">
        <f>'Customer Count'!I136-'Customer Count'!H136</f>
        <v>14673.538394853656</v>
      </c>
      <c r="S149" s="231">
        <f t="shared" ca="1" si="29"/>
        <v>16363181.537183139</v>
      </c>
      <c r="T149" s="40"/>
      <c r="U149" s="53"/>
      <c r="V149" s="12"/>
      <c r="W149"/>
    </row>
    <row r="150" spans="1:23" x14ac:dyDescent="0.2">
      <c r="A150" s="66">
        <v>44681</v>
      </c>
      <c r="B150" s="114">
        <f t="shared" si="25"/>
        <v>2022</v>
      </c>
      <c r="C150" s="114">
        <f t="shared" si="26"/>
        <v>4</v>
      </c>
      <c r="D150" s="255"/>
      <c r="E150" s="255"/>
      <c r="F150" s="171">
        <f ca="1">CDM!D158</f>
        <v>1005081.2242870992</v>
      </c>
      <c r="G150" s="255"/>
      <c r="H150" s="111">
        <f t="shared" ca="1" si="31"/>
        <v>276.92999999999995</v>
      </c>
      <c r="I150" s="111">
        <f t="shared" ca="1" si="31"/>
        <v>1.2600000000000002</v>
      </c>
      <c r="J150" s="90">
        <f t="shared" ca="1" si="31"/>
        <v>276.92999999999995</v>
      </c>
      <c r="K150" s="90">
        <f t="shared" ca="1" si="31"/>
        <v>1.2600000000000002</v>
      </c>
      <c r="L150" s="113">
        <v>30</v>
      </c>
      <c r="M150" s="108">
        <f t="shared" si="30"/>
        <v>1</v>
      </c>
      <c r="N150" s="112"/>
      <c r="O150" s="112"/>
      <c r="P150" s="112"/>
      <c r="Q150" s="112"/>
      <c r="R150" s="151">
        <f>'Customer Count'!I137-'Customer Count'!H137</f>
        <v>14685.944772294675</v>
      </c>
      <c r="S150" s="231">
        <f t="shared" ca="1" si="29"/>
        <v>14809693.407295547</v>
      </c>
      <c r="T150" s="40"/>
      <c r="U150" s="53"/>
      <c r="V150" s="12"/>
      <c r="W150"/>
    </row>
    <row r="151" spans="1:23" x14ac:dyDescent="0.2">
      <c r="A151" s="66">
        <v>44712</v>
      </c>
      <c r="B151" s="114">
        <f t="shared" si="25"/>
        <v>2022</v>
      </c>
      <c r="C151" s="114">
        <f t="shared" si="26"/>
        <v>5</v>
      </c>
      <c r="D151" s="255"/>
      <c r="E151" s="255"/>
      <c r="F151" s="171">
        <f ca="1">CDM!D159</f>
        <v>1005081.2242870992</v>
      </c>
      <c r="G151" s="255"/>
      <c r="H151" s="111">
        <f t="shared" ca="1" si="31"/>
        <v>91.789999999999992</v>
      </c>
      <c r="I151" s="111">
        <f t="shared" ca="1" si="31"/>
        <v>44.669999999999995</v>
      </c>
      <c r="J151" s="90">
        <f t="shared" ca="1" si="31"/>
        <v>91.789999999999992</v>
      </c>
      <c r="K151" s="90">
        <f t="shared" ca="1" si="31"/>
        <v>44.669999999999995</v>
      </c>
      <c r="L151" s="113">
        <v>31</v>
      </c>
      <c r="M151" s="108">
        <f t="shared" si="30"/>
        <v>1</v>
      </c>
      <c r="N151" s="112"/>
      <c r="O151" s="112"/>
      <c r="P151" s="112"/>
      <c r="Q151" s="112"/>
      <c r="R151" s="151">
        <f>'Customer Count'!I138-'Customer Count'!H138</f>
        <v>14698.362832527331</v>
      </c>
      <c r="S151" s="231">
        <f t="shared" ca="1" si="29"/>
        <v>15452553.980921827</v>
      </c>
      <c r="T151" s="40"/>
      <c r="U151" s="53"/>
      <c r="V151" s="12"/>
      <c r="W151"/>
    </row>
    <row r="152" spans="1:23" x14ac:dyDescent="0.2">
      <c r="A152" s="66">
        <v>44742</v>
      </c>
      <c r="B152" s="114">
        <f t="shared" si="25"/>
        <v>2022</v>
      </c>
      <c r="C152" s="114">
        <f t="shared" si="26"/>
        <v>6</v>
      </c>
      <c r="D152" s="255"/>
      <c r="E152" s="255"/>
      <c r="F152" s="171">
        <f ca="1">CDM!D160</f>
        <v>1005081.2242870992</v>
      </c>
      <c r="G152" s="255"/>
      <c r="H152" s="111">
        <f t="shared" ca="1" si="31"/>
        <v>8.3199999999999985</v>
      </c>
      <c r="I152" s="111">
        <f t="shared" ca="1" si="31"/>
        <v>115.62</v>
      </c>
      <c r="J152" s="90">
        <f t="shared" ca="1" si="31"/>
        <v>8.3199999999999985</v>
      </c>
      <c r="K152" s="90">
        <f t="shared" ca="1" si="31"/>
        <v>115.62</v>
      </c>
      <c r="L152" s="113">
        <v>30</v>
      </c>
      <c r="M152" s="108">
        <f t="shared" si="30"/>
        <v>0</v>
      </c>
      <c r="N152" s="112"/>
      <c r="O152" s="112"/>
      <c r="P152" s="112"/>
      <c r="Q152" s="112"/>
      <c r="R152" s="151">
        <f>'Customer Count'!I139-'Customer Count'!H139</f>
        <v>14710.792586040297</v>
      </c>
      <c r="S152" s="231">
        <f t="shared" ca="1" si="29"/>
        <v>17228005.353237271</v>
      </c>
      <c r="T152" s="40"/>
      <c r="U152" s="53"/>
      <c r="V152" s="12"/>
      <c r="W152"/>
    </row>
    <row r="153" spans="1:23" x14ac:dyDescent="0.2">
      <c r="A153" s="66">
        <v>44773</v>
      </c>
      <c r="B153" s="114">
        <f t="shared" si="25"/>
        <v>2022</v>
      </c>
      <c r="C153" s="114">
        <f t="shared" si="26"/>
        <v>7</v>
      </c>
      <c r="D153" s="255"/>
      <c r="E153" s="255"/>
      <c r="F153" s="171">
        <f ca="1">CDM!D161</f>
        <v>1005081.2242870992</v>
      </c>
      <c r="G153" s="255"/>
      <c r="H153" s="111">
        <f t="shared" ca="1" si="31"/>
        <v>0</v>
      </c>
      <c r="I153" s="111">
        <f t="shared" ca="1" si="31"/>
        <v>224.87000000000003</v>
      </c>
      <c r="J153" s="90">
        <f t="shared" ca="1" si="31"/>
        <v>0</v>
      </c>
      <c r="K153" s="90">
        <f t="shared" ca="1" si="31"/>
        <v>224.87000000000003</v>
      </c>
      <c r="L153" s="113">
        <v>31</v>
      </c>
      <c r="M153" s="108">
        <f t="shared" si="30"/>
        <v>0</v>
      </c>
      <c r="N153" s="112"/>
      <c r="O153" s="112"/>
      <c r="P153" s="112"/>
      <c r="Q153" s="112"/>
      <c r="R153" s="151">
        <f>'Customer Count'!I140-'Customer Count'!H140</f>
        <v>14723.234043335771</v>
      </c>
      <c r="S153" s="231">
        <f t="shared" ca="1" si="29"/>
        <v>20914416.349376045</v>
      </c>
      <c r="T153" s="40"/>
      <c r="U153" s="53"/>
      <c r="V153" s="12"/>
      <c r="W153"/>
    </row>
    <row r="154" spans="1:23" x14ac:dyDescent="0.2">
      <c r="A154" s="66">
        <v>44804</v>
      </c>
      <c r="B154" s="114">
        <f t="shared" si="25"/>
        <v>2022</v>
      </c>
      <c r="C154" s="114">
        <f t="shared" si="26"/>
        <v>8</v>
      </c>
      <c r="D154" s="255"/>
      <c r="E154" s="255"/>
      <c r="F154" s="171">
        <f ca="1">CDM!D162</f>
        <v>1005081.2242870992</v>
      </c>
      <c r="G154" s="255"/>
      <c r="H154" s="111">
        <f t="shared" ca="1" si="31"/>
        <v>9.9999999999999638E-3</v>
      </c>
      <c r="I154" s="111">
        <f t="shared" ca="1" si="31"/>
        <v>186.09000000000003</v>
      </c>
      <c r="J154" s="90">
        <f t="shared" ca="1" si="31"/>
        <v>9.9999999999999638E-3</v>
      </c>
      <c r="K154" s="90">
        <f t="shared" ca="1" si="31"/>
        <v>186.09000000000003</v>
      </c>
      <c r="L154" s="113">
        <v>31</v>
      </c>
      <c r="M154" s="108">
        <f t="shared" si="30"/>
        <v>0</v>
      </c>
      <c r="N154" s="112"/>
      <c r="O154" s="112"/>
      <c r="P154" s="112"/>
      <c r="Q154" s="112"/>
      <c r="R154" s="151">
        <f>'Customer Count'!I141-'Customer Count'!H141</f>
        <v>14735.687214929501</v>
      </c>
      <c r="S154" s="231">
        <f t="shared" ca="1" si="29"/>
        <v>19774276.886953201</v>
      </c>
      <c r="T154" s="40"/>
      <c r="U154" s="53"/>
      <c r="V154" s="12"/>
      <c r="W154"/>
    </row>
    <row r="155" spans="1:23" x14ac:dyDescent="0.2">
      <c r="A155" s="66">
        <v>44834</v>
      </c>
      <c r="B155" s="114">
        <f t="shared" si="25"/>
        <v>2022</v>
      </c>
      <c r="C155" s="114">
        <f t="shared" si="26"/>
        <v>9</v>
      </c>
      <c r="D155" s="255"/>
      <c r="E155" s="255"/>
      <c r="F155" s="171">
        <f ca="1">CDM!D163</f>
        <v>1005081.2242870992</v>
      </c>
      <c r="G155" s="255"/>
      <c r="H155" s="111">
        <f t="shared" ca="1" si="31"/>
        <v>19.43</v>
      </c>
      <c r="I155" s="111">
        <f t="shared" ca="1" si="31"/>
        <v>90.78</v>
      </c>
      <c r="J155" s="90">
        <f t="shared" ca="1" si="31"/>
        <v>19.43</v>
      </c>
      <c r="K155" s="90">
        <f t="shared" ca="1" si="31"/>
        <v>90.78</v>
      </c>
      <c r="L155" s="113">
        <v>30</v>
      </c>
      <c r="M155" s="108">
        <f t="shared" si="30"/>
        <v>0</v>
      </c>
      <c r="N155" s="112"/>
      <c r="O155" s="112"/>
      <c r="P155" s="112"/>
      <c r="Q155" s="112"/>
      <c r="R155" s="151">
        <f>'Customer Count'!I142-'Customer Count'!H142</f>
        <v>14748.152111350762</v>
      </c>
      <c r="S155" s="231">
        <f t="shared" ca="1" si="29"/>
        <v>16584748.649947429</v>
      </c>
      <c r="T155" s="40"/>
      <c r="U155" s="53"/>
      <c r="V155" s="12"/>
      <c r="W155"/>
    </row>
    <row r="156" spans="1:23" x14ac:dyDescent="0.2">
      <c r="A156" s="66">
        <v>44865</v>
      </c>
      <c r="B156" s="114">
        <f t="shared" si="25"/>
        <v>2022</v>
      </c>
      <c r="C156" s="114">
        <f t="shared" si="26"/>
        <v>10</v>
      </c>
      <c r="D156" s="255"/>
      <c r="E156" s="255"/>
      <c r="F156" s="171">
        <f ca="1">CDM!D164</f>
        <v>1005081.2242870992</v>
      </c>
      <c r="G156" s="255"/>
      <c r="H156" s="111">
        <f t="shared" ca="1" si="31"/>
        <v>147.23999999999998</v>
      </c>
      <c r="I156" s="111">
        <f t="shared" ca="1" si="31"/>
        <v>14.710000000000003</v>
      </c>
      <c r="J156" s="90">
        <f t="shared" ca="1" si="31"/>
        <v>147.23999999999998</v>
      </c>
      <c r="K156" s="90">
        <f t="shared" ca="1" si="31"/>
        <v>14.710000000000003</v>
      </c>
      <c r="L156" s="113">
        <v>31</v>
      </c>
      <c r="M156" s="108">
        <f t="shared" si="30"/>
        <v>0</v>
      </c>
      <c r="N156" s="112"/>
      <c r="O156" s="112"/>
      <c r="P156" s="112"/>
      <c r="Q156" s="112"/>
      <c r="R156" s="151">
        <f>'Customer Count'!I143-'Customer Count'!H143</f>
        <v>14760.628743142401</v>
      </c>
      <c r="S156" s="231">
        <f t="shared" ca="1" si="29"/>
        <v>15628024.123720948</v>
      </c>
      <c r="T156" s="40"/>
      <c r="U156" s="53"/>
      <c r="V156" s="12"/>
      <c r="W156"/>
    </row>
    <row r="157" spans="1:23" x14ac:dyDescent="0.2">
      <c r="A157" s="66">
        <v>44895</v>
      </c>
      <c r="B157" s="114">
        <f t="shared" si="25"/>
        <v>2022</v>
      </c>
      <c r="C157" s="114">
        <f t="shared" si="26"/>
        <v>11</v>
      </c>
      <c r="D157" s="255"/>
      <c r="E157" s="255"/>
      <c r="F157" s="171">
        <f ca="1">CDM!D165</f>
        <v>1005081.2242870992</v>
      </c>
      <c r="G157" s="255"/>
      <c r="H157" s="111">
        <f t="shared" ca="1" si="31"/>
        <v>331.03</v>
      </c>
      <c r="I157" s="111">
        <f t="shared" ca="1" si="31"/>
        <v>0.54000000000000026</v>
      </c>
      <c r="J157" s="90">
        <f t="shared" ca="1" si="31"/>
        <v>331.03</v>
      </c>
      <c r="K157" s="90">
        <f t="shared" ca="1" si="31"/>
        <v>0.54000000000000026</v>
      </c>
      <c r="L157" s="113">
        <v>30</v>
      </c>
      <c r="M157" s="108">
        <f t="shared" si="30"/>
        <v>0</v>
      </c>
      <c r="N157" s="112"/>
      <c r="O157" s="112"/>
      <c r="P157" s="112"/>
      <c r="Q157" s="112"/>
      <c r="R157" s="151">
        <f>'Customer Count'!I144-'Customer Count'!H144</f>
        <v>14773.117120860836</v>
      </c>
      <c r="S157" s="231">
        <f t="shared" ca="1" si="29"/>
        <v>15857887.909847468</v>
      </c>
      <c r="T157" s="40"/>
      <c r="U157" s="53"/>
      <c r="V157" s="12"/>
      <c r="W157"/>
    </row>
    <row r="158" spans="1:23" x14ac:dyDescent="0.2">
      <c r="A158" s="66">
        <v>44926</v>
      </c>
      <c r="B158" s="114">
        <f t="shared" si="25"/>
        <v>2022</v>
      </c>
      <c r="C158" s="114">
        <f t="shared" si="26"/>
        <v>12</v>
      </c>
      <c r="D158" s="255"/>
      <c r="E158" s="255"/>
      <c r="F158" s="171">
        <f ca="1">CDM!D166</f>
        <v>1005081.2242870992</v>
      </c>
      <c r="G158" s="255"/>
      <c r="H158" s="111">
        <f t="shared" ca="1" si="31"/>
        <v>485.42000000000007</v>
      </c>
      <c r="I158" s="111">
        <f t="shared" ca="1" si="31"/>
        <v>0</v>
      </c>
      <c r="J158" s="90">
        <f t="shared" ca="1" si="31"/>
        <v>485.42000000000007</v>
      </c>
      <c r="K158" s="90">
        <f t="shared" ca="1" si="31"/>
        <v>0</v>
      </c>
      <c r="L158" s="113">
        <v>31</v>
      </c>
      <c r="M158" s="108">
        <f t="shared" si="30"/>
        <v>0</v>
      </c>
      <c r="N158" s="112"/>
      <c r="O158" s="112"/>
      <c r="P158" s="112"/>
      <c r="Q158" s="112"/>
      <c r="R158" s="151">
        <f>'Customer Count'!I145-'Customer Count'!H145</f>
        <v>14785.617255076055</v>
      </c>
      <c r="S158" s="231">
        <f t="shared" ca="1" si="29"/>
        <v>17301544.905823745</v>
      </c>
      <c r="T158" s="40"/>
      <c r="U158" s="53"/>
      <c r="V158" s="12"/>
      <c r="W158"/>
    </row>
    <row r="159" spans="1:23" x14ac:dyDescent="0.2">
      <c r="A159" s="41"/>
      <c r="B159" s="6"/>
      <c r="C159" s="6"/>
      <c r="L159" s="10"/>
      <c r="M159" s="10"/>
      <c r="W159"/>
    </row>
    <row r="160" spans="1:23" x14ac:dyDescent="0.2">
      <c r="A160" s="41"/>
      <c r="B160" s="6"/>
      <c r="C160" s="6"/>
      <c r="L160" s="10"/>
      <c r="M160" s="10"/>
      <c r="W160"/>
    </row>
    <row r="161" spans="1:30" x14ac:dyDescent="0.2">
      <c r="A161" s="41"/>
      <c r="B161" s="41"/>
      <c r="C161" s="41"/>
      <c r="L161" s="10"/>
      <c r="M161" s="10"/>
      <c r="W161"/>
    </row>
    <row r="162" spans="1:30" x14ac:dyDescent="0.2">
      <c r="A162" s="41"/>
      <c r="B162" s="41"/>
      <c r="C162" s="41"/>
      <c r="H162" s="14"/>
      <c r="I162" s="76" t="s">
        <v>65</v>
      </c>
      <c r="J162" s="76"/>
      <c r="K162" s="76"/>
      <c r="L162" s="10"/>
      <c r="M162" s="10"/>
      <c r="S162" s="40">
        <f ca="1">SUM(S3:S146)</f>
        <v>2368884814.4017591</v>
      </c>
    </row>
    <row r="163" spans="1:30" x14ac:dyDescent="0.2">
      <c r="A163" s="41"/>
      <c r="B163" s="41"/>
      <c r="C163" s="41"/>
      <c r="L163" s="10"/>
      <c r="M163" s="10"/>
    </row>
    <row r="164" spans="1:30" x14ac:dyDescent="0.2">
      <c r="S164" s="6"/>
      <c r="T164" s="252" t="s">
        <v>131</v>
      </c>
      <c r="U164" s="55" t="s">
        <v>142</v>
      </c>
      <c r="V164" s="252" t="s">
        <v>146</v>
      </c>
      <c r="W164" s="55" t="s">
        <v>226</v>
      </c>
      <c r="X164" s="5"/>
      <c r="AA164" s="55"/>
      <c r="AB164" s="55"/>
      <c r="AC164" s="55"/>
      <c r="AD164" s="55"/>
    </row>
    <row r="165" spans="1:30" x14ac:dyDescent="0.2">
      <c r="A165" s="32">
        <v>2011</v>
      </c>
      <c r="D165" s="6">
        <f>SUMIF($B$3:$B$158,$A165,D$3:D$158)</f>
        <v>190473063.91087499</v>
      </c>
      <c r="E165" s="6">
        <f>SUMIF($B$3:$B$158,$A165,E$3:E$158)</f>
        <v>0</v>
      </c>
      <c r="F165" s="6">
        <f ca="1">SUMIF($B$3:$B$158,$A165,F$3:F$158)</f>
        <v>520824.3209481074</v>
      </c>
      <c r="G165" s="6">
        <f ca="1">SUMIF($B$3:$B$158,$A165,G$3:G$158)</f>
        <v>190993888.23182315</v>
      </c>
      <c r="S165" s="6">
        <f ca="1">SUMIF($B$3:$B$158,$A165,S$3:S$158)</f>
        <v>190420084.98057836</v>
      </c>
      <c r="T165" s="128">
        <f t="shared" ref="T165:T176" ca="1" si="32">F165</f>
        <v>520824.3209481074</v>
      </c>
      <c r="U165" s="48">
        <f ca="1">S165-T165</f>
        <v>189899260.65963027</v>
      </c>
      <c r="V165" s="6">
        <f t="shared" ref="V165:V174" si="33">E165</f>
        <v>0</v>
      </c>
      <c r="W165" s="72">
        <f t="shared" ref="W165:W174" ca="1" si="34">S165-T165+V165</f>
        <v>189899260.65963027</v>
      </c>
      <c r="X165" s="44">
        <f t="shared" ref="X165:X174" ca="1" si="35">D165-W165</f>
        <v>573803.2512447238</v>
      </c>
      <c r="Y165" s="47">
        <f t="shared" ref="Y165:Y174" ca="1" si="36">X165/W165</f>
        <v>3.0216191956281046E-3</v>
      </c>
      <c r="AB165" s="128"/>
      <c r="AC165" s="128"/>
      <c r="AD165" s="128"/>
    </row>
    <row r="166" spans="1:30" x14ac:dyDescent="0.2">
      <c r="A166" s="32">
        <v>2012</v>
      </c>
      <c r="D166" s="6">
        <f t="shared" ref="D166:G176" si="37">SUMIF($B$3:$B$158,$A166,D$3:D$158)</f>
        <v>191452810.61006799</v>
      </c>
      <c r="E166" s="6">
        <f t="shared" si="37"/>
        <v>0</v>
      </c>
      <c r="F166" s="6">
        <f t="shared" ca="1" si="37"/>
        <v>1532724.4935625999</v>
      </c>
      <c r="G166" s="6">
        <f t="shared" ca="1" si="37"/>
        <v>192985535.10363057</v>
      </c>
      <c r="S166" s="6">
        <f t="shared" ref="S166:S172" ca="1" si="38">SUMIF($B$3:$B$158,$A166,S$3:S$158)</f>
        <v>193050575.92722255</v>
      </c>
      <c r="T166" s="128">
        <f t="shared" ca="1" si="32"/>
        <v>1532724.4935625999</v>
      </c>
      <c r="U166" s="48">
        <f t="shared" ref="U166:U174" ca="1" si="39">S166-T166</f>
        <v>191517851.43365994</v>
      </c>
      <c r="V166" s="6">
        <f t="shared" si="33"/>
        <v>0</v>
      </c>
      <c r="W166" s="72">
        <f t="shared" ca="1" si="34"/>
        <v>191517851.43365994</v>
      </c>
      <c r="X166" s="44">
        <f t="shared" ca="1" si="35"/>
        <v>-65040.823591947556</v>
      </c>
      <c r="Y166" s="47">
        <f t="shared" ca="1" si="36"/>
        <v>-3.3960710766681249E-4</v>
      </c>
      <c r="AB166" s="128"/>
      <c r="AC166" s="128"/>
      <c r="AD166" s="128"/>
    </row>
    <row r="167" spans="1:30" x14ac:dyDescent="0.2">
      <c r="A167" s="32">
        <v>2013</v>
      </c>
      <c r="D167" s="6">
        <f t="shared" si="37"/>
        <v>189981587.17494002</v>
      </c>
      <c r="E167" s="6">
        <f t="shared" si="37"/>
        <v>0</v>
      </c>
      <c r="F167" s="6">
        <f t="shared" ca="1" si="37"/>
        <v>2655730.9873594944</v>
      </c>
      <c r="G167" s="6">
        <f t="shared" ca="1" si="37"/>
        <v>192637318.16229948</v>
      </c>
      <c r="S167" s="6">
        <f t="shared" ca="1" si="38"/>
        <v>194801662.83351198</v>
      </c>
      <c r="T167" s="128">
        <f t="shared" ca="1" si="32"/>
        <v>2655730.9873594944</v>
      </c>
      <c r="U167" s="48">
        <f t="shared" ca="1" si="39"/>
        <v>192145931.84615248</v>
      </c>
      <c r="V167" s="6">
        <f t="shared" si="33"/>
        <v>0</v>
      </c>
      <c r="W167" s="72">
        <f t="shared" ca="1" si="34"/>
        <v>192145931.84615248</v>
      </c>
      <c r="X167" s="44">
        <f t="shared" ca="1" si="35"/>
        <v>-2164344.6712124646</v>
      </c>
      <c r="Y167" s="47">
        <f t="shared" ca="1" si="36"/>
        <v>-1.1264067109916297E-2</v>
      </c>
      <c r="AB167" s="128"/>
      <c r="AC167" s="128"/>
      <c r="AD167" s="128"/>
    </row>
    <row r="168" spans="1:30" x14ac:dyDescent="0.2">
      <c r="A168" s="32">
        <v>2014</v>
      </c>
      <c r="D168" s="6">
        <f t="shared" si="37"/>
        <v>188316012.84</v>
      </c>
      <c r="E168" s="6">
        <f t="shared" si="37"/>
        <v>0</v>
      </c>
      <c r="F168" s="6">
        <f t="shared" ca="1" si="37"/>
        <v>3764717.9785461775</v>
      </c>
      <c r="G168" s="6">
        <f ca="1">SUMIF($B$3:$B$158,$A168,G$3:G$158)</f>
        <v>192080730.81854618</v>
      </c>
      <c r="S168" s="6">
        <f t="shared" ca="1" si="38"/>
        <v>194368199.68558303</v>
      </c>
      <c r="T168" s="128">
        <f t="shared" ca="1" si="32"/>
        <v>3764717.9785461775</v>
      </c>
      <c r="U168" s="48">
        <f t="shared" ca="1" si="39"/>
        <v>190603481.70703685</v>
      </c>
      <c r="V168" s="6">
        <f t="shared" si="33"/>
        <v>0</v>
      </c>
      <c r="W168" s="72">
        <f t="shared" ca="1" si="34"/>
        <v>190603481.70703685</v>
      </c>
      <c r="X168" s="44">
        <f t="shared" ca="1" si="35"/>
        <v>-2287468.8670368493</v>
      </c>
      <c r="Y168" s="47">
        <f t="shared" ca="1" si="36"/>
        <v>-1.2001191408207096E-2</v>
      </c>
      <c r="AB168" s="128"/>
      <c r="AC168" s="128"/>
      <c r="AD168" s="128"/>
    </row>
    <row r="169" spans="1:30" x14ac:dyDescent="0.2">
      <c r="A169" s="42">
        <v>2015</v>
      </c>
      <c r="B169" s="42"/>
      <c r="C169" s="42"/>
      <c r="D169" s="6">
        <f t="shared" si="37"/>
        <v>188795455.39999998</v>
      </c>
      <c r="E169" s="6">
        <f t="shared" si="37"/>
        <v>0</v>
      </c>
      <c r="F169" s="6">
        <f t="shared" ca="1" si="37"/>
        <v>5732266.0412412714</v>
      </c>
      <c r="G169" s="6">
        <f t="shared" ca="1" si="37"/>
        <v>194527721.44124129</v>
      </c>
      <c r="S169" s="6">
        <f ca="1">SUMIF($B$3:$B$158,$A169,S$3:S$158)</f>
        <v>195030929.96810752</v>
      </c>
      <c r="T169" s="128">
        <f t="shared" ca="1" si="32"/>
        <v>5732266.0412412714</v>
      </c>
      <c r="U169" s="48">
        <f t="shared" ca="1" si="39"/>
        <v>189298663.92686626</v>
      </c>
      <c r="V169" s="6">
        <f t="shared" si="33"/>
        <v>0</v>
      </c>
      <c r="W169" s="72">
        <f t="shared" ca="1" si="34"/>
        <v>189298663.92686626</v>
      </c>
      <c r="X169" s="44">
        <f t="shared" ca="1" si="35"/>
        <v>-503208.52686628699</v>
      </c>
      <c r="Y169" s="47">
        <f t="shared" ca="1" si="36"/>
        <v>-2.6582782806153179E-3</v>
      </c>
      <c r="AB169" s="128"/>
      <c r="AC169" s="128"/>
      <c r="AD169" s="128"/>
    </row>
    <row r="170" spans="1:30" x14ac:dyDescent="0.2">
      <c r="A170" s="32">
        <v>2016</v>
      </c>
      <c r="D170" s="6">
        <f t="shared" si="37"/>
        <v>189916009.50999996</v>
      </c>
      <c r="E170" s="6">
        <f t="shared" si="37"/>
        <v>0</v>
      </c>
      <c r="F170" s="6">
        <f t="shared" ca="1" si="37"/>
        <v>8429939.1914095152</v>
      </c>
      <c r="G170" s="6">
        <f ca="1">SUMIF($B$3:$B$158,$A170,G$3:G$158)</f>
        <v>198345948.70140949</v>
      </c>
      <c r="S170" s="6">
        <f t="shared" ca="1" si="38"/>
        <v>194457890.5565964</v>
      </c>
      <c r="T170" s="128">
        <f t="shared" ca="1" si="32"/>
        <v>8429939.1914095152</v>
      </c>
      <c r="U170" s="48">
        <f t="shared" ca="1" si="39"/>
        <v>186027951.36518687</v>
      </c>
      <c r="V170" s="6">
        <f t="shared" si="33"/>
        <v>0</v>
      </c>
      <c r="W170" s="72">
        <f t="shared" ca="1" si="34"/>
        <v>186027951.36518687</v>
      </c>
      <c r="X170" s="44">
        <f t="shared" ca="1" si="35"/>
        <v>3888058.1448130906</v>
      </c>
      <c r="Y170" s="47">
        <f t="shared" ca="1" si="36"/>
        <v>2.0900397581546978E-2</v>
      </c>
      <c r="AB170" s="128"/>
      <c r="AC170" s="128"/>
      <c r="AD170" s="128"/>
    </row>
    <row r="171" spans="1:30" x14ac:dyDescent="0.2">
      <c r="A171" s="42">
        <v>2017</v>
      </c>
      <c r="B171" s="42"/>
      <c r="C171" s="42"/>
      <c r="D171" s="6">
        <f t="shared" si="37"/>
        <v>211070217.70538622</v>
      </c>
      <c r="E171" s="6">
        <f t="shared" si="37"/>
        <v>29983391.131810207</v>
      </c>
      <c r="F171" s="6">
        <f t="shared" ca="1" si="37"/>
        <v>10777674.105339322</v>
      </c>
      <c r="G171" s="6">
        <f t="shared" ca="1" si="37"/>
        <v>191864500.67891529</v>
      </c>
      <c r="S171" s="6">
        <f ca="1">SUMIF($B$3:$B$158,$A171,S$3:S$158)</f>
        <v>194416708.50712961</v>
      </c>
      <c r="T171" s="128">
        <f t="shared" ca="1" si="32"/>
        <v>10777674.105339322</v>
      </c>
      <c r="U171" s="48">
        <f t="shared" ca="1" si="39"/>
        <v>183639034.40179029</v>
      </c>
      <c r="V171" s="6">
        <f t="shared" si="33"/>
        <v>29983391.131810207</v>
      </c>
      <c r="W171" s="72">
        <f t="shared" ca="1" si="34"/>
        <v>213622425.53360051</v>
      </c>
      <c r="X171" s="44">
        <f t="shared" ca="1" si="35"/>
        <v>-2552207.8282142878</v>
      </c>
      <c r="Y171" s="47">
        <f t="shared" ca="1" si="36"/>
        <v>-1.1947284194715095E-2</v>
      </c>
      <c r="AB171" s="128"/>
      <c r="AC171" s="128"/>
      <c r="AD171" s="128"/>
    </row>
    <row r="172" spans="1:30" x14ac:dyDescent="0.2">
      <c r="A172" s="32">
        <v>2018</v>
      </c>
      <c r="D172" s="6">
        <f t="shared" si="37"/>
        <v>237650537.15783811</v>
      </c>
      <c r="E172" s="6">
        <f t="shared" si="37"/>
        <v>43380633.574119426</v>
      </c>
      <c r="F172" s="6">
        <f t="shared" ca="1" si="37"/>
        <v>12072341.1015485</v>
      </c>
      <c r="G172" s="6">
        <f t="shared" ca="1" si="37"/>
        <v>206342244.68526715</v>
      </c>
      <c r="S172" s="6">
        <f t="shared" ca="1" si="38"/>
        <v>202313729.29139793</v>
      </c>
      <c r="T172" s="128">
        <f t="shared" ca="1" si="32"/>
        <v>12072341.1015485</v>
      </c>
      <c r="U172" s="48">
        <f t="shared" ca="1" si="39"/>
        <v>190241388.18984944</v>
      </c>
      <c r="V172" s="6">
        <f t="shared" si="33"/>
        <v>43380633.574119426</v>
      </c>
      <c r="W172" s="72">
        <f t="shared" ca="1" si="34"/>
        <v>233622021.76396886</v>
      </c>
      <c r="X172" s="44">
        <f t="shared" ca="1" si="35"/>
        <v>4028515.393869251</v>
      </c>
      <c r="Y172" s="47">
        <f t="shared" ca="1" si="36"/>
        <v>1.7243731406191273E-2</v>
      </c>
      <c r="AB172" s="128"/>
      <c r="AC172" s="128"/>
      <c r="AD172" s="128"/>
    </row>
    <row r="173" spans="1:30" x14ac:dyDescent="0.2">
      <c r="A173" s="42">
        <v>2019</v>
      </c>
      <c r="B173" s="42"/>
      <c r="C173" s="42"/>
      <c r="D173" s="6">
        <f t="shared" si="37"/>
        <v>239547871.85641468</v>
      </c>
      <c r="E173" s="6">
        <f t="shared" si="37"/>
        <v>49068645.301379278</v>
      </c>
      <c r="F173" s="6">
        <f t="shared" ca="1" si="37"/>
        <v>12639893.64039978</v>
      </c>
      <c r="G173" s="6">
        <f t="shared" ca="1" si="37"/>
        <v>203119120.1954352</v>
      </c>
      <c r="S173" s="6">
        <f ca="1">SUMIF($B$3:$B$158,$A173,S$3:S$158)</f>
        <v>205057367.63904694</v>
      </c>
      <c r="T173" s="128">
        <f t="shared" ca="1" si="32"/>
        <v>12639893.64039978</v>
      </c>
      <c r="U173" s="48">
        <f t="shared" ca="1" si="39"/>
        <v>192417473.99864715</v>
      </c>
      <c r="V173" s="6">
        <f t="shared" si="33"/>
        <v>49068645.301379278</v>
      </c>
      <c r="W173" s="72">
        <f t="shared" ca="1" si="34"/>
        <v>241486119.30002642</v>
      </c>
      <c r="X173" s="44">
        <f t="shared" ca="1" si="35"/>
        <v>-1938247.4436117411</v>
      </c>
      <c r="Y173" s="47">
        <f t="shared" ca="1" si="36"/>
        <v>-8.0263306612817359E-3</v>
      </c>
      <c r="AB173" s="128"/>
      <c r="AC173" s="128"/>
      <c r="AD173" s="128"/>
    </row>
    <row r="174" spans="1:30" x14ac:dyDescent="0.2">
      <c r="A174" s="32">
        <v>2020</v>
      </c>
      <c r="D174" s="6">
        <f t="shared" si="37"/>
        <v>257550552.01565266</v>
      </c>
      <c r="E174" s="6">
        <f>SUMIF($B$3:$B$158,$A174,E$3:E$158)</f>
        <v>59182119.984162331</v>
      </c>
      <c r="F174" s="6">
        <f ca="1">SUMIF($B$3:$B$158,$A174,F$3:F$158)</f>
        <v>12589383.279705403</v>
      </c>
      <c r="G174" s="6">
        <f t="shared" ca="1" si="37"/>
        <v>210957815.31119573</v>
      </c>
      <c r="S174" s="6">
        <f ca="1">SUMIF($B$3:$B$158,$A174,S$3:S$158)</f>
        <v>209612880.60730699</v>
      </c>
      <c r="T174" s="128">
        <f t="shared" ca="1" si="32"/>
        <v>12589383.279705403</v>
      </c>
      <c r="U174" s="48">
        <f t="shared" ca="1" si="39"/>
        <v>197023497.32760158</v>
      </c>
      <c r="V174" s="6">
        <f t="shared" si="33"/>
        <v>59182119.984162331</v>
      </c>
      <c r="W174" s="72">
        <f t="shared" ca="1" si="34"/>
        <v>256205617.31176391</v>
      </c>
      <c r="X174" s="44">
        <f t="shared" ca="1" si="35"/>
        <v>1344934.7038887441</v>
      </c>
      <c r="Y174" s="47">
        <f t="shared" ca="1" si="36"/>
        <v>5.2494348796894635E-3</v>
      </c>
      <c r="AB174" s="128"/>
      <c r="AC174" s="128"/>
      <c r="AD174" s="128"/>
    </row>
    <row r="175" spans="1:30" x14ac:dyDescent="0.2">
      <c r="A175" s="32">
        <v>2021</v>
      </c>
      <c r="F175" s="6">
        <f t="shared" ca="1" si="37"/>
        <v>12465584.375252092</v>
      </c>
      <c r="S175" s="17">
        <f ca="1">SUMIF($B$3:$B$158,$A175,S$3:S$158)</f>
        <v>206481424.54962337</v>
      </c>
      <c r="T175" s="128">
        <f t="shared" ca="1" si="32"/>
        <v>12465584.375252092</v>
      </c>
      <c r="U175" s="232">
        <f ca="1">S175-T175</f>
        <v>194015840.17437127</v>
      </c>
      <c r="V175" s="50">
        <f ca="1">'Embedded Distributor'!K10</f>
        <v>58368501.882965423</v>
      </c>
      <c r="W175" s="229">
        <f ca="1">S175-T175+V175</f>
        <v>252384342.05733669</v>
      </c>
      <c r="X175" s="44"/>
      <c r="AB175" s="128"/>
      <c r="AC175" s="128"/>
      <c r="AD175" s="128"/>
    </row>
    <row r="176" spans="1:30" x14ac:dyDescent="0.2">
      <c r="A176" s="32">
        <v>2022</v>
      </c>
      <c r="F176" s="6">
        <f t="shared" ca="1" si="37"/>
        <v>12060974.691445194</v>
      </c>
      <c r="S176" s="17">
        <f ca="1">SUMIF($B$3:$B$158,$A176,S$3:S$158)</f>
        <v>203915902.88164669</v>
      </c>
      <c r="T176" s="128">
        <f t="shared" ca="1" si="32"/>
        <v>12060974.691445194</v>
      </c>
      <c r="U176" s="232">
        <f ca="1">S176-T176</f>
        <v>191854928.19020149</v>
      </c>
      <c r="V176" s="50">
        <f ca="1">'Embedded Distributor'!K11</f>
        <v>58660344.392380245</v>
      </c>
      <c r="W176" s="229">
        <f ca="1">S176-T176+V176</f>
        <v>250515272.58258173</v>
      </c>
      <c r="X176" s="44"/>
      <c r="AB176" s="128"/>
      <c r="AC176" s="128"/>
      <c r="AD176" s="128"/>
    </row>
    <row r="177" spans="1:24" x14ac:dyDescent="0.2">
      <c r="S177" s="6"/>
      <c r="X177" s="253"/>
    </row>
    <row r="178" spans="1:24" x14ac:dyDescent="0.2">
      <c r="A178" s="54" t="s">
        <v>12</v>
      </c>
      <c r="B178" s="54"/>
      <c r="C178" s="54"/>
      <c r="D178" s="6">
        <f>SUM(D164:D174)</f>
        <v>2084754118.1811748</v>
      </c>
      <c r="G178" s="6">
        <f ca="1">SUM(G164:G174)</f>
        <v>1973854823.3297639</v>
      </c>
      <c r="S178" s="6">
        <f ca="1">SUM(S164:S174)</f>
        <v>1973530029.9964812</v>
      </c>
      <c r="T178" s="40"/>
      <c r="W178" s="6">
        <f ca="1">SUM(W165:W174)</f>
        <v>2084429324.8478925</v>
      </c>
      <c r="X178" s="6">
        <f ca="1">S178-G178</f>
        <v>-324793.33328270912</v>
      </c>
    </row>
    <row r="179" spans="1:24" x14ac:dyDescent="0.2">
      <c r="X179" s="5"/>
    </row>
    <row r="180" spans="1:24" x14ac:dyDescent="0.2">
      <c r="S180" s="6">
        <f ca="1">SUM(S164:S175)</f>
        <v>2180011454.5461044</v>
      </c>
      <c r="T180" s="40">
        <f ca="1">S162-S180</f>
        <v>188873359.85565472</v>
      </c>
      <c r="W180" s="5"/>
    </row>
    <row r="181" spans="1:24" x14ac:dyDescent="0.2">
      <c r="N181" s="169"/>
      <c r="O181" s="169"/>
      <c r="P181" s="169"/>
      <c r="Q181" s="169"/>
      <c r="R181" s="169"/>
      <c r="S181" s="169"/>
      <c r="T181" s="169"/>
      <c r="U181"/>
      <c r="V181"/>
      <c r="W181" s="5"/>
    </row>
    <row r="182" spans="1:24" x14ac:dyDescent="0.2">
      <c r="W182" s="6"/>
    </row>
    <row r="183" spans="1:24" x14ac:dyDescent="0.2">
      <c r="W183" s="6"/>
    </row>
    <row r="184" spans="1:24" x14ac:dyDescent="0.2">
      <c r="A184" s="54" t="s">
        <v>61</v>
      </c>
      <c r="B184" s="54"/>
      <c r="C184" s="5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 s="55" t="s">
        <v>131</v>
      </c>
      <c r="U184" s="253" t="str">
        <f>V164</f>
        <v>Embedded</v>
      </c>
      <c r="V184" s="55" t="s">
        <v>142</v>
      </c>
      <c r="X184" s="6"/>
    </row>
    <row r="185" spans="1:24" x14ac:dyDescent="0.2">
      <c r="A185" s="66">
        <v>44592</v>
      </c>
      <c r="B185" s="114">
        <f t="shared" ref="B185:B196" si="40">YEAR(A185)</f>
        <v>2022</v>
      </c>
      <c r="C185" s="114">
        <f t="shared" ref="C185:C196" si="41">MONTH(A185)</f>
        <v>1</v>
      </c>
      <c r="D185" s="255"/>
      <c r="E185" s="255"/>
      <c r="F185" s="255"/>
      <c r="G185" s="255"/>
      <c r="H185" s="70">
        <f ca="1">Weather!BC61</f>
        <v>608.40383458646636</v>
      </c>
      <c r="I185" s="70">
        <f ca="1">Weather!BD61</f>
        <v>0</v>
      </c>
      <c r="J185" s="70"/>
      <c r="K185" s="70"/>
      <c r="L185" s="67">
        <f>L147</f>
        <v>31</v>
      </c>
      <c r="M185" s="67">
        <f>M147</f>
        <v>0</v>
      </c>
      <c r="N185" s="67"/>
      <c r="O185" s="67"/>
      <c r="P185" s="67"/>
      <c r="Q185" s="67"/>
      <c r="R185" s="67">
        <f>R147</f>
        <v>14648.760646459366</v>
      </c>
      <c r="S185" s="67">
        <f t="shared" ref="S185:S196" ca="1" si="42">$Y$10+H185*$Y$11+I185*$Y$12+L185*$Y$13+M185*$Y$14+N185*$Y$15+O185*$Y$16+R185*$Y$17</f>
        <v>17977549.089694455</v>
      </c>
      <c r="T185" s="44">
        <f t="shared" ref="T185:T196" ca="1" si="43">F147</f>
        <v>1005081.2242870992</v>
      </c>
      <c r="U185" s="172">
        <f>E123*(1.005^2)</f>
        <v>4881625.8976655016</v>
      </c>
      <c r="V185" s="44">
        <f ca="1">S185-T185+U185</f>
        <v>21854093.763072856</v>
      </c>
      <c r="W185" s="40"/>
    </row>
    <row r="186" spans="1:24" x14ac:dyDescent="0.2">
      <c r="A186" s="66">
        <v>44620</v>
      </c>
      <c r="B186" s="114">
        <f t="shared" si="40"/>
        <v>2022</v>
      </c>
      <c r="C186" s="114">
        <f t="shared" si="41"/>
        <v>2</v>
      </c>
      <c r="D186" s="255"/>
      <c r="E186" s="255"/>
      <c r="F186" s="255"/>
      <c r="G186" s="255"/>
      <c r="H186" s="70">
        <f ca="1">Weather!BC62</f>
        <v>530.0746616541353</v>
      </c>
      <c r="I186" s="70">
        <f ca="1">Weather!BD62</f>
        <v>0</v>
      </c>
      <c r="J186" s="70"/>
      <c r="K186" s="70"/>
      <c r="L186" s="67">
        <f t="shared" ref="L186:M196" si="44">L148</f>
        <v>28</v>
      </c>
      <c r="M186" s="67">
        <f t="shared" si="44"/>
        <v>0</v>
      </c>
      <c r="N186" s="68"/>
      <c r="O186" s="68"/>
      <c r="P186" s="68"/>
      <c r="Q186" s="68"/>
      <c r="R186" s="67">
        <f t="shared" ref="R186:R196" si="45">R148</f>
        <v>14661.143689729104</v>
      </c>
      <c r="S186" s="67">
        <f t="shared" ca="1" si="42"/>
        <v>16011940.543560183</v>
      </c>
      <c r="T186" s="44">
        <f t="shared" ca="1" si="43"/>
        <v>1005081.2242870992</v>
      </c>
      <c r="U186" s="172">
        <f t="shared" ref="U186:U196" si="46">E124*(1.005^2)</f>
        <v>3818961.0387443993</v>
      </c>
      <c r="V186" s="44">
        <f t="shared" ref="V186:V196" ca="1" si="47">S186-T186+U186</f>
        <v>18825820.358017482</v>
      </c>
      <c r="W186" s="40"/>
    </row>
    <row r="187" spans="1:24" x14ac:dyDescent="0.2">
      <c r="A187" s="66">
        <v>44651</v>
      </c>
      <c r="B187" s="114">
        <f t="shared" si="40"/>
        <v>2022</v>
      </c>
      <c r="C187" s="114">
        <f t="shared" si="41"/>
        <v>3</v>
      </c>
      <c r="D187" s="255"/>
      <c r="E187" s="255"/>
      <c r="F187" s="255"/>
      <c r="G187" s="255"/>
      <c r="H187" s="70">
        <f ca="1">Weather!BC63</f>
        <v>448.21669172932332</v>
      </c>
      <c r="I187" s="70">
        <f ca="1">Weather!BD63</f>
        <v>0.19744360902255842</v>
      </c>
      <c r="J187" s="70"/>
      <c r="K187" s="70"/>
      <c r="L187" s="67">
        <f t="shared" si="44"/>
        <v>31</v>
      </c>
      <c r="M187" s="67">
        <f t="shared" si="44"/>
        <v>1</v>
      </c>
      <c r="N187" s="68"/>
      <c r="O187" s="68"/>
      <c r="P187" s="68"/>
      <c r="Q187" s="68"/>
      <c r="R187" s="67">
        <f t="shared" si="45"/>
        <v>14673.538394853656</v>
      </c>
      <c r="S187" s="67">
        <f t="shared" ca="1" si="42"/>
        <v>16326953.814851496</v>
      </c>
      <c r="T187" s="44">
        <f t="shared" ca="1" si="43"/>
        <v>1005081.2242870992</v>
      </c>
      <c r="U187" s="172">
        <f t="shared" si="46"/>
        <v>4073084.2718148017</v>
      </c>
      <c r="V187" s="44">
        <f t="shared" ca="1" si="47"/>
        <v>19394956.862379197</v>
      </c>
      <c r="W187" s="40"/>
    </row>
    <row r="188" spans="1:24" x14ac:dyDescent="0.2">
      <c r="A188" s="66">
        <v>44681</v>
      </c>
      <c r="B188" s="114">
        <f t="shared" si="40"/>
        <v>2022</v>
      </c>
      <c r="C188" s="114">
        <f t="shared" si="41"/>
        <v>4</v>
      </c>
      <c r="D188" s="255"/>
      <c r="E188" s="255"/>
      <c r="F188" s="255"/>
      <c r="G188" s="255"/>
      <c r="H188" s="70">
        <f ca="1">Weather!BC64</f>
        <v>287.38796992481275</v>
      </c>
      <c r="I188" s="70">
        <f ca="1">Weather!BD64</f>
        <v>0</v>
      </c>
      <c r="J188" s="70"/>
      <c r="K188" s="70"/>
      <c r="L188" s="67">
        <f t="shared" si="44"/>
        <v>30</v>
      </c>
      <c r="M188" s="67">
        <f t="shared" si="44"/>
        <v>1</v>
      </c>
      <c r="N188" s="68"/>
      <c r="O188" s="68"/>
      <c r="P188" s="68"/>
      <c r="Q188" s="68"/>
      <c r="R188" s="67">
        <f t="shared" si="45"/>
        <v>14685.944772294675</v>
      </c>
      <c r="S188" s="67">
        <f t="shared" ca="1" si="42"/>
        <v>14837131.636812273</v>
      </c>
      <c r="T188" s="44">
        <f t="shared" ca="1" si="43"/>
        <v>1005081.2242870992</v>
      </c>
      <c r="U188" s="172">
        <f t="shared" si="46"/>
        <v>3470189.5496893027</v>
      </c>
      <c r="V188" s="44">
        <f ca="1">S188-T188+U188</f>
        <v>17302239.962214477</v>
      </c>
      <c r="W188" s="40"/>
    </row>
    <row r="189" spans="1:24" x14ac:dyDescent="0.2">
      <c r="A189" s="66">
        <v>44712</v>
      </c>
      <c r="B189" s="114">
        <f t="shared" si="40"/>
        <v>2022</v>
      </c>
      <c r="C189" s="114">
        <f t="shared" si="41"/>
        <v>5</v>
      </c>
      <c r="D189" s="255"/>
      <c r="E189" s="255"/>
      <c r="F189" s="255"/>
      <c r="G189" s="255"/>
      <c r="H189" s="70">
        <f ca="1">Weather!BC65</f>
        <v>96.100075187969935</v>
      </c>
      <c r="I189" s="70">
        <f ca="1">Weather!BD65</f>
        <v>52.986616541353214</v>
      </c>
      <c r="J189" s="70"/>
      <c r="K189" s="70"/>
      <c r="L189" s="67">
        <f t="shared" si="44"/>
        <v>31</v>
      </c>
      <c r="M189" s="67">
        <f t="shared" si="44"/>
        <v>1</v>
      </c>
      <c r="N189" s="68"/>
      <c r="O189" s="68"/>
      <c r="P189" s="68"/>
      <c r="Q189" s="68"/>
      <c r="R189" s="67">
        <f t="shared" si="45"/>
        <v>14698.362832527331</v>
      </c>
      <c r="S189" s="67">
        <f t="shared" ca="1" si="42"/>
        <v>15725421.804720864</v>
      </c>
      <c r="T189" s="44">
        <f t="shared" ca="1" si="43"/>
        <v>1005081.2242870992</v>
      </c>
      <c r="U189" s="172">
        <f t="shared" si="46"/>
        <v>4782713.5030446695</v>
      </c>
      <c r="V189" s="44">
        <f t="shared" ca="1" si="47"/>
        <v>19503054.083478432</v>
      </c>
      <c r="W189" s="40"/>
    </row>
    <row r="190" spans="1:24" x14ac:dyDescent="0.2">
      <c r="A190" s="66">
        <v>44742</v>
      </c>
      <c r="B190" s="114">
        <f t="shared" si="40"/>
        <v>2022</v>
      </c>
      <c r="C190" s="114">
        <f t="shared" si="41"/>
        <v>6</v>
      </c>
      <c r="D190" s="255"/>
      <c r="E190" s="255"/>
      <c r="F190" s="255"/>
      <c r="G190" s="255"/>
      <c r="H190" s="70">
        <f ca="1">Weather!BC66</f>
        <v>7.5652631578947194</v>
      </c>
      <c r="I190" s="70">
        <f ca="1">Weather!BD66</f>
        <v>110.8995488721805</v>
      </c>
      <c r="J190" s="70"/>
      <c r="K190" s="70"/>
      <c r="L190" s="67">
        <f t="shared" si="44"/>
        <v>30</v>
      </c>
      <c r="M190" s="67">
        <f t="shared" si="44"/>
        <v>0</v>
      </c>
      <c r="N190" s="68"/>
      <c r="O190" s="68"/>
      <c r="P190" s="68"/>
      <c r="Q190" s="68"/>
      <c r="R190" s="67">
        <f t="shared" si="45"/>
        <v>14710.792586040297</v>
      </c>
      <c r="S190" s="67">
        <f t="shared" ca="1" si="42"/>
        <v>17083599.042884633</v>
      </c>
      <c r="T190" s="44">
        <f t="shared" ca="1" si="43"/>
        <v>1005081.2242870992</v>
      </c>
      <c r="U190" s="172">
        <f t="shared" si="46"/>
        <v>6097820.3398076184</v>
      </c>
      <c r="V190" s="44">
        <f t="shared" ca="1" si="47"/>
        <v>22176338.158405151</v>
      </c>
      <c r="W190" s="40"/>
    </row>
    <row r="191" spans="1:24" ht="12.75" customHeight="1" x14ac:dyDescent="0.2">
      <c r="A191" s="66">
        <v>44773</v>
      </c>
      <c r="B191" s="114">
        <f t="shared" si="40"/>
        <v>2022</v>
      </c>
      <c r="C191" s="114">
        <f t="shared" si="41"/>
        <v>7</v>
      </c>
      <c r="D191" s="255"/>
      <c r="E191" s="255"/>
      <c r="F191" s="255"/>
      <c r="G191" s="255"/>
      <c r="H191" s="70">
        <f ca="1">Weather!BC67</f>
        <v>0</v>
      </c>
      <c r="I191" s="70">
        <f ca="1">Weather!BD67</f>
        <v>231.80947368421039</v>
      </c>
      <c r="J191" s="70"/>
      <c r="K191" s="70"/>
      <c r="L191" s="67">
        <f t="shared" si="44"/>
        <v>31</v>
      </c>
      <c r="M191" s="67">
        <f t="shared" si="44"/>
        <v>0</v>
      </c>
      <c r="N191" s="68"/>
      <c r="O191" s="68"/>
      <c r="P191" s="68"/>
      <c r="Q191" s="68"/>
      <c r="R191" s="67">
        <f t="shared" si="45"/>
        <v>14723.234043335771</v>
      </c>
      <c r="S191" s="67">
        <f t="shared" ca="1" si="42"/>
        <v>21119838.01009281</v>
      </c>
      <c r="T191" s="44">
        <f t="shared" ca="1" si="43"/>
        <v>1005081.2242870992</v>
      </c>
      <c r="U191" s="172">
        <f t="shared" si="46"/>
        <v>8211423.9535478186</v>
      </c>
      <c r="V191" s="44">
        <f t="shared" ca="1" si="47"/>
        <v>28326180.73935353</v>
      </c>
      <c r="W191" s="40"/>
      <c r="X191" s="100" t="s">
        <v>143</v>
      </c>
    </row>
    <row r="192" spans="1:24" x14ac:dyDescent="0.2">
      <c r="A192" s="66">
        <v>44804</v>
      </c>
      <c r="B192" s="114">
        <f t="shared" si="40"/>
        <v>2022</v>
      </c>
      <c r="C192" s="114">
        <f t="shared" si="41"/>
        <v>8</v>
      </c>
      <c r="D192" s="255"/>
      <c r="E192" s="255"/>
      <c r="F192" s="255"/>
      <c r="G192" s="255"/>
      <c r="H192" s="70">
        <f ca="1">Weather!BC68</f>
        <v>3.9022556390978735E-2</v>
      </c>
      <c r="I192" s="70">
        <f ca="1">Weather!BD68</f>
        <v>180.80398496240605</v>
      </c>
      <c r="J192" s="70"/>
      <c r="K192" s="70"/>
      <c r="L192" s="67">
        <f t="shared" si="44"/>
        <v>31</v>
      </c>
      <c r="M192" s="67">
        <f t="shared" si="44"/>
        <v>0</v>
      </c>
      <c r="N192" s="68"/>
      <c r="O192" s="68"/>
      <c r="P192" s="68"/>
      <c r="Q192" s="68"/>
      <c r="R192" s="67">
        <f t="shared" si="45"/>
        <v>14735.687214929501</v>
      </c>
      <c r="S192" s="67">
        <f t="shared" ca="1" si="42"/>
        <v>19617980.411390722</v>
      </c>
      <c r="T192" s="44">
        <f t="shared" ca="1" si="43"/>
        <v>1005081.2242870992</v>
      </c>
      <c r="U192" s="172">
        <f t="shared" si="46"/>
        <v>6678312.6229654504</v>
      </c>
      <c r="V192" s="44">
        <f t="shared" ca="1" si="47"/>
        <v>25291211.810069073</v>
      </c>
      <c r="W192" s="40"/>
      <c r="X192" s="100"/>
    </row>
    <row r="193" spans="1:24" x14ac:dyDescent="0.2">
      <c r="A193" s="66">
        <v>44834</v>
      </c>
      <c r="B193" s="114">
        <f t="shared" si="40"/>
        <v>2022</v>
      </c>
      <c r="C193" s="114">
        <f t="shared" si="41"/>
        <v>9</v>
      </c>
      <c r="D193" s="255"/>
      <c r="E193" s="255"/>
      <c r="F193" s="255"/>
      <c r="G193" s="255"/>
      <c r="H193" s="70">
        <f ca="1">Weather!BC69</f>
        <v>19.08556390977445</v>
      </c>
      <c r="I193" s="70">
        <f ca="1">Weather!BD69</f>
        <v>89.375714285714309</v>
      </c>
      <c r="J193" s="70"/>
      <c r="K193" s="70"/>
      <c r="L193" s="67">
        <f t="shared" si="44"/>
        <v>30</v>
      </c>
      <c r="M193" s="67">
        <f t="shared" si="44"/>
        <v>0</v>
      </c>
      <c r="N193" s="68"/>
      <c r="O193" s="68"/>
      <c r="P193" s="68"/>
      <c r="Q193" s="68"/>
      <c r="R193" s="67">
        <f t="shared" si="45"/>
        <v>14748.152111350762</v>
      </c>
      <c r="S193" s="67">
        <f t="shared" ca="1" si="42"/>
        <v>16541046.994930714</v>
      </c>
      <c r="T193" s="44">
        <f t="shared" ca="1" si="43"/>
        <v>1005081.2242870992</v>
      </c>
      <c r="U193" s="172">
        <f t="shared" si="46"/>
        <v>4807380.3120908756</v>
      </c>
      <c r="V193" s="44">
        <f t="shared" ca="1" si="47"/>
        <v>20343346.082734488</v>
      </c>
      <c r="W193" s="40"/>
      <c r="X193" s="100"/>
    </row>
    <row r="194" spans="1:24" x14ac:dyDescent="0.2">
      <c r="A194" s="66">
        <v>44865</v>
      </c>
      <c r="B194" s="114">
        <f t="shared" si="40"/>
        <v>2022</v>
      </c>
      <c r="C194" s="114">
        <f t="shared" si="41"/>
        <v>10</v>
      </c>
      <c r="D194" s="255"/>
      <c r="E194" s="255"/>
      <c r="F194" s="255"/>
      <c r="G194" s="255"/>
      <c r="H194" s="70">
        <f ca="1">Weather!BC70</f>
        <v>140.13097744360903</v>
      </c>
      <c r="I194" s="70">
        <f ca="1">Weather!BD70</f>
        <v>13.702255639097729</v>
      </c>
      <c r="J194" s="70"/>
      <c r="K194" s="70"/>
      <c r="L194" s="67">
        <f t="shared" si="44"/>
        <v>31</v>
      </c>
      <c r="M194" s="67">
        <f t="shared" si="44"/>
        <v>0</v>
      </c>
      <c r="N194" s="68"/>
      <c r="O194" s="68"/>
      <c r="P194" s="68"/>
      <c r="Q194" s="68"/>
      <c r="R194" s="67">
        <f t="shared" si="45"/>
        <v>14760.628743142401</v>
      </c>
      <c r="S194" s="67">
        <f t="shared" ca="1" si="42"/>
        <v>15554186.895040989</v>
      </c>
      <c r="T194" s="44">
        <f t="shared" ca="1" si="43"/>
        <v>1005081.2242870992</v>
      </c>
      <c r="U194" s="172">
        <f t="shared" si="46"/>
        <v>4555348.4095345987</v>
      </c>
      <c r="V194" s="44">
        <f t="shared" ca="1" si="47"/>
        <v>19104454.080288488</v>
      </c>
      <c r="W194" s="40"/>
      <c r="X194" s="100"/>
    </row>
    <row r="195" spans="1:24" x14ac:dyDescent="0.2">
      <c r="A195" s="66">
        <v>44895</v>
      </c>
      <c r="B195" s="114">
        <f t="shared" si="40"/>
        <v>2022</v>
      </c>
      <c r="C195" s="114">
        <f t="shared" si="41"/>
        <v>11</v>
      </c>
      <c r="D195" s="255"/>
      <c r="E195" s="255"/>
      <c r="F195" s="255"/>
      <c r="G195" s="255"/>
      <c r="H195" s="70">
        <f ca="1">Weather!BC71</f>
        <v>354.61300751879662</v>
      </c>
      <c r="I195" s="70">
        <f ca="1">Weather!BD71</f>
        <v>0.92398496240600991</v>
      </c>
      <c r="J195" s="70"/>
      <c r="K195" s="70"/>
      <c r="L195" s="67">
        <f t="shared" si="44"/>
        <v>30</v>
      </c>
      <c r="M195" s="67">
        <f t="shared" si="44"/>
        <v>0</v>
      </c>
      <c r="N195" s="68"/>
      <c r="O195" s="68"/>
      <c r="P195" s="68"/>
      <c r="Q195" s="68"/>
      <c r="R195" s="67">
        <f t="shared" si="45"/>
        <v>14773.117120860836</v>
      </c>
      <c r="S195" s="67">
        <f t="shared" ca="1" si="42"/>
        <v>16015237.472036235</v>
      </c>
      <c r="T195" s="44">
        <f t="shared" ca="1" si="43"/>
        <v>1005081.2242870992</v>
      </c>
      <c r="U195" s="172">
        <f t="shared" si="46"/>
        <v>3660890.4698820226</v>
      </c>
      <c r="V195" s="44">
        <f t="shared" ca="1" si="47"/>
        <v>18671046.717631157</v>
      </c>
      <c r="W195" s="40"/>
      <c r="X195" s="101"/>
    </row>
    <row r="196" spans="1:24" ht="15" x14ac:dyDescent="0.25">
      <c r="A196" s="66">
        <v>44926</v>
      </c>
      <c r="B196" s="114">
        <f t="shared" si="40"/>
        <v>2022</v>
      </c>
      <c r="C196" s="114">
        <f t="shared" si="41"/>
        <v>12</v>
      </c>
      <c r="D196" s="255"/>
      <c r="E196" s="255"/>
      <c r="F196" s="255"/>
      <c r="G196" s="255"/>
      <c r="H196" s="70">
        <f ca="1">Weather!BC72</f>
        <v>499.75917293233078</v>
      </c>
      <c r="I196" s="70">
        <f ca="1">Weather!BD72</f>
        <v>0</v>
      </c>
      <c r="J196" s="70"/>
      <c r="K196" s="70"/>
      <c r="L196" s="67">
        <f t="shared" si="44"/>
        <v>31</v>
      </c>
      <c r="M196" s="67">
        <f t="shared" si="44"/>
        <v>0</v>
      </c>
      <c r="N196" s="68"/>
      <c r="O196" s="68"/>
      <c r="P196" s="68"/>
      <c r="Q196" s="68"/>
      <c r="R196" s="67">
        <f t="shared" si="45"/>
        <v>14785.617255076055</v>
      </c>
      <c r="S196" s="67">
        <f t="shared" ca="1" si="42"/>
        <v>17390306.853759799</v>
      </c>
      <c r="T196" s="44">
        <f t="shared" ca="1" si="43"/>
        <v>1005081.2242870992</v>
      </c>
      <c r="U196" s="172">
        <f t="shared" si="46"/>
        <v>4737670.3682164764</v>
      </c>
      <c r="V196" s="44">
        <f t="shared" ca="1" si="47"/>
        <v>21122895.997689176</v>
      </c>
      <c r="W196" s="40">
        <f ca="1">SUM(V185:V196)</f>
        <v>251915638.61533356</v>
      </c>
      <c r="X196" s="96">
        <f ca="1">W176-W196</f>
        <v>-1400366.0327518284</v>
      </c>
    </row>
    <row r="197" spans="1:24" x14ac:dyDescent="0.2">
      <c r="A197"/>
      <c r="B197"/>
      <c r="C197"/>
      <c r="X197" s="47">
        <f ca="1">X196/W176</f>
        <v>-5.5899427540498604E-3</v>
      </c>
    </row>
    <row r="198" spans="1:24" x14ac:dyDescent="0.2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</row>
    <row r="199" spans="1:24" x14ac:dyDescent="0.2">
      <c r="A199"/>
      <c r="B199"/>
      <c r="C199"/>
      <c r="U199"/>
      <c r="V199"/>
      <c r="W199"/>
    </row>
    <row r="200" spans="1:24" x14ac:dyDescent="0.2">
      <c r="A200"/>
      <c r="B200"/>
      <c r="C200"/>
      <c r="U200"/>
      <c r="V200"/>
      <c r="W200"/>
    </row>
    <row r="201" spans="1:24" x14ac:dyDescent="0.2">
      <c r="A201"/>
      <c r="B201"/>
      <c r="C201"/>
      <c r="U201"/>
      <c r="V201"/>
      <c r="W201"/>
    </row>
    <row r="202" spans="1:24" x14ac:dyDescent="0.2">
      <c r="A202"/>
      <c r="B202"/>
      <c r="C202"/>
      <c r="U202"/>
      <c r="V202"/>
      <c r="W202"/>
    </row>
    <row r="203" spans="1:24" x14ac:dyDescent="0.2">
      <c r="A203"/>
      <c r="B203"/>
      <c r="C203"/>
      <c r="U203"/>
      <c r="V203"/>
      <c r="W203"/>
    </row>
    <row r="204" spans="1:24" x14ac:dyDescent="0.2">
      <c r="A204"/>
      <c r="B204"/>
      <c r="C204"/>
      <c r="U204"/>
      <c r="V204"/>
      <c r="W204"/>
    </row>
    <row r="205" spans="1:24" x14ac:dyDescent="0.2">
      <c r="A205"/>
      <c r="B205"/>
      <c r="C205"/>
      <c r="U205"/>
      <c r="V205"/>
      <c r="W205"/>
    </row>
    <row r="206" spans="1:24" x14ac:dyDescent="0.2">
      <c r="A206"/>
      <c r="B206"/>
      <c r="C206"/>
      <c r="U206"/>
      <c r="V206"/>
      <c r="W206"/>
    </row>
    <row r="207" spans="1:24" x14ac:dyDescent="0.2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</row>
    <row r="208" spans="1:24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</row>
  </sheetData>
  <printOptions gridLines="1"/>
  <pageMargins left="0.38" right="0.75" top="0.73" bottom="0.74" header="0.5" footer="0.5"/>
  <pageSetup scale="15" orientation="landscape" r:id="rId1"/>
  <headerFooter alignWithMargins="0">
    <oddFooter>&amp;L&amp;Z&amp;F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9" tint="0.39997558519241921"/>
    <pageSetUpPr fitToPage="1"/>
  </sheetPr>
  <dimension ref="A2:W75"/>
  <sheetViews>
    <sheetView workbookViewId="0">
      <pane xSplit="2" ySplit="2" topLeftCell="C27" activePane="bottomRight" state="frozen"/>
      <selection activeCell="I48" sqref="I48"/>
      <selection pane="topRight" activeCell="I48" sqref="I48"/>
      <selection pane="bottomLeft" activeCell="I48" sqref="I48"/>
      <selection pane="bottomRight" activeCell="J56" sqref="J56"/>
    </sheetView>
  </sheetViews>
  <sheetFormatPr defaultRowHeight="12.75" x14ac:dyDescent="0.2"/>
  <cols>
    <col min="1" max="1" width="21.5703125" customWidth="1"/>
    <col min="2" max="2" width="18" style="1" customWidth="1"/>
    <col min="3" max="3" width="16.42578125" style="216" customWidth="1"/>
    <col min="4" max="4" width="18" style="216" customWidth="1"/>
    <col min="5" max="7" width="18" style="1" customWidth="1"/>
    <col min="8" max="8" width="15.5703125" style="1" customWidth="1"/>
    <col min="9" max="9" width="15.5703125" style="6" customWidth="1"/>
    <col min="10" max="10" width="15" style="6" customWidth="1"/>
    <col min="11" max="12" width="14.140625" style="6" bestFit="1" customWidth="1"/>
    <col min="13" max="13" width="9.140625" style="6" bestFit="1" customWidth="1"/>
    <col min="14" max="14" width="15.7109375" style="6" bestFit="1" customWidth="1"/>
    <col min="15" max="15" width="16.85546875" style="6" customWidth="1"/>
    <col min="16" max="17" width="16.85546875" customWidth="1"/>
    <col min="18" max="18" width="14.42578125" customWidth="1"/>
    <col min="19" max="19" width="12.5703125" bestFit="1" customWidth="1"/>
    <col min="20" max="20" width="14.85546875" customWidth="1"/>
    <col min="21" max="21" width="14" customWidth="1"/>
    <col min="22" max="22" width="10.140625" bestFit="1" customWidth="1"/>
    <col min="23" max="23" width="12.5703125" style="6" bestFit="1" customWidth="1"/>
  </cols>
  <sheetData>
    <row r="2" spans="1:20" ht="38.25" x14ac:dyDescent="0.2">
      <c r="B2" s="2" t="s">
        <v>9</v>
      </c>
      <c r="C2" s="218" t="s">
        <v>228</v>
      </c>
      <c r="D2" s="218" t="s">
        <v>227</v>
      </c>
      <c r="E2" s="2" t="s">
        <v>10</v>
      </c>
      <c r="F2" s="2" t="s">
        <v>20</v>
      </c>
      <c r="G2" s="2" t="s">
        <v>11</v>
      </c>
      <c r="H2" s="2" t="s">
        <v>0</v>
      </c>
      <c r="I2" s="7" t="s">
        <v>3</v>
      </c>
      <c r="J2" s="37" t="s">
        <v>1</v>
      </c>
      <c r="K2" s="65" t="s">
        <v>193</v>
      </c>
      <c r="L2" s="65" t="s">
        <v>194</v>
      </c>
      <c r="M2" s="39" t="s">
        <v>37</v>
      </c>
      <c r="N2" s="39" t="s">
        <v>2</v>
      </c>
      <c r="O2" s="58" t="s">
        <v>58</v>
      </c>
      <c r="Q2" s="38" t="s">
        <v>35</v>
      </c>
      <c r="R2" s="65" t="s">
        <v>80</v>
      </c>
    </row>
    <row r="3" spans="1:20" x14ac:dyDescent="0.2">
      <c r="A3" s="61">
        <f>'Purchased Power Model'!A165</f>
        <v>2011</v>
      </c>
      <c r="B3" s="6">
        <f>'Purchased Power Model'!D165</f>
        <v>190473063.91087499</v>
      </c>
      <c r="C3" s="25">
        <f>B3-O3</f>
        <v>190473063.91087499</v>
      </c>
      <c r="D3" s="6">
        <f ca="1">'Purchased Power Model'!Q165</f>
        <v>189571560.08430424</v>
      </c>
      <c r="E3" s="6">
        <f ca="1">'Purchased Power Model'!S165</f>
        <v>189571560.08430424</v>
      </c>
      <c r="F3" s="31">
        <f ca="1">E3-B3</f>
        <v>-901503.82657074928</v>
      </c>
      <c r="G3" s="5">
        <f ca="1">F3/B3</f>
        <v>-4.7329727787262113E-3</v>
      </c>
      <c r="H3" s="20">
        <f t="shared" ref="H3:H10" si="0">1 +(B3-I3)/I3</f>
        <v>1.050645256032714</v>
      </c>
      <c r="I3" s="23">
        <f t="shared" ref="I3:I10" si="1">SUM(J3:O3)</f>
        <v>181291509.02000001</v>
      </c>
      <c r="J3" s="50">
        <v>92485342</v>
      </c>
      <c r="K3" s="50">
        <f>Q3+'GS Reclassification Adjustment'!C3</f>
        <v>20506443.905541796</v>
      </c>
      <c r="L3" s="50">
        <f>R3-'GS Reclassification Adjustment'!C3</f>
        <v>66328083.0944582</v>
      </c>
      <c r="M3" s="50">
        <v>1585167</v>
      </c>
      <c r="N3" s="50">
        <v>386473.02</v>
      </c>
      <c r="O3" s="58"/>
      <c r="Q3" s="185">
        <v>17886498</v>
      </c>
      <c r="R3" s="185">
        <v>68948029</v>
      </c>
      <c r="T3" s="71"/>
    </row>
    <row r="4" spans="1:20" x14ac:dyDescent="0.2">
      <c r="A4" s="61">
        <f>'Purchased Power Model'!A166</f>
        <v>2012</v>
      </c>
      <c r="B4" s="6">
        <f>'Purchased Power Model'!D166</f>
        <v>191452810.61006799</v>
      </c>
      <c r="C4" s="25">
        <f t="shared" ref="C4:C12" si="2">B4-O4</f>
        <v>191452810.61006799</v>
      </c>
      <c r="D4" s="6">
        <f ca="1">'Purchased Power Model'!Q166</f>
        <v>190452814.40292764</v>
      </c>
      <c r="E4" s="6">
        <f ca="1">'Purchased Power Model'!S166</f>
        <v>190452814.40292764</v>
      </c>
      <c r="F4" s="31">
        <f t="shared" ref="F4:F11" ca="1" si="3">E4-B4</f>
        <v>-999996.2071403563</v>
      </c>
      <c r="G4" s="5">
        <f t="shared" ref="G4:G11" ca="1" si="4">F4/B4</f>
        <v>-5.2231994085323143E-3</v>
      </c>
      <c r="H4" s="20">
        <f t="shared" si="0"/>
        <v>1.0222823034749724</v>
      </c>
      <c r="I4" s="23">
        <f t="shared" si="1"/>
        <v>187279785.59276229</v>
      </c>
      <c r="J4" s="50">
        <v>93908435.719999999</v>
      </c>
      <c r="K4" s="50">
        <f>Q4+'GS Reclassification Adjustment'!C4</f>
        <v>20377519.439667486</v>
      </c>
      <c r="L4" s="50">
        <f>R4-'GS Reclassification Adjustment'!C4</f>
        <v>71032469.94309482</v>
      </c>
      <c r="M4" s="50">
        <v>1581518.6</v>
      </c>
      <c r="N4" s="50">
        <v>379841.89</v>
      </c>
      <c r="O4" s="50"/>
      <c r="Q4" s="185">
        <v>17958297.190000001</v>
      </c>
      <c r="R4" s="185">
        <v>73451692.1927623</v>
      </c>
      <c r="T4" s="71"/>
    </row>
    <row r="5" spans="1:20" x14ac:dyDescent="0.2">
      <c r="A5" s="61">
        <f>'Purchased Power Model'!A167</f>
        <v>2013</v>
      </c>
      <c r="B5" s="6">
        <f>'Purchased Power Model'!D167</f>
        <v>189981587.17494002</v>
      </c>
      <c r="C5" s="25">
        <f t="shared" si="2"/>
        <v>189981587.17494002</v>
      </c>
      <c r="D5" s="6">
        <f ca="1">'Purchased Power Model'!Q167</f>
        <v>187762295.40186256</v>
      </c>
      <c r="E5" s="6">
        <f ca="1">'Purchased Power Model'!S167</f>
        <v>187762295.40186256</v>
      </c>
      <c r="F5" s="31">
        <f t="shared" ca="1" si="3"/>
        <v>-2219291.7730774581</v>
      </c>
      <c r="G5" s="5">
        <f t="shared" ca="1" si="4"/>
        <v>-1.1681615076906775E-2</v>
      </c>
      <c r="H5" s="20">
        <f t="shared" si="0"/>
        <v>1.0173178425522735</v>
      </c>
      <c r="I5" s="23">
        <f t="shared" si="1"/>
        <v>186747522.97503135</v>
      </c>
      <c r="J5" s="50">
        <v>92183859.780000001</v>
      </c>
      <c r="K5" s="50">
        <f>Q5+'GS Reclassification Adjustment'!C5</f>
        <v>20813335.531687248</v>
      </c>
      <c r="L5" s="50">
        <f>R5-'GS Reclassification Adjustment'!C5</f>
        <v>71846141.103344098</v>
      </c>
      <c r="M5" s="50">
        <v>1528363</v>
      </c>
      <c r="N5" s="50">
        <v>375823.56</v>
      </c>
      <c r="O5" s="50"/>
      <c r="Q5" s="185">
        <v>18436579.289999999</v>
      </c>
      <c r="R5" s="185">
        <v>74222897.345031351</v>
      </c>
      <c r="T5" s="71"/>
    </row>
    <row r="6" spans="1:20" x14ac:dyDescent="0.2">
      <c r="A6" s="61">
        <f>'Purchased Power Model'!A168</f>
        <v>2014</v>
      </c>
      <c r="B6" s="6">
        <f>'Purchased Power Model'!D168</f>
        <v>188316012.84</v>
      </c>
      <c r="C6" s="25">
        <f t="shared" si="2"/>
        <v>188316012.84</v>
      </c>
      <c r="D6" s="6">
        <f ca="1">'Purchased Power Model'!Q168</f>
        <v>189349567.44724512</v>
      </c>
      <c r="E6" s="6">
        <f ca="1">'Purchased Power Model'!S168</f>
        <v>189349567.44724512</v>
      </c>
      <c r="F6" s="31">
        <f t="shared" ca="1" si="3"/>
        <v>1033554.6072451174</v>
      </c>
      <c r="G6" s="5">
        <f t="shared" ca="1" si="4"/>
        <v>5.4884053228296753E-3</v>
      </c>
      <c r="H6" s="20">
        <f t="shared" si="0"/>
        <v>1.0242880665361258</v>
      </c>
      <c r="I6" s="23">
        <f t="shared" si="1"/>
        <v>183850636.35158369</v>
      </c>
      <c r="J6" s="50">
        <v>91571085.549999997</v>
      </c>
      <c r="K6" s="50">
        <f>Q6+'GS Reclassification Adjustment'!C6</f>
        <v>20916651.983346008</v>
      </c>
      <c r="L6" s="50">
        <f>R6-'GS Reclassification Adjustment'!C6</f>
        <v>69773371.558237672</v>
      </c>
      <c r="M6" s="50">
        <v>1218696.8</v>
      </c>
      <c r="N6" s="50">
        <v>370830.46</v>
      </c>
      <c r="O6" s="50"/>
      <c r="Q6" s="185">
        <v>18767140.449999999</v>
      </c>
      <c r="R6" s="185">
        <v>71922883.091583684</v>
      </c>
      <c r="T6" s="71"/>
    </row>
    <row r="7" spans="1:20" x14ac:dyDescent="0.2">
      <c r="A7" s="61">
        <f>'Purchased Power Model'!A169</f>
        <v>2015</v>
      </c>
      <c r="B7" s="6">
        <f>'Purchased Power Model'!D169</f>
        <v>188795455.39999998</v>
      </c>
      <c r="C7" s="25">
        <f t="shared" si="2"/>
        <v>188795455.39999998</v>
      </c>
      <c r="D7" s="6">
        <f ca="1">'Purchased Power Model'!Q169</f>
        <v>190817310.40168869</v>
      </c>
      <c r="E7" s="6">
        <f ca="1">'Purchased Power Model'!S169</f>
        <v>190817310.40168869</v>
      </c>
      <c r="F7" s="31">
        <f t="shared" ca="1" si="3"/>
        <v>2021855.0016887188</v>
      </c>
      <c r="G7" s="5">
        <f t="shared" ca="1" si="4"/>
        <v>1.0709235544918308E-2</v>
      </c>
      <c r="H7" s="20">
        <f t="shared" si="0"/>
        <v>1.0248726627643543</v>
      </c>
      <c r="I7" s="23">
        <f t="shared" si="1"/>
        <v>184213573.31433585</v>
      </c>
      <c r="J7" s="50">
        <v>93262508.710000008</v>
      </c>
      <c r="K7" s="50">
        <f>Q7+'GS Reclassification Adjustment'!C7</f>
        <v>21318065.919019569</v>
      </c>
      <c r="L7" s="50">
        <f>R7-'GS Reclassification Adjustment'!C7</f>
        <v>68549561.93531628</v>
      </c>
      <c r="M7" s="50">
        <v>718341.4</v>
      </c>
      <c r="N7" s="50">
        <v>365095.35</v>
      </c>
      <c r="O7" s="50"/>
      <c r="Q7" s="185">
        <v>19253148.599999998</v>
      </c>
      <c r="R7" s="185">
        <v>70614479.25433585</v>
      </c>
      <c r="T7" s="71"/>
    </row>
    <row r="8" spans="1:20" x14ac:dyDescent="0.2">
      <c r="A8" s="61">
        <f>'Purchased Power Model'!A170</f>
        <v>2016</v>
      </c>
      <c r="B8" s="6">
        <f>'Purchased Power Model'!D170</f>
        <v>189916009.50999996</v>
      </c>
      <c r="C8" s="25">
        <f t="shared" si="2"/>
        <v>189916009.50999996</v>
      </c>
      <c r="D8" s="6">
        <f ca="1">'Purchased Power Model'!Q170</f>
        <v>193441414.97893271</v>
      </c>
      <c r="E8" s="6">
        <f ca="1">'Purchased Power Model'!S170</f>
        <v>193441414.97893271</v>
      </c>
      <c r="F8" s="31">
        <f t="shared" ca="1" si="3"/>
        <v>3525405.4689327478</v>
      </c>
      <c r="G8" s="5">
        <f t="shared" ca="1" si="4"/>
        <v>1.856297148422929E-2</v>
      </c>
      <c r="H8" s="20">
        <f t="shared" si="0"/>
        <v>1.0483896400715833</v>
      </c>
      <c r="I8" s="23">
        <f t="shared" si="1"/>
        <v>181150215.77000001</v>
      </c>
      <c r="J8" s="50">
        <v>95863365.789999992</v>
      </c>
      <c r="K8" s="50">
        <f>Q8+'GS Reclassification Adjustment'!C8</f>
        <v>21016725.873090759</v>
      </c>
      <c r="L8" s="50">
        <f>R8-'GS Reclassification Adjustment'!C8</f>
        <v>63205796.946909249</v>
      </c>
      <c r="M8" s="50">
        <v>719486.7</v>
      </c>
      <c r="N8" s="50">
        <v>344840.46</v>
      </c>
      <c r="O8" s="50"/>
      <c r="Q8" s="185">
        <v>18967931.630000003</v>
      </c>
      <c r="R8" s="185">
        <v>65254591.190000005</v>
      </c>
      <c r="T8" s="71"/>
    </row>
    <row r="9" spans="1:20" x14ac:dyDescent="0.2">
      <c r="A9" s="61">
        <f>'Purchased Power Model'!A171</f>
        <v>2017</v>
      </c>
      <c r="B9" s="6">
        <f>'Purchased Power Model'!D171</f>
        <v>211070217.70538622</v>
      </c>
      <c r="C9" s="25">
        <f t="shared" si="2"/>
        <v>181086826.573576</v>
      </c>
      <c r="D9" s="6">
        <f ca="1">'Purchased Power Model'!Q171</f>
        <v>184877352.29630989</v>
      </c>
      <c r="E9" s="6">
        <f ca="1">'Purchased Power Model'!S171</f>
        <v>214860743.42812011</v>
      </c>
      <c r="F9" s="31">
        <f t="shared" ca="1" si="3"/>
        <v>3790525.722733885</v>
      </c>
      <c r="G9" s="5">
        <f t="shared" ca="1" si="4"/>
        <v>1.7958600526127928E-2</v>
      </c>
      <c r="H9" s="20">
        <f>1 +(B9-I9)/I9</f>
        <v>1.040336488088105</v>
      </c>
      <c r="I9" s="23">
        <f t="shared" si="1"/>
        <v>202886489.24857369</v>
      </c>
      <c r="J9" s="50">
        <v>89264141.450000003</v>
      </c>
      <c r="K9" s="50">
        <f>Q9+'GS Reclassification Adjustment'!C9</f>
        <v>20643958.824984223</v>
      </c>
      <c r="L9" s="50">
        <f>R9-'GS Reclassification Adjustment'!C9</f>
        <v>61933325.571779281</v>
      </c>
      <c r="M9" s="50">
        <v>722926.2</v>
      </c>
      <c r="N9" s="50">
        <v>338746.07000000007</v>
      </c>
      <c r="O9" s="50">
        <v>29983391.131810207</v>
      </c>
      <c r="Q9" s="185">
        <v>18815505.98</v>
      </c>
      <c r="R9" s="185">
        <v>63761778.416763499</v>
      </c>
      <c r="T9" s="71"/>
    </row>
    <row r="10" spans="1:20" x14ac:dyDescent="0.2">
      <c r="A10" s="61">
        <f>'Purchased Power Model'!A172</f>
        <v>2018</v>
      </c>
      <c r="B10" s="6">
        <f>'Purchased Power Model'!D172</f>
        <v>237650537.15783811</v>
      </c>
      <c r="C10" s="25">
        <f t="shared" si="2"/>
        <v>194269903.58371869</v>
      </c>
      <c r="D10" s="6">
        <f ca="1">'Purchased Power Model'!Q172</f>
        <v>192268622.3337751</v>
      </c>
      <c r="E10" s="6">
        <f ca="1">'Purchased Power Model'!S172</f>
        <v>235649255.90789452</v>
      </c>
      <c r="F10" s="31">
        <f t="shared" ca="1" si="3"/>
        <v>-2001281.2499435842</v>
      </c>
      <c r="G10" s="5">
        <f t="shared" ca="1" si="4"/>
        <v>-8.4211097263980194E-3</v>
      </c>
      <c r="H10" s="20">
        <f t="shared" si="0"/>
        <v>1.0454166930759821</v>
      </c>
      <c r="I10" s="23">
        <f t="shared" si="1"/>
        <v>227326135.81918898</v>
      </c>
      <c r="J10" s="50">
        <v>96930170.469999969</v>
      </c>
      <c r="K10" s="50">
        <f>Q10+'GS Reclassification Adjustment'!C10</f>
        <v>21056361.495594338</v>
      </c>
      <c r="L10" s="50">
        <f>R10-'GS Reclassification Adjustment'!C10</f>
        <v>64879431.619475223</v>
      </c>
      <c r="M10" s="50">
        <v>741474.8</v>
      </c>
      <c r="N10" s="50">
        <v>338063.86</v>
      </c>
      <c r="O10" s="50">
        <v>43380633.574119426</v>
      </c>
      <c r="Q10" s="189">
        <v>19250751.989999998</v>
      </c>
      <c r="R10" s="189">
        <v>66685041.125069566</v>
      </c>
      <c r="T10" s="71"/>
    </row>
    <row r="11" spans="1:20" x14ac:dyDescent="0.2">
      <c r="A11" s="61">
        <f>'Purchased Power Model'!A173</f>
        <v>2019</v>
      </c>
      <c r="B11" s="6">
        <f>'Purchased Power Model'!D173</f>
        <v>239547871.85641468</v>
      </c>
      <c r="C11" s="25">
        <f t="shared" si="2"/>
        <v>190479226.55503541</v>
      </c>
      <c r="D11" s="6">
        <f ca="1">'Purchased Power Model'!Q173</f>
        <v>186343061.58179963</v>
      </c>
      <c r="E11" s="6">
        <f ca="1">'Purchased Power Model'!S173</f>
        <v>235411706.88317889</v>
      </c>
      <c r="F11" s="31">
        <f t="shared" ca="1" si="3"/>
        <v>-4136164.973235786</v>
      </c>
      <c r="G11" s="5">
        <f t="shared" ca="1" si="4"/>
        <v>-1.726654860751595E-2</v>
      </c>
      <c r="H11" s="20">
        <f>1 +(B11-I11)/I11</f>
        <v>1.0440187139615562</v>
      </c>
      <c r="I11" s="23">
        <f>SUM(J11:O11)</f>
        <v>229447871.62621254</v>
      </c>
      <c r="J11" s="50">
        <v>94075700.679999962</v>
      </c>
      <c r="K11" s="50">
        <f>Q11+'GS Reclassification Adjustment'!C11</f>
        <v>21682845.634852249</v>
      </c>
      <c r="L11" s="50">
        <f>R11-'GS Reclassification Adjustment'!C11</f>
        <v>63541604.039981067</v>
      </c>
      <c r="M11" s="50">
        <v>742609.6</v>
      </c>
      <c r="N11" s="50">
        <v>336466.37000000005</v>
      </c>
      <c r="O11" s="50">
        <v>49068645.301379278</v>
      </c>
      <c r="Q11" s="189">
        <v>19815114.449999999</v>
      </c>
      <c r="R11" s="189">
        <v>65409335.224833317</v>
      </c>
      <c r="T11" s="71"/>
    </row>
    <row r="12" spans="1:20" ht="13.5" thickBot="1" x14ac:dyDescent="0.25">
      <c r="A12" s="61">
        <f>'Purchased Power Model'!A174</f>
        <v>2020</v>
      </c>
      <c r="B12" s="6">
        <f>'Purchased Power Model'!D174</f>
        <v>257550552.01565266</v>
      </c>
      <c r="C12" s="25">
        <f t="shared" si="2"/>
        <v>198368432.03149033</v>
      </c>
      <c r="D12" s="6">
        <f ca="1">'Purchased Power Model'!Q174</f>
        <v>198622621.78726631</v>
      </c>
      <c r="E12" s="6">
        <f ca="1">'Purchased Power Model'!S174</f>
        <v>257804741.77142864</v>
      </c>
      <c r="F12" s="31">
        <f ca="1">E12-B12</f>
        <v>254189.7557759881</v>
      </c>
      <c r="G12" s="5">
        <f ca="1">F12/B12</f>
        <v>9.8695092589255913E-4</v>
      </c>
      <c r="H12" s="20">
        <f>1 +(B12-I12)/I12</f>
        <v>1.0435847645310101</v>
      </c>
      <c r="I12" s="23">
        <f>SUM(J12:O12)</f>
        <v>246794089.72724569</v>
      </c>
      <c r="J12" s="50">
        <v>102206305.12000003</v>
      </c>
      <c r="K12" s="50">
        <f>Q12+'GS Reclassification Adjustment'!C12</f>
        <v>20675583.910361484</v>
      </c>
      <c r="L12" s="50">
        <f>R12-'GS Reclassification Adjustment'!C12</f>
        <v>63661777.71272184</v>
      </c>
      <c r="M12" s="50">
        <v>739992.7</v>
      </c>
      <c r="N12" s="50">
        <v>328310.30000000005</v>
      </c>
      <c r="O12" s="50">
        <v>59182119.984162331</v>
      </c>
      <c r="Q12" s="190">
        <v>19109685.450000007</v>
      </c>
      <c r="R12" s="190">
        <v>65227676.17308332</v>
      </c>
      <c r="T12" s="71"/>
    </row>
    <row r="13" spans="1:20" x14ac:dyDescent="0.2">
      <c r="A13" s="61">
        <f>'Purchased Power Model'!A175</f>
        <v>2021</v>
      </c>
      <c r="B13" s="6"/>
      <c r="C13" s="6"/>
      <c r="D13" s="17">
        <f ca="1">'Purchased Power Model'!Q175</f>
        <v>194015840.17437127</v>
      </c>
      <c r="E13" s="17">
        <f ca="1">'Purchased Power Model'!S175</f>
        <v>252384342.05733669</v>
      </c>
      <c r="F13" s="60"/>
      <c r="G13" s="60"/>
      <c r="H13" s="60"/>
      <c r="I13" s="17">
        <f ca="1">E13/$H$16</f>
        <v>241377526.83371907</v>
      </c>
      <c r="J13"/>
      <c r="K13"/>
      <c r="L13"/>
      <c r="M13"/>
      <c r="N13"/>
      <c r="O13"/>
    </row>
    <row r="14" spans="1:20" x14ac:dyDescent="0.2">
      <c r="A14" s="61">
        <f>'Purchased Power Model'!A176</f>
        <v>2022</v>
      </c>
      <c r="B14" s="6"/>
      <c r="C14" s="6"/>
      <c r="D14" s="17">
        <f ca="1">'Purchased Power Model'!Q176</f>
        <v>191854928.19020149</v>
      </c>
      <c r="E14" s="17">
        <f ca="1">'Purchased Power Model'!S176</f>
        <v>250515272.58258173</v>
      </c>
      <c r="F14" s="60"/>
      <c r="G14" s="60"/>
      <c r="H14" s="60"/>
      <c r="I14" s="17">
        <f ca="1">E14/$H$16</f>
        <v>239589969.95273691</v>
      </c>
      <c r="J14"/>
      <c r="K14"/>
      <c r="L14"/>
      <c r="M14"/>
      <c r="N14"/>
      <c r="O14"/>
    </row>
    <row r="15" spans="1:20" x14ac:dyDescent="0.2">
      <c r="J15" s="43"/>
      <c r="K15" s="43"/>
      <c r="L15" s="43"/>
      <c r="M15" s="43"/>
      <c r="N15" s="43"/>
      <c r="O15" s="43"/>
    </row>
    <row r="16" spans="1:20" x14ac:dyDescent="0.2">
      <c r="A16" s="15" t="s">
        <v>16</v>
      </c>
      <c r="E16" s="44"/>
      <c r="F16" s="48"/>
      <c r="H16" s="20">
        <v>1.0456000000000001</v>
      </c>
    </row>
    <row r="17" spans="1:15" x14ac:dyDescent="0.2">
      <c r="E17" s="44"/>
      <c r="F17" s="48"/>
    </row>
    <row r="18" spans="1:15" x14ac:dyDescent="0.2">
      <c r="B18" s="60"/>
      <c r="E18" s="44"/>
      <c r="F18" s="48"/>
      <c r="G18" s="60"/>
      <c r="H18" s="60"/>
    </row>
    <row r="19" spans="1:15" x14ac:dyDescent="0.2">
      <c r="A19" s="18" t="s">
        <v>17</v>
      </c>
      <c r="B19" s="11"/>
      <c r="C19" s="11"/>
      <c r="D19" s="11"/>
    </row>
    <row r="21" spans="1:15" x14ac:dyDescent="0.2">
      <c r="A21">
        <f t="shared" ref="A21:A28" si="5">A3</f>
        <v>2011</v>
      </c>
      <c r="B21" s="253"/>
      <c r="C21" s="253"/>
      <c r="D21" s="253"/>
      <c r="E21" s="253"/>
      <c r="F21" s="253"/>
      <c r="G21" s="253"/>
      <c r="H21" s="253"/>
      <c r="J21" s="200">
        <f>J3/'Rate Class Customer Model'!B3</f>
        <v>9871.9037915008084</v>
      </c>
      <c r="K21" s="200">
        <f>K3/'Rate Class Customer Model'!C3</f>
        <v>30046.071656471497</v>
      </c>
      <c r="L21" s="200">
        <f>L3/'Rate Class Customer Model'!D3</f>
        <v>722593.73321243643</v>
      </c>
      <c r="M21" s="201">
        <f>M3/'Rate Class Customer Model'!E3</f>
        <v>633.39118273841245</v>
      </c>
      <c r="N21" s="201">
        <f>N3/'Rate Class Customer Model'!F3</f>
        <v>4830.9127500000004</v>
      </c>
      <c r="O21" s="23"/>
    </row>
    <row r="22" spans="1:15" x14ac:dyDescent="0.2">
      <c r="A22">
        <f t="shared" si="5"/>
        <v>2012</v>
      </c>
      <c r="B22" s="253"/>
      <c r="C22" s="253"/>
      <c r="D22" s="253"/>
      <c r="E22" s="253"/>
      <c r="F22" s="253"/>
      <c r="G22" s="253"/>
      <c r="H22" s="253"/>
      <c r="J22" s="200">
        <f>J4/'Rate Class Customer Model'!B4</f>
        <v>9738.508318987866</v>
      </c>
      <c r="K22" s="200">
        <f>K4/'Rate Class Customer Model'!C4</f>
        <v>29093.424542059471</v>
      </c>
      <c r="L22" s="200">
        <f>L4/'Rate Class Customer Model'!D4</f>
        <v>756335.08368867589</v>
      </c>
      <c r="M22" s="201">
        <f>M4/'Rate Class Customer Model'!E4</f>
        <v>620.40611964694347</v>
      </c>
      <c r="N22" s="201">
        <f>N4/'Rate Class Customer Model'!F4</f>
        <v>4895.9212459720738</v>
      </c>
      <c r="O22" s="23"/>
    </row>
    <row r="23" spans="1:15" x14ac:dyDescent="0.2">
      <c r="A23">
        <f t="shared" si="5"/>
        <v>2013</v>
      </c>
      <c r="B23" s="253"/>
      <c r="C23" s="253"/>
      <c r="D23" s="253"/>
      <c r="E23" s="253"/>
      <c r="F23" s="253"/>
      <c r="G23" s="253"/>
      <c r="H23" s="253"/>
      <c r="J23" s="200">
        <f>J5/'Rate Class Customer Model'!B5</f>
        <v>9488.0440979676569</v>
      </c>
      <c r="K23" s="200">
        <f>K5/'Rate Class Customer Model'!C5</f>
        <v>29536.426960767149</v>
      </c>
      <c r="L23" s="200">
        <f>L5/'Rate Class Customer Model'!D5</f>
        <v>747100.25410756422</v>
      </c>
      <c r="M23" s="201">
        <f>M5/'Rate Class Customer Model'!E5</f>
        <v>585.74801188080869</v>
      </c>
      <c r="N23" s="201">
        <f>N5/'Rate Class Customer Model'!F5</f>
        <v>4966.831189427312</v>
      </c>
      <c r="O23" s="23"/>
    </row>
    <row r="24" spans="1:15" x14ac:dyDescent="0.2">
      <c r="A24">
        <f t="shared" si="5"/>
        <v>2014</v>
      </c>
      <c r="B24" s="253"/>
      <c r="C24" s="253"/>
      <c r="D24" s="253"/>
      <c r="E24" s="253"/>
      <c r="F24" s="253"/>
      <c r="G24" s="253"/>
      <c r="H24" s="253"/>
      <c r="J24" s="200">
        <f>J6/'Rate Class Customer Model'!B6</f>
        <v>9193.2302890105693</v>
      </c>
      <c r="K24" s="200">
        <f>K6/'Rate Class Customer Model'!C6</f>
        <v>28319.962067037355</v>
      </c>
      <c r="L24" s="200">
        <f>L6/'Rate Class Customer Model'!D6</f>
        <v>732528.83525708842</v>
      </c>
      <c r="M24" s="201">
        <f>M6/'Rate Class Customer Model'!E6</f>
        <v>460.92919818456886</v>
      </c>
      <c r="N24" s="201">
        <f>N6/'Rate Class Customer Model'!F6</f>
        <v>5033.8976470588232</v>
      </c>
      <c r="O24" s="23"/>
    </row>
    <row r="25" spans="1:15" x14ac:dyDescent="0.2">
      <c r="A25">
        <f t="shared" si="5"/>
        <v>2015</v>
      </c>
      <c r="B25" s="253"/>
      <c r="C25" s="253"/>
      <c r="D25" s="253"/>
      <c r="E25" s="253"/>
      <c r="F25" s="253"/>
      <c r="G25" s="253"/>
      <c r="H25" s="253"/>
      <c r="J25" s="200">
        <f>J7/'Rate Class Customer Model'!B7</f>
        <v>9119.0582679372437</v>
      </c>
      <c r="K25" s="200">
        <f>K7/'Rate Class Customer Model'!C7</f>
        <v>27563.494346324194</v>
      </c>
      <c r="L25" s="200">
        <f>L7/'Rate Class Customer Model'!D7</f>
        <v>730221.69837886852</v>
      </c>
      <c r="M25" s="201">
        <f>M7/'Rate Class Customer Model'!E7</f>
        <v>272.74903257447517</v>
      </c>
      <c r="N25" s="201">
        <f>N7/'Rate Class Customer Model'!F7</f>
        <v>5133.1507908611593</v>
      </c>
      <c r="O25" s="23"/>
    </row>
    <row r="26" spans="1:15" x14ac:dyDescent="0.2">
      <c r="A26">
        <f t="shared" si="5"/>
        <v>2016</v>
      </c>
      <c r="B26" s="253"/>
      <c r="C26" s="253"/>
      <c r="D26" s="253"/>
      <c r="E26" s="253"/>
      <c r="F26" s="253"/>
      <c r="G26" s="253"/>
      <c r="H26" s="253"/>
      <c r="J26" s="200">
        <f>J8/'Rate Class Customer Model'!B8</f>
        <v>9326.2885661472592</v>
      </c>
      <c r="K26" s="200">
        <f>K8/'Rate Class Customer Model'!C8</f>
        <v>26872.744856376037</v>
      </c>
      <c r="L26" s="200">
        <f>L8/'Rate Class Customer Model'!D8</f>
        <v>651606.15409184794</v>
      </c>
      <c r="M26" s="201">
        <f>M8/'Rate Class Customer Model'!E8</f>
        <v>273.4651083238312</v>
      </c>
      <c r="N26" s="201">
        <f>N8/'Rate Class Customer Model'!F8</f>
        <v>5034.1672992700733</v>
      </c>
      <c r="O26" s="23"/>
    </row>
    <row r="27" spans="1:15" x14ac:dyDescent="0.2">
      <c r="A27">
        <f t="shared" si="5"/>
        <v>2017</v>
      </c>
      <c r="B27" s="253"/>
      <c r="C27" s="253"/>
      <c r="D27" s="253"/>
      <c r="E27" s="253"/>
      <c r="F27" s="253"/>
      <c r="G27" s="253"/>
      <c r="H27" s="253"/>
      <c r="J27" s="200">
        <f>J9/'Rate Class Customer Model'!B9</f>
        <v>8615.6408015861198</v>
      </c>
      <c r="K27" s="200">
        <f>K9/'Rate Class Customer Model'!C9</f>
        <v>26123.326573849063</v>
      </c>
      <c r="L27" s="200">
        <f>L9/'Rate Class Customer Model'!D9</f>
        <v>617532.12036672316</v>
      </c>
      <c r="M27" s="201">
        <f>M9/'Rate Class Customer Model'!E9</f>
        <v>274.32926667299114</v>
      </c>
      <c r="N27" s="201">
        <f>N9/'Rate Class Customer Model'!F9</f>
        <v>5040.2391072535665</v>
      </c>
      <c r="O27" s="23">
        <f>O9/'Rate Class Customer Model'!G9</f>
        <v>29983391.131810207</v>
      </c>
    </row>
    <row r="28" spans="1:15" x14ac:dyDescent="0.2">
      <c r="A28">
        <f t="shared" si="5"/>
        <v>2018</v>
      </c>
      <c r="B28" s="253"/>
      <c r="C28" s="253"/>
      <c r="D28" s="253"/>
      <c r="E28" s="253"/>
      <c r="F28" s="253"/>
      <c r="G28" s="253"/>
      <c r="H28" s="253"/>
      <c r="J28" s="200">
        <f>J10/'Rate Class Customer Model'!B10</f>
        <v>9193.3580376535283</v>
      </c>
      <c r="K28" s="200">
        <f>K10/'Rate Class Customer Model'!C10</f>
        <v>26580.721433529568</v>
      </c>
      <c r="L28" s="200">
        <f>L10/'Rate Class Customer Model'!D10</f>
        <v>627865.46728524414</v>
      </c>
      <c r="M28" s="201">
        <f>M10/'Rate Class Customer Model'!E10</f>
        <v>278.37492100240905</v>
      </c>
      <c r="N28" s="201">
        <f>N10/'Rate Class Customer Model'!F10</f>
        <v>5099.6433940917659</v>
      </c>
      <c r="O28" s="23">
        <f>O10/'Rate Class Customer Model'!G10</f>
        <v>43380633.574119426</v>
      </c>
    </row>
    <row r="29" spans="1:15" x14ac:dyDescent="0.2">
      <c r="A29">
        <f>A11</f>
        <v>2019</v>
      </c>
      <c r="B29" s="60"/>
      <c r="E29" s="60"/>
      <c r="F29" s="60"/>
      <c r="G29" s="60"/>
      <c r="H29" s="60"/>
      <c r="J29" s="200">
        <f>J11/'Rate Class Customer Model'!B11</f>
        <v>8814.638704478728</v>
      </c>
      <c r="K29" s="200">
        <f>K11/'Rate Class Customer Model'!C11</f>
        <v>26960.330288905501</v>
      </c>
      <c r="L29" s="200">
        <f>L11/'Rate Class Customer Model'!D11</f>
        <v>653384.10323887982</v>
      </c>
      <c r="M29" s="201">
        <f>M11/'Rate Class Customer Model'!E11</f>
        <v>277.43820672478205</v>
      </c>
      <c r="N29" s="201">
        <f>N11/'Rate Class Customer Model'!F11</f>
        <v>5114.1183533882204</v>
      </c>
      <c r="O29" s="23">
        <f>O11/'Rate Class Customer Model'!G11</f>
        <v>49068645.301379278</v>
      </c>
    </row>
    <row r="30" spans="1:15" x14ac:dyDescent="0.2">
      <c r="A30">
        <v>2020</v>
      </c>
      <c r="B30" s="60"/>
      <c r="E30" s="60"/>
      <c r="F30" s="60"/>
      <c r="G30" s="60"/>
      <c r="H30" s="60"/>
      <c r="J30" s="23">
        <f>J12/'Rate Class Customer Model'!B12</f>
        <v>9493.8376799433408</v>
      </c>
      <c r="K30" s="23">
        <f>K12/'Rate Class Customer Model'!C12</f>
        <v>25457.316532355613</v>
      </c>
      <c r="L30" s="23">
        <f>L12/'Rate Class Customer Model'!D12</f>
        <v>677553.28829504398</v>
      </c>
      <c r="M30" s="23">
        <f>M12/'Rate Class Customer Model'!E12</f>
        <v>275.3674672455229</v>
      </c>
      <c r="N30" s="23">
        <f>N12/'Rate Class Customer Model'!F12</f>
        <v>5221.6349900596433</v>
      </c>
      <c r="O30" s="23">
        <f>O12/'Rate Class Customer Model'!G12</f>
        <v>59182119.984162331</v>
      </c>
    </row>
    <row r="31" spans="1:15" x14ac:dyDescent="0.2">
      <c r="A31">
        <f>A13</f>
        <v>2021</v>
      </c>
      <c r="B31" s="60"/>
      <c r="E31" s="60"/>
      <c r="F31" s="60"/>
      <c r="G31" s="60"/>
      <c r="H31" s="60"/>
      <c r="J31" s="17">
        <f>J29</f>
        <v>8814.638704478728</v>
      </c>
      <c r="K31" s="17">
        <f>K29</f>
        <v>26960.330288905501</v>
      </c>
      <c r="L31" s="17">
        <f>L29</f>
        <v>653384.10323887982</v>
      </c>
      <c r="M31" s="17">
        <f>M30</f>
        <v>275.3674672455229</v>
      </c>
      <c r="N31" s="17">
        <f>N30</f>
        <v>5221.6349900596433</v>
      </c>
      <c r="O31" s="17">
        <f t="shared" ref="K31:O32" si="6">O30</f>
        <v>59182119.984162331</v>
      </c>
    </row>
    <row r="32" spans="1:15" x14ac:dyDescent="0.2">
      <c r="A32">
        <v>2020</v>
      </c>
      <c r="B32" s="60"/>
      <c r="E32" s="60"/>
      <c r="F32" s="60"/>
      <c r="G32" s="60"/>
      <c r="H32" s="60"/>
      <c r="J32" s="17">
        <f>J31</f>
        <v>8814.638704478728</v>
      </c>
      <c r="K32" s="17">
        <f t="shared" si="6"/>
        <v>26960.330288905501</v>
      </c>
      <c r="L32" s="17">
        <f t="shared" si="6"/>
        <v>653384.10323887982</v>
      </c>
      <c r="M32" s="17">
        <f t="shared" si="6"/>
        <v>275.3674672455229</v>
      </c>
      <c r="N32" s="17">
        <f t="shared" si="6"/>
        <v>5221.6349900596433</v>
      </c>
      <c r="O32" s="17">
        <f t="shared" si="6"/>
        <v>59182119.984162331</v>
      </c>
    </row>
    <row r="33" spans="1:18" x14ac:dyDescent="0.2">
      <c r="B33" s="60"/>
      <c r="E33" s="60"/>
      <c r="F33" s="60"/>
      <c r="G33" s="60"/>
      <c r="H33" s="60"/>
      <c r="J33"/>
      <c r="K33"/>
      <c r="L33"/>
      <c r="M33"/>
      <c r="N33"/>
      <c r="O33"/>
    </row>
    <row r="34" spans="1:18" x14ac:dyDescent="0.2">
      <c r="F34" s="6"/>
      <c r="J34" s="21"/>
      <c r="K34" s="21"/>
      <c r="L34" s="21"/>
      <c r="M34" s="21"/>
      <c r="N34" s="21"/>
      <c r="O34" s="21"/>
    </row>
    <row r="35" spans="1:18" x14ac:dyDescent="0.2">
      <c r="A35" s="15" t="s">
        <v>22</v>
      </c>
    </row>
    <row r="36" spans="1:18" x14ac:dyDescent="0.2">
      <c r="A36" s="55">
        <v>2019</v>
      </c>
      <c r="B36" s="60"/>
      <c r="E36" s="60"/>
      <c r="F36" s="60"/>
      <c r="G36" s="60"/>
      <c r="H36" s="60"/>
      <c r="I36" s="23">
        <f>SUM(J36:O36)</f>
        <v>229447871.62621254</v>
      </c>
      <c r="J36" s="6">
        <f>J29*'Customer Count'!S10</f>
        <v>94075700.679999962</v>
      </c>
      <c r="K36" s="6">
        <f>K29*'Customer Count'!V10</f>
        <v>21682845.634852249</v>
      </c>
      <c r="L36" s="6">
        <f>L29*'Customer Count'!Y10</f>
        <v>63541604.03998106</v>
      </c>
      <c r="M36" s="6">
        <f>M29*'Rate Class Customer Model'!E11</f>
        <v>742609.59999999986</v>
      </c>
      <c r="N36" s="6">
        <f>N29*'Rate Class Customer Model'!F11</f>
        <v>336466.37</v>
      </c>
      <c r="O36" s="6">
        <f>O29*'Rate Class Customer Model'!G11</f>
        <v>49068645.301379278</v>
      </c>
    </row>
    <row r="37" spans="1:18" x14ac:dyDescent="0.2">
      <c r="A37" s="55">
        <v>2020</v>
      </c>
      <c r="I37" s="23">
        <f>SUM(J37:O37)</f>
        <v>246794089.72724569</v>
      </c>
      <c r="J37" s="6">
        <f>J30*'Customer Count'!S11</f>
        <v>102206305.12000003</v>
      </c>
      <c r="K37" s="6">
        <f>K30*'Customer Count'!V11</f>
        <v>20675583.910361484</v>
      </c>
      <c r="L37" s="6">
        <f>L30*'Customer Count'!Y11</f>
        <v>63661777.71272184</v>
      </c>
      <c r="M37" s="6">
        <f>M30*'Rate Class Customer Model'!E12</f>
        <v>739992.7</v>
      </c>
      <c r="N37" s="6">
        <f>N30*'Rate Class Customer Model'!F12</f>
        <v>328310.30000000005</v>
      </c>
      <c r="O37" s="6">
        <f>O30*'Rate Class Customer Model'!G12</f>
        <v>59182119.984162331</v>
      </c>
    </row>
    <row r="38" spans="1:18" x14ac:dyDescent="0.2">
      <c r="A38" s="55">
        <v>2021</v>
      </c>
      <c r="I38" s="23">
        <f ca="1">SUM(J38:O38)</f>
        <v>239180788.04617977</v>
      </c>
      <c r="J38" s="6">
        <f>J31*'Customer Count'!S12</f>
        <v>95872965.045472085</v>
      </c>
      <c r="K38" s="6">
        <f>K31*'Customer Count'!V12</f>
        <v>22323587.097357165</v>
      </c>
      <c r="L38" s="6">
        <f>L31*'Customer Count'!Y12</f>
        <v>61550225.964879878</v>
      </c>
      <c r="M38" s="6">
        <f>M31*'Rate Class Customer Model'!E13</f>
        <v>745868.17941827257</v>
      </c>
      <c r="N38" s="6">
        <f>N31*'Rate Class Customer Model'!F13</f>
        <v>319639.87608696189</v>
      </c>
      <c r="O38" s="6">
        <f ca="1">'Purchased Power Model'!R175</f>
        <v>58368501.882965423</v>
      </c>
      <c r="P38" s="45">
        <f ca="1">I38-O38</f>
        <v>180812286.16321436</v>
      </c>
    </row>
    <row r="39" spans="1:18" x14ac:dyDescent="0.2">
      <c r="A39" s="55">
        <v>2022</v>
      </c>
      <c r="B39" s="60"/>
      <c r="E39" s="60"/>
      <c r="F39" s="60"/>
      <c r="G39" s="60"/>
      <c r="H39" s="60"/>
      <c r="I39" s="23">
        <f ca="1">SUM(J39:O39)</f>
        <v>241054210.53017861</v>
      </c>
      <c r="J39" s="6">
        <f>J32*'Customer Count'!S13</f>
        <v>96861661.772375584</v>
      </c>
      <c r="K39" s="6">
        <f>K32*'Customer Count'!V13</f>
        <v>22759231.470644698</v>
      </c>
      <c r="L39" s="6">
        <f>L32*'Customer Count'!Y13</f>
        <v>61709984.153694309</v>
      </c>
      <c r="M39" s="6">
        <f>M32*'Rate Class Customer Model'!E14</f>
        <v>751790.30964593077</v>
      </c>
      <c r="N39" s="6">
        <f>N32*'Rate Class Customer Model'!F14</f>
        <v>311198.43143784488</v>
      </c>
      <c r="O39" s="6">
        <f ca="1">'Purchased Power Model'!R176</f>
        <v>58660344.392380245</v>
      </c>
      <c r="P39" s="45">
        <f ca="1">I39-O39</f>
        <v>182393866.13779837</v>
      </c>
    </row>
    <row r="41" spans="1:18" x14ac:dyDescent="0.2">
      <c r="A41" s="15" t="s">
        <v>269</v>
      </c>
      <c r="Q41" s="6"/>
    </row>
    <row r="42" spans="1:18" x14ac:dyDescent="0.2">
      <c r="A42" s="55">
        <v>2021</v>
      </c>
      <c r="B42" s="60"/>
      <c r="E42" s="60"/>
      <c r="F42" s="60"/>
      <c r="G42" s="60"/>
      <c r="H42" s="60"/>
      <c r="I42" s="17">
        <f ca="1">I13</f>
        <v>241377526.83371907</v>
      </c>
      <c r="J42" s="6">
        <f t="shared" ref="J42:L43" ca="1" si="7">J38+J50+J55</f>
        <v>97422911.697065085</v>
      </c>
      <c r="K42" s="6">
        <f t="shared" ca="1" si="7"/>
        <v>22637791.967165269</v>
      </c>
      <c r="L42" s="6">
        <f t="shared" ca="1" si="7"/>
        <v>73768098.251562878</v>
      </c>
      <c r="M42" s="6">
        <f t="shared" ref="M42:O43" ca="1" si="8">M38+M50</f>
        <v>745868.17941827257</v>
      </c>
      <c r="N42" s="6">
        <f t="shared" ca="1" si="8"/>
        <v>319639.87608696189</v>
      </c>
      <c r="O42" s="6">
        <f t="shared" ca="1" si="8"/>
        <v>58368501.882965423</v>
      </c>
      <c r="P42" s="6">
        <f ca="1">SUM(J42:O42)</f>
        <v>253262811.85426387</v>
      </c>
      <c r="Q42" s="6"/>
      <c r="R42" s="6"/>
    </row>
    <row r="43" spans="1:18" x14ac:dyDescent="0.2">
      <c r="A43" s="55">
        <v>2022</v>
      </c>
      <c r="B43" s="60"/>
      <c r="E43" s="60"/>
      <c r="F43" s="60"/>
      <c r="G43" s="60"/>
      <c r="H43" s="60"/>
      <c r="I43" s="17">
        <f ca="1">I14</f>
        <v>239589969.95273691</v>
      </c>
      <c r="J43" s="6">
        <f t="shared" ca="1" si="7"/>
        <v>97410985.19667697</v>
      </c>
      <c r="K43" s="6">
        <f t="shared" ca="1" si="7"/>
        <v>22576980.50420215</v>
      </c>
      <c r="L43" s="6">
        <f t="shared" ca="1" si="7"/>
        <v>78925768.097103238</v>
      </c>
      <c r="M43" s="6">
        <f t="shared" ca="1" si="8"/>
        <v>751790.30964593077</v>
      </c>
      <c r="N43" s="6">
        <f t="shared" ca="1" si="8"/>
        <v>311198.43143784488</v>
      </c>
      <c r="O43" s="6">
        <f ca="1">O39+O51</f>
        <v>58660344.392380245</v>
      </c>
      <c r="P43" s="6">
        <f ca="1">SUM(J43:O43)</f>
        <v>258637066.93144637</v>
      </c>
      <c r="Q43" s="6"/>
      <c r="R43" s="6"/>
    </row>
    <row r="44" spans="1:18" x14ac:dyDescent="0.2">
      <c r="Q44" s="6"/>
    </row>
    <row r="45" spans="1:18" x14ac:dyDescent="0.2">
      <c r="A45" t="s">
        <v>23</v>
      </c>
      <c r="J45" s="74">
        <v>0.65</v>
      </c>
      <c r="K45" s="75">
        <f>J45</f>
        <v>0.65</v>
      </c>
      <c r="L45" s="99">
        <v>0.4</v>
      </c>
      <c r="M45" s="75">
        <v>0</v>
      </c>
      <c r="N45" s="75">
        <v>0</v>
      </c>
      <c r="O45" s="75">
        <v>0</v>
      </c>
    </row>
    <row r="46" spans="1:18" x14ac:dyDescent="0.2">
      <c r="A46" s="55">
        <v>2021</v>
      </c>
      <c r="I46" s="6">
        <f ca="1">I42-I38</f>
        <v>2196738.7875393033</v>
      </c>
      <c r="J46" s="6">
        <f t="shared" ref="J46:O47" si="9">J38*J$45</f>
        <v>62317427.279556856</v>
      </c>
      <c r="K46" s="6">
        <f t="shared" si="9"/>
        <v>14510331.613282157</v>
      </c>
      <c r="L46" s="6">
        <f t="shared" si="9"/>
        <v>24620090.385951951</v>
      </c>
      <c r="M46" s="6">
        <f t="shared" si="9"/>
        <v>0</v>
      </c>
      <c r="N46" s="6">
        <f t="shared" si="9"/>
        <v>0</v>
      </c>
      <c r="O46" s="6">
        <f t="shared" ca="1" si="9"/>
        <v>0</v>
      </c>
      <c r="P46" s="6">
        <f ca="1">SUM(J46:O46)</f>
        <v>101447849.27879097</v>
      </c>
    </row>
    <row r="47" spans="1:18" x14ac:dyDescent="0.2">
      <c r="A47" s="55">
        <v>2022</v>
      </c>
      <c r="B47" s="60"/>
      <c r="E47" s="60"/>
      <c r="F47" s="60"/>
      <c r="G47" s="60"/>
      <c r="H47" s="60"/>
      <c r="I47" s="6">
        <f ca="1">I43-I39</f>
        <v>-1464240.5774416924</v>
      </c>
      <c r="J47" s="6">
        <f t="shared" si="9"/>
        <v>62960080.152044132</v>
      </c>
      <c r="K47" s="6">
        <f t="shared" si="9"/>
        <v>14793500.455919053</v>
      </c>
      <c r="L47" s="6">
        <f t="shared" si="9"/>
        <v>24683993.661477726</v>
      </c>
      <c r="M47" s="6">
        <f t="shared" si="9"/>
        <v>0</v>
      </c>
      <c r="N47" s="6">
        <f t="shared" si="9"/>
        <v>0</v>
      </c>
      <c r="O47" s="6">
        <f t="shared" ca="1" si="9"/>
        <v>0</v>
      </c>
      <c r="P47" s="6">
        <f ca="1">SUM(J47:O47)</f>
        <v>102437574.26944092</v>
      </c>
    </row>
    <row r="48" spans="1:18" ht="12" customHeight="1" x14ac:dyDescent="0.2"/>
    <row r="49" spans="1:23" x14ac:dyDescent="0.2">
      <c r="A49" t="s">
        <v>24</v>
      </c>
    </row>
    <row r="50" spans="1:23" x14ac:dyDescent="0.2">
      <c r="A50" s="55">
        <v>2021</v>
      </c>
      <c r="I50" s="6">
        <f ca="1">SUM(J50:O50)</f>
        <v>2196738.7875393033</v>
      </c>
      <c r="J50" s="6">
        <f t="shared" ref="J50:O50" ca="1" si="10">J46/$P$46*$I$46</f>
        <v>1349413.6210661116</v>
      </c>
      <c r="K50" s="6">
        <f t="shared" ca="1" si="10"/>
        <v>314204.86980810395</v>
      </c>
      <c r="L50" s="6">
        <f t="shared" ca="1" si="10"/>
        <v>533120.29666508769</v>
      </c>
      <c r="M50" s="6">
        <f t="shared" ca="1" si="10"/>
        <v>0</v>
      </c>
      <c r="N50" s="6">
        <f t="shared" ca="1" si="10"/>
        <v>0</v>
      </c>
      <c r="O50" s="6">
        <f t="shared" ca="1" si="10"/>
        <v>0</v>
      </c>
    </row>
    <row r="51" spans="1:23" x14ac:dyDescent="0.2">
      <c r="A51" s="55">
        <v>2022</v>
      </c>
      <c r="B51" s="60"/>
      <c r="E51" s="60"/>
      <c r="F51" s="60"/>
      <c r="G51" s="60"/>
      <c r="H51" s="60"/>
      <c r="I51" s="6">
        <f ca="1">SUM(J51:O51)</f>
        <v>-1464240.5774416921</v>
      </c>
      <c r="J51" s="6">
        <f t="shared" ref="J51:O51" ca="1" si="11">J47/$P$47*$I$47</f>
        <v>-899950.08935999358</v>
      </c>
      <c r="K51" s="6">
        <f t="shared" ca="1" si="11"/>
        <v>-211457.99092219243</v>
      </c>
      <c r="L51" s="6">
        <f t="shared" ca="1" si="11"/>
        <v>-352832.49715950619</v>
      </c>
      <c r="M51" s="6">
        <f t="shared" ca="1" si="11"/>
        <v>0</v>
      </c>
      <c r="N51" s="6">
        <f t="shared" ca="1" si="11"/>
        <v>0</v>
      </c>
      <c r="O51" s="6">
        <f t="shared" ca="1" si="11"/>
        <v>0</v>
      </c>
    </row>
    <row r="52" spans="1:23" x14ac:dyDescent="0.2">
      <c r="I52" s="22"/>
    </row>
    <row r="53" spans="1:23" x14ac:dyDescent="0.2">
      <c r="B53" s="266"/>
      <c r="C53" s="266"/>
      <c r="D53" s="266"/>
      <c r="E53" s="266"/>
      <c r="F53" s="266"/>
      <c r="G53" s="266"/>
      <c r="H53" s="266"/>
      <c r="I53" s="22"/>
    </row>
    <row r="54" spans="1:23" x14ac:dyDescent="0.2">
      <c r="A54" s="55" t="s">
        <v>265</v>
      </c>
      <c r="B54" s="60"/>
      <c r="E54" s="60"/>
      <c r="F54" s="60"/>
      <c r="G54" s="60"/>
      <c r="H54" s="60"/>
    </row>
    <row r="55" spans="1:23" x14ac:dyDescent="0.2">
      <c r="A55" s="55">
        <v>2021</v>
      </c>
      <c r="B55" s="60"/>
      <c r="E55" s="60"/>
      <c r="F55" s="60"/>
      <c r="G55" s="60"/>
      <c r="H55" s="60"/>
      <c r="J55" s="6">
        <f>'Customer Count'!T148*'Rate Class Energy Model'!J31</f>
        <v>200533.03052689106</v>
      </c>
      <c r="K55" s="6">
        <f>'Customer Count'!W148*'Rate Class Energy Model'!K31</f>
        <v>0</v>
      </c>
      <c r="L55" s="6">
        <f>'New GS&gt;50 Customers'!B43+'Customer Count'!Z149*'Rate Class Energy Model'!L31</f>
        <v>11684751.990017919</v>
      </c>
      <c r="P55" s="6">
        <f>SUM(J55:O55)</f>
        <v>11885285.02054481</v>
      </c>
    </row>
    <row r="56" spans="1:23" x14ac:dyDescent="0.2">
      <c r="A56" s="55">
        <v>2022</v>
      </c>
      <c r="B56" s="60"/>
      <c r="E56" s="60"/>
      <c r="F56" s="60"/>
      <c r="G56" s="60"/>
      <c r="H56" s="60"/>
      <c r="J56" s="310">
        <f>'Customer Count'!T149*'Rate Class Energy Model'!J32</f>
        <v>1449273.5136613776</v>
      </c>
      <c r="K56" s="6">
        <f>'Customer Count'!W149*'Rate Class Energy Model'!K32</f>
        <v>29207.024479647625</v>
      </c>
      <c r="L56" s="6">
        <f>'New GS&gt;50 Customers'!B44+'Customer Count'!Z150*'Rate Class Energy Model'!L32</f>
        <v>17568616.440568432</v>
      </c>
      <c r="P56" s="6">
        <f>SUM(J56:O56)</f>
        <v>19047096.978709459</v>
      </c>
    </row>
    <row r="57" spans="1:23" x14ac:dyDescent="0.2">
      <c r="P57" s="266"/>
    </row>
    <row r="58" spans="1:23" x14ac:dyDescent="0.2"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W58"/>
    </row>
    <row r="59" spans="1:23" x14ac:dyDescent="0.2"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W59"/>
    </row>
    <row r="60" spans="1:23" x14ac:dyDescent="0.2"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W60"/>
    </row>
    <row r="61" spans="1:23" x14ac:dyDescent="0.2"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W61"/>
    </row>
    <row r="64" spans="1:23" x14ac:dyDescent="0.2"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W64"/>
    </row>
    <row r="65" customFormat="1" x14ac:dyDescent="0.2"/>
    <row r="66" customFormat="1" x14ac:dyDescent="0.2"/>
    <row r="67" customFormat="1" x14ac:dyDescent="0.2"/>
    <row r="68" customFormat="1" x14ac:dyDescent="0.2"/>
    <row r="69" customFormat="1" x14ac:dyDescent="0.2"/>
    <row r="70" customFormat="1" x14ac:dyDescent="0.2"/>
    <row r="71" customFormat="1" x14ac:dyDescent="0.2"/>
    <row r="72" customFormat="1" x14ac:dyDescent="0.2"/>
    <row r="73" customFormat="1" x14ac:dyDescent="0.2"/>
    <row r="74" customFormat="1" x14ac:dyDescent="0.2"/>
    <row r="75" customFormat="1" x14ac:dyDescent="0.2"/>
  </sheetData>
  <phoneticPr fontId="0" type="noConversion"/>
  <pageMargins left="0.38" right="0.75" top="0.73" bottom="0.74" header="0.5" footer="0.5"/>
  <pageSetup scale="62" orientation="landscape" r:id="rId1"/>
  <headerFooter alignWithMargins="0">
    <oddFooter>&amp;L&amp;Z&amp;F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2:X128"/>
  <sheetViews>
    <sheetView workbookViewId="0">
      <pane xSplit="2" ySplit="2" topLeftCell="C99" activePane="bottomRight" state="frozen"/>
      <selection activeCell="I48" sqref="I48"/>
      <selection pane="topRight" activeCell="I48" sqref="I48"/>
      <selection pane="bottomLeft" activeCell="I48" sqref="I48"/>
      <selection pane="bottomRight" activeCell="J113" sqref="J113"/>
    </sheetView>
  </sheetViews>
  <sheetFormatPr defaultRowHeight="12.75" x14ac:dyDescent="0.2"/>
  <cols>
    <col min="1" max="1" width="21.5703125" customWidth="1"/>
    <col min="2" max="2" width="18" style="253" customWidth="1"/>
    <col min="3" max="3" width="16.42578125" style="253" customWidth="1"/>
    <col min="4" max="7" width="18" style="253" customWidth="1"/>
    <col min="8" max="8" width="15.5703125" style="253" customWidth="1"/>
    <col min="9" max="9" width="15.5703125" style="6" customWidth="1"/>
    <col min="10" max="10" width="15" style="6" customWidth="1"/>
    <col min="11" max="12" width="14.140625" style="6" bestFit="1" customWidth="1"/>
    <col min="13" max="13" width="9.140625" style="6" bestFit="1" customWidth="1"/>
    <col min="14" max="14" width="15.7109375" style="6" bestFit="1" customWidth="1"/>
    <col min="15" max="15" width="16.85546875" style="6" customWidth="1"/>
    <col min="16" max="18" width="16.85546875" customWidth="1"/>
    <col min="19" max="19" width="14.42578125" customWidth="1"/>
    <col min="20" max="20" width="12.5703125" bestFit="1" customWidth="1"/>
    <col min="21" max="21" width="14.85546875" customWidth="1"/>
    <col min="22" max="22" width="14" customWidth="1"/>
    <col min="23" max="23" width="10.140625" bestFit="1" customWidth="1"/>
    <col min="24" max="24" width="12.5703125" style="6" bestFit="1" customWidth="1"/>
  </cols>
  <sheetData>
    <row r="2" spans="1:21" ht="38.25" x14ac:dyDescent="0.2">
      <c r="B2" s="2" t="s">
        <v>9</v>
      </c>
      <c r="C2" s="218" t="s">
        <v>228</v>
      </c>
      <c r="D2" s="218" t="s">
        <v>227</v>
      </c>
      <c r="E2" s="2" t="s">
        <v>10</v>
      </c>
      <c r="F2" s="2" t="s">
        <v>20</v>
      </c>
      <c r="G2" s="2" t="s">
        <v>11</v>
      </c>
      <c r="H2" s="2" t="s">
        <v>0</v>
      </c>
      <c r="I2" s="7" t="s">
        <v>3</v>
      </c>
      <c r="J2" s="37" t="s">
        <v>1</v>
      </c>
      <c r="K2" s="65" t="s">
        <v>193</v>
      </c>
      <c r="L2" s="65" t="s">
        <v>194</v>
      </c>
      <c r="M2" s="39" t="s">
        <v>37</v>
      </c>
      <c r="N2" s="39" t="s">
        <v>2</v>
      </c>
      <c r="O2" s="58" t="s">
        <v>58</v>
      </c>
      <c r="R2" s="38" t="s">
        <v>35</v>
      </c>
      <c r="S2" s="65" t="s">
        <v>80</v>
      </c>
    </row>
    <row r="3" spans="1:21" x14ac:dyDescent="0.2">
      <c r="A3" s="61">
        <f>'Purchased Power Model (WN)'!A165</f>
        <v>2011</v>
      </c>
      <c r="B3" s="6">
        <f>'Purchased Power Model (WN)'!D165</f>
        <v>190473063.91087499</v>
      </c>
      <c r="C3" s="25">
        <f>B3-O3</f>
        <v>190473063.91087499</v>
      </c>
      <c r="D3" s="6">
        <f ca="1">'Purchased Power Model (WN)'!U165</f>
        <v>189899260.65963027</v>
      </c>
      <c r="E3" s="6">
        <f ca="1">'Purchased Power Model (WN)'!W165</f>
        <v>189899260.65963027</v>
      </c>
      <c r="F3" s="31">
        <f ca="1">E3-B3</f>
        <v>-573803.2512447238</v>
      </c>
      <c r="G3" s="5">
        <f ca="1">F3/B3</f>
        <v>-3.0125165178904998E-3</v>
      </c>
      <c r="H3" s="20">
        <f t="shared" ref="H3:H10" si="0">1 +(B3-I3)/I3</f>
        <v>1.050645256032714</v>
      </c>
      <c r="I3" s="23">
        <f t="shared" ref="I3:I10" si="1">SUM(J3:O3)</f>
        <v>181291509.02000001</v>
      </c>
      <c r="J3" s="50">
        <v>92485342</v>
      </c>
      <c r="K3" s="50">
        <f>R3+'GS Reclassification Adjustment'!C3</f>
        <v>20506443.905541796</v>
      </c>
      <c r="L3" s="50">
        <f>S3-'GS Reclassification Adjustment'!C3</f>
        <v>66328083.0944582</v>
      </c>
      <c r="M3" s="50">
        <v>1585167</v>
      </c>
      <c r="N3" s="50">
        <v>386473.02</v>
      </c>
      <c r="O3" s="58"/>
      <c r="P3" s="128">
        <f ca="1">E3/H3</f>
        <v>180745365.35452399</v>
      </c>
      <c r="R3" s="185">
        <v>17886498</v>
      </c>
      <c r="S3" s="185">
        <v>68948029</v>
      </c>
      <c r="U3" s="71"/>
    </row>
    <row r="4" spans="1:21" x14ac:dyDescent="0.2">
      <c r="A4" s="61">
        <f>'Purchased Power Model (WN)'!A166</f>
        <v>2012</v>
      </c>
      <c r="B4" s="6">
        <f>'Purchased Power Model (WN)'!D166</f>
        <v>191452810.61006799</v>
      </c>
      <c r="C4" s="25">
        <f t="shared" ref="C4:C12" si="2">B4-O4</f>
        <v>191452810.61006799</v>
      </c>
      <c r="D4" s="6">
        <f ca="1">'Purchased Power Model (WN)'!U166</f>
        <v>191517851.43365994</v>
      </c>
      <c r="E4" s="6">
        <f ca="1">'Purchased Power Model (WN)'!W166</f>
        <v>191517851.43365994</v>
      </c>
      <c r="F4" s="31">
        <f t="shared" ref="F4:F11" ca="1" si="3">E4-B4</f>
        <v>65040.823591947556</v>
      </c>
      <c r="G4" s="5">
        <f t="shared" ref="G4:G11" ca="1" si="4">F4/B4</f>
        <v>3.3972247983559886E-4</v>
      </c>
      <c r="H4" s="20">
        <f t="shared" si="0"/>
        <v>1.0222823034749724</v>
      </c>
      <c r="I4" s="23">
        <f t="shared" si="1"/>
        <v>187279785.59276229</v>
      </c>
      <c r="J4" s="50">
        <v>93908435.719999999</v>
      </c>
      <c r="K4" s="50">
        <f>R4+'GS Reclassification Adjustment'!C4</f>
        <v>20377519.439667486</v>
      </c>
      <c r="L4" s="50">
        <f>S4-'GS Reclassification Adjustment'!C4</f>
        <v>71032469.94309482</v>
      </c>
      <c r="M4" s="50">
        <v>1581518.6</v>
      </c>
      <c r="N4" s="50">
        <v>379841.89</v>
      </c>
      <c r="O4" s="50"/>
      <c r="P4" s="128">
        <f t="shared" ref="P4:P12" ca="1" si="5">E4/H4</f>
        <v>187343408.74594694</v>
      </c>
      <c r="R4" s="185">
        <v>17958297.190000001</v>
      </c>
      <c r="S4" s="185">
        <v>73451692.1927623</v>
      </c>
      <c r="U4" s="71"/>
    </row>
    <row r="5" spans="1:21" x14ac:dyDescent="0.2">
      <c r="A5" s="61">
        <f>'Purchased Power Model (WN)'!A167</f>
        <v>2013</v>
      </c>
      <c r="B5" s="6">
        <f>'Purchased Power Model (WN)'!D167</f>
        <v>189981587.17494002</v>
      </c>
      <c r="C5" s="25">
        <f t="shared" si="2"/>
        <v>189981587.17494002</v>
      </c>
      <c r="D5" s="6">
        <f ca="1">'Purchased Power Model (WN)'!U167</f>
        <v>192145931.84615248</v>
      </c>
      <c r="E5" s="6">
        <f ca="1">'Purchased Power Model (WN)'!W167</f>
        <v>192145931.84615248</v>
      </c>
      <c r="F5" s="31">
        <f t="shared" ca="1" si="3"/>
        <v>2164344.6712124646</v>
      </c>
      <c r="G5" s="5">
        <f t="shared" ca="1" si="4"/>
        <v>1.1392391775417053E-2</v>
      </c>
      <c r="H5" s="20">
        <f t="shared" si="0"/>
        <v>1.0173178425522735</v>
      </c>
      <c r="I5" s="23">
        <f t="shared" si="1"/>
        <v>186747522.97503135</v>
      </c>
      <c r="J5" s="50">
        <v>92183859.780000001</v>
      </c>
      <c r="K5" s="50">
        <f>R5+'GS Reclassification Adjustment'!C5</f>
        <v>20813335.531687248</v>
      </c>
      <c r="L5" s="50">
        <f>S5-'GS Reclassification Adjustment'!C5</f>
        <v>71846141.103344098</v>
      </c>
      <c r="M5" s="50">
        <v>1528363</v>
      </c>
      <c r="N5" s="50">
        <v>375823.56</v>
      </c>
      <c r="O5" s="50"/>
      <c r="P5" s="128">
        <f t="shared" ca="1" si="5"/>
        <v>188875023.9198516</v>
      </c>
      <c r="R5" s="185">
        <v>18436579.289999999</v>
      </c>
      <c r="S5" s="185">
        <v>74222897.345031351</v>
      </c>
      <c r="U5" s="71"/>
    </row>
    <row r="6" spans="1:21" x14ac:dyDescent="0.2">
      <c r="A6" s="61">
        <f>'Purchased Power Model (WN)'!A168</f>
        <v>2014</v>
      </c>
      <c r="B6" s="6">
        <f>'Purchased Power Model (WN)'!D168</f>
        <v>188316012.84</v>
      </c>
      <c r="C6" s="25">
        <f t="shared" si="2"/>
        <v>188316012.84</v>
      </c>
      <c r="D6" s="6">
        <f ca="1">'Purchased Power Model (WN)'!U168</f>
        <v>190603481.70703685</v>
      </c>
      <c r="E6" s="6">
        <f ca="1">'Purchased Power Model (WN)'!W168</f>
        <v>190603481.70703685</v>
      </c>
      <c r="F6" s="31">
        <f t="shared" ca="1" si="3"/>
        <v>2287468.8670368493</v>
      </c>
      <c r="G6" s="5">
        <f t="shared" ca="1" si="4"/>
        <v>1.2146969514378814E-2</v>
      </c>
      <c r="H6" s="20">
        <f t="shared" si="0"/>
        <v>1.0242880665361258</v>
      </c>
      <c r="I6" s="23">
        <f t="shared" si="1"/>
        <v>183850636.35158369</v>
      </c>
      <c r="J6" s="50">
        <v>91571085.549999997</v>
      </c>
      <c r="K6" s="50">
        <f>R6+'GS Reclassification Adjustment'!C6</f>
        <v>20916651.983346008</v>
      </c>
      <c r="L6" s="50">
        <f>S6-'GS Reclassification Adjustment'!C6</f>
        <v>69773371.558237672</v>
      </c>
      <c r="M6" s="50">
        <v>1218696.8</v>
      </c>
      <c r="N6" s="50">
        <v>370830.46</v>
      </c>
      <c r="O6" s="50"/>
      <c r="P6" s="128">
        <f t="shared" ca="1" si="5"/>
        <v>186083864.4265455</v>
      </c>
      <c r="R6" s="185">
        <v>18767140.449999999</v>
      </c>
      <c r="S6" s="185">
        <v>71922883.091583684</v>
      </c>
      <c r="U6" s="71"/>
    </row>
    <row r="7" spans="1:21" x14ac:dyDescent="0.2">
      <c r="A7" s="61">
        <f>'Purchased Power Model (WN)'!A169</f>
        <v>2015</v>
      </c>
      <c r="B7" s="6">
        <f>'Purchased Power Model (WN)'!D169</f>
        <v>188795455.39999998</v>
      </c>
      <c r="C7" s="25">
        <f t="shared" si="2"/>
        <v>188795455.39999998</v>
      </c>
      <c r="D7" s="6">
        <f ca="1">'Purchased Power Model (WN)'!U169</f>
        <v>189298663.92686626</v>
      </c>
      <c r="E7" s="6">
        <f ca="1">'Purchased Power Model (WN)'!W169</f>
        <v>189298663.92686626</v>
      </c>
      <c r="F7" s="31">
        <f t="shared" ca="1" si="3"/>
        <v>503208.52686628699</v>
      </c>
      <c r="G7" s="5">
        <f t="shared" ca="1" si="4"/>
        <v>2.665363558673283E-3</v>
      </c>
      <c r="H7" s="20">
        <f t="shared" si="0"/>
        <v>1.0248726627643543</v>
      </c>
      <c r="I7" s="23">
        <f t="shared" si="1"/>
        <v>184213573.31433585</v>
      </c>
      <c r="J7" s="50">
        <v>93262508.710000008</v>
      </c>
      <c r="K7" s="50">
        <f>R7+'GS Reclassification Adjustment'!C7</f>
        <v>21318065.919019569</v>
      </c>
      <c r="L7" s="50">
        <f>S7-'GS Reclassification Adjustment'!C7</f>
        <v>68549561.93531628</v>
      </c>
      <c r="M7" s="50">
        <v>718341.4</v>
      </c>
      <c r="N7" s="50">
        <v>365095.35</v>
      </c>
      <c r="O7" s="50"/>
      <c r="P7" s="128">
        <f t="shared" ca="1" si="5"/>
        <v>184704569.45966086</v>
      </c>
      <c r="R7" s="185">
        <v>19253148.599999998</v>
      </c>
      <c r="S7" s="185">
        <v>70614479.25433585</v>
      </c>
      <c r="U7" s="71"/>
    </row>
    <row r="8" spans="1:21" x14ac:dyDescent="0.2">
      <c r="A8" s="61">
        <f>'Purchased Power Model (WN)'!A170</f>
        <v>2016</v>
      </c>
      <c r="B8" s="6">
        <f>'Purchased Power Model (WN)'!D170</f>
        <v>189916009.50999996</v>
      </c>
      <c r="C8" s="25">
        <f t="shared" si="2"/>
        <v>189916009.50999996</v>
      </c>
      <c r="D8" s="6">
        <f ca="1">'Purchased Power Model (WN)'!U170</f>
        <v>186027951.36518687</v>
      </c>
      <c r="E8" s="6">
        <f ca="1">'Purchased Power Model (WN)'!W170</f>
        <v>186027951.36518687</v>
      </c>
      <c r="F8" s="31">
        <f t="shared" ca="1" si="3"/>
        <v>-3888058.1448130906</v>
      </c>
      <c r="G8" s="5">
        <f t="shared" ca="1" si="4"/>
        <v>-2.0472513901511637E-2</v>
      </c>
      <c r="H8" s="20">
        <f t="shared" si="0"/>
        <v>1.0483896400715833</v>
      </c>
      <c r="I8" s="23">
        <f t="shared" si="1"/>
        <v>181150215.77000001</v>
      </c>
      <c r="J8" s="50">
        <v>95863365.789999992</v>
      </c>
      <c r="K8" s="50">
        <f>R8+'GS Reclassification Adjustment'!C8</f>
        <v>21016725.873090759</v>
      </c>
      <c r="L8" s="50">
        <f>S8-'GS Reclassification Adjustment'!C8</f>
        <v>63205796.946909249</v>
      </c>
      <c r="M8" s="50">
        <v>719486.7</v>
      </c>
      <c r="N8" s="50">
        <v>344840.46</v>
      </c>
      <c r="O8" s="50"/>
      <c r="P8" s="128">
        <f t="shared" ca="1" si="5"/>
        <v>177441615.45938686</v>
      </c>
      <c r="R8" s="185">
        <v>18967931.630000003</v>
      </c>
      <c r="S8" s="185">
        <v>65254591.190000005</v>
      </c>
      <c r="U8" s="71"/>
    </row>
    <row r="9" spans="1:21" x14ac:dyDescent="0.2">
      <c r="A9" s="61">
        <f>'Purchased Power Model (WN)'!A171</f>
        <v>2017</v>
      </c>
      <c r="B9" s="6">
        <f>'Purchased Power Model (WN)'!D171</f>
        <v>211070217.70538622</v>
      </c>
      <c r="C9" s="25">
        <f t="shared" si="2"/>
        <v>181086826.573576</v>
      </c>
      <c r="D9" s="6">
        <f ca="1">'Purchased Power Model (WN)'!U171</f>
        <v>183639034.40179029</v>
      </c>
      <c r="E9" s="6">
        <f ca="1">'Purchased Power Model (WN)'!W171</f>
        <v>213622425.53360051</v>
      </c>
      <c r="F9" s="31">
        <f t="shared" ca="1" si="3"/>
        <v>2552207.8282142878</v>
      </c>
      <c r="G9" s="5">
        <f t="shared" ca="1" si="4"/>
        <v>1.2091747741392314E-2</v>
      </c>
      <c r="H9" s="20">
        <f>1 +(B9-I9)/I9</f>
        <v>1.040336488088105</v>
      </c>
      <c r="I9" s="23">
        <f t="shared" si="1"/>
        <v>202886489.24857369</v>
      </c>
      <c r="J9" s="50">
        <v>89264141.450000003</v>
      </c>
      <c r="K9" s="50">
        <f>R9+'GS Reclassification Adjustment'!C9</f>
        <v>20643958.824984223</v>
      </c>
      <c r="L9" s="50">
        <f>S9-'GS Reclassification Adjustment'!C9</f>
        <v>61933325.571779281</v>
      </c>
      <c r="M9" s="50">
        <v>722926.2</v>
      </c>
      <c r="N9" s="50">
        <v>338746.07000000007</v>
      </c>
      <c r="O9" s="50">
        <v>29983391.131810207</v>
      </c>
      <c r="P9" s="128">
        <f t="shared" ca="1" si="5"/>
        <v>205339741.49670416</v>
      </c>
      <c r="R9" s="185">
        <v>18815505.98</v>
      </c>
      <c r="S9" s="185">
        <v>63761778.416763499</v>
      </c>
      <c r="U9" s="71"/>
    </row>
    <row r="10" spans="1:21" x14ac:dyDescent="0.2">
      <c r="A10" s="61">
        <f>'Purchased Power Model (WN)'!A172</f>
        <v>2018</v>
      </c>
      <c r="B10" s="6">
        <f>'Purchased Power Model (WN)'!D172</f>
        <v>237650537.15783811</v>
      </c>
      <c r="C10" s="25">
        <f t="shared" si="2"/>
        <v>194269903.58371869</v>
      </c>
      <c r="D10" s="6">
        <f ca="1">'Purchased Power Model (WN)'!U172</f>
        <v>190241388.18984944</v>
      </c>
      <c r="E10" s="6">
        <f ca="1">'Purchased Power Model (WN)'!W172</f>
        <v>233622021.76396886</v>
      </c>
      <c r="F10" s="31">
        <f t="shared" ca="1" si="3"/>
        <v>-4028515.393869251</v>
      </c>
      <c r="G10" s="5">
        <f t="shared" ca="1" si="4"/>
        <v>-1.6951425576596405E-2</v>
      </c>
      <c r="H10" s="20">
        <f t="shared" si="0"/>
        <v>1.0454166930759821</v>
      </c>
      <c r="I10" s="23">
        <f t="shared" si="1"/>
        <v>227326135.81918898</v>
      </c>
      <c r="J10" s="50">
        <v>96930170.469999969</v>
      </c>
      <c r="K10" s="50">
        <f>R10+'GS Reclassification Adjustment'!C10</f>
        <v>21056361.495594338</v>
      </c>
      <c r="L10" s="50">
        <f>S10-'GS Reclassification Adjustment'!C10</f>
        <v>64879431.619475223</v>
      </c>
      <c r="M10" s="50">
        <v>741474.8</v>
      </c>
      <c r="N10" s="50">
        <v>338063.86</v>
      </c>
      <c r="O10" s="50">
        <v>43380633.574119426</v>
      </c>
      <c r="P10" s="128">
        <f t="shared" ca="1" si="5"/>
        <v>223472633.74623474</v>
      </c>
      <c r="R10" s="189">
        <v>19250751.989999998</v>
      </c>
      <c r="S10" s="189">
        <v>66685041.125069566</v>
      </c>
      <c r="U10" s="71"/>
    </row>
    <row r="11" spans="1:21" x14ac:dyDescent="0.2">
      <c r="A11" s="61">
        <f>'Purchased Power Model (WN)'!A173</f>
        <v>2019</v>
      </c>
      <c r="B11" s="6">
        <f>'Purchased Power Model (WN)'!D173</f>
        <v>239547871.85641468</v>
      </c>
      <c r="C11" s="25">
        <f t="shared" si="2"/>
        <v>190479226.55503541</v>
      </c>
      <c r="D11" s="6">
        <f ca="1">'Purchased Power Model (WN)'!U173</f>
        <v>192417473.99864715</v>
      </c>
      <c r="E11" s="6">
        <f ca="1">'Purchased Power Model (WN)'!W173</f>
        <v>241486119.30002642</v>
      </c>
      <c r="F11" s="31">
        <f t="shared" ca="1" si="3"/>
        <v>1938247.4436117411</v>
      </c>
      <c r="G11" s="5">
        <f t="shared" ca="1" si="4"/>
        <v>8.0912739010828259E-3</v>
      </c>
      <c r="H11" s="20">
        <f>1 +(B11-I11)/I11</f>
        <v>1.0440187139615562</v>
      </c>
      <c r="I11" s="23">
        <f>SUM(J11:O11)</f>
        <v>229447871.62621254</v>
      </c>
      <c r="J11" s="50">
        <v>94075700.679999962</v>
      </c>
      <c r="K11" s="50">
        <f>R11+'GS Reclassification Adjustment'!C11</f>
        <v>21682845.634852249</v>
      </c>
      <c r="L11" s="50">
        <f>S11-'GS Reclassification Adjustment'!C11</f>
        <v>63541604.039981067</v>
      </c>
      <c r="M11" s="50">
        <v>742609.6</v>
      </c>
      <c r="N11" s="50">
        <v>336466.37000000005</v>
      </c>
      <c r="O11" s="50">
        <v>49068645.301379278</v>
      </c>
      <c r="P11" s="128">
        <f t="shared" ca="1" si="5"/>
        <v>231304397.20156074</v>
      </c>
      <c r="R11" s="189">
        <v>19815114.449999999</v>
      </c>
      <c r="S11" s="189">
        <v>65409335.224833317</v>
      </c>
      <c r="U11" s="71"/>
    </row>
    <row r="12" spans="1:21" ht="13.5" thickBot="1" x14ac:dyDescent="0.25">
      <c r="A12" s="61">
        <f>'Purchased Power Model (WN)'!A174</f>
        <v>2020</v>
      </c>
      <c r="B12" s="6">
        <f>'Purchased Power Model (WN)'!D174</f>
        <v>257550552.01565266</v>
      </c>
      <c r="C12" s="25">
        <f t="shared" si="2"/>
        <v>198368432.03149033</v>
      </c>
      <c r="D12" s="6">
        <f ca="1">'Purchased Power Model (WN)'!U174</f>
        <v>197023497.32760158</v>
      </c>
      <c r="E12" s="6">
        <f ca="1">'Purchased Power Model (WN)'!W174</f>
        <v>256205617.31176391</v>
      </c>
      <c r="F12" s="31">
        <f ca="1">E12-B12</f>
        <v>-1344934.7038887441</v>
      </c>
      <c r="G12" s="5">
        <f ca="1">F12/B12</f>
        <v>-5.2220222141360646E-3</v>
      </c>
      <c r="H12" s="20">
        <f>1 +(B12-I12)/I12</f>
        <v>1.0435847645310101</v>
      </c>
      <c r="I12" s="23">
        <f>SUM(J12:O12)</f>
        <v>246794089.72724569</v>
      </c>
      <c r="J12" s="50">
        <v>102206305.12000003</v>
      </c>
      <c r="K12" s="50">
        <f>R12+'GS Reclassification Adjustment'!C12</f>
        <v>20675583.910361484</v>
      </c>
      <c r="L12" s="50">
        <f>S12-'GS Reclassification Adjustment'!C12</f>
        <v>63661777.71272184</v>
      </c>
      <c r="M12" s="50">
        <v>739992.7</v>
      </c>
      <c r="N12" s="50">
        <v>328310.30000000005</v>
      </c>
      <c r="O12" s="50">
        <v>59182119.984162331</v>
      </c>
      <c r="P12" s="128">
        <f t="shared" ca="1" si="5"/>
        <v>245505325.50837252</v>
      </c>
      <c r="R12" s="190">
        <v>19109685.450000007</v>
      </c>
      <c r="S12" s="190">
        <v>65227676.17308332</v>
      </c>
      <c r="U12" s="71"/>
    </row>
    <row r="13" spans="1:21" x14ac:dyDescent="0.2">
      <c r="A13" s="61">
        <f>'Purchased Power Model (WN)'!A175</f>
        <v>2021</v>
      </c>
      <c r="B13" s="6"/>
      <c r="C13" s="6"/>
      <c r="D13" s="17">
        <f ca="1">'Purchased Power Model (WN)'!U175</f>
        <v>194015840.17437127</v>
      </c>
      <c r="E13" s="17">
        <f ca="1">'Purchased Power Model (WN)'!W175</f>
        <v>252384342.05733669</v>
      </c>
      <c r="I13" s="17">
        <f ca="1">E13/$H$16</f>
        <v>241377526.83371907</v>
      </c>
      <c r="J13"/>
      <c r="K13"/>
      <c r="L13"/>
      <c r="M13"/>
      <c r="N13"/>
      <c r="O13"/>
    </row>
    <row r="14" spans="1:21" x14ac:dyDescent="0.2">
      <c r="A14" s="61">
        <f>'Purchased Power Model (WN)'!A176</f>
        <v>2022</v>
      </c>
      <c r="B14" s="6"/>
      <c r="C14" s="6"/>
      <c r="D14" s="17">
        <f ca="1">'Purchased Power Model (WN)'!U176</f>
        <v>191854928.19020149</v>
      </c>
      <c r="E14" s="17">
        <f ca="1">'Purchased Power Model (WN)'!W176</f>
        <v>250515272.58258173</v>
      </c>
      <c r="I14" s="17">
        <f ca="1">E14/$H$16</f>
        <v>239589969.95273691</v>
      </c>
      <c r="J14"/>
      <c r="K14"/>
      <c r="L14"/>
      <c r="M14"/>
      <c r="N14"/>
      <c r="O14"/>
    </row>
    <row r="15" spans="1:21" x14ac:dyDescent="0.2">
      <c r="J15" s="43"/>
      <c r="K15" s="43"/>
      <c r="L15" s="43"/>
      <c r="M15" s="43"/>
      <c r="N15" s="43"/>
      <c r="O15" s="43"/>
    </row>
    <row r="16" spans="1:21" x14ac:dyDescent="0.2">
      <c r="A16" s="15" t="s">
        <v>16</v>
      </c>
      <c r="E16" s="44"/>
      <c r="F16" s="48"/>
      <c r="H16" s="20">
        <v>1.0456000000000001</v>
      </c>
    </row>
    <row r="17" spans="1:15" x14ac:dyDescent="0.2">
      <c r="E17" s="44"/>
      <c r="F17" s="48"/>
    </row>
    <row r="18" spans="1:15" x14ac:dyDescent="0.2">
      <c r="E18" s="44"/>
      <c r="F18" s="48"/>
    </row>
    <row r="19" spans="1:15" x14ac:dyDescent="0.2">
      <c r="A19" s="18" t="s">
        <v>17</v>
      </c>
      <c r="B19" s="11"/>
      <c r="C19" s="11"/>
      <c r="D19" s="11"/>
    </row>
    <row r="21" spans="1:15" x14ac:dyDescent="0.2">
      <c r="A21">
        <f t="shared" ref="A21:A28" si="6">A3</f>
        <v>2011</v>
      </c>
      <c r="J21" s="200">
        <f>J3/'Rate Class Customer Model'!B3</f>
        <v>9871.9037915008084</v>
      </c>
      <c r="K21" s="200">
        <f>K3/'Rate Class Customer Model'!C3</f>
        <v>30046.071656471497</v>
      </c>
      <c r="L21" s="200">
        <f>L3/'Rate Class Customer Model'!D3</f>
        <v>722593.73321243643</v>
      </c>
      <c r="M21" s="201">
        <f>M3/'Rate Class Customer Model'!E3</f>
        <v>633.39118273841245</v>
      </c>
      <c r="N21" s="201">
        <f>N3/'Rate Class Customer Model'!F3</f>
        <v>4830.9127500000004</v>
      </c>
      <c r="O21" s="23"/>
    </row>
    <row r="22" spans="1:15" x14ac:dyDescent="0.2">
      <c r="A22">
        <f t="shared" si="6"/>
        <v>2012</v>
      </c>
      <c r="J22" s="200">
        <f>J4/'Rate Class Customer Model'!B4</f>
        <v>9738.508318987866</v>
      </c>
      <c r="K22" s="200">
        <f>K4/'Rate Class Customer Model'!C4</f>
        <v>29093.424542059471</v>
      </c>
      <c r="L22" s="200">
        <f>L4/'Rate Class Customer Model'!D4</f>
        <v>756335.08368867589</v>
      </c>
      <c r="M22" s="201">
        <f>M4/'Rate Class Customer Model'!E4</f>
        <v>620.40611964694347</v>
      </c>
      <c r="N22" s="201">
        <f>N4/'Rate Class Customer Model'!F4</f>
        <v>4895.9212459720738</v>
      </c>
      <c r="O22" s="23"/>
    </row>
    <row r="23" spans="1:15" x14ac:dyDescent="0.2">
      <c r="A23">
        <f t="shared" si="6"/>
        <v>2013</v>
      </c>
      <c r="J23" s="200">
        <f>J5/'Rate Class Customer Model'!B5</f>
        <v>9488.0440979676569</v>
      </c>
      <c r="K23" s="200">
        <f>K5/'Rate Class Customer Model'!C5</f>
        <v>29536.426960767149</v>
      </c>
      <c r="L23" s="200">
        <f>L5/'Rate Class Customer Model'!D5</f>
        <v>747100.25410756422</v>
      </c>
      <c r="M23" s="201">
        <f>M5/'Rate Class Customer Model'!E5</f>
        <v>585.74801188080869</v>
      </c>
      <c r="N23" s="201">
        <f>N5/'Rate Class Customer Model'!F5</f>
        <v>4966.831189427312</v>
      </c>
      <c r="O23" s="23"/>
    </row>
    <row r="24" spans="1:15" x14ac:dyDescent="0.2">
      <c r="A24">
        <f t="shared" si="6"/>
        <v>2014</v>
      </c>
      <c r="J24" s="200">
        <f>J6/'Rate Class Customer Model'!B6</f>
        <v>9193.2302890105693</v>
      </c>
      <c r="K24" s="200">
        <f>K6/'Rate Class Customer Model'!C6</f>
        <v>28319.962067037355</v>
      </c>
      <c r="L24" s="200">
        <f>L6/'Rate Class Customer Model'!D6</f>
        <v>732528.83525708842</v>
      </c>
      <c r="M24" s="201">
        <f>M6/'Rate Class Customer Model'!E6</f>
        <v>460.92919818456886</v>
      </c>
      <c r="N24" s="201">
        <f>N6/'Rate Class Customer Model'!F6</f>
        <v>5033.8976470588232</v>
      </c>
      <c r="O24" s="23"/>
    </row>
    <row r="25" spans="1:15" x14ac:dyDescent="0.2">
      <c r="A25">
        <f t="shared" si="6"/>
        <v>2015</v>
      </c>
      <c r="J25" s="200">
        <f>J7/'Rate Class Customer Model'!B7</f>
        <v>9119.0582679372437</v>
      </c>
      <c r="K25" s="200">
        <f>K7/'Rate Class Customer Model'!C7</f>
        <v>27563.494346324194</v>
      </c>
      <c r="L25" s="200">
        <f>L7/'Rate Class Customer Model'!D7</f>
        <v>730221.69837886852</v>
      </c>
      <c r="M25" s="201">
        <f>M7/'Rate Class Customer Model'!E7</f>
        <v>272.74903257447517</v>
      </c>
      <c r="N25" s="201">
        <f>N7/'Rate Class Customer Model'!F7</f>
        <v>5133.1507908611593</v>
      </c>
      <c r="O25" s="23"/>
    </row>
    <row r="26" spans="1:15" x14ac:dyDescent="0.2">
      <c r="A26">
        <f t="shared" si="6"/>
        <v>2016</v>
      </c>
      <c r="J26" s="200">
        <f>J8/'Rate Class Customer Model'!B8</f>
        <v>9326.2885661472592</v>
      </c>
      <c r="K26" s="200">
        <f>K8/'Rate Class Customer Model'!C8</f>
        <v>26872.744856376037</v>
      </c>
      <c r="L26" s="200">
        <f>L8/'Rate Class Customer Model'!D8</f>
        <v>651606.15409184794</v>
      </c>
      <c r="M26" s="201">
        <f>M8/'Rate Class Customer Model'!E8</f>
        <v>273.4651083238312</v>
      </c>
      <c r="N26" s="201">
        <f>N8/'Rate Class Customer Model'!F8</f>
        <v>5034.1672992700733</v>
      </c>
      <c r="O26" s="23"/>
    </row>
    <row r="27" spans="1:15" x14ac:dyDescent="0.2">
      <c r="A27">
        <f t="shared" si="6"/>
        <v>2017</v>
      </c>
      <c r="J27" s="200">
        <f>J9/'Rate Class Customer Model'!B9</f>
        <v>8615.6408015861198</v>
      </c>
      <c r="K27" s="200">
        <f>K9/'Rate Class Customer Model'!C9</f>
        <v>26123.326573849063</v>
      </c>
      <c r="L27" s="200">
        <f>L9/'Rate Class Customer Model'!D9</f>
        <v>617532.12036672316</v>
      </c>
      <c r="M27" s="201">
        <f>M9/'Rate Class Customer Model'!E9</f>
        <v>274.32926667299114</v>
      </c>
      <c r="N27" s="201">
        <f>N9/'Rate Class Customer Model'!F9</f>
        <v>5040.2391072535665</v>
      </c>
      <c r="O27" s="23">
        <f>O9/'Rate Class Customer Model'!G9</f>
        <v>29983391.131810207</v>
      </c>
    </row>
    <row r="28" spans="1:15" x14ac:dyDescent="0.2">
      <c r="A28">
        <f t="shared" si="6"/>
        <v>2018</v>
      </c>
      <c r="J28" s="200">
        <f>J10/'Rate Class Customer Model'!B10</f>
        <v>9193.3580376535283</v>
      </c>
      <c r="K28" s="200">
        <f>K10/'Rate Class Customer Model'!C10</f>
        <v>26580.721433529568</v>
      </c>
      <c r="L28" s="200">
        <f>L10/'Rate Class Customer Model'!D10</f>
        <v>627865.46728524414</v>
      </c>
      <c r="M28" s="201">
        <f>M10/'Rate Class Customer Model'!E10</f>
        <v>278.37492100240905</v>
      </c>
      <c r="N28" s="201">
        <f>N10/'Rate Class Customer Model'!F10</f>
        <v>5099.6433940917659</v>
      </c>
      <c r="O28" s="23">
        <f>O10/'Rate Class Customer Model'!G10</f>
        <v>43380633.574119426</v>
      </c>
    </row>
    <row r="29" spans="1:15" x14ac:dyDescent="0.2">
      <c r="A29">
        <f>A11</f>
        <v>2019</v>
      </c>
      <c r="J29" s="200">
        <f>J11/'Rate Class Customer Model'!B11</f>
        <v>8814.638704478728</v>
      </c>
      <c r="K29" s="200">
        <f>K11/'Rate Class Customer Model'!C11</f>
        <v>26960.330288905501</v>
      </c>
      <c r="L29" s="200">
        <f>L11/'Rate Class Customer Model'!D11</f>
        <v>653384.10323887982</v>
      </c>
      <c r="M29" s="201">
        <f>M11/'Rate Class Customer Model'!E11</f>
        <v>277.43820672478205</v>
      </c>
      <c r="N29" s="201">
        <f>N11/'Rate Class Customer Model'!F11</f>
        <v>5114.1183533882204</v>
      </c>
      <c r="O29" s="23">
        <f>O11/'Rate Class Customer Model'!G11</f>
        <v>49068645.301379278</v>
      </c>
    </row>
    <row r="30" spans="1:15" x14ac:dyDescent="0.2">
      <c r="A30">
        <v>2020</v>
      </c>
      <c r="J30" s="23">
        <f>J12/'Rate Class Customer Model'!B12</f>
        <v>9493.8376799433408</v>
      </c>
      <c r="K30" s="23">
        <f>K12/'Rate Class Customer Model'!C12</f>
        <v>25457.316532355613</v>
      </c>
      <c r="L30" s="23">
        <f>L12/'Rate Class Customer Model'!D12</f>
        <v>677553.28829504398</v>
      </c>
      <c r="M30" s="23">
        <f>M12/'Rate Class Customer Model'!E12</f>
        <v>275.3674672455229</v>
      </c>
      <c r="N30" s="23">
        <f>N12/'Rate Class Customer Model'!F12</f>
        <v>5221.6349900596433</v>
      </c>
      <c r="O30" s="23">
        <f>O12/'Rate Class Customer Model'!G12</f>
        <v>59182119.984162331</v>
      </c>
    </row>
    <row r="31" spans="1:15" x14ac:dyDescent="0.2">
      <c r="A31">
        <f>A13</f>
        <v>2021</v>
      </c>
      <c r="J31" s="17">
        <f>J29*J46</f>
        <v>8814.638704478728</v>
      </c>
      <c r="K31" s="17">
        <f>K29*K46</f>
        <v>26960.330288905501</v>
      </c>
      <c r="L31" s="17">
        <f>L29*L46</f>
        <v>653384.10323887982</v>
      </c>
      <c r="M31" s="17">
        <f>M30*M46</f>
        <v>275.3674672455229</v>
      </c>
      <c r="N31" s="17">
        <f>N30*N46</f>
        <v>5221.6349900596433</v>
      </c>
      <c r="O31" s="17">
        <f>O30*O46</f>
        <v>59478030.584083132</v>
      </c>
    </row>
    <row r="32" spans="1:15" x14ac:dyDescent="0.2">
      <c r="A32">
        <v>2020</v>
      </c>
      <c r="J32" s="17">
        <f t="shared" ref="J32:O32" si="7">J31*J46</f>
        <v>8814.638704478728</v>
      </c>
      <c r="K32" s="17">
        <f t="shared" si="7"/>
        <v>26960.330288905501</v>
      </c>
      <c r="L32" s="17">
        <f t="shared" si="7"/>
        <v>653384.10323887982</v>
      </c>
      <c r="M32" s="17">
        <f t="shared" si="7"/>
        <v>275.3674672455229</v>
      </c>
      <c r="N32" s="17">
        <f t="shared" si="7"/>
        <v>5221.6349900596433</v>
      </c>
      <c r="O32" s="17">
        <f t="shared" si="7"/>
        <v>59775420.737003542</v>
      </c>
    </row>
    <row r="33" spans="1:15" x14ac:dyDescent="0.2">
      <c r="J33"/>
      <c r="K33"/>
      <c r="L33"/>
      <c r="M33"/>
      <c r="N33"/>
      <c r="O33"/>
    </row>
    <row r="34" spans="1:15" x14ac:dyDescent="0.2">
      <c r="J34"/>
      <c r="K34"/>
      <c r="L34"/>
      <c r="M34"/>
      <c r="N34"/>
      <c r="O34"/>
    </row>
    <row r="35" spans="1:15" x14ac:dyDescent="0.2">
      <c r="J35"/>
      <c r="K35"/>
      <c r="L35"/>
      <c r="M35"/>
      <c r="N35"/>
      <c r="O35"/>
    </row>
    <row r="36" spans="1:15" x14ac:dyDescent="0.2">
      <c r="A36">
        <f>A22</f>
        <v>2012</v>
      </c>
      <c r="J36">
        <f t="shared" ref="J36:N41" si="8">J22/J21</f>
        <v>0.98648736096599843</v>
      </c>
      <c r="K36">
        <f t="shared" si="8"/>
        <v>0.96829378810967326</v>
      </c>
      <c r="L36">
        <f t="shared" si="8"/>
        <v>1.0466947731835916</v>
      </c>
      <c r="M36">
        <f t="shared" si="8"/>
        <v>0.97949914137527272</v>
      </c>
      <c r="N36">
        <f t="shared" si="8"/>
        <v>1.0134567729404911</v>
      </c>
      <c r="O36"/>
    </row>
    <row r="37" spans="1:15" x14ac:dyDescent="0.2">
      <c r="A37">
        <f t="shared" ref="A37:A44" si="9">A23</f>
        <v>2013</v>
      </c>
      <c r="J37">
        <f t="shared" si="8"/>
        <v>0.9742810487175062</v>
      </c>
      <c r="K37">
        <f t="shared" si="8"/>
        <v>1.0152268914945797</v>
      </c>
      <c r="L37">
        <f t="shared" si="8"/>
        <v>0.98779002881094313</v>
      </c>
      <c r="M37">
        <f t="shared" si="8"/>
        <v>0.94413641859971054</v>
      </c>
      <c r="N37">
        <f t="shared" si="8"/>
        <v>1.0144834730570016</v>
      </c>
      <c r="O37"/>
    </row>
    <row r="38" spans="1:15" x14ac:dyDescent="0.2">
      <c r="A38">
        <f t="shared" si="9"/>
        <v>2014</v>
      </c>
      <c r="J38">
        <f t="shared" si="8"/>
        <v>0.96892786269614439</v>
      </c>
      <c r="K38">
        <f t="shared" si="8"/>
        <v>0.95881475794802096</v>
      </c>
      <c r="L38">
        <f t="shared" si="8"/>
        <v>0.98049603280100361</v>
      </c>
      <c r="M38">
        <f t="shared" si="8"/>
        <v>0.78690697848815117</v>
      </c>
      <c r="N38">
        <f t="shared" si="8"/>
        <v>1.0135028663293959</v>
      </c>
      <c r="O38"/>
    </row>
    <row r="39" spans="1:15" x14ac:dyDescent="0.2">
      <c r="A39">
        <f t="shared" si="9"/>
        <v>2015</v>
      </c>
      <c r="J39">
        <f t="shared" si="8"/>
        <v>0.9919318869710041</v>
      </c>
      <c r="K39">
        <f t="shared" si="8"/>
        <v>0.97328853340542987</v>
      </c>
      <c r="L39">
        <f t="shared" si="8"/>
        <v>0.99685044906469766</v>
      </c>
      <c r="M39">
        <f t="shared" si="8"/>
        <v>0.59173737235292023</v>
      </c>
      <c r="N39">
        <f t="shared" si="8"/>
        <v>1.0197169570700999</v>
      </c>
      <c r="O39"/>
    </row>
    <row r="40" spans="1:15" x14ac:dyDescent="0.2">
      <c r="A40">
        <f t="shared" si="9"/>
        <v>2016</v>
      </c>
      <c r="J40">
        <f t="shared" si="8"/>
        <v>1.0227249670000071</v>
      </c>
      <c r="K40">
        <f t="shared" si="8"/>
        <v>0.97493969809236924</v>
      </c>
      <c r="L40">
        <f t="shared" si="8"/>
        <v>0.89234016948338934</v>
      </c>
      <c r="M40">
        <f t="shared" si="8"/>
        <v>1.0026254016103999</v>
      </c>
      <c r="N40">
        <f t="shared" si="8"/>
        <v>0.98071681592379634</v>
      </c>
      <c r="O40"/>
    </row>
    <row r="41" spans="1:15" x14ac:dyDescent="0.2">
      <c r="A41">
        <f t="shared" si="9"/>
        <v>2017</v>
      </c>
      <c r="J41">
        <f t="shared" si="8"/>
        <v>0.92380165383894919</v>
      </c>
      <c r="K41">
        <f t="shared" si="8"/>
        <v>0.97211232843789075</v>
      </c>
      <c r="L41">
        <f t="shared" si="8"/>
        <v>0.94770762444284429</v>
      </c>
      <c r="M41">
        <f t="shared" si="8"/>
        <v>1.0031600314733264</v>
      </c>
      <c r="N41">
        <f t="shared" si="8"/>
        <v>1.0012061196266508</v>
      </c>
      <c r="O41"/>
    </row>
    <row r="42" spans="1:15" x14ac:dyDescent="0.2">
      <c r="A42">
        <f t="shared" si="9"/>
        <v>2018</v>
      </c>
      <c r="J42">
        <f t="shared" ref="J42:O42" si="10">J28/J27</f>
        <v>1.0670544709757459</v>
      </c>
      <c r="K42">
        <f t="shared" si="10"/>
        <v>1.0175090587482218</v>
      </c>
      <c r="L42">
        <f t="shared" si="10"/>
        <v>1.016733294637993</v>
      </c>
      <c r="M42">
        <f t="shared" si="10"/>
        <v>1.0147474397408733</v>
      </c>
      <c r="N42">
        <f t="shared" si="10"/>
        <v>1.011786005698164</v>
      </c>
      <c r="O42">
        <f t="shared" si="10"/>
        <v>1.4468221217344464</v>
      </c>
    </row>
    <row r="43" spans="1:15" x14ac:dyDescent="0.2">
      <c r="A43">
        <f t="shared" si="9"/>
        <v>2019</v>
      </c>
      <c r="J43">
        <f t="shared" ref="J43:O43" si="11">J29/J28</f>
        <v>0.95880511434193383</v>
      </c>
      <c r="K43">
        <f t="shared" si="11"/>
        <v>1.0142813601325766</v>
      </c>
      <c r="L43">
        <f t="shared" si="11"/>
        <v>1.0406434774378861</v>
      </c>
      <c r="M43">
        <f t="shared" si="11"/>
        <v>0.99663506225972531</v>
      </c>
      <c r="N43">
        <f t="shared" si="11"/>
        <v>1.0028384257835017</v>
      </c>
      <c r="O43">
        <f t="shared" si="11"/>
        <v>1.1311186872718539</v>
      </c>
    </row>
    <row r="44" spans="1:15" x14ac:dyDescent="0.2">
      <c r="A44">
        <f t="shared" si="9"/>
        <v>2020</v>
      </c>
      <c r="J44"/>
      <c r="K44"/>
      <c r="L44"/>
      <c r="M44">
        <f>M30/M29</f>
        <v>0.99253621372591516</v>
      </c>
      <c r="N44">
        <f>N30/N29</f>
        <v>1.0210234940300493</v>
      </c>
      <c r="O44">
        <f>O30/O29</f>
        <v>1.2061086997749002</v>
      </c>
    </row>
    <row r="45" spans="1:15" x14ac:dyDescent="0.2">
      <c r="J45"/>
      <c r="K45"/>
      <c r="L45"/>
      <c r="M45"/>
      <c r="N45"/>
      <c r="O45"/>
    </row>
    <row r="46" spans="1:15" x14ac:dyDescent="0.2">
      <c r="A46" s="55" t="s">
        <v>34</v>
      </c>
      <c r="J46">
        <v>1</v>
      </c>
      <c r="K46">
        <v>1</v>
      </c>
      <c r="L46">
        <v>1</v>
      </c>
      <c r="M46">
        <v>1</v>
      </c>
      <c r="N46">
        <v>1</v>
      </c>
      <c r="O46">
        <v>1.0049999999999999</v>
      </c>
    </row>
    <row r="47" spans="1:15" x14ac:dyDescent="0.2">
      <c r="J47"/>
      <c r="K47"/>
      <c r="L47"/>
      <c r="M47"/>
      <c r="N47"/>
      <c r="O47"/>
    </row>
    <row r="48" spans="1:15" x14ac:dyDescent="0.2">
      <c r="A48" s="55" t="s">
        <v>252</v>
      </c>
      <c r="J48">
        <f>GEOMEAN(J36:J43)</f>
        <v>0.98593991771174128</v>
      </c>
      <c r="K48">
        <f>GEOMEAN(K36:K43)</f>
        <v>0.98654565623545731</v>
      </c>
      <c r="L48">
        <f>GEOMEAN(L36:L43)</f>
        <v>0.98749361597007401</v>
      </c>
      <c r="M48">
        <f>GEOMEAN(M36:M44)</f>
        <v>0.91160041237045875</v>
      </c>
      <c r="N48">
        <f>GEOMEAN(N36:N44)</f>
        <v>1.0086791298391209</v>
      </c>
      <c r="O48">
        <f>GEOMEAN(O36:O44)</f>
        <v>1.2544015712292029</v>
      </c>
    </row>
    <row r="49" spans="1:15" x14ac:dyDescent="0.2">
      <c r="J49"/>
      <c r="K49"/>
      <c r="L49"/>
      <c r="M49"/>
      <c r="N49"/>
      <c r="O49"/>
    </row>
    <row r="50" spans="1:15" x14ac:dyDescent="0.2">
      <c r="F50" s="6"/>
      <c r="J50" s="21"/>
      <c r="K50" s="21"/>
      <c r="L50" s="21"/>
      <c r="M50" s="21"/>
      <c r="N50" s="21"/>
      <c r="O50" s="21"/>
    </row>
    <row r="51" spans="1:15" x14ac:dyDescent="0.2">
      <c r="A51" s="15" t="s">
        <v>22</v>
      </c>
    </row>
    <row r="52" spans="1:15" x14ac:dyDescent="0.2">
      <c r="A52" s="15"/>
    </row>
    <row r="53" spans="1:15" x14ac:dyDescent="0.2">
      <c r="A53" s="15"/>
    </row>
    <row r="54" spans="1:15" x14ac:dyDescent="0.2">
      <c r="A54" s="55">
        <v>2011</v>
      </c>
      <c r="I54" s="23">
        <f t="shared" ref="I54:I61" si="12">SUM(J54:O54)</f>
        <v>181291509.02000001</v>
      </c>
      <c r="J54" s="6">
        <f>J21*'Customer Count'!S2</f>
        <v>92485342</v>
      </c>
      <c r="K54" s="6">
        <f>K21*'Customer Count'!V2</f>
        <v>20506443.905541796</v>
      </c>
      <c r="L54" s="6">
        <f>L21*'Customer Count'!Y2</f>
        <v>66328083.0944582</v>
      </c>
      <c r="M54" s="6">
        <f>M21*'Customer Count'!AE2</f>
        <v>1585167.0000000002</v>
      </c>
      <c r="N54" s="6">
        <f>N21*'Customer Count'!AB2</f>
        <v>386473.02</v>
      </c>
    </row>
    <row r="55" spans="1:15" x14ac:dyDescent="0.2">
      <c r="A55" s="55">
        <v>2012</v>
      </c>
      <c r="I55" s="23">
        <f>SUM(J55:O55)</f>
        <v>187279785.59276229</v>
      </c>
      <c r="J55" s="6">
        <f>J22*'Customer Count'!S3</f>
        <v>93908435.719999999</v>
      </c>
      <c r="K55" s="6">
        <f>K22*'Customer Count'!V3</f>
        <v>20377519.439667486</v>
      </c>
      <c r="L55" s="6">
        <f>L22*'Customer Count'!Y3</f>
        <v>71032469.94309482</v>
      </c>
      <c r="M55" s="6">
        <f>M22*'Customer Count'!AE3</f>
        <v>1581518.5999999999</v>
      </c>
      <c r="N55" s="6">
        <f>N22*'Customer Count'!AB3</f>
        <v>379841.89</v>
      </c>
    </row>
    <row r="56" spans="1:15" x14ac:dyDescent="0.2">
      <c r="A56" s="55">
        <v>2013</v>
      </c>
      <c r="I56" s="23">
        <f t="shared" si="12"/>
        <v>186747522.97503135</v>
      </c>
      <c r="J56" s="6">
        <f>J23*'Customer Count'!S4</f>
        <v>92183859.780000001</v>
      </c>
      <c r="K56" s="6">
        <f>K23*'Customer Count'!V4</f>
        <v>20813335.531687248</v>
      </c>
      <c r="L56" s="6">
        <f>L23*'Customer Count'!Y4</f>
        <v>71846141.103344098</v>
      </c>
      <c r="M56" s="6">
        <f>M23*'Customer Count'!AE4</f>
        <v>1528363</v>
      </c>
      <c r="N56" s="6">
        <f>N23*'Customer Count'!AB4</f>
        <v>375823.55999999994</v>
      </c>
    </row>
    <row r="57" spans="1:15" x14ac:dyDescent="0.2">
      <c r="A57" s="55">
        <v>2014</v>
      </c>
      <c r="I57" s="23">
        <f t="shared" si="12"/>
        <v>183850636.35158369</v>
      </c>
      <c r="J57" s="6">
        <f>J24*'Customer Count'!S5</f>
        <v>91571085.549999997</v>
      </c>
      <c r="K57" s="6">
        <f>K24*'Customer Count'!V5</f>
        <v>20916651.983346008</v>
      </c>
      <c r="L57" s="6">
        <f>L24*'Customer Count'!Y5</f>
        <v>69773371.558237672</v>
      </c>
      <c r="M57" s="6">
        <f>M24*'Customer Count'!AE5</f>
        <v>1218696.8</v>
      </c>
      <c r="N57" s="6">
        <f>N24*'Customer Count'!AB5</f>
        <v>370830.46</v>
      </c>
    </row>
    <row r="58" spans="1:15" x14ac:dyDescent="0.2">
      <c r="A58" s="55">
        <v>2015</v>
      </c>
      <c r="I58" s="23">
        <f t="shared" si="12"/>
        <v>184213573.31433588</v>
      </c>
      <c r="J58" s="6">
        <f>J25*'Customer Count'!S6</f>
        <v>93262508.710000023</v>
      </c>
      <c r="K58" s="6">
        <f>K25*'Customer Count'!V6</f>
        <v>21318065.919019569</v>
      </c>
      <c r="L58" s="6">
        <f>L25*'Customer Count'!Y6</f>
        <v>68549561.93531628</v>
      </c>
      <c r="M58" s="6">
        <f>M25*'Customer Count'!AE6</f>
        <v>718341.4</v>
      </c>
      <c r="N58" s="6">
        <f>N25*'Customer Count'!AB6</f>
        <v>365095.35</v>
      </c>
    </row>
    <row r="59" spans="1:15" x14ac:dyDescent="0.2">
      <c r="A59" s="55">
        <v>2016</v>
      </c>
      <c r="I59" s="23">
        <f t="shared" si="12"/>
        <v>181150215.77000001</v>
      </c>
      <c r="J59" s="6">
        <f>J26*'Customer Count'!S7</f>
        <v>95863365.789999992</v>
      </c>
      <c r="K59" s="6">
        <f>K26*'Customer Count'!V7</f>
        <v>21016725.873090759</v>
      </c>
      <c r="L59" s="6">
        <f>L26*'Customer Count'!Y7</f>
        <v>63205796.946909249</v>
      </c>
      <c r="M59" s="6">
        <f>M26*'Customer Count'!AE7</f>
        <v>719486.69999999984</v>
      </c>
      <c r="N59" s="6">
        <f>N26*'Customer Count'!AB7</f>
        <v>344840.46</v>
      </c>
    </row>
    <row r="60" spans="1:15" x14ac:dyDescent="0.2">
      <c r="A60" s="55">
        <v>2017</v>
      </c>
      <c r="I60" s="23">
        <f t="shared" ca="1" si="12"/>
        <v>203771508.5009506</v>
      </c>
      <c r="J60" s="6">
        <f>J27*'Customer Count'!S8</f>
        <v>89264141.450000003</v>
      </c>
      <c r="K60" s="6">
        <f>K27*'Customer Count'!V8</f>
        <v>20643958.824984223</v>
      </c>
      <c r="L60" s="6">
        <f>L27*'Customer Count'!Y8</f>
        <v>61933325.571779281</v>
      </c>
      <c r="M60" s="6">
        <f>M27*'Customer Count'!AE8</f>
        <v>722926.2</v>
      </c>
      <c r="N60" s="6">
        <f>N27*'Customer Count'!AB8</f>
        <v>338746.07000000007</v>
      </c>
      <c r="O60" s="6">
        <f ca="1">'Embedded Distributor'!K3</f>
        <v>30868410.384187136</v>
      </c>
    </row>
    <row r="61" spans="1:15" x14ac:dyDescent="0.2">
      <c r="A61" s="55">
        <v>2018</v>
      </c>
      <c r="I61" s="23">
        <f t="shared" ca="1" si="12"/>
        <v>225743371.01289034</v>
      </c>
      <c r="J61" s="6">
        <f>J28*'Customer Count'!S9</f>
        <v>96930170.469999969</v>
      </c>
      <c r="K61" s="6">
        <f>K28*'Customer Count'!V9</f>
        <v>21056361.495594338</v>
      </c>
      <c r="L61" s="6">
        <f>L28*'Customer Count'!Y9</f>
        <v>64879431.619475223</v>
      </c>
      <c r="M61" s="6">
        <f>M28*'Customer Count'!AE9</f>
        <v>741474.8</v>
      </c>
      <c r="N61" s="6">
        <f>N28*'Customer Count'!AB9</f>
        <v>338063.86</v>
      </c>
      <c r="O61" s="6">
        <f ca="1">'Embedded Distributor'!K4</f>
        <v>41797868.767820761</v>
      </c>
    </row>
    <row r="62" spans="1:15" x14ac:dyDescent="0.2">
      <c r="A62" s="55">
        <v>2019</v>
      </c>
      <c r="I62" s="23">
        <f ca="1">SUM(J62:O62)</f>
        <v>231094067.84650409</v>
      </c>
      <c r="J62" s="6">
        <f>J29*'Customer Count'!S10</f>
        <v>94075700.679999962</v>
      </c>
      <c r="K62" s="6">
        <f>K29*'Customer Count'!V10</f>
        <v>21682845.634852249</v>
      </c>
      <c r="L62" s="6">
        <f>L29*'Customer Count'!Y10</f>
        <v>63541604.03998106</v>
      </c>
      <c r="M62" s="6">
        <f>M29*'Customer Count'!AE10</f>
        <v>742609.59999999986</v>
      </c>
      <c r="N62" s="6">
        <f>N29*'Customer Count'!AB10</f>
        <v>336466.37</v>
      </c>
      <c r="O62" s="6">
        <f ca="1">'Embedded Distributor'!K5</f>
        <v>50714841.521670833</v>
      </c>
    </row>
    <row r="63" spans="1:15" x14ac:dyDescent="0.2">
      <c r="A63" s="55">
        <v>2020</v>
      </c>
      <c r="I63" s="23">
        <f ca="1">SUM(J63:O63)</f>
        <v>245690081.06941712</v>
      </c>
      <c r="J63" s="6">
        <f>J30*'Customer Count'!S11</f>
        <v>102206305.12000003</v>
      </c>
      <c r="K63" s="6">
        <f>K30*'Customer Count'!V11</f>
        <v>20675583.910361484</v>
      </c>
      <c r="L63" s="6">
        <f>L30*'Customer Count'!Y11</f>
        <v>63661777.71272184</v>
      </c>
      <c r="M63" s="6">
        <f>M30*'Customer Count'!AE11</f>
        <v>739992.7</v>
      </c>
      <c r="N63" s="6">
        <f>N30*'Customer Count'!AB11</f>
        <v>328310.30000000005</v>
      </c>
      <c r="O63" s="6">
        <f ca="1">'Embedded Distributor'!K6</f>
        <v>58078111.326333761</v>
      </c>
    </row>
    <row r="64" spans="1:15" x14ac:dyDescent="0.2">
      <c r="A64" s="55">
        <v>2021</v>
      </c>
      <c r="I64" s="23">
        <f ca="1">SUM(J64:O64)</f>
        <v>239180788.04617977</v>
      </c>
      <c r="J64" s="6">
        <f>J31*'Customer Count'!S12</f>
        <v>95872965.045472085</v>
      </c>
      <c r="K64" s="6">
        <f>K31*'Customer Count'!V12</f>
        <v>22323587.097357165</v>
      </c>
      <c r="L64" s="6">
        <f>L31*'Customer Count'!Y12</f>
        <v>61550225.964879878</v>
      </c>
      <c r="M64" s="6">
        <f>M31*'Customer Count'!AE12</f>
        <v>745868.17941827246</v>
      </c>
      <c r="N64" s="6">
        <f>N31*'Customer Count'!AB12</f>
        <v>319639.87608696183</v>
      </c>
      <c r="O64" s="6">
        <f ca="1">'Purchased Power Model (WN)'!V175</f>
        <v>58368501.882965423</v>
      </c>
    </row>
    <row r="65" spans="1:19" x14ac:dyDescent="0.2">
      <c r="A65" s="55">
        <v>2022</v>
      </c>
      <c r="I65" s="23">
        <f ca="1">SUM(J65:O65)</f>
        <v>241054210.53017861</v>
      </c>
      <c r="J65" s="6">
        <f>J32*'Customer Count'!S13</f>
        <v>96861661.772375584</v>
      </c>
      <c r="K65" s="6">
        <f>K32*'Customer Count'!V13</f>
        <v>22759231.470644698</v>
      </c>
      <c r="L65" s="6">
        <f>L32*'Customer Count'!Y13</f>
        <v>61709984.153694309</v>
      </c>
      <c r="M65" s="6">
        <f>M32*'Customer Count'!AE13</f>
        <v>751790.30964593065</v>
      </c>
      <c r="N65" s="6">
        <f>N32*'Customer Count'!AB13</f>
        <v>311198.43143784488</v>
      </c>
      <c r="O65" s="6">
        <f ca="1">'Purchased Power Model (WN)'!V176</f>
        <v>58660344.392380245</v>
      </c>
    </row>
    <row r="67" spans="1:19" x14ac:dyDescent="0.2">
      <c r="A67" s="15" t="s">
        <v>21</v>
      </c>
      <c r="R67" s="6"/>
    </row>
    <row r="68" spans="1:19" x14ac:dyDescent="0.2">
      <c r="A68" s="15"/>
      <c r="R68" s="6"/>
    </row>
    <row r="69" spans="1:19" x14ac:dyDescent="0.2">
      <c r="A69" s="55">
        <v>2010</v>
      </c>
      <c r="I69" s="17"/>
      <c r="P69" s="6"/>
      <c r="Q69" s="6"/>
      <c r="R69" s="6"/>
    </row>
    <row r="70" spans="1:19" x14ac:dyDescent="0.2">
      <c r="A70" s="55">
        <v>2011</v>
      </c>
      <c r="I70" s="17">
        <f ca="1">P3</f>
        <v>180745365.35452399</v>
      </c>
      <c r="J70" s="6">
        <f t="shared" ref="J70:O70" ca="1" si="13">J54+J98</f>
        <v>92156945.99317199</v>
      </c>
      <c r="K70" s="6">
        <f t="shared" ca="1" si="13"/>
        <v>20433629.834174439</v>
      </c>
      <c r="L70" s="6">
        <f t="shared" ca="1" si="13"/>
        <v>66183149.507177539</v>
      </c>
      <c r="M70" s="6">
        <f t="shared" ref="J70:O71" ca="1" si="14">M54+M98</f>
        <v>1585167.0000000002</v>
      </c>
      <c r="N70" s="6">
        <f t="shared" ca="1" si="13"/>
        <v>386473.02</v>
      </c>
      <c r="O70" s="6">
        <f t="shared" ca="1" si="13"/>
        <v>0</v>
      </c>
      <c r="P70" s="6">
        <f t="shared" ref="P70:P79" ca="1" si="15">SUM(J70:O70)</f>
        <v>180745365.35452399</v>
      </c>
      <c r="Q70" s="6"/>
      <c r="R70" s="6"/>
    </row>
    <row r="71" spans="1:19" x14ac:dyDescent="0.2">
      <c r="A71" s="55">
        <v>2012</v>
      </c>
      <c r="I71" s="17">
        <f t="shared" ref="I71:I79" ca="1" si="16">P4</f>
        <v>187343408.74594694</v>
      </c>
      <c r="J71" s="6">
        <f t="shared" ca="1" si="14"/>
        <v>93946251.018616259</v>
      </c>
      <c r="K71" s="6">
        <f t="shared" ca="1" si="14"/>
        <v>20385725.113383181</v>
      </c>
      <c r="L71" s="6">
        <f t="shared" ca="1" si="14"/>
        <v>71050072.123947516</v>
      </c>
      <c r="M71" s="6">
        <f t="shared" ca="1" si="14"/>
        <v>1581518.5999999999</v>
      </c>
      <c r="N71" s="6">
        <f t="shared" ca="1" si="14"/>
        <v>379841.89</v>
      </c>
      <c r="O71" s="6">
        <f t="shared" ca="1" si="14"/>
        <v>0</v>
      </c>
      <c r="P71" s="6">
        <f t="shared" ca="1" si="15"/>
        <v>187343408.74594691</v>
      </c>
      <c r="Q71" s="6"/>
      <c r="R71" s="6"/>
    </row>
    <row r="72" spans="1:19" x14ac:dyDescent="0.2">
      <c r="A72" s="55">
        <v>2013</v>
      </c>
      <c r="I72" s="17">
        <f t="shared" ca="1" si="16"/>
        <v>188875023.9198516</v>
      </c>
      <c r="J72" s="6">
        <f t="shared" ref="J72:O72" ca="1" si="17">J56+J100</f>
        <v>93431369.434369341</v>
      </c>
      <c r="K72" s="6">
        <f t="shared" ca="1" si="17"/>
        <v>21094999.123094402</v>
      </c>
      <c r="L72" s="6">
        <f t="shared" ca="1" si="17"/>
        <v>72444468.802387863</v>
      </c>
      <c r="M72" s="6">
        <f t="shared" ca="1" si="17"/>
        <v>1528363</v>
      </c>
      <c r="N72" s="6">
        <f t="shared" ca="1" si="17"/>
        <v>375823.55999999994</v>
      </c>
      <c r="O72" s="6">
        <f t="shared" ca="1" si="17"/>
        <v>0</v>
      </c>
      <c r="P72" s="6">
        <f t="shared" ca="1" si="15"/>
        <v>188875023.9198516</v>
      </c>
      <c r="Q72" s="6"/>
      <c r="R72" s="6"/>
    </row>
    <row r="73" spans="1:19" x14ac:dyDescent="0.2">
      <c r="A73" s="55">
        <v>2014</v>
      </c>
      <c r="I73" s="17">
        <f t="shared" ca="1" si="16"/>
        <v>186083864.4265455</v>
      </c>
      <c r="J73" s="6">
        <f t="shared" ref="J73:O73" ca="1" si="18">J57+J101</f>
        <v>92886825.359972879</v>
      </c>
      <c r="K73" s="6">
        <f t="shared" ca="1" si="18"/>
        <v>21217193.049781322</v>
      </c>
      <c r="L73" s="6">
        <f t="shared" ca="1" si="18"/>
        <v>70390318.756791294</v>
      </c>
      <c r="M73" s="6">
        <f t="shared" ca="1" si="18"/>
        <v>1218696.8</v>
      </c>
      <c r="N73" s="6">
        <f t="shared" ca="1" si="18"/>
        <v>370830.46</v>
      </c>
      <c r="O73" s="6">
        <f t="shared" ca="1" si="18"/>
        <v>0</v>
      </c>
      <c r="P73" s="6">
        <f t="shared" ca="1" si="15"/>
        <v>186083864.42654553</v>
      </c>
      <c r="Q73" s="6"/>
      <c r="R73" s="6"/>
    </row>
    <row r="74" spans="1:19" x14ac:dyDescent="0.2">
      <c r="A74" s="55">
        <v>2015</v>
      </c>
      <c r="I74" s="17">
        <f t="shared" ca="1" si="16"/>
        <v>184704569.45966086</v>
      </c>
      <c r="J74" s="6">
        <f t="shared" ref="J74:O74" ca="1" si="19">J58+J102</f>
        <v>93554611.893242642</v>
      </c>
      <c r="K74" s="6">
        <f t="shared" ca="1" si="19"/>
        <v>21384835.245747469</v>
      </c>
      <c r="L74" s="6">
        <f t="shared" ca="1" si="19"/>
        <v>68681685.570670739</v>
      </c>
      <c r="M74" s="6">
        <f t="shared" ca="1" si="19"/>
        <v>718341.4</v>
      </c>
      <c r="N74" s="6">
        <f t="shared" ca="1" si="19"/>
        <v>365095.35</v>
      </c>
      <c r="O74" s="6">
        <f t="shared" ca="1" si="19"/>
        <v>0</v>
      </c>
      <c r="P74" s="6">
        <f t="shared" ca="1" si="15"/>
        <v>184704569.45966083</v>
      </c>
      <c r="Q74" s="6"/>
      <c r="R74" s="6"/>
    </row>
    <row r="75" spans="1:19" x14ac:dyDescent="0.2">
      <c r="A75" s="55">
        <v>2016</v>
      </c>
      <c r="I75" s="17">
        <f t="shared" ca="1" si="16"/>
        <v>177441615.45938686</v>
      </c>
      <c r="J75" s="6">
        <f t="shared" ref="J75:O75" ca="1" si="20">J59+J103</f>
        <v>93581120.873406842</v>
      </c>
      <c r="K75" s="6">
        <f t="shared" ca="1" si="20"/>
        <v>20516375.031118792</v>
      </c>
      <c r="L75" s="6">
        <f t="shared" ca="1" si="20"/>
        <v>62279792.394861214</v>
      </c>
      <c r="M75" s="6">
        <f t="shared" ca="1" si="20"/>
        <v>719486.69999999984</v>
      </c>
      <c r="N75" s="6">
        <f t="shared" ca="1" si="20"/>
        <v>344840.46</v>
      </c>
      <c r="O75" s="6">
        <f t="shared" ca="1" si="20"/>
        <v>0</v>
      </c>
      <c r="P75" s="6">
        <f t="shared" ca="1" si="15"/>
        <v>177441615.45938686</v>
      </c>
      <c r="Q75" s="6"/>
      <c r="R75" s="6"/>
    </row>
    <row r="76" spans="1:19" x14ac:dyDescent="0.2">
      <c r="A76" s="55">
        <v>2017</v>
      </c>
      <c r="I76" s="17">
        <f t="shared" ca="1" si="16"/>
        <v>205339741.49670416</v>
      </c>
      <c r="J76" s="6">
        <f t="shared" ref="J76:O76" ca="1" si="21">J60+J104</f>
        <v>90209865.714729324</v>
      </c>
      <c r="K76" s="6">
        <f t="shared" ca="1" si="21"/>
        <v>20862674.789353818</v>
      </c>
      <c r="L76" s="6">
        <f t="shared" ca="1" si="21"/>
        <v>62337118.338433921</v>
      </c>
      <c r="M76" s="6">
        <f t="shared" ca="1" si="21"/>
        <v>722926.2</v>
      </c>
      <c r="N76" s="6">
        <f t="shared" ca="1" si="21"/>
        <v>338746.07000000007</v>
      </c>
      <c r="O76" s="6">
        <f t="shared" ca="1" si="21"/>
        <v>30868410.384187136</v>
      </c>
      <c r="P76" s="6">
        <f t="shared" ca="1" si="15"/>
        <v>205339741.49670419</v>
      </c>
      <c r="Q76" s="6"/>
      <c r="R76" s="6"/>
    </row>
    <row r="77" spans="1:19" x14ac:dyDescent="0.2">
      <c r="A77" s="55">
        <v>2018</v>
      </c>
      <c r="I77" s="17">
        <f t="shared" ca="1" si="16"/>
        <v>223472633.74623474</v>
      </c>
      <c r="J77" s="6">
        <f t="shared" ref="J77:O81" ca="1" si="22">J61+J105</f>
        <v>95536340.47628127</v>
      </c>
      <c r="K77" s="6">
        <f t="shared" ca="1" si="22"/>
        <v>20753576.634401646</v>
      </c>
      <c r="L77" s="6">
        <f t="shared" ca="1" si="22"/>
        <v>64305309.207731023</v>
      </c>
      <c r="M77" s="6">
        <f t="shared" ca="1" si="22"/>
        <v>741474.8</v>
      </c>
      <c r="N77" s="6">
        <f t="shared" ca="1" si="22"/>
        <v>338063.86</v>
      </c>
      <c r="O77" s="6">
        <f t="shared" ca="1" si="22"/>
        <v>41797868.767820761</v>
      </c>
      <c r="P77" s="6">
        <f t="shared" ca="1" si="15"/>
        <v>223472633.74623471</v>
      </c>
      <c r="Q77" s="6"/>
      <c r="R77" s="6"/>
    </row>
    <row r="78" spans="1:19" x14ac:dyDescent="0.2">
      <c r="A78" s="55">
        <v>2019</v>
      </c>
      <c r="I78" s="17">
        <f t="shared" ca="1" si="16"/>
        <v>231304397.20156074</v>
      </c>
      <c r="J78" s="6">
        <f t="shared" ca="1" si="22"/>
        <v>94203472.502902776</v>
      </c>
      <c r="K78" s="6">
        <f t="shared" ca="1" si="22"/>
        <v>21712294.862362225</v>
      </c>
      <c r="L78" s="6">
        <f t="shared" ca="1" si="22"/>
        <v>63594712.344624907</v>
      </c>
      <c r="M78" s="6">
        <f t="shared" ca="1" si="22"/>
        <v>742609.59999999986</v>
      </c>
      <c r="N78" s="6">
        <f t="shared" ca="1" si="22"/>
        <v>336466.37</v>
      </c>
      <c r="O78" s="6">
        <f t="shared" ca="1" si="22"/>
        <v>50714841.521670833</v>
      </c>
      <c r="P78" s="6">
        <f t="shared" ca="1" si="15"/>
        <v>231304397.20156074</v>
      </c>
      <c r="Q78" s="6"/>
      <c r="R78" s="6"/>
    </row>
    <row r="79" spans="1:19" x14ac:dyDescent="0.2">
      <c r="A79" s="55">
        <v>2020</v>
      </c>
      <c r="I79" s="17">
        <f t="shared" ca="1" si="16"/>
        <v>245505325.50837252</v>
      </c>
      <c r="J79" s="6">
        <f t="shared" ca="1" si="22"/>
        <v>102089784.24223399</v>
      </c>
      <c r="K79" s="6">
        <f t="shared" ca="1" si="22"/>
        <v>20652012.593672831</v>
      </c>
      <c r="L79" s="6">
        <f t="shared" ca="1" si="22"/>
        <v>63617114.346131936</v>
      </c>
      <c r="M79" s="6">
        <f t="shared" ca="1" si="22"/>
        <v>739992.7</v>
      </c>
      <c r="N79" s="6">
        <f t="shared" ca="1" si="22"/>
        <v>328310.30000000005</v>
      </c>
      <c r="O79" s="6">
        <f t="shared" ca="1" si="22"/>
        <v>58078111.326333761</v>
      </c>
      <c r="P79" s="6">
        <f t="shared" ca="1" si="15"/>
        <v>245505325.50837252</v>
      </c>
      <c r="Q79" s="6"/>
      <c r="R79" s="6"/>
    </row>
    <row r="80" spans="1:19" x14ac:dyDescent="0.2">
      <c r="A80" s="55">
        <v>2021</v>
      </c>
      <c r="I80" s="17">
        <f ca="1">I13</f>
        <v>241377526.83371907</v>
      </c>
      <c r="J80" s="6">
        <f ca="1">J64+J108+J112</f>
        <v>97422911.697065085</v>
      </c>
      <c r="K80" s="6">
        <f t="shared" ref="K80" ca="1" si="23">K64+K108+K112</f>
        <v>22637791.967165269</v>
      </c>
      <c r="L80" s="6">
        <f ca="1">L64+L108+L112</f>
        <v>73768098.251562878</v>
      </c>
      <c r="M80" s="6">
        <f t="shared" ca="1" si="22"/>
        <v>745868.17941827246</v>
      </c>
      <c r="N80" s="6">
        <f t="shared" ca="1" si="22"/>
        <v>319639.87608696183</v>
      </c>
      <c r="O80" s="6">
        <f t="shared" ca="1" si="22"/>
        <v>58368501.882965423</v>
      </c>
      <c r="P80" s="6">
        <f ca="1">SUM(J80:O80)</f>
        <v>253262811.85426387</v>
      </c>
      <c r="Q80" s="6"/>
      <c r="R80" s="6">
        <f ca="1">P80-I80</f>
        <v>11885285.020544797</v>
      </c>
      <c r="S80" s="6"/>
    </row>
    <row r="81" spans="1:19" x14ac:dyDescent="0.2">
      <c r="A81" s="55">
        <v>2022</v>
      </c>
      <c r="I81" s="17">
        <f ca="1">I14</f>
        <v>239589969.95273691</v>
      </c>
      <c r="J81" s="6">
        <f ca="1">J65+J109+J113</f>
        <v>97410985.19667697</v>
      </c>
      <c r="K81" s="6">
        <f t="shared" ref="K81:L81" ca="1" si="24">K65+K109+K113</f>
        <v>22576980.50420215</v>
      </c>
      <c r="L81" s="6">
        <f t="shared" ca="1" si="24"/>
        <v>78925768.097103238</v>
      </c>
      <c r="M81" s="6">
        <f t="shared" ca="1" si="22"/>
        <v>751790.30964593065</v>
      </c>
      <c r="N81" s="6">
        <f t="shared" ca="1" si="22"/>
        <v>311198.43143784488</v>
      </c>
      <c r="O81" s="6">
        <f t="shared" ca="1" si="22"/>
        <v>58660344.392380245</v>
      </c>
      <c r="P81" s="6">
        <f ca="1">SUM(J81:O81)</f>
        <v>258637066.93144637</v>
      </c>
      <c r="Q81" s="6"/>
      <c r="R81" s="6">
        <f ca="1">P81-I81</f>
        <v>19047096.978709459</v>
      </c>
      <c r="S81" s="6"/>
    </row>
    <row r="82" spans="1:19" x14ac:dyDescent="0.2">
      <c r="R82" s="6"/>
    </row>
    <row r="83" spans="1:19" x14ac:dyDescent="0.2">
      <c r="A83" t="s">
        <v>23</v>
      </c>
      <c r="J83" s="74">
        <v>0.65</v>
      </c>
      <c r="K83" s="75">
        <f>J83</f>
        <v>0.65</v>
      </c>
      <c r="L83" s="99">
        <v>0.4</v>
      </c>
      <c r="M83" s="75">
        <v>0</v>
      </c>
      <c r="N83" s="75">
        <v>0</v>
      </c>
      <c r="O83" s="75">
        <v>0</v>
      </c>
    </row>
    <row r="84" spans="1:19" x14ac:dyDescent="0.2">
      <c r="A84" s="55">
        <v>2011</v>
      </c>
      <c r="I84" s="6">
        <f ca="1">I70-I54</f>
        <v>-546143.66547602415</v>
      </c>
      <c r="J84" s="6">
        <f t="shared" ref="J84:O84" si="25">J54*J$83</f>
        <v>60115472.300000004</v>
      </c>
      <c r="K84" s="6">
        <f t="shared" si="25"/>
        <v>13329188.538602168</v>
      </c>
      <c r="L84" s="6">
        <f t="shared" si="25"/>
        <v>26531233.237783283</v>
      </c>
      <c r="M84" s="6">
        <f t="shared" si="25"/>
        <v>0</v>
      </c>
      <c r="N84" s="6">
        <f t="shared" si="25"/>
        <v>0</v>
      </c>
      <c r="O84" s="6">
        <f t="shared" si="25"/>
        <v>0</v>
      </c>
      <c r="P84" s="6">
        <f>SUM(J84:O84)</f>
        <v>99975894.076385453</v>
      </c>
      <c r="Q84" s="6"/>
    </row>
    <row r="85" spans="1:19" x14ac:dyDescent="0.2">
      <c r="A85" s="55">
        <v>2012</v>
      </c>
      <c r="I85" s="6">
        <f t="shared" ref="I85:I93" ca="1" si="26">I71-I55</f>
        <v>63623.153184652328</v>
      </c>
      <c r="J85" s="6">
        <f t="shared" ref="J85:O85" si="27">J55*J$83</f>
        <v>61040483.218000002</v>
      </c>
      <c r="K85" s="6">
        <f t="shared" si="27"/>
        <v>13245387.635783866</v>
      </c>
      <c r="L85" s="6">
        <f t="shared" si="27"/>
        <v>28412987.977237929</v>
      </c>
      <c r="M85" s="6">
        <f t="shared" si="27"/>
        <v>0</v>
      </c>
      <c r="N85" s="6">
        <f t="shared" si="27"/>
        <v>0</v>
      </c>
      <c r="O85" s="6">
        <f t="shared" si="27"/>
        <v>0</v>
      </c>
      <c r="P85" s="6">
        <f t="shared" ref="P85:P93" si="28">SUM(J85:O85)</f>
        <v>102698858.8310218</v>
      </c>
      <c r="Q85" s="6"/>
    </row>
    <row r="86" spans="1:19" x14ac:dyDescent="0.2">
      <c r="A86" s="55">
        <v>2013</v>
      </c>
      <c r="I86" s="6">
        <f t="shared" ca="1" si="26"/>
        <v>2127500.944820255</v>
      </c>
      <c r="J86" s="6">
        <f t="shared" ref="J86:O86" si="29">J56*J$83</f>
        <v>59919508.857000001</v>
      </c>
      <c r="K86" s="6">
        <f t="shared" si="29"/>
        <v>13528668.095596712</v>
      </c>
      <c r="L86" s="6">
        <f t="shared" si="29"/>
        <v>28738456.441337641</v>
      </c>
      <c r="M86" s="6">
        <f t="shared" si="29"/>
        <v>0</v>
      </c>
      <c r="N86" s="6">
        <f t="shared" si="29"/>
        <v>0</v>
      </c>
      <c r="O86" s="6">
        <f t="shared" si="29"/>
        <v>0</v>
      </c>
      <c r="P86" s="6">
        <f t="shared" si="28"/>
        <v>102186633.39393435</v>
      </c>
      <c r="Q86" s="6"/>
    </row>
    <row r="87" spans="1:19" x14ac:dyDescent="0.2">
      <c r="A87" s="55">
        <v>2014</v>
      </c>
      <c r="I87" s="6">
        <f t="shared" ca="1" si="26"/>
        <v>2233228.0749618113</v>
      </c>
      <c r="J87" s="6">
        <f t="shared" ref="J87:O87" si="30">J57*J$83</f>
        <v>59521205.607500002</v>
      </c>
      <c r="K87" s="6">
        <f t="shared" si="30"/>
        <v>13595823.789174905</v>
      </c>
      <c r="L87" s="6">
        <f t="shared" si="30"/>
        <v>27909348.623295069</v>
      </c>
      <c r="M87" s="6">
        <f t="shared" si="30"/>
        <v>0</v>
      </c>
      <c r="N87" s="6">
        <f t="shared" si="30"/>
        <v>0</v>
      </c>
      <c r="O87" s="6">
        <f t="shared" si="30"/>
        <v>0</v>
      </c>
      <c r="P87" s="6">
        <f t="shared" si="28"/>
        <v>101026378.01996997</v>
      </c>
      <c r="Q87" s="6"/>
    </row>
    <row r="88" spans="1:19" x14ac:dyDescent="0.2">
      <c r="A88" s="55">
        <v>2015</v>
      </c>
      <c r="I88" s="6">
        <f t="shared" ca="1" si="26"/>
        <v>490996.14532497525</v>
      </c>
      <c r="J88" s="6">
        <f t="shared" ref="J88:O88" si="31">J58*J$83</f>
        <v>60620630.661500014</v>
      </c>
      <c r="K88" s="6">
        <f t="shared" si="31"/>
        <v>13856742.847362719</v>
      </c>
      <c r="L88" s="6">
        <f t="shared" si="31"/>
        <v>27419824.774126515</v>
      </c>
      <c r="M88" s="6">
        <f t="shared" si="31"/>
        <v>0</v>
      </c>
      <c r="N88" s="6">
        <f t="shared" si="31"/>
        <v>0</v>
      </c>
      <c r="O88" s="6">
        <f t="shared" si="31"/>
        <v>0</v>
      </c>
      <c r="P88" s="6">
        <f t="shared" si="28"/>
        <v>101897198.28298925</v>
      </c>
      <c r="Q88" s="6"/>
    </row>
    <row r="89" spans="1:19" x14ac:dyDescent="0.2">
      <c r="A89" s="55">
        <v>2016</v>
      </c>
      <c r="I89" s="6">
        <f t="shared" ca="1" si="26"/>
        <v>-3708600.3106131554</v>
      </c>
      <c r="J89" s="6">
        <f t="shared" ref="J89:O89" si="32">J59*J$83</f>
        <v>62311187.763499998</v>
      </c>
      <c r="K89" s="6">
        <f t="shared" si="32"/>
        <v>13660871.817508994</v>
      </c>
      <c r="L89" s="6">
        <f t="shared" si="32"/>
        <v>25282318.7787637</v>
      </c>
      <c r="M89" s="6">
        <f t="shared" si="32"/>
        <v>0</v>
      </c>
      <c r="N89" s="6">
        <f t="shared" si="32"/>
        <v>0</v>
      </c>
      <c r="O89" s="6">
        <f t="shared" si="32"/>
        <v>0</v>
      </c>
      <c r="P89" s="6">
        <f t="shared" si="28"/>
        <v>101254378.35977268</v>
      </c>
      <c r="Q89" s="6"/>
    </row>
    <row r="90" spans="1:19" x14ac:dyDescent="0.2">
      <c r="A90" s="55">
        <v>2017</v>
      </c>
      <c r="I90" s="6">
        <f t="shared" ca="1" si="26"/>
        <v>1568232.9957535565</v>
      </c>
      <c r="J90" s="6">
        <f t="shared" ref="J90:O90" si="33">J60*J$83</f>
        <v>58021691.942500003</v>
      </c>
      <c r="K90" s="6">
        <f t="shared" si="33"/>
        <v>13418573.236239744</v>
      </c>
      <c r="L90" s="6">
        <f t="shared" si="33"/>
        <v>24773330.228711713</v>
      </c>
      <c r="M90" s="6">
        <f t="shared" si="33"/>
        <v>0</v>
      </c>
      <c r="N90" s="6">
        <f t="shared" si="33"/>
        <v>0</v>
      </c>
      <c r="O90" s="6">
        <f t="shared" ca="1" si="33"/>
        <v>0</v>
      </c>
      <c r="P90" s="6">
        <f t="shared" ca="1" si="28"/>
        <v>96213595.407451451</v>
      </c>
      <c r="Q90" s="6"/>
    </row>
    <row r="91" spans="1:19" x14ac:dyDescent="0.2">
      <c r="A91" s="55">
        <v>2018</v>
      </c>
      <c r="I91" s="6">
        <f t="shared" ca="1" si="26"/>
        <v>-2270737.2666555941</v>
      </c>
      <c r="J91" s="6">
        <f t="shared" ref="J91:O91" si="34">J61*J$83</f>
        <v>63004610.805499978</v>
      </c>
      <c r="K91" s="6">
        <f t="shared" si="34"/>
        <v>13686634.972136321</v>
      </c>
      <c r="L91" s="6">
        <f t="shared" si="34"/>
        <v>25951772.647790089</v>
      </c>
      <c r="M91" s="6">
        <f t="shared" si="34"/>
        <v>0</v>
      </c>
      <c r="N91" s="6">
        <f t="shared" si="34"/>
        <v>0</v>
      </c>
      <c r="O91" s="6">
        <f t="shared" ca="1" si="34"/>
        <v>0</v>
      </c>
      <c r="P91" s="6">
        <f t="shared" ca="1" si="28"/>
        <v>102643018.42542639</v>
      </c>
      <c r="Q91" s="6"/>
    </row>
    <row r="92" spans="1:19" x14ac:dyDescent="0.2">
      <c r="A92" s="55">
        <v>2019</v>
      </c>
      <c r="I92" s="6">
        <f t="shared" ca="1" si="26"/>
        <v>210329.35505664349</v>
      </c>
      <c r="J92" s="6">
        <f t="shared" ref="J92:O92" si="35">J62*J$83</f>
        <v>61149205.441999979</v>
      </c>
      <c r="K92" s="6">
        <f t="shared" si="35"/>
        <v>14093849.662653962</v>
      </c>
      <c r="L92" s="6">
        <f t="shared" si="35"/>
        <v>25416641.615992427</v>
      </c>
      <c r="M92" s="6">
        <f t="shared" si="35"/>
        <v>0</v>
      </c>
      <c r="N92" s="6">
        <f t="shared" si="35"/>
        <v>0</v>
      </c>
      <c r="O92" s="6">
        <f t="shared" ca="1" si="35"/>
        <v>0</v>
      </c>
      <c r="P92" s="6">
        <f t="shared" ca="1" si="28"/>
        <v>100659696.72064637</v>
      </c>
      <c r="Q92" s="6"/>
    </row>
    <row r="93" spans="1:19" x14ac:dyDescent="0.2">
      <c r="A93" s="55">
        <v>2020</v>
      </c>
      <c r="I93" s="6">
        <f t="shared" ca="1" si="26"/>
        <v>-184755.56104460359</v>
      </c>
      <c r="J93" s="6">
        <f t="shared" ref="J93:O93" si="36">J63*J$83</f>
        <v>66434098.328000024</v>
      </c>
      <c r="K93" s="6">
        <f t="shared" si="36"/>
        <v>13439129.541734966</v>
      </c>
      <c r="L93" s="6">
        <f t="shared" si="36"/>
        <v>25464711.085088737</v>
      </c>
      <c r="M93" s="6">
        <f t="shared" si="36"/>
        <v>0</v>
      </c>
      <c r="N93" s="6">
        <f t="shared" si="36"/>
        <v>0</v>
      </c>
      <c r="O93" s="6">
        <f t="shared" ca="1" si="36"/>
        <v>0</v>
      </c>
      <c r="P93" s="6">
        <f t="shared" ca="1" si="28"/>
        <v>105337938.95482373</v>
      </c>
      <c r="Q93" s="6"/>
    </row>
    <row r="94" spans="1:19" x14ac:dyDescent="0.2">
      <c r="A94" s="55">
        <v>2021</v>
      </c>
      <c r="I94" s="6">
        <f ca="1">I80-I64</f>
        <v>2196738.7875393033</v>
      </c>
      <c r="J94" s="6">
        <f t="shared" ref="J94:O95" si="37">J64*J$83</f>
        <v>62317427.279556856</v>
      </c>
      <c r="K94" s="6">
        <f t="shared" si="37"/>
        <v>14510331.613282157</v>
      </c>
      <c r="L94" s="6">
        <f t="shared" si="37"/>
        <v>24620090.385951951</v>
      </c>
      <c r="M94" s="6">
        <f t="shared" si="37"/>
        <v>0</v>
      </c>
      <c r="N94" s="6">
        <f t="shared" si="37"/>
        <v>0</v>
      </c>
      <c r="O94" s="6">
        <f t="shared" ca="1" si="37"/>
        <v>0</v>
      </c>
      <c r="P94" s="6">
        <f ca="1">SUM(J94:O94)</f>
        <v>101447849.27879097</v>
      </c>
      <c r="Q94" s="6"/>
    </row>
    <row r="95" spans="1:19" x14ac:dyDescent="0.2">
      <c r="A95" s="55">
        <v>2022</v>
      </c>
      <c r="I95" s="6">
        <f ca="1">I81-I65</f>
        <v>-1464240.5774416924</v>
      </c>
      <c r="J95" s="6">
        <f t="shared" si="37"/>
        <v>62960080.152044132</v>
      </c>
      <c r="K95" s="6">
        <f t="shared" si="37"/>
        <v>14793500.455919053</v>
      </c>
      <c r="L95" s="6">
        <f t="shared" si="37"/>
        <v>24683993.661477726</v>
      </c>
      <c r="M95" s="6">
        <f t="shared" si="37"/>
        <v>0</v>
      </c>
      <c r="N95" s="6">
        <f t="shared" si="37"/>
        <v>0</v>
      </c>
      <c r="O95" s="6">
        <f t="shared" ca="1" si="37"/>
        <v>0</v>
      </c>
      <c r="P95" s="6">
        <f ca="1">SUM(J95:O95)</f>
        <v>102437574.26944092</v>
      </c>
      <c r="Q95" s="6"/>
    </row>
    <row r="96" spans="1:19" ht="12" customHeight="1" x14ac:dyDescent="0.2"/>
    <row r="97" spans="1:24" x14ac:dyDescent="0.2">
      <c r="A97" t="s">
        <v>24</v>
      </c>
    </row>
    <row r="98" spans="1:24" x14ac:dyDescent="0.2">
      <c r="A98" s="55">
        <v>2011</v>
      </c>
      <c r="I98" s="6">
        <f t="shared" ref="I98:I106" ca="1" si="38">SUM(J98:O98)</f>
        <v>-546143.66547602415</v>
      </c>
      <c r="J98" s="6">
        <f t="shared" ref="J98:O98" ca="1" si="39">J84/$P84*$I84</f>
        <v>-328396.00682800316</v>
      </c>
      <c r="K98" s="6">
        <f t="shared" ca="1" si="39"/>
        <v>-72814.071367356431</v>
      </c>
      <c r="L98" s="6">
        <f t="shared" ca="1" si="39"/>
        <v>-144933.58728066456</v>
      </c>
      <c r="M98" s="6">
        <f t="shared" ca="1" si="39"/>
        <v>0</v>
      </c>
      <c r="N98" s="6">
        <f t="shared" ca="1" si="39"/>
        <v>0</v>
      </c>
      <c r="O98" s="6">
        <f t="shared" ca="1" si="39"/>
        <v>0</v>
      </c>
    </row>
    <row r="99" spans="1:24" x14ac:dyDescent="0.2">
      <c r="A99" s="55">
        <v>2012</v>
      </c>
      <c r="I99" s="6">
        <f t="shared" ca="1" si="38"/>
        <v>63623.153184652328</v>
      </c>
      <c r="J99" s="6">
        <f t="shared" ref="J99:O109" ca="1" si="40">J85/$P85*$I85</f>
        <v>37815.298616257998</v>
      </c>
      <c r="K99" s="6">
        <f t="shared" ca="1" si="40"/>
        <v>8205.6737156949021</v>
      </c>
      <c r="L99" s="6">
        <f t="shared" ca="1" si="40"/>
        <v>17602.180852699428</v>
      </c>
      <c r="M99" s="6">
        <f t="shared" ca="1" si="40"/>
        <v>0</v>
      </c>
      <c r="N99" s="6">
        <f t="shared" ca="1" si="40"/>
        <v>0</v>
      </c>
      <c r="O99" s="6">
        <f t="shared" ca="1" si="40"/>
        <v>0</v>
      </c>
    </row>
    <row r="100" spans="1:24" x14ac:dyDescent="0.2">
      <c r="A100" s="55">
        <v>2013</v>
      </c>
      <c r="I100" s="6">
        <f t="shared" ca="1" si="38"/>
        <v>2127500.944820255</v>
      </c>
      <c r="J100" s="6">
        <f t="shared" ca="1" si="40"/>
        <v>1247509.6543693366</v>
      </c>
      <c r="K100" s="6">
        <f t="shared" ca="1" si="40"/>
        <v>281663.59140715282</v>
      </c>
      <c r="L100" s="6">
        <f t="shared" ca="1" si="40"/>
        <v>598327.69904376578</v>
      </c>
      <c r="M100" s="6">
        <f t="shared" ca="1" si="40"/>
        <v>0</v>
      </c>
      <c r="N100" s="6">
        <f t="shared" ca="1" si="40"/>
        <v>0</v>
      </c>
      <c r="O100" s="6">
        <f t="shared" ca="1" si="40"/>
        <v>0</v>
      </c>
    </row>
    <row r="101" spans="1:24" x14ac:dyDescent="0.2">
      <c r="A101" s="55">
        <v>2014</v>
      </c>
      <c r="I101" s="6">
        <f t="shared" ca="1" si="38"/>
        <v>2233228.0749618113</v>
      </c>
      <c r="J101" s="6">
        <f t="shared" ca="1" si="40"/>
        <v>1315739.8099728776</v>
      </c>
      <c r="K101" s="6">
        <f t="shared" ca="1" si="40"/>
        <v>300541.0664353153</v>
      </c>
      <c r="L101" s="6">
        <f t="shared" ca="1" si="40"/>
        <v>616947.19855361839</v>
      </c>
      <c r="M101" s="6">
        <f t="shared" ca="1" si="40"/>
        <v>0</v>
      </c>
      <c r="N101" s="6">
        <f t="shared" ca="1" si="40"/>
        <v>0</v>
      </c>
      <c r="O101" s="6">
        <f t="shared" ca="1" si="40"/>
        <v>0</v>
      </c>
    </row>
    <row r="102" spans="1:24" x14ac:dyDescent="0.2">
      <c r="A102" s="55">
        <v>2015</v>
      </c>
      <c r="I102" s="6">
        <f t="shared" ca="1" si="38"/>
        <v>490996.14532497525</v>
      </c>
      <c r="J102" s="6">
        <f t="shared" ca="1" si="40"/>
        <v>292103.18324261921</v>
      </c>
      <c r="K102" s="6">
        <f t="shared" ca="1" si="40"/>
        <v>66769.32672789997</v>
      </c>
      <c r="L102" s="6">
        <f t="shared" ca="1" si="40"/>
        <v>132123.63535445608</v>
      </c>
      <c r="M102" s="6">
        <f t="shared" ca="1" si="40"/>
        <v>0</v>
      </c>
      <c r="N102" s="6">
        <f t="shared" ca="1" si="40"/>
        <v>0</v>
      </c>
      <c r="O102" s="6">
        <f t="shared" ca="1" si="40"/>
        <v>0</v>
      </c>
    </row>
    <row r="103" spans="1:24" x14ac:dyDescent="0.2">
      <c r="A103" s="55">
        <v>2016</v>
      </c>
      <c r="I103" s="6">
        <f t="shared" ca="1" si="38"/>
        <v>-3708600.3106131558</v>
      </c>
      <c r="J103" s="6">
        <f t="shared" ca="1" si="40"/>
        <v>-2282244.9165931507</v>
      </c>
      <c r="K103" s="6">
        <f t="shared" ca="1" si="40"/>
        <v>-500350.84197196673</v>
      </c>
      <c r="L103" s="6">
        <f t="shared" ca="1" si="40"/>
        <v>-926004.55204803811</v>
      </c>
      <c r="M103" s="6">
        <f t="shared" ca="1" si="40"/>
        <v>0</v>
      </c>
      <c r="N103" s="6">
        <f t="shared" ca="1" si="40"/>
        <v>0</v>
      </c>
      <c r="O103" s="6">
        <f t="shared" ca="1" si="40"/>
        <v>0</v>
      </c>
    </row>
    <row r="104" spans="1:24" x14ac:dyDescent="0.2">
      <c r="A104" s="55">
        <v>2017</v>
      </c>
      <c r="I104" s="6">
        <f t="shared" ca="1" si="38"/>
        <v>1568232.9957535567</v>
      </c>
      <c r="J104" s="6">
        <f t="shared" ca="1" si="40"/>
        <v>945724.26472932484</v>
      </c>
      <c r="K104" s="6">
        <f t="shared" ca="1" si="40"/>
        <v>218715.9643695947</v>
      </c>
      <c r="L104" s="6">
        <f t="shared" ca="1" si="40"/>
        <v>403792.76665463712</v>
      </c>
      <c r="M104" s="6">
        <f t="shared" ca="1" si="40"/>
        <v>0</v>
      </c>
      <c r="N104" s="6">
        <f t="shared" ca="1" si="40"/>
        <v>0</v>
      </c>
      <c r="O104" s="6">
        <f t="shared" ca="1" si="40"/>
        <v>0</v>
      </c>
    </row>
    <row r="105" spans="1:24" x14ac:dyDescent="0.2">
      <c r="A105" s="55">
        <v>2018</v>
      </c>
      <c r="I105" s="6">
        <f t="shared" ca="1" si="38"/>
        <v>-2270737.2666555941</v>
      </c>
      <c r="J105" s="6">
        <f t="shared" ca="1" si="40"/>
        <v>-1393829.9937187005</v>
      </c>
      <c r="K105" s="6">
        <f t="shared" ca="1" si="40"/>
        <v>-302784.8611926923</v>
      </c>
      <c r="L105" s="6">
        <f t="shared" ca="1" si="40"/>
        <v>-574122.41174420121</v>
      </c>
      <c r="M105" s="6">
        <f t="shared" ca="1" si="40"/>
        <v>0</v>
      </c>
      <c r="N105" s="6">
        <f t="shared" ca="1" si="40"/>
        <v>0</v>
      </c>
      <c r="O105" s="6">
        <f t="shared" ca="1" si="40"/>
        <v>0</v>
      </c>
    </row>
    <row r="106" spans="1:24" x14ac:dyDescent="0.2">
      <c r="A106" s="55">
        <v>2019</v>
      </c>
      <c r="I106" s="6">
        <f t="shared" ca="1" si="38"/>
        <v>210329.35505664349</v>
      </c>
      <c r="J106" s="6">
        <f t="shared" ca="1" si="40"/>
        <v>127771.82290282051</v>
      </c>
      <c r="K106" s="6">
        <f t="shared" ca="1" si="40"/>
        <v>29449.227509974018</v>
      </c>
      <c r="L106" s="6">
        <f t="shared" ca="1" si="40"/>
        <v>53108.304643848969</v>
      </c>
      <c r="M106" s="6">
        <f t="shared" ca="1" si="40"/>
        <v>0</v>
      </c>
      <c r="N106" s="6">
        <f t="shared" ca="1" si="40"/>
        <v>0</v>
      </c>
      <c r="O106" s="6">
        <f t="shared" ca="1" si="40"/>
        <v>0</v>
      </c>
    </row>
    <row r="107" spans="1:24" x14ac:dyDescent="0.2">
      <c r="A107" s="55">
        <v>2020</v>
      </c>
      <c r="I107" s="6">
        <f ca="1">SUM(J107:O107)</f>
        <v>-184755.56104460359</v>
      </c>
      <c r="J107" s="6">
        <f t="shared" ca="1" si="40"/>
        <v>-116520.87776604386</v>
      </c>
      <c r="K107" s="6">
        <f t="shared" ca="1" si="40"/>
        <v>-23571.316688654922</v>
      </c>
      <c r="L107" s="6">
        <f t="shared" ca="1" si="40"/>
        <v>-44663.366589904799</v>
      </c>
      <c r="M107" s="6">
        <f t="shared" ca="1" si="40"/>
        <v>0</v>
      </c>
      <c r="N107" s="6">
        <f t="shared" ca="1" si="40"/>
        <v>0</v>
      </c>
      <c r="O107" s="6">
        <f t="shared" ca="1" si="40"/>
        <v>0</v>
      </c>
    </row>
    <row r="108" spans="1:24" x14ac:dyDescent="0.2">
      <c r="A108" s="55">
        <v>2021</v>
      </c>
      <c r="I108" s="6">
        <f ca="1">SUM(J108:O108)</f>
        <v>2196738.7875393033</v>
      </c>
      <c r="J108" s="6">
        <f t="shared" ca="1" si="40"/>
        <v>1349413.6210661116</v>
      </c>
      <c r="K108" s="6">
        <f t="shared" ca="1" si="40"/>
        <v>314204.86980810395</v>
      </c>
      <c r="L108" s="6">
        <f t="shared" ca="1" si="40"/>
        <v>533120.29666508769</v>
      </c>
      <c r="M108" s="6">
        <f t="shared" ca="1" si="40"/>
        <v>0</v>
      </c>
      <c r="N108" s="6">
        <f t="shared" ca="1" si="40"/>
        <v>0</v>
      </c>
      <c r="O108" s="6">
        <f t="shared" ca="1" si="40"/>
        <v>0</v>
      </c>
    </row>
    <row r="109" spans="1:24" x14ac:dyDescent="0.2">
      <c r="A109" s="55">
        <v>2022</v>
      </c>
      <c r="I109" s="6">
        <f ca="1">SUM(J109:O109)</f>
        <v>-1464240.5774416921</v>
      </c>
      <c r="J109" s="6">
        <f t="shared" ca="1" si="40"/>
        <v>-899950.08935999358</v>
      </c>
      <c r="K109" s="6">
        <f t="shared" ca="1" si="40"/>
        <v>-211457.99092219243</v>
      </c>
      <c r="L109" s="6">
        <f t="shared" ca="1" si="40"/>
        <v>-352832.49715950619</v>
      </c>
      <c r="M109" s="6">
        <f t="shared" ca="1" si="40"/>
        <v>0</v>
      </c>
      <c r="N109" s="6">
        <f t="shared" ca="1" si="40"/>
        <v>0</v>
      </c>
      <c r="O109" s="6">
        <f t="shared" ca="1" si="40"/>
        <v>0</v>
      </c>
    </row>
    <row r="110" spans="1:24" x14ac:dyDescent="0.2">
      <c r="I110" s="22"/>
    </row>
    <row r="111" spans="1:24" x14ac:dyDescent="0.2">
      <c r="A111" s="55" t="s">
        <v>265</v>
      </c>
      <c r="B111" s="266"/>
      <c r="C111" s="266"/>
      <c r="D111" s="266"/>
      <c r="E111" s="266"/>
      <c r="F111" s="266"/>
      <c r="G111" s="266"/>
      <c r="H111" s="266"/>
      <c r="X111"/>
    </row>
    <row r="112" spans="1:24" x14ac:dyDescent="0.2">
      <c r="A112" s="55">
        <v>2021</v>
      </c>
      <c r="B112" s="266"/>
      <c r="C112" s="266"/>
      <c r="D112" s="266"/>
      <c r="E112" s="266"/>
      <c r="F112" s="266"/>
      <c r="G112" s="266"/>
      <c r="H112" s="266"/>
      <c r="J112" s="6">
        <f>'Customer Count'!T148*J31</f>
        <v>200533.03052689106</v>
      </c>
      <c r="K112" s="6">
        <f>'Customer Count'!W148*K31</f>
        <v>0</v>
      </c>
      <c r="L112" s="6">
        <f>'New GS&gt;50 Customers'!B43+'Customer Count'!Z149*L31</f>
        <v>11684751.990017919</v>
      </c>
      <c r="P112" s="6">
        <f>SUM(J112:O112)</f>
        <v>11885285.02054481</v>
      </c>
      <c r="X112"/>
    </row>
    <row r="113" spans="1:24" x14ac:dyDescent="0.2">
      <c r="A113" s="55">
        <v>2022</v>
      </c>
      <c r="B113" s="266"/>
      <c r="C113" s="266"/>
      <c r="D113" s="266"/>
      <c r="E113" s="266"/>
      <c r="F113" s="266"/>
      <c r="G113" s="266"/>
      <c r="H113" s="266"/>
      <c r="J113" s="310">
        <f>'Customer Count'!T149*J32</f>
        <v>1449273.5136613776</v>
      </c>
      <c r="K113" s="6">
        <f>'Customer Count'!W149*K32</f>
        <v>29207.024479647625</v>
      </c>
      <c r="L113" s="6">
        <f>'New GS&gt;50 Customers'!B44+'Customer Count'!Z150*L32</f>
        <v>17568616.440568432</v>
      </c>
      <c r="P113" s="6">
        <f>SUM(J113:O113)</f>
        <v>19047096.978709459</v>
      </c>
      <c r="X113"/>
    </row>
    <row r="114" spans="1:24" x14ac:dyDescent="0.2"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X114"/>
    </row>
    <row r="117" spans="1:24" x14ac:dyDescent="0.2"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X117"/>
    </row>
    <row r="118" spans="1:24" x14ac:dyDescent="0.2"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X118"/>
    </row>
    <row r="119" spans="1:24" x14ac:dyDescent="0.2"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X119"/>
    </row>
    <row r="120" spans="1:24" x14ac:dyDescent="0.2"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X120"/>
    </row>
    <row r="121" spans="1:24" x14ac:dyDescent="0.2"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X121"/>
    </row>
    <row r="122" spans="1:24" x14ac:dyDescent="0.2"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X122"/>
    </row>
    <row r="123" spans="1:24" x14ac:dyDescent="0.2"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X123"/>
    </row>
    <row r="124" spans="1:24" x14ac:dyDescent="0.2"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X124"/>
    </row>
    <row r="125" spans="1:24" x14ac:dyDescent="0.2"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X125"/>
    </row>
    <row r="126" spans="1:24" x14ac:dyDescent="0.2"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X126"/>
    </row>
    <row r="127" spans="1:24" x14ac:dyDescent="0.2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X127"/>
    </row>
    <row r="128" spans="1:24" x14ac:dyDescent="0.2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X128"/>
    </row>
  </sheetData>
  <pageMargins left="0.38" right="0.75" top="0.73" bottom="0.74" header="0.5" footer="0.5"/>
  <pageSetup scale="62" orientation="landscape" r:id="rId1"/>
  <headerFooter alignWithMargins="0">
    <oddFooter>&amp;L&amp;Z&amp;F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13</vt:i4>
      </vt:variant>
    </vt:vector>
  </HeadingPairs>
  <TitlesOfParts>
    <vt:vector size="32" baseType="lpstr">
      <vt:lpstr>Summary</vt:lpstr>
      <vt:lpstr>Purchases</vt:lpstr>
      <vt:lpstr>Weather</vt:lpstr>
      <vt:lpstr>Economic</vt:lpstr>
      <vt:lpstr>CDM</vt:lpstr>
      <vt:lpstr>Purchased Power Model</vt:lpstr>
      <vt:lpstr>Purchased Power Model (WN)</vt:lpstr>
      <vt:lpstr>Rate Class Energy Model</vt:lpstr>
      <vt:lpstr>Rate Class Energy Model (WN)</vt:lpstr>
      <vt:lpstr>Customer Count</vt:lpstr>
      <vt:lpstr>Rate Class Customer Model</vt:lpstr>
      <vt:lpstr>Rate Class Load Model</vt:lpstr>
      <vt:lpstr>Embedded Distributor</vt:lpstr>
      <vt:lpstr>GS Reclassification Adjustment</vt:lpstr>
      <vt:lpstr>New GS&gt;50 Customers</vt:lpstr>
      <vt:lpstr>Data</vt:lpstr>
      <vt:lpstr>Data (ED Mar2017-)</vt:lpstr>
      <vt:lpstr>Rate Class Energy Model WN NCov</vt:lpstr>
      <vt:lpstr>Purchased Power Model (NoCoV)</vt:lpstr>
      <vt:lpstr>Data!Print_Area</vt:lpstr>
      <vt:lpstr>'Data (ED Mar2017-)'!Print_Area</vt:lpstr>
      <vt:lpstr>'Purchased Power Model'!Print_Area</vt:lpstr>
      <vt:lpstr>'Purchased Power Model (NoCoV)'!Print_Area</vt:lpstr>
      <vt:lpstr>'Purchased Power Model (WN)'!Print_Area</vt:lpstr>
      <vt:lpstr>'Rate Class Customer Model'!Print_Area</vt:lpstr>
      <vt:lpstr>'Rate Class Load Model'!Print_Area</vt:lpstr>
      <vt:lpstr>Summary!Print_Area</vt:lpstr>
      <vt:lpstr>Data!Print_Titles</vt:lpstr>
      <vt:lpstr>'Data (ED Mar2017-)'!Print_Titles</vt:lpstr>
      <vt:lpstr>'Purchased Power Model'!Print_Titles</vt:lpstr>
      <vt:lpstr>'Purchased Power Model (NoCoV)'!Print_Titles</vt:lpstr>
      <vt:lpstr>'Purchased Power Model (WN)'!Print_Titles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_</dc:title>
  <dc:creator/>
  <cp:lastModifiedBy/>
  <cp:lastPrinted>2014-03-06T15:42:29Z</cp:lastPrinted>
  <dcterms:created xsi:type="dcterms:W3CDTF">2014-03-06T15:42:29Z</dcterms:created>
  <dcterms:modified xsi:type="dcterms:W3CDTF">2021-10-25T22:06:40Z</dcterms:modified>
</cp:coreProperties>
</file>