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grushby/Dropbox (Rushby Energy)/RESI/Projects/RESI 014 FHI/FHI LRAM/2022 (Completed in 2021)/October Updates/"/>
    </mc:Choice>
  </mc:AlternateContent>
  <xr:revisionPtr revIDLastSave="0" documentId="13_ncr:1_{7F8D2094-2ABD-8D42-B840-0E19BCE9284D}" xr6:coauthVersionLast="47" xr6:coauthVersionMax="47" xr10:uidLastSave="{00000000-0000-0000-0000-000000000000}"/>
  <bookViews>
    <workbookView xWindow="460" yWindow="460" windowWidth="20740" windowHeight="11160" firstSheet="1" activeTab="1" xr2:uid="{ECC3E450-223D-4B98-ADDD-0F677B500E8B}"/>
  </bookViews>
  <sheets>
    <sheet name="Persistence Summary Tables" sheetId="2" r:id="rId1"/>
    <sheet name="2016 True-Up Persistence Tables" sheetId="7" r:id="rId2"/>
    <sheet name="2016 True-up List" sheetId="6" r:id="rId3"/>
    <sheet name="Historical NTG" sheetId="4" r:id="rId4"/>
    <sheet name="2016 Historical Persistence" sheetId="8"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7" l="1"/>
  <c r="K2" i="7" s="1"/>
  <c r="L2" i="7" s="1"/>
  <c r="M2" i="7" s="1"/>
  <c r="N2" i="7" s="1"/>
  <c r="O2" i="7" s="1"/>
  <c r="P2" i="7" s="1"/>
  <c r="Q2" i="7" s="1"/>
  <c r="R2" i="7" s="1"/>
  <c r="U2" i="7"/>
  <c r="V2" i="7" s="1"/>
  <c r="W2" i="7" s="1"/>
  <c r="X2" i="7" s="1"/>
  <c r="Y2" i="7" s="1"/>
  <c r="Z2" i="7" s="1"/>
  <c r="AA2" i="7" s="1"/>
  <c r="AB2" i="7" s="1"/>
  <c r="AC2" i="7" s="1"/>
  <c r="B7" i="7"/>
  <c r="AJ11" i="8" l="1"/>
  <c r="AK11" i="8"/>
  <c r="AL11" i="8"/>
  <c r="AM11" i="8"/>
  <c r="AN11" i="8"/>
  <c r="AO11" i="8"/>
  <c r="AP11" i="8"/>
  <c r="AQ11" i="8"/>
  <c r="AR11" i="8"/>
  <c r="AS11" i="8"/>
  <c r="AT11" i="8"/>
  <c r="AU11" i="8"/>
  <c r="AV11" i="8"/>
  <c r="AW11" i="8"/>
  <c r="AX11" i="8"/>
  <c r="AY11" i="8"/>
  <c r="AZ11" i="8"/>
  <c r="BA11" i="8"/>
  <c r="BB11" i="8"/>
  <c r="BC11" i="8"/>
  <c r="BD11" i="8"/>
  <c r="BE11" i="8"/>
  <c r="AI11" i="8"/>
  <c r="AH11" i="8"/>
  <c r="D7" i="7"/>
  <c r="E7" i="7"/>
  <c r="F7" i="7"/>
  <c r="L7" i="7" s="1"/>
  <c r="C7" i="7"/>
  <c r="U9" i="7"/>
  <c r="V9" i="7" s="1"/>
  <c r="W9" i="7" s="1"/>
  <c r="X9" i="7" s="1"/>
  <c r="Y9" i="7" s="1"/>
  <c r="Z9" i="7" s="1"/>
  <c r="AA9" i="7" s="1"/>
  <c r="AB9" i="7" s="1"/>
  <c r="AC9" i="7" s="1"/>
  <c r="J9" i="7"/>
  <c r="K9" i="7" s="1"/>
  <c r="L9" i="7" s="1"/>
  <c r="M9" i="7" s="1"/>
  <c r="N9" i="7" s="1"/>
  <c r="O9" i="7" s="1"/>
  <c r="P9" i="7" s="1"/>
  <c r="Q9" i="7" s="1"/>
  <c r="R9" i="7" s="1"/>
  <c r="U3" i="7"/>
  <c r="V3" i="7" s="1"/>
  <c r="W3" i="7" s="1"/>
  <c r="X3" i="7" s="1"/>
  <c r="Y3" i="7" s="1"/>
  <c r="Z3" i="7" s="1"/>
  <c r="AA3" i="7" s="1"/>
  <c r="AB3" i="7" s="1"/>
  <c r="AC3" i="7" s="1"/>
  <c r="K3" i="7"/>
  <c r="L3" i="7" s="1"/>
  <c r="M3" i="7" s="1"/>
  <c r="N3" i="7" s="1"/>
  <c r="O3" i="7" s="1"/>
  <c r="P3" i="7" s="1"/>
  <c r="Q3" i="7" s="1"/>
  <c r="R3" i="7" s="1"/>
  <c r="B40" i="2"/>
  <c r="B38" i="2"/>
  <c r="K1" i="7"/>
  <c r="L1" i="7" s="1"/>
  <c r="M1" i="7" s="1"/>
  <c r="U1" i="7"/>
  <c r="V1" i="7" s="1"/>
  <c r="W1" i="7" s="1"/>
  <c r="X1" i="7" s="1"/>
  <c r="Y1" i="7" s="1"/>
  <c r="Z1" i="7" s="1"/>
  <c r="AA1" i="7" s="1"/>
  <c r="AB1" i="7" s="1"/>
  <c r="AC1" i="7" s="1"/>
  <c r="I11" i="8"/>
  <c r="K11" i="8"/>
  <c r="L11" i="8"/>
  <c r="M11" i="8"/>
  <c r="N11" i="8"/>
  <c r="O11" i="8"/>
  <c r="P11" i="8"/>
  <c r="Q11" i="8"/>
  <c r="R11" i="8"/>
  <c r="S11" i="8"/>
  <c r="T11" i="8"/>
  <c r="U11" i="8"/>
  <c r="V11" i="8"/>
  <c r="W11" i="8"/>
  <c r="X11" i="8"/>
  <c r="Y11" i="8"/>
  <c r="Z11" i="8"/>
  <c r="AA11" i="8"/>
  <c r="AB11" i="8"/>
  <c r="AC11" i="8"/>
  <c r="AD11" i="8"/>
  <c r="AE11" i="8"/>
  <c r="AF11" i="8"/>
  <c r="J11" i="8"/>
  <c r="B42" i="2"/>
  <c r="E29" i="2"/>
  <c r="D29" i="2"/>
  <c r="C29" i="2"/>
  <c r="B29" i="2"/>
  <c r="E23" i="2"/>
  <c r="D23" i="2"/>
  <c r="C23" i="2"/>
  <c r="B23" i="2"/>
  <c r="E21" i="2"/>
  <c r="D21" i="2"/>
  <c r="C21" i="2"/>
  <c r="B21" i="2"/>
  <c r="E18" i="2"/>
  <c r="D18" i="2"/>
  <c r="C18" i="2"/>
  <c r="B18" i="2"/>
  <c r="E17" i="2"/>
  <c r="D17" i="2"/>
  <c r="C17" i="2"/>
  <c r="B17" i="2"/>
  <c r="E14" i="2"/>
  <c r="D14" i="2"/>
  <c r="C14" i="2"/>
  <c r="B14" i="2"/>
  <c r="E10" i="2"/>
  <c r="D10" i="2"/>
  <c r="C10" i="2"/>
  <c r="B10" i="2"/>
  <c r="E9" i="2"/>
  <c r="D9" i="2"/>
  <c r="C9" i="2"/>
  <c r="B9" i="2"/>
  <c r="E7" i="2"/>
  <c r="D7" i="2"/>
  <c r="C7" i="2"/>
  <c r="B7" i="2"/>
  <c r="AN4" i="6"/>
  <c r="AN5" i="6"/>
  <c r="AN6" i="6"/>
  <c r="AN7" i="6"/>
  <c r="AN8" i="6"/>
  <c r="AN3" i="6"/>
  <c r="B13" i="7" s="1"/>
  <c r="I13" i="7" s="1"/>
  <c r="J13" i="7" s="1"/>
  <c r="K13" i="7" s="1"/>
  <c r="L13" i="7" s="1"/>
  <c r="M13" i="7" s="1"/>
  <c r="N13" i="7" s="1"/>
  <c r="O13" i="7" s="1"/>
  <c r="P13" i="7" s="1"/>
  <c r="Q13" i="7" s="1"/>
  <c r="R13" i="7" s="1"/>
  <c r="N1" i="7" l="1"/>
  <c r="M7" i="7"/>
  <c r="U10" i="2"/>
  <c r="V10" i="2" s="1"/>
  <c r="W10" i="2" s="1"/>
  <c r="X10" i="2" s="1"/>
  <c r="Y10" i="2" s="1"/>
  <c r="Z10" i="2" s="1"/>
  <c r="AA10" i="2" s="1"/>
  <c r="AB10" i="2" s="1"/>
  <c r="AC10" i="2" s="1"/>
  <c r="AD10" i="2" s="1"/>
  <c r="N7" i="7" l="1"/>
  <c r="O1" i="7"/>
  <c r="V55" i="2"/>
  <c r="W55" i="2" s="1"/>
  <c r="X55" i="2" s="1"/>
  <c r="Y55" i="2" s="1"/>
  <c r="Z55" i="2" s="1"/>
  <c r="AA55" i="2" s="1"/>
  <c r="AB55" i="2" s="1"/>
  <c r="AC55" i="2" s="1"/>
  <c r="AD55" i="2" s="1"/>
  <c r="O7" i="7" l="1"/>
  <c r="P1" i="7"/>
  <c r="P7" i="7" s="1"/>
  <c r="J40" i="2"/>
  <c r="W1" i="2"/>
  <c r="X1" i="2" s="1"/>
  <c r="Y1" i="2" s="1"/>
  <c r="Z1" i="2" s="1"/>
  <c r="AA1" i="2" s="1"/>
  <c r="AB1" i="2" s="1"/>
  <c r="AC1" i="2" s="1"/>
  <c r="AD1" i="2" s="1"/>
  <c r="AD29" i="2" s="1"/>
  <c r="V1" i="2"/>
  <c r="J38" i="2"/>
  <c r="AD33" i="2"/>
  <c r="W33" i="2"/>
  <c r="X33" i="2" s="1"/>
  <c r="Y33" i="2" s="1"/>
  <c r="Z33" i="2" s="1"/>
  <c r="AA33" i="2" s="1"/>
  <c r="AB33" i="2" s="1"/>
  <c r="AC33" i="2" s="1"/>
  <c r="V33" i="2"/>
  <c r="K33" i="2"/>
  <c r="L33" i="2" s="1"/>
  <c r="M33" i="2" s="1"/>
  <c r="N33" i="2" s="1"/>
  <c r="O33" i="2" s="1"/>
  <c r="P33" i="2" s="1"/>
  <c r="Q33" i="2" s="1"/>
  <c r="R33" i="2" s="1"/>
  <c r="S33" i="2" s="1"/>
  <c r="L29" i="2"/>
  <c r="M10" i="2"/>
  <c r="N10" i="2"/>
  <c r="O10" i="2"/>
  <c r="P10" i="2"/>
  <c r="Q10" i="2"/>
  <c r="R10" i="2"/>
  <c r="S10" i="2"/>
  <c r="L8" i="2"/>
  <c r="K1" i="2"/>
  <c r="L1" i="2" s="1"/>
  <c r="M1" i="2" s="1"/>
  <c r="N1" i="2" s="1"/>
  <c r="O1" i="2" s="1"/>
  <c r="P1" i="2" s="1"/>
  <c r="Q1" i="2" s="1"/>
  <c r="R1" i="2" s="1"/>
  <c r="S1" i="2" s="1"/>
  <c r="L15" i="2"/>
  <c r="L16" i="2"/>
  <c r="M16" i="2" s="1"/>
  <c r="N16" i="2" s="1"/>
  <c r="O16" i="2" s="1"/>
  <c r="P16" i="2" s="1"/>
  <c r="Q16" i="2" s="1"/>
  <c r="R16" i="2" s="1"/>
  <c r="S16" i="2" s="1"/>
  <c r="L19" i="2"/>
  <c r="L20" i="2"/>
  <c r="L22" i="2"/>
  <c r="Q1" i="7" l="1"/>
  <c r="AA18" i="2"/>
  <c r="X29" i="2"/>
  <c r="AB29" i="2"/>
  <c r="AD18" i="2"/>
  <c r="Z18" i="2"/>
  <c r="Y29" i="2"/>
  <c r="AC29" i="2"/>
  <c r="AC18" i="2"/>
  <c r="Y18" i="2"/>
  <c r="Z29" i="2"/>
  <c r="AB18" i="2"/>
  <c r="X18" i="2"/>
  <c r="AA29" i="2"/>
  <c r="J8" i="2"/>
  <c r="J42" i="2"/>
  <c r="K42" i="2" s="1"/>
  <c r="L42" i="2" s="1"/>
  <c r="M42" i="2" s="1"/>
  <c r="N42" i="2" s="1"/>
  <c r="O42" i="2" s="1"/>
  <c r="P42" i="2" s="1"/>
  <c r="Q42" i="2" s="1"/>
  <c r="R42" i="2" s="1"/>
  <c r="S42" i="2" s="1"/>
  <c r="R1" i="7" l="1"/>
  <c r="Q7" i="7"/>
  <c r="B49" i="2"/>
  <c r="J49" i="2" s="1"/>
  <c r="B41" i="2"/>
  <c r="J41" i="2" s="1"/>
  <c r="B61" i="2"/>
  <c r="B50" i="2"/>
  <c r="B39" i="2"/>
  <c r="J39" i="2" s="1"/>
  <c r="B46" i="2"/>
  <c r="J46" i="2" s="1"/>
  <c r="B55" i="2"/>
  <c r="J55" i="2" s="1"/>
  <c r="B53" i="2"/>
  <c r="X50" i="2"/>
  <c r="Y50" i="2"/>
  <c r="V50" i="2"/>
  <c r="W50" i="2"/>
  <c r="AB50" i="2"/>
  <c r="AD50" i="2"/>
  <c r="AA50" i="2"/>
  <c r="AC50" i="2"/>
  <c r="Z50" i="2"/>
  <c r="AB61" i="2"/>
  <c r="X61" i="2"/>
  <c r="AA61" i="2"/>
  <c r="W61" i="2"/>
  <c r="AD61" i="2"/>
  <c r="Z61" i="2"/>
  <c r="V61" i="2"/>
  <c r="AC61" i="2"/>
  <c r="Y61" i="2"/>
  <c r="J53" i="2"/>
  <c r="R7" i="7" l="1"/>
  <c r="J50" i="2"/>
  <c r="K50" i="2" s="1"/>
  <c r="L50" i="2" s="1"/>
  <c r="M50" i="2" s="1"/>
  <c r="N50" i="2" s="1"/>
  <c r="O50" i="2" s="1"/>
  <c r="P50" i="2" s="1"/>
  <c r="Q50" i="2" s="1"/>
  <c r="R50" i="2" s="1"/>
  <c r="S50" i="2" s="1"/>
  <c r="U50" i="2"/>
  <c r="J61" i="2"/>
  <c r="U61" i="2"/>
  <c r="M15" i="2"/>
  <c r="N15" i="2" s="1"/>
  <c r="K53" i="2"/>
  <c r="L53" i="2" s="1"/>
  <c r="M53" i="2" s="1"/>
  <c r="N53" i="2" s="1"/>
  <c r="O53" i="2" s="1"/>
  <c r="P53" i="2" s="1"/>
  <c r="Q53" i="2" s="1"/>
  <c r="R53" i="2" s="1"/>
  <c r="S53" i="2" s="1"/>
  <c r="K49" i="2"/>
  <c r="L49" i="2" s="1"/>
  <c r="M49" i="2" s="1"/>
  <c r="N49" i="2" s="1"/>
  <c r="O49" i="2" s="1"/>
  <c r="P49" i="2" s="1"/>
  <c r="Q49" i="2" s="1"/>
  <c r="R49" i="2" s="1"/>
  <c r="S49" i="2" s="1"/>
  <c r="K46" i="2"/>
  <c r="L46" i="2" s="1"/>
  <c r="M46" i="2" s="1"/>
  <c r="N46" i="2" s="1"/>
  <c r="O46" i="2" s="1"/>
  <c r="P46" i="2" s="1"/>
  <c r="Q46" i="2" s="1"/>
  <c r="R46" i="2" s="1"/>
  <c r="S46" i="2" s="1"/>
  <c r="K39" i="2"/>
  <c r="L39" i="2" s="1"/>
  <c r="M39" i="2" s="1"/>
  <c r="N39" i="2" s="1"/>
  <c r="O39" i="2" s="1"/>
  <c r="P39" i="2" s="1"/>
  <c r="Q39" i="2" s="1"/>
  <c r="R39" i="2" s="1"/>
  <c r="S39" i="2" s="1"/>
  <c r="K41" i="2"/>
  <c r="L41" i="2" s="1"/>
  <c r="M41" i="2" s="1"/>
  <c r="N41" i="2" s="1"/>
  <c r="O41" i="2" s="1"/>
  <c r="P41" i="2" s="1"/>
  <c r="Q41" i="2" s="1"/>
  <c r="R41" i="2" s="1"/>
  <c r="S41" i="2" s="1"/>
  <c r="M8" i="2"/>
  <c r="K40" i="2"/>
  <c r="L21" i="2"/>
  <c r="M21" i="2" s="1"/>
  <c r="N21" i="2" s="1"/>
  <c r="O21" i="2" s="1"/>
  <c r="P21" i="2" s="1"/>
  <c r="Q21" i="2" s="1"/>
  <c r="R21" i="2" s="1"/>
  <c r="S21" i="2" s="1"/>
  <c r="L18" i="2"/>
  <c r="M18" i="2" s="1"/>
  <c r="N18" i="2" s="1"/>
  <c r="O18" i="2" s="1"/>
  <c r="P18" i="2" s="1"/>
  <c r="Q18" i="2" s="1"/>
  <c r="R18" i="2" s="1"/>
  <c r="S18" i="2" s="1"/>
  <c r="L9" i="2"/>
  <c r="M9" i="2" s="1"/>
  <c r="N9" i="2" s="1"/>
  <c r="O9" i="2" s="1"/>
  <c r="P9" i="2" s="1"/>
  <c r="Q9" i="2" s="1"/>
  <c r="R9" i="2" s="1"/>
  <c r="S9" i="2" s="1"/>
  <c r="L14" i="2"/>
  <c r="M14" i="2" s="1"/>
  <c r="N14" i="2" s="1"/>
  <c r="O14" i="2" s="1"/>
  <c r="P14" i="2" s="1"/>
  <c r="Q14" i="2" s="1"/>
  <c r="R14" i="2" s="1"/>
  <c r="S14" i="2" s="1"/>
  <c r="L17" i="2"/>
  <c r="M17" i="2" s="1"/>
  <c r="N17" i="2" s="1"/>
  <c r="O17" i="2" s="1"/>
  <c r="P17" i="2" s="1"/>
  <c r="Q17" i="2" s="1"/>
  <c r="R17" i="2" s="1"/>
  <c r="S17" i="2" s="1"/>
  <c r="L7" i="2"/>
  <c r="M7" i="2" s="1"/>
  <c r="N7" i="2" s="1"/>
  <c r="O7" i="2" s="1"/>
  <c r="P7" i="2" s="1"/>
  <c r="Q7" i="2" s="1"/>
  <c r="R7" i="2" s="1"/>
  <c r="S7" i="2" s="1"/>
  <c r="L23" i="2"/>
  <c r="W23" i="2" s="1"/>
  <c r="X23" i="2" s="1"/>
  <c r="Y23" i="2" s="1"/>
  <c r="Z23" i="2" s="1"/>
  <c r="AA23" i="2" s="1"/>
  <c r="AB23" i="2" s="1"/>
  <c r="AC23" i="2" s="1"/>
  <c r="AD23" i="2" s="1"/>
  <c r="O15" i="2" l="1"/>
  <c r="P15" i="2" s="1"/>
  <c r="Q15" i="2" s="1"/>
  <c r="R15" i="2" s="1"/>
  <c r="S15" i="2" s="1"/>
  <c r="N8" i="2"/>
  <c r="O8" i="2" s="1"/>
  <c r="P8" i="2" s="1"/>
  <c r="Q8" i="2" s="1"/>
  <c r="R8" i="2" s="1"/>
  <c r="S8" i="2" s="1"/>
  <c r="K38" i="2"/>
  <c r="L38" i="2" s="1"/>
  <c r="M38" i="2" s="1"/>
  <c r="N38" i="2" s="1"/>
  <c r="O38" i="2" s="1"/>
  <c r="P38" i="2" s="1"/>
  <c r="Q38" i="2" s="1"/>
  <c r="R38" i="2" s="1"/>
  <c r="S38" i="2" s="1"/>
  <c r="K6" i="2"/>
  <c r="L6" i="2" s="1"/>
  <c r="M6" i="2" s="1"/>
  <c r="N6" i="2" s="1"/>
  <c r="O6" i="2" s="1"/>
  <c r="P6" i="2" s="1"/>
  <c r="Q6" i="2" s="1"/>
  <c r="R6" i="2" s="1"/>
  <c r="S6" i="2" s="1"/>
  <c r="L40" i="2"/>
  <c r="M40" i="2" s="1"/>
  <c r="N40" i="2" s="1"/>
  <c r="O40" i="2" s="1"/>
  <c r="P40" i="2" s="1"/>
  <c r="Q40" i="2" s="1"/>
  <c r="R40" i="2" s="1"/>
  <c r="S40" i="2" s="1"/>
  <c r="M23" i="2"/>
  <c r="N23" i="2" s="1"/>
  <c r="O23" i="2" s="1"/>
  <c r="P23" i="2" s="1"/>
  <c r="Q23" i="2" s="1"/>
  <c r="R23" i="2" s="1"/>
  <c r="S23" i="2" s="1"/>
  <c r="M29" i="2"/>
  <c r="N29" i="2" s="1"/>
  <c r="O29" i="2" s="1"/>
  <c r="P29" i="2" s="1"/>
  <c r="Q29" i="2" s="1"/>
  <c r="R29" i="2" s="1"/>
  <c r="S29" i="2" s="1"/>
</calcChain>
</file>

<file path=xl/sharedStrings.xml><?xml version="1.0" encoding="utf-8"?>
<sst xmlns="http://schemas.openxmlformats.org/spreadsheetml/2006/main" count="315" uniqueCount="137">
  <si>
    <t>LDC_Name</t>
  </si>
  <si>
    <t>Program_Name</t>
  </si>
  <si>
    <t>Funding_Mechanism</t>
  </si>
  <si>
    <t>Application_ID</t>
  </si>
  <si>
    <t>Facility_LDC</t>
  </si>
  <si>
    <t>Phase_ID</t>
  </si>
  <si>
    <t>Measure_Name</t>
  </si>
  <si>
    <t>Project_Track</t>
  </si>
  <si>
    <t>Measure_ID</t>
  </si>
  <si>
    <t>Measure_End_Use_Category</t>
  </si>
  <si>
    <t>Measure_Type</t>
  </si>
  <si>
    <t>Measure_Description 
(Custom Only)</t>
  </si>
  <si>
    <t>Measure_EUL</t>
  </si>
  <si>
    <t>Number_of_Units</t>
  </si>
  <si>
    <t>Base_Measure</t>
  </si>
  <si>
    <t>Project_Completion_Date</t>
  </si>
  <si>
    <t>Total_Costs_of_Project</t>
  </si>
  <si>
    <t>Incremental_Equipment_Cost</t>
  </si>
  <si>
    <t>Gross_Energy_Savings</t>
  </si>
  <si>
    <t>Gross_Demand_Savings</t>
  </si>
  <si>
    <t>Program Name - Mapped</t>
  </si>
  <si>
    <t>LDC - Mapped</t>
  </si>
  <si>
    <t>Project Completion Date - Mapped</t>
  </si>
  <si>
    <t>Net Savings</t>
  </si>
  <si>
    <t>IESO Reporting Period</t>
  </si>
  <si>
    <t>Comments</t>
  </si>
  <si>
    <t xml:space="preserve">Applicant LDC Mapped </t>
  </si>
  <si>
    <t>Multi-Site Application?</t>
  </si>
  <si>
    <t>Reason for Removal of 2017 Verified Results</t>
  </si>
  <si>
    <t>Festival Hydro Inc.</t>
  </si>
  <si>
    <t>Full Cost Recovery</t>
  </si>
  <si>
    <t>Prescriptive</t>
  </si>
  <si>
    <t>Save on Energy Home Assistance Program</t>
  </si>
  <si>
    <t/>
  </si>
  <si>
    <t>Conservation Officer, Festival</t>
  </si>
  <si>
    <t>Retrofit</t>
  </si>
  <si>
    <t>Custom</t>
  </si>
  <si>
    <t>B0903</t>
  </si>
  <si>
    <t>Save on Energy Retrofit Program</t>
  </si>
  <si>
    <t>B0901</t>
  </si>
  <si>
    <t>INTEGRAL LED TROFFERS: 2' x 4' LED troffer (&gt;= 3000 Lumens)</t>
  </si>
  <si>
    <t>Small Business Lighting</t>
  </si>
  <si>
    <t>Save on Energy Small Business Lighting Program</t>
  </si>
  <si>
    <t>Instant Savings Program</t>
  </si>
  <si>
    <t>Y</t>
  </si>
  <si>
    <t>Save on Energy Business Refrigeration Program</t>
  </si>
  <si>
    <t>Save on Energy New Construction Program</t>
  </si>
  <si>
    <t>Performance</t>
  </si>
  <si>
    <t>Engineered</t>
  </si>
  <si>
    <t>Save on Energy High Performance New Construction Program</t>
  </si>
  <si>
    <t>Save on Energy Process &amp; Systems Upgrades Program</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</si>
  <si>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</si>
  <si>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</si>
  <si>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</si>
  <si>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</si>
  <si>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</si>
  <si>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</si>
  <si>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</si>
  <si>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</si>
  <si>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</si>
  <si>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Save on Energy Coupon Program</t>
  </si>
  <si>
    <t>EE</t>
  </si>
  <si>
    <t>Save on Energy Instant Discount Program</t>
  </si>
  <si>
    <t>Save on Energy Heating &amp; Cooling Program</t>
  </si>
  <si>
    <t>Save on Energy Audit Funding Program</t>
  </si>
  <si>
    <t>Save on Energy Existing Building Commissioning Program</t>
  </si>
  <si>
    <t>Save on Energy Energy Manager Program</t>
  </si>
  <si>
    <t>Save on Energy Monitoring &amp; Targeting Program</t>
  </si>
  <si>
    <t>Save on Energy Retrofit Program - P4P</t>
  </si>
  <si>
    <t>Save on Energy Process &amp; Systems Upgrades Program - P4P</t>
  </si>
  <si>
    <t>Save on Energy High Performance New Construction Program Enabled Savings</t>
  </si>
  <si>
    <t>Save on Energy Process &amp; Systems Upgrades Program Enabled Savings</t>
  </si>
  <si>
    <t>Persistence Ratios</t>
  </si>
  <si>
    <t>From Project List</t>
  </si>
  <si>
    <t>Save on Energy Smart Thermostat Program</t>
  </si>
  <si>
    <t>Save on Energy Whole Home Program</t>
  </si>
  <si>
    <t>Save on Energy Retrofit Program - Enabled Savings</t>
  </si>
  <si>
    <t>Save on Energy Energy Performance Program</t>
  </si>
  <si>
    <t>From P &amp; C Reports</t>
  </si>
  <si>
    <t>2018 Persisting to 2020</t>
  </si>
  <si>
    <t>Calculated From Historical Rates</t>
  </si>
  <si>
    <t>Residential (Province-Wide)</t>
  </si>
  <si>
    <t>Non-Residential (Province-Wide)</t>
  </si>
  <si>
    <t>Local LDC Programs</t>
  </si>
  <si>
    <t>Net Demand Savings</t>
  </si>
  <si>
    <t>Energy NTG</t>
  </si>
  <si>
    <t>Demand NTG</t>
  </si>
  <si>
    <t>Lighting</t>
  </si>
  <si>
    <t>Non-Lighting</t>
  </si>
  <si>
    <t>Business Refrigeration Incentive Program</t>
  </si>
  <si>
    <t>Audit Funding</t>
  </si>
  <si>
    <t>High Performance New Construction</t>
  </si>
  <si>
    <t>Existing Building Commissioning</t>
  </si>
  <si>
    <t>Coupon Program</t>
  </si>
  <si>
    <t>Instant Discount</t>
  </si>
  <si>
    <t>LED Measures</t>
  </si>
  <si>
    <t>Non-LED</t>
  </si>
  <si>
    <t>Varies</t>
  </si>
  <si>
    <t>Varies by measure; See IESO 2017 Evaluation, Measurement and Verification Report.</t>
  </si>
  <si>
    <t>Heating and Cooling</t>
  </si>
  <si>
    <t>New Construction</t>
  </si>
  <si>
    <t>Home Assistance Program</t>
  </si>
  <si>
    <t>Program Name</t>
  </si>
  <si>
    <t>Peak Demand NTG</t>
  </si>
  <si>
    <t>Residential Programs</t>
  </si>
  <si>
    <t>Business Programs</t>
  </si>
  <si>
    <t>Local Programs</t>
  </si>
  <si>
    <t>Track</t>
  </si>
  <si>
    <t>Detail</t>
  </si>
  <si>
    <t>Total Retrofit</t>
  </si>
  <si>
    <t>2017 Net-to-Gross Ratios</t>
  </si>
  <si>
    <t>Energy Star</t>
  </si>
  <si>
    <t>EnerGuide</t>
  </si>
  <si>
    <t>Persisting Energy Savings</t>
  </si>
  <si>
    <t>Persisting Demand Savings</t>
  </si>
  <si>
    <t>Rate Class</t>
  </si>
  <si>
    <t>Calculated From Historical Year over Year Persistence Ratios</t>
  </si>
  <si>
    <t>Persisting Savings from IESO Persistence Report</t>
  </si>
  <si>
    <t>Calculated From Project List EULs</t>
  </si>
  <si>
    <t>No reference for this demand value (not in project list); calculated by using Energy/Demand ratio from 2017 LRAM Submission</t>
  </si>
  <si>
    <t>*Same persistence as Heating and Cooling</t>
  </si>
  <si>
    <t>*10 year savings persistence as per PSUP rules</t>
  </si>
  <si>
    <t>LED Tube Re-Lamp: &lt;=15W &amp; &gt;= 1500 Lumens</t>
  </si>
  <si>
    <t>Highbay</t>
  </si>
  <si>
    <t>Grain Transport Mechanism</t>
  </si>
  <si>
    <t>HVAC modifications</t>
  </si>
  <si>
    <t>Improved insulation and Miser Mode avoided energy use</t>
  </si>
  <si>
    <t>2016 Net-to-Gross Ratios</t>
  </si>
  <si>
    <t>The Peak Demand NTG ratios from 2016 were applied to the 2016 Unverified Gross Demand Savings. All figures are sourced from the IESO 2016 Evaluation, Measurement and Evaluation reports.</t>
  </si>
  <si>
    <t>The Peak Demand NTG ratios from 2017 were applied to the 2018 Gross Demand Savings due to the unavailability of 2018 Net Demand Savings. All figures are sourced from the IESO 2017 Evaluation, Measurement and Evaluation reports.</t>
  </si>
  <si>
    <t>Include?</t>
  </si>
  <si>
    <t>Current Year Savings</t>
  </si>
  <si>
    <t xml:space="preserve">2016 Results Persistence </t>
  </si>
  <si>
    <t xml:space="preserve">-  </t>
  </si>
  <si>
    <t>2016 Persistence (from Project List Unverified Savings)</t>
  </si>
  <si>
    <t>The Peak Demand NTG ratios from 2015 were applied to the 2015 streetlighting projects. All figures are sourced from the IESO 2016 Evaluation, Measurement and Evaluation reports.</t>
  </si>
  <si>
    <t>2015 Net-to-Gross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</si>
</sst>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0"/>
    <numFmt numFmtId="166" formatCode="[$-1009]d\-mmm\-yy;@"/>
    <numFmt numFmtId="167" formatCode="&quot;$&quot;#,##0.00"/>
    <numFmt numFmtId="168" formatCode="0.000"/>
    <numFmt numFmtId="169" formatCode="_-* #,##0_-;\-* #,##0_-;_-* &quot;-&quot;??_-;_-@_-"/>
    <numFmt numFmtId="170" formatCode="0.0%"/>
    <numFmt numFmtId="171"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sz val="11"/>
      <color theme="0" tint="-0.499984740745262"/>
      <name val="Calibri"/>
      <family val="2"/>
      <scheme val="minor"/>
    </font>
    <font>
      <sz val="11"/>
      <color theme="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hair">
        <color indexed="64"/>
      </left>
      <right/>
      <top style="hair">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53">
    <xf numFmtId="0" fontId="0" fillId="0" borderId="0" xfId="0"/>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 fillId="2" borderId="0" xfId="0" applyFont="1" applyFill="1" applyAlignment="1">
      <alignment horizontal="center" vertical="center" wrapText="1"/>
    </xf>
    <xf numFmtId="166" fontId="2" fillId="2" borderId="0" xfId="0" applyNumberFormat="1" applyFont="1" applyFill="1" applyAlignment="1">
      <alignment horizontal="center" vertical="center" wrapText="1"/>
    </xf>
    <xf numFmtId="0" fontId="2" fillId="0" borderId="0" xfId="1" applyNumberFormat="1" applyFont="1" applyAlignment="1">
      <alignment horizontal="center" vertical="center" wrapText="1"/>
    </xf>
    <xf numFmtId="0" fontId="2" fillId="2" borderId="0" xfId="1" applyNumberFormat="1" applyFont="1" applyFill="1" applyAlignment="1">
      <alignment horizontal="center" vertical="center" wrapText="1"/>
    </xf>
    <xf numFmtId="2" fontId="2" fillId="0" borderId="0" xfId="0" applyNumberFormat="1" applyFont="1" applyAlignment="1">
      <alignment horizontal="center" vertical="center" wrapText="1"/>
    </xf>
    <xf numFmtId="165" fontId="0" fillId="0" borderId="0" xfId="0" applyNumberFormat="1"/>
    <xf numFmtId="166" fontId="0" fillId="0" borderId="0" xfId="0" applyNumberFormat="1"/>
    <xf numFmtId="167" fontId="0" fillId="0" borderId="0" xfId="0" applyNumberFormat="1"/>
    <xf numFmtId="168" fontId="0" fillId="0" borderId="0" xfId="0" applyNumberFormat="1"/>
    <xf numFmtId="2" fontId="0" fillId="0" borderId="0" xfId="0" applyNumberFormat="1"/>
    <xf numFmtId="169" fontId="0" fillId="0" borderId="0" xfId="1" applyNumberFormat="1" applyFont="1"/>
    <xf numFmtId="4" fontId="0" fillId="0" borderId="0" xfId="0" applyNumberFormat="1" applyFill="1" applyAlignment="1">
      <alignment horizontal="center"/>
    </xf>
    <xf numFmtId="0" fontId="0" fillId="0" borderId="0" xfId="0" applyAlignment="1">
      <alignment horizontal="center"/>
    </xf>
    <xf numFmtId="0" fontId="3" fillId="0" borderId="0" xfId="0" applyFont="1"/>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2" xfId="0" applyFont="1" applyFill="1" applyBorder="1" applyAlignment="1">
      <alignment vertical="top" wrapText="1"/>
    </xf>
    <xf numFmtId="0" fontId="4" fillId="3" borderId="0" xfId="0" applyFont="1" applyFill="1" applyAlignment="1">
      <alignment horizontal="left" vertical="top" wrapText="1"/>
    </xf>
    <xf numFmtId="0" fontId="4" fillId="3" borderId="3" xfId="0" applyFont="1" applyFill="1" applyBorder="1" applyAlignment="1">
      <alignment vertical="top"/>
    </xf>
    <xf numFmtId="0" fontId="5" fillId="3" borderId="4" xfId="0" applyFont="1" applyFill="1" applyBorder="1" applyAlignment="1">
      <alignment vertical="top"/>
    </xf>
    <xf numFmtId="0" fontId="5" fillId="3" borderId="5" xfId="0" applyFont="1" applyFill="1" applyBorder="1" applyAlignment="1">
      <alignment vertical="top"/>
    </xf>
    <xf numFmtId="0" fontId="5" fillId="3" borderId="0" xfId="0" applyFont="1" applyFill="1" applyAlignment="1">
      <alignment vertical="top"/>
    </xf>
    <xf numFmtId="0" fontId="5" fillId="3"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3" borderId="1" xfId="0" applyFont="1" applyFill="1" applyBorder="1" applyAlignment="1">
      <alignment vertical="top"/>
    </xf>
    <xf numFmtId="0" fontId="5" fillId="3" borderId="0" xfId="0" applyFont="1" applyFill="1" applyAlignment="1">
      <alignment horizontal="left" vertical="top" wrapText="1"/>
    </xf>
    <xf numFmtId="0" fontId="4" fillId="3" borderId="1" xfId="0" applyFont="1" applyFill="1" applyBorder="1" applyAlignment="1">
      <alignment horizontal="center" vertical="center" textRotation="180"/>
    </xf>
    <xf numFmtId="0" fontId="0" fillId="5" borderId="1" xfId="0" applyFill="1" applyBorder="1" applyAlignment="1">
      <alignment vertical="top"/>
    </xf>
    <xf numFmtId="0" fontId="0" fillId="6" borderId="1" xfId="0" applyFill="1" applyBorder="1"/>
    <xf numFmtId="0" fontId="0" fillId="3" borderId="0" xfId="0" applyFill="1" applyAlignment="1">
      <alignment vertical="top"/>
    </xf>
    <xf numFmtId="3" fontId="0" fillId="5" borderId="6" xfId="0" applyNumberFormat="1" applyFill="1" applyBorder="1" applyAlignment="1">
      <alignment vertical="top"/>
    </xf>
    <xf numFmtId="3" fontId="0" fillId="5" borderId="7" xfId="0" applyNumberFormat="1" applyFill="1" applyBorder="1" applyAlignment="1">
      <alignment vertical="top"/>
    </xf>
    <xf numFmtId="3" fontId="0" fillId="5" borderId="8" xfId="0" applyNumberFormat="1" applyFill="1" applyBorder="1" applyAlignment="1">
      <alignment vertical="top"/>
    </xf>
    <xf numFmtId="4" fontId="0" fillId="5" borderId="6" xfId="0" applyNumberFormat="1" applyFill="1" applyBorder="1" applyAlignment="1">
      <alignment horizontal="center" vertical="top"/>
    </xf>
    <xf numFmtId="0" fontId="2" fillId="0" borderId="0" xfId="1" applyNumberFormat="1" applyFont="1" applyFill="1" applyAlignment="1">
      <alignment horizontal="center" vertical="center" wrapText="1"/>
    </xf>
    <xf numFmtId="0" fontId="0" fillId="0" borderId="0" xfId="0" applyFill="1"/>
    <xf numFmtId="0" fontId="2" fillId="0" borderId="1" xfId="1" applyNumberFormat="1" applyFont="1" applyFill="1" applyBorder="1" applyAlignment="1">
      <alignment horizontal="center" vertical="center" wrapText="1"/>
    </xf>
    <xf numFmtId="4" fontId="1" fillId="0" borderId="1" xfId="1" applyNumberFormat="1" applyFont="1" applyFill="1" applyBorder="1" applyAlignment="1">
      <alignment horizontal="center" vertical="center" wrapText="1"/>
    </xf>
    <xf numFmtId="4" fontId="0" fillId="0" borderId="1" xfId="0" applyNumberFormat="1" applyFont="1" applyFill="1" applyBorder="1" applyAlignment="1">
      <alignment horizontal="center"/>
    </xf>
    <xf numFmtId="4" fontId="0" fillId="0" borderId="1" xfId="0" applyNumberFormat="1" applyFill="1"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 fontId="0" fillId="0" borderId="1" xfId="0" applyNumberFormat="1" applyBorder="1"/>
    <xf numFmtId="4" fontId="0" fillId="0" borderId="1" xfId="0" applyNumberFormat="1" applyFill="1" applyBorder="1"/>
    <xf numFmtId="0" fontId="3" fillId="0" borderId="1" xfId="0" applyFont="1" applyFill="1" applyBorder="1"/>
    <xf numFmtId="0" fontId="0" fillId="0" borderId="1" xfId="0" applyBorder="1"/>
    <xf numFmtId="0" fontId="0" fillId="0" borderId="1" xfId="0" applyFill="1" applyBorder="1"/>
    <xf numFmtId="4" fontId="0" fillId="9" borderId="1" xfId="0" applyNumberFormat="1" applyFill="1" applyBorder="1" applyAlignment="1">
      <alignment horizontal="center"/>
    </xf>
    <xf numFmtId="4" fontId="0" fillId="9" borderId="1" xfId="0" applyNumberFormat="1" applyFill="1" applyBorder="1"/>
    <xf numFmtId="0" fontId="2" fillId="9" borderId="1" xfId="0" applyFont="1" applyFill="1" applyBorder="1" applyAlignment="1">
      <alignment horizontal="center" vertical="center" wrapText="1"/>
    </xf>
    <xf numFmtId="0" fontId="2" fillId="9" borderId="1" xfId="1" applyNumberFormat="1" applyFont="1" applyFill="1" applyBorder="1" applyAlignment="1">
      <alignment horizontal="center" vertical="center" wrapText="1"/>
    </xf>
    <xf numFmtId="0" fontId="3" fillId="0" borderId="0" xfId="0" applyFont="1" applyFill="1" applyAlignment="1">
      <alignment horizontal="center"/>
    </xf>
    <xf numFmtId="0" fontId="2" fillId="9" borderId="1" xfId="0" applyFont="1" applyFill="1" applyBorder="1"/>
    <xf numFmtId="4" fontId="0" fillId="7" borderId="1" xfId="0" applyNumberFormat="1" applyFill="1" applyBorder="1" applyAlignment="1">
      <alignment horizontal="center"/>
    </xf>
    <xf numFmtId="170" fontId="0" fillId="0" borderId="0" xfId="0" applyNumberFormat="1" applyAlignment="1">
      <alignment horizontal="center"/>
    </xf>
    <xf numFmtId="170" fontId="0" fillId="0" borderId="1" xfId="0" applyNumberFormat="1" applyFont="1" applyBorder="1" applyAlignment="1">
      <alignment horizontal="center"/>
    </xf>
    <xf numFmtId="10" fontId="0" fillId="0" borderId="1" xfId="0" applyNumberFormat="1" applyFont="1" applyBorder="1" applyAlignment="1">
      <alignment horizontal="center"/>
    </xf>
    <xf numFmtId="170" fontId="0" fillId="0" borderId="1" xfId="0" applyNumberFormat="1" applyBorder="1" applyAlignment="1">
      <alignment horizontal="center"/>
    </xf>
    <xf numFmtId="170" fontId="2" fillId="0" borderId="1" xfId="0" applyNumberFormat="1" applyFont="1" applyBorder="1" applyAlignment="1">
      <alignment horizontal="center"/>
    </xf>
    <xf numFmtId="0" fontId="0" fillId="0" borderId="12" xfId="0" applyBorder="1"/>
    <xf numFmtId="170" fontId="0" fillId="0" borderId="12" xfId="0" applyNumberFormat="1" applyBorder="1" applyAlignment="1">
      <alignment horizontal="center" vertical="center"/>
    </xf>
    <xf numFmtId="170" fontId="0" fillId="0" borderId="13" xfId="0" applyNumberFormat="1" applyBorder="1" applyAlignment="1">
      <alignment horizontal="center" vertical="center"/>
    </xf>
    <xf numFmtId="170" fontId="0" fillId="0" borderId="10" xfId="0" applyNumberFormat="1" applyFont="1" applyBorder="1" applyAlignment="1">
      <alignment horizontal="center"/>
    </xf>
    <xf numFmtId="170" fontId="0" fillId="0" borderId="14" xfId="0" applyNumberFormat="1" applyFont="1" applyBorder="1" applyAlignment="1">
      <alignment horizontal="center"/>
    </xf>
    <xf numFmtId="170" fontId="0" fillId="0" borderId="15" xfId="0" applyNumberFormat="1" applyFont="1" applyBorder="1" applyAlignment="1">
      <alignment horizontal="center"/>
    </xf>
    <xf numFmtId="170" fontId="0" fillId="0" borderId="16" xfId="0" applyNumberFormat="1" applyBorder="1" applyAlignment="1">
      <alignment horizontal="center"/>
    </xf>
    <xf numFmtId="170" fontId="2" fillId="0" borderId="16" xfId="0" applyNumberFormat="1" applyFont="1" applyBorder="1" applyAlignment="1">
      <alignment horizontal="center"/>
    </xf>
    <xf numFmtId="170" fontId="0" fillId="0" borderId="17" xfId="0" applyNumberFormat="1" applyBorder="1" applyAlignment="1">
      <alignment horizontal="center"/>
    </xf>
    <xf numFmtId="170" fontId="0" fillId="0" borderId="18" xfId="0" applyNumberFormat="1" applyBorder="1" applyAlignment="1">
      <alignment horizontal="center"/>
    </xf>
    <xf numFmtId="170" fontId="0" fillId="0" borderId="16" xfId="0" applyNumberFormat="1" applyFont="1" applyBorder="1" applyAlignment="1">
      <alignment horizontal="center"/>
    </xf>
    <xf numFmtId="10" fontId="0" fillId="0" borderId="16" xfId="0" applyNumberFormat="1" applyFont="1" applyBorder="1" applyAlignment="1">
      <alignment horizontal="center"/>
    </xf>
    <xf numFmtId="170" fontId="0" fillId="0" borderId="17" xfId="0" applyNumberFormat="1" applyFont="1" applyBorder="1" applyAlignment="1">
      <alignment horizontal="center"/>
    </xf>
    <xf numFmtId="170" fontId="0" fillId="0" borderId="18" xfId="0" applyNumberFormat="1" applyFont="1" applyBorder="1" applyAlignment="1">
      <alignment horizontal="center"/>
    </xf>
    <xf numFmtId="0" fontId="0" fillId="0" borderId="19" xfId="0" applyBorder="1"/>
    <xf numFmtId="0" fontId="0" fillId="0" borderId="20" xfId="0" applyBorder="1"/>
    <xf numFmtId="0" fontId="0" fillId="0" borderId="5" xfId="0" applyBorder="1"/>
    <xf numFmtId="0" fontId="0" fillId="0" borderId="0" xfId="0" applyBorder="1"/>
    <xf numFmtId="0" fontId="0" fillId="0" borderId="10" xfId="0" applyFill="1" applyBorder="1"/>
    <xf numFmtId="0" fontId="0" fillId="9" borderId="1" xfId="0" applyFill="1" applyBorder="1"/>
    <xf numFmtId="0" fontId="0" fillId="9" borderId="17" xfId="0" applyFill="1" applyBorder="1"/>
    <xf numFmtId="0" fontId="0" fillId="0" borderId="22" xfId="0" applyBorder="1"/>
    <xf numFmtId="170" fontId="0" fillId="0" borderId="21" xfId="0" applyNumberFormat="1" applyFont="1" applyBorder="1" applyAlignment="1">
      <alignment horizontal="center"/>
    </xf>
    <xf numFmtId="170" fontId="0" fillId="0" borderId="23" xfId="0" applyNumberFormat="1" applyFont="1" applyBorder="1" applyAlignment="1">
      <alignment horizontal="center"/>
    </xf>
    <xf numFmtId="0" fontId="0" fillId="9" borderId="14" xfId="0" applyFill="1" applyBorder="1"/>
    <xf numFmtId="0" fontId="2" fillId="0" borderId="11" xfId="0" applyFont="1" applyBorder="1"/>
    <xf numFmtId="0" fontId="2" fillId="0" borderId="12" xfId="0" applyFont="1" applyBorder="1" applyAlignment="1">
      <alignment horizontal="center"/>
    </xf>
    <xf numFmtId="170" fontId="2" fillId="0" borderId="12" xfId="0" applyNumberFormat="1" applyFont="1" applyBorder="1" applyAlignment="1">
      <alignment horizontal="center"/>
    </xf>
    <xf numFmtId="170" fontId="2" fillId="0" borderId="13" xfId="0" applyNumberFormat="1" applyFont="1" applyBorder="1" applyAlignment="1">
      <alignment horizontal="center"/>
    </xf>
    <xf numFmtId="170" fontId="0" fillId="0" borderId="0" xfId="0" applyNumberFormat="1" applyBorder="1" applyAlignment="1">
      <alignment horizontal="center"/>
    </xf>
    <xf numFmtId="170" fontId="0" fillId="0" borderId="25" xfId="0" applyNumberFormat="1" applyFont="1" applyBorder="1" applyAlignment="1">
      <alignment horizontal="center"/>
    </xf>
    <xf numFmtId="0" fontId="0" fillId="0" borderId="27" xfId="0" applyBorder="1"/>
    <xf numFmtId="0" fontId="0" fillId="0" borderId="30" xfId="0" applyBorder="1"/>
    <xf numFmtId="0" fontId="0" fillId="0" borderId="31" xfId="0" applyBorder="1" applyAlignment="1">
      <alignment vertical="center"/>
    </xf>
    <xf numFmtId="0" fontId="2" fillId="0" borderId="9" xfId="0" applyFont="1" applyBorder="1" applyAlignment="1">
      <alignment horizontal="center" wrapText="1"/>
    </xf>
    <xf numFmtId="0" fontId="2" fillId="0" borderId="0" xfId="0" applyFont="1" applyFill="1" applyAlignment="1">
      <alignment horizontal="center" vertical="center" wrapText="1"/>
    </xf>
    <xf numFmtId="4" fontId="0" fillId="7" borderId="1" xfId="0" applyNumberFormat="1" applyFill="1" applyBorder="1"/>
    <xf numFmtId="4" fontId="0" fillId="7" borderId="1" xfId="0" applyNumberFormat="1" applyFont="1" applyFill="1" applyBorder="1" applyAlignment="1">
      <alignment horizontal="center"/>
    </xf>
    <xf numFmtId="4" fontId="0" fillId="8" borderId="1" xfId="0" applyNumberFormat="1" applyFill="1" applyBorder="1"/>
    <xf numFmtId="4" fontId="1" fillId="7"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4" fillId="3" borderId="1" xfId="0" applyFont="1" applyFill="1" applyBorder="1" applyAlignment="1">
      <alignment horizontal="left" vertical="top"/>
    </xf>
    <xf numFmtId="4" fontId="0" fillId="10" borderId="1" xfId="0" applyNumberFormat="1" applyFill="1" applyBorder="1" applyAlignment="1">
      <alignment horizontal="center"/>
    </xf>
    <xf numFmtId="0" fontId="0" fillId="10" borderId="0" xfId="0" applyFill="1"/>
    <xf numFmtId="4" fontId="0" fillId="10" borderId="1" xfId="0" applyNumberFormat="1" applyFont="1" applyFill="1" applyBorder="1" applyAlignment="1">
      <alignment horizontal="center" vertical="center" wrapText="1"/>
    </xf>
    <xf numFmtId="0" fontId="2" fillId="0" borderId="37" xfId="0" applyFont="1" applyBorder="1"/>
    <xf numFmtId="0" fontId="2" fillId="0" borderId="24" xfId="0" applyFont="1" applyBorder="1" applyAlignment="1">
      <alignment horizontal="center"/>
    </xf>
    <xf numFmtId="170" fontId="2" fillId="0" borderId="24" xfId="0" applyNumberFormat="1" applyFont="1" applyBorder="1" applyAlignment="1">
      <alignment horizontal="center"/>
    </xf>
    <xf numFmtId="170" fontId="2" fillId="0" borderId="38" xfId="0" applyNumberFormat="1" applyFont="1" applyBorder="1" applyAlignment="1">
      <alignment horizontal="center"/>
    </xf>
    <xf numFmtId="170" fontId="2" fillId="0" borderId="17" xfId="0" applyNumberFormat="1" applyFont="1" applyBorder="1" applyAlignment="1">
      <alignment horizontal="center"/>
    </xf>
    <xf numFmtId="170" fontId="2" fillId="0" borderId="18" xfId="0" applyNumberFormat="1" applyFont="1" applyBorder="1" applyAlignment="1">
      <alignment horizontal="center"/>
    </xf>
    <xf numFmtId="4" fontId="0" fillId="0" borderId="0" xfId="0" applyNumberFormat="1"/>
    <xf numFmtId="171" fontId="0" fillId="0" borderId="0" xfId="0" applyNumberFormat="1"/>
    <xf numFmtId="0" fontId="6" fillId="0" borderId="0" xfId="0" applyFont="1" applyAlignment="1">
      <alignment horizontal="left"/>
    </xf>
    <xf numFmtId="0" fontId="4" fillId="3" borderId="3" xfId="0" applyFont="1" applyFill="1" applyBorder="1" applyAlignment="1">
      <alignment horizontal="center" vertical="center" textRotation="180"/>
    </xf>
    <xf numFmtId="3" fontId="0" fillId="5" borderId="40" xfId="0" applyNumberFormat="1" applyFill="1" applyBorder="1" applyAlignment="1">
      <alignment vertical="top"/>
    </xf>
    <xf numFmtId="0" fontId="5" fillId="0" borderId="39" xfId="0" applyFont="1" applyFill="1" applyBorder="1" applyAlignment="1">
      <alignment vertical="top"/>
    </xf>
    <xf numFmtId="0" fontId="5" fillId="0" borderId="0" xfId="0" applyFont="1" applyFill="1" applyAlignment="1">
      <alignment vertical="top"/>
    </xf>
    <xf numFmtId="0" fontId="0" fillId="0" borderId="39" xfId="0" applyFill="1" applyBorder="1"/>
    <xf numFmtId="4" fontId="7" fillId="5" borderId="6" xfId="0" applyNumberFormat="1" applyFont="1" applyFill="1" applyBorder="1" applyAlignment="1">
      <alignment horizontal="center" vertical="top"/>
    </xf>
    <xf numFmtId="0" fontId="3" fillId="0" borderId="1" xfId="0" applyFont="1" applyBorder="1" applyAlignment="1">
      <alignment horizontal="center"/>
    </xf>
    <xf numFmtId="0" fontId="3" fillId="3" borderId="1" xfId="0" applyFont="1" applyFill="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0" fillId="0" borderId="0" xfId="0" applyFont="1" applyAlignment="1">
      <alignment horizontal="left"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0" fillId="3" borderId="28" xfId="0" applyFill="1" applyBorder="1" applyAlignment="1">
      <alignment horizontal="left" vertical="center"/>
    </xf>
    <xf numFmtId="0" fontId="0" fillId="3" borderId="26" xfId="0" applyFill="1" applyBorder="1" applyAlignment="1">
      <alignment horizontal="left" vertical="center"/>
    </xf>
    <xf numFmtId="0" fontId="0" fillId="3" borderId="30" xfId="0" applyFill="1" applyBorder="1" applyAlignment="1">
      <alignment horizontal="left" vertical="center"/>
    </xf>
    <xf numFmtId="0" fontId="0" fillId="3" borderId="24" xfId="0" applyFill="1" applyBorder="1" applyAlignment="1">
      <alignment horizontal="left" vertical="center"/>
    </xf>
    <xf numFmtId="0" fontId="0" fillId="3" borderId="21" xfId="0" applyFill="1" applyBorder="1" applyAlignment="1">
      <alignment horizontal="left" vertical="center"/>
    </xf>
    <xf numFmtId="0" fontId="0" fillId="3" borderId="10" xfId="0" applyFill="1" applyBorder="1" applyAlignment="1">
      <alignment horizontal="left" vertical="center"/>
    </xf>
    <xf numFmtId="0" fontId="2" fillId="0" borderId="27" xfId="0" applyFont="1" applyBorder="1" applyAlignment="1">
      <alignment horizontal="center"/>
    </xf>
    <xf numFmtId="0" fontId="2" fillId="0" borderId="17" xfId="0" applyFont="1" applyBorder="1" applyAlignment="1">
      <alignment horizontal="center"/>
    </xf>
    <xf numFmtId="0" fontId="0" fillId="0" borderId="2"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2" fillId="0" borderId="5" xfId="0" applyFont="1" applyBorder="1" applyAlignment="1">
      <alignment horizontal="center"/>
    </xf>
    <xf numFmtId="0" fontId="2" fillId="0" borderId="1" xfId="0" applyFont="1" applyBorder="1" applyAlignment="1">
      <alignment horizont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0" fillId="3" borderId="22"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8" fillId="0" borderId="0" xfId="0" applyFont="1"/>
  </cellXfs>
  <cellStyles count="2">
    <cellStyle name="Comma" xfId="1" builtinId="3"/>
    <cellStyle name="Normal" xfId="0" builtinId="0"/>
  </cellStyles>
  <dxfs count="1">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ushby/Dropbox%20(Rushby%20Energy)/RESI/Projects/RESI%20014%20FHI/FHI%20LRAM/2021/Deliverable%201/C:\Users\Adam%20Umanski\Dropbox\FHI%20LRAM\3%20-%202018%20Submission\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1F8E-57CC-44FE-BC04-9318676F8064}">
  <dimension ref="A1:AE61"/>
  <sheetViews>
    <sheetView zoomScale="85" zoomScaleNormal="85" workbookViewId="0">
      <selection activeCell="K38" sqref="K38"/>
    </sheetView>
  </sheetViews>
  <sheetFormatPr baseColWidth="10" defaultColWidth="8.83203125" defaultRowHeight="15" x14ac:dyDescent="0.2"/>
  <cols>
    <col min="1" max="1" width="71.5" bestFit="1" customWidth="1"/>
    <col min="2" max="5" width="11.6640625" bestFit="1" customWidth="1"/>
    <col min="6" max="6" width="2.6640625" style="41" customWidth="1"/>
    <col min="7" max="8" width="11.6640625" customWidth="1"/>
    <col min="9" max="9" width="2.6640625" style="41" customWidth="1"/>
    <col min="10" max="19" width="11.6640625" bestFit="1" customWidth="1"/>
    <col min="20" max="20" width="2.6640625" customWidth="1"/>
    <col min="22" max="22" width="10.33203125" bestFit="1" customWidth="1"/>
    <col min="23" max="30" width="11.6640625" bestFit="1" customWidth="1"/>
  </cols>
  <sheetData>
    <row r="1" spans="1:31" x14ac:dyDescent="0.2">
      <c r="J1">
        <v>35</v>
      </c>
      <c r="K1">
        <f>J1+1</f>
        <v>36</v>
      </c>
      <c r="L1">
        <f t="shared" ref="L1:S1" si="0">K1+1</f>
        <v>37</v>
      </c>
      <c r="M1">
        <f t="shared" si="0"/>
        <v>38</v>
      </c>
      <c r="N1">
        <f t="shared" si="0"/>
        <v>39</v>
      </c>
      <c r="O1">
        <f t="shared" si="0"/>
        <v>40</v>
      </c>
      <c r="P1">
        <f t="shared" si="0"/>
        <v>41</v>
      </c>
      <c r="Q1">
        <f t="shared" si="0"/>
        <v>42</v>
      </c>
      <c r="R1">
        <f t="shared" si="0"/>
        <v>43</v>
      </c>
      <c r="S1">
        <f t="shared" si="0"/>
        <v>44</v>
      </c>
      <c r="U1">
        <v>1</v>
      </c>
      <c r="V1">
        <f>U1+1</f>
        <v>2</v>
      </c>
      <c r="W1">
        <f t="shared" ref="W1:AD1" si="1">V1+1</f>
        <v>3</v>
      </c>
      <c r="X1">
        <f t="shared" si="1"/>
        <v>4</v>
      </c>
      <c r="Y1">
        <f t="shared" si="1"/>
        <v>5</v>
      </c>
      <c r="Z1">
        <f t="shared" si="1"/>
        <v>6</v>
      </c>
      <c r="AA1">
        <f t="shared" si="1"/>
        <v>7</v>
      </c>
      <c r="AB1">
        <f t="shared" si="1"/>
        <v>8</v>
      </c>
      <c r="AC1">
        <f t="shared" si="1"/>
        <v>9</v>
      </c>
      <c r="AD1">
        <f t="shared" si="1"/>
        <v>10</v>
      </c>
    </row>
    <row r="2" spans="1:31" x14ac:dyDescent="0.2">
      <c r="B2" s="126" t="s">
        <v>73</v>
      </c>
      <c r="C2" s="126"/>
      <c r="D2" s="126"/>
      <c r="E2" s="126"/>
      <c r="F2" s="57"/>
      <c r="G2" s="126" t="s">
        <v>78</v>
      </c>
      <c r="H2" s="126"/>
      <c r="J2" s="125" t="s">
        <v>116</v>
      </c>
      <c r="K2" s="125"/>
      <c r="L2" s="125"/>
      <c r="M2" s="125"/>
      <c r="N2" s="125"/>
      <c r="O2" s="125"/>
      <c r="P2" s="125"/>
      <c r="Q2" s="125"/>
      <c r="R2" s="125"/>
      <c r="S2" s="125"/>
      <c r="U2" s="125" t="s">
        <v>118</v>
      </c>
      <c r="V2" s="125"/>
      <c r="W2" s="125"/>
      <c r="X2" s="125"/>
      <c r="Y2" s="125"/>
      <c r="Z2" s="125"/>
      <c r="AA2" s="125"/>
      <c r="AB2" s="125"/>
      <c r="AC2" s="125"/>
      <c r="AD2" s="125"/>
    </row>
    <row r="3" spans="1:31" ht="48" x14ac:dyDescent="0.2">
      <c r="A3" s="50" t="s">
        <v>113</v>
      </c>
      <c r="B3" s="46" t="s">
        <v>23</v>
      </c>
      <c r="C3" s="42">
        <v>2018</v>
      </c>
      <c r="D3" s="42">
        <v>2019</v>
      </c>
      <c r="E3" s="42">
        <v>2020</v>
      </c>
      <c r="F3" s="40"/>
      <c r="G3" s="42">
        <v>2018</v>
      </c>
      <c r="H3" s="42" t="s">
        <v>79</v>
      </c>
      <c r="J3" s="47">
        <v>2018</v>
      </c>
      <c r="K3" s="47">
        <v>2019</v>
      </c>
      <c r="L3" s="47">
        <v>2020</v>
      </c>
      <c r="M3" s="47">
        <v>2021</v>
      </c>
      <c r="N3" s="47">
        <v>2022</v>
      </c>
      <c r="O3" s="47">
        <v>2023</v>
      </c>
      <c r="P3" s="47">
        <v>2024</v>
      </c>
      <c r="Q3" s="47">
        <v>2025</v>
      </c>
      <c r="R3" s="47">
        <v>2026</v>
      </c>
      <c r="S3" s="47">
        <v>2027</v>
      </c>
      <c r="U3" s="47">
        <v>2018</v>
      </c>
      <c r="V3" s="47">
        <v>2019</v>
      </c>
      <c r="W3" s="47">
        <v>2020</v>
      </c>
      <c r="X3" s="47">
        <v>2021</v>
      </c>
      <c r="Y3" s="47">
        <v>2022</v>
      </c>
      <c r="Z3" s="47">
        <v>2023</v>
      </c>
      <c r="AA3" s="47">
        <v>2024</v>
      </c>
      <c r="AB3" s="47">
        <v>2025</v>
      </c>
      <c r="AC3" s="47">
        <v>2026</v>
      </c>
      <c r="AD3" s="47">
        <v>2027</v>
      </c>
    </row>
    <row r="4" spans="1:31" x14ac:dyDescent="0.2">
      <c r="A4" s="58" t="s">
        <v>81</v>
      </c>
      <c r="B4" s="55"/>
      <c r="C4" s="56"/>
      <c r="D4" s="56"/>
      <c r="E4" s="56"/>
      <c r="F4" s="40"/>
      <c r="G4" s="56"/>
      <c r="H4" s="56"/>
      <c r="J4" s="55"/>
      <c r="K4" s="55"/>
      <c r="L4" s="55"/>
      <c r="M4" s="55"/>
      <c r="N4" s="55"/>
      <c r="O4" s="55"/>
      <c r="P4" s="55"/>
      <c r="Q4" s="55"/>
      <c r="R4" s="55"/>
      <c r="S4" s="55"/>
      <c r="U4" s="55"/>
      <c r="V4" s="55"/>
      <c r="W4" s="55"/>
      <c r="X4" s="55"/>
      <c r="Y4" s="55"/>
      <c r="Z4" s="55"/>
      <c r="AA4" s="55"/>
      <c r="AB4" s="55"/>
      <c r="AC4" s="55"/>
      <c r="AD4" s="55"/>
    </row>
    <row r="5" spans="1:31" x14ac:dyDescent="0.2">
      <c r="A5" s="51" t="s">
        <v>60</v>
      </c>
      <c r="B5" s="46"/>
      <c r="C5" s="42"/>
      <c r="D5" s="42"/>
      <c r="E5" s="42"/>
      <c r="F5" s="40"/>
      <c r="G5" s="43">
        <v>0</v>
      </c>
      <c r="H5" s="43">
        <v>0</v>
      </c>
      <c r="J5" s="47"/>
      <c r="K5" s="47"/>
      <c r="L5" s="47"/>
      <c r="M5" s="47"/>
      <c r="N5" s="47"/>
      <c r="O5" s="47"/>
      <c r="P5" s="47"/>
      <c r="Q5" s="47"/>
      <c r="R5" s="47"/>
      <c r="S5" s="47"/>
      <c r="U5" s="51"/>
      <c r="V5" s="51"/>
      <c r="W5" s="51"/>
      <c r="X5" s="51"/>
      <c r="Y5" s="51"/>
      <c r="Z5" s="51"/>
      <c r="AA5" s="51"/>
      <c r="AB5" s="51"/>
      <c r="AC5" s="51"/>
      <c r="AD5" s="51"/>
    </row>
    <row r="6" spans="1:31" x14ac:dyDescent="0.2">
      <c r="A6" s="51" t="s">
        <v>63</v>
      </c>
      <c r="B6" s="46"/>
      <c r="C6" s="42"/>
      <c r="D6" s="42"/>
      <c r="E6" s="42"/>
      <c r="F6" s="40"/>
      <c r="G6" s="104">
        <v>179763.02381774993</v>
      </c>
      <c r="H6" s="43">
        <v>179763.02381774993</v>
      </c>
      <c r="J6" s="49">
        <v>179763.02381774993</v>
      </c>
      <c r="K6" s="101" t="e">
        <f>VLOOKUP($A6,#REF!, 'Persistence Summary Tables'!K$1, FALSE)*J6</f>
        <v>#REF!</v>
      </c>
      <c r="L6" s="101" t="e">
        <f>VLOOKUP($A6,#REF!, 'Persistence Summary Tables'!L$1, FALSE)*K6</f>
        <v>#REF!</v>
      </c>
      <c r="M6" s="101" t="e">
        <f>VLOOKUP($A6,#REF!, 'Persistence Summary Tables'!M$1, FALSE)*L6</f>
        <v>#REF!</v>
      </c>
      <c r="N6" s="101" t="e">
        <f>VLOOKUP($A6,#REF!, 'Persistence Summary Tables'!N$1, FALSE)*M6</f>
        <v>#REF!</v>
      </c>
      <c r="O6" s="101" t="e">
        <f>VLOOKUP($A6,#REF!, 'Persistence Summary Tables'!O$1, FALSE)*N6</f>
        <v>#REF!</v>
      </c>
      <c r="P6" s="101" t="e">
        <f>VLOOKUP($A6,#REF!, 'Persistence Summary Tables'!P$1, FALSE)*O6</f>
        <v>#REF!</v>
      </c>
      <c r="Q6" s="101" t="e">
        <f>VLOOKUP($A6,#REF!, 'Persistence Summary Tables'!Q$1, FALSE)*P6</f>
        <v>#REF!</v>
      </c>
      <c r="R6" s="101" t="e">
        <f>VLOOKUP($A6,#REF!, 'Persistence Summary Tables'!R$1, FALSE)*Q6</f>
        <v>#REF!</v>
      </c>
      <c r="S6" s="101" t="e">
        <f>VLOOKUP($A6,#REF!, 'Persistence Summary Tables'!S$1, FALSE)*R6</f>
        <v>#REF!</v>
      </c>
      <c r="U6" s="49"/>
      <c r="V6" s="51"/>
      <c r="W6" s="51"/>
      <c r="X6" s="51"/>
      <c r="Y6" s="51"/>
      <c r="Z6" s="51"/>
      <c r="AA6" s="51"/>
      <c r="AB6" s="51"/>
      <c r="AC6" s="51"/>
      <c r="AD6" s="51"/>
    </row>
    <row r="7" spans="1:31" x14ac:dyDescent="0.2">
      <c r="A7" s="51" t="s">
        <v>32</v>
      </c>
      <c r="B7" s="45" t="e">
        <f>SUMIFS(#REF!,#REF!,$A7,#REF!,"Y")</f>
        <v>#REF!</v>
      </c>
      <c r="C7" s="59" t="e">
        <f>SUMIFS(#REF!,#REF!,$A7,#REF!,"Y")</f>
        <v>#REF!</v>
      </c>
      <c r="D7" s="59" t="e">
        <f>SUMIFS(#REF!,#REF!,$A7,#REF!,"Y")</f>
        <v>#REF!</v>
      </c>
      <c r="E7" s="59" t="e">
        <f>SUMIFS(#REF!,#REF!,$A7,#REF!,"Y")</f>
        <v>#REF!</v>
      </c>
      <c r="F7" s="17"/>
      <c r="G7" s="44">
        <v>553.85771977901459</v>
      </c>
      <c r="H7" s="44">
        <v>483.65837329321221</v>
      </c>
      <c r="J7" s="48"/>
      <c r="K7" s="48"/>
      <c r="L7" s="48" t="e">
        <f>E7</f>
        <v>#REF!</v>
      </c>
      <c r="M7" s="101" t="e">
        <f>VLOOKUP($A7,#REF!, 'Persistence Summary Tables'!M$1, FALSE)*L7</f>
        <v>#REF!</v>
      </c>
      <c r="N7" s="101" t="e">
        <f>VLOOKUP($A7,#REF!, 'Persistence Summary Tables'!N$1, FALSE)*M7</f>
        <v>#REF!</v>
      </c>
      <c r="O7" s="101" t="e">
        <f>VLOOKUP($A7,#REF!, 'Persistence Summary Tables'!O$1, FALSE)*N7</f>
        <v>#REF!</v>
      </c>
      <c r="P7" s="101" t="e">
        <f>VLOOKUP($A7,#REF!, 'Persistence Summary Tables'!P$1, FALSE)*O7</f>
        <v>#REF!</v>
      </c>
      <c r="Q7" s="101" t="e">
        <f>VLOOKUP($A7,#REF!, 'Persistence Summary Tables'!Q$1, FALSE)*P7</f>
        <v>#REF!</v>
      </c>
      <c r="R7" s="101" t="e">
        <f>VLOOKUP($A7,#REF!, 'Persistence Summary Tables'!R$1, FALSE)*Q7</f>
        <v>#REF!</v>
      </c>
      <c r="S7" s="101" t="e">
        <f>VLOOKUP($A7,#REF!, 'Persistence Summary Tables'!S$1, FALSE)*R7</f>
        <v>#REF!</v>
      </c>
      <c r="U7" s="48"/>
      <c r="V7" s="48"/>
      <c r="W7" s="48"/>
      <c r="X7" s="48"/>
      <c r="Y7" s="48"/>
      <c r="Z7" s="48"/>
      <c r="AA7" s="48"/>
      <c r="AB7" s="48"/>
      <c r="AC7" s="51"/>
      <c r="AD7" s="51"/>
    </row>
    <row r="8" spans="1:31" s="41" customFormat="1" x14ac:dyDescent="0.2">
      <c r="A8" s="52" t="s">
        <v>62</v>
      </c>
      <c r="B8" s="45"/>
      <c r="C8" s="45"/>
      <c r="D8" s="45"/>
      <c r="E8" s="45"/>
      <c r="F8" s="17"/>
      <c r="G8" s="102">
        <v>616431.40082519443</v>
      </c>
      <c r="H8" s="102">
        <v>611363.94006667612</v>
      </c>
      <c r="J8" s="49">
        <f>G8</f>
        <v>616431.40082519443</v>
      </c>
      <c r="K8" s="49"/>
      <c r="L8" s="49">
        <f>H8</f>
        <v>611363.94006667612</v>
      </c>
      <c r="M8" s="101" t="e">
        <f>VLOOKUP($A8,#REF!, 'Persistence Summary Tables'!M$1, FALSE)*L8</f>
        <v>#REF!</v>
      </c>
      <c r="N8" s="101" t="e">
        <f>VLOOKUP($A8,#REF!, 'Persistence Summary Tables'!N$1, FALSE)*M8</f>
        <v>#REF!</v>
      </c>
      <c r="O8" s="101" t="e">
        <f>VLOOKUP($A8,#REF!, 'Persistence Summary Tables'!O$1, FALSE)*N8</f>
        <v>#REF!</v>
      </c>
      <c r="P8" s="101" t="e">
        <f>VLOOKUP($A8,#REF!, 'Persistence Summary Tables'!P$1, FALSE)*O8</f>
        <v>#REF!</v>
      </c>
      <c r="Q8" s="101" t="e">
        <f>VLOOKUP($A8,#REF!, 'Persistence Summary Tables'!Q$1, FALSE)*P8</f>
        <v>#REF!</v>
      </c>
      <c r="R8" s="101" t="e">
        <f>VLOOKUP($A8,#REF!, 'Persistence Summary Tables'!R$1, FALSE)*Q8</f>
        <v>#REF!</v>
      </c>
      <c r="S8" s="101" t="e">
        <f>VLOOKUP($A8,#REF!, 'Persistence Summary Tables'!S$1, FALSE)*R8</f>
        <v>#REF!</v>
      </c>
      <c r="U8" s="48"/>
      <c r="V8" s="48"/>
      <c r="W8" s="48"/>
      <c r="X8" s="48"/>
      <c r="Y8" s="48"/>
      <c r="Z8" s="48"/>
      <c r="AA8" s="48"/>
      <c r="AB8" s="48"/>
      <c r="AC8" s="48"/>
      <c r="AD8" s="52"/>
    </row>
    <row r="9" spans="1:31" x14ac:dyDescent="0.2">
      <c r="A9" s="51" t="s">
        <v>46</v>
      </c>
      <c r="B9" s="45" t="e">
        <f>SUMIFS(#REF!,#REF!,$A9,#REF!,"Y")</f>
        <v>#REF!</v>
      </c>
      <c r="C9" s="59" t="e">
        <f>SUMIFS(#REF!,#REF!,$A9,#REF!,"Y")</f>
        <v>#REF!</v>
      </c>
      <c r="D9" s="59" t="e">
        <f>SUMIFS(#REF!,#REF!,$A9,#REF!,"Y")</f>
        <v>#REF!</v>
      </c>
      <c r="E9" s="59" t="e">
        <f>SUMIFS(#REF!,#REF!,$A9,#REF!,"Y")</f>
        <v>#REF!</v>
      </c>
      <c r="F9" s="17"/>
      <c r="G9" s="44">
        <v>7280.7765954778051</v>
      </c>
      <c r="H9" s="44">
        <v>7280.7765954778051</v>
      </c>
      <c r="J9" s="48"/>
      <c r="K9" s="48"/>
      <c r="L9" s="48" t="e">
        <f>E9</f>
        <v>#REF!</v>
      </c>
      <c r="M9" s="101" t="e">
        <f>VLOOKUP($A9,#REF!, 'Persistence Summary Tables'!M$1, FALSE)*L9</f>
        <v>#REF!</v>
      </c>
      <c r="N9" s="101" t="e">
        <f>VLOOKUP($A9,#REF!, 'Persistence Summary Tables'!N$1, FALSE)*M9</f>
        <v>#REF!</v>
      </c>
      <c r="O9" s="101" t="e">
        <f>VLOOKUP($A9,#REF!, 'Persistence Summary Tables'!O$1, FALSE)*N9</f>
        <v>#REF!</v>
      </c>
      <c r="P9" s="101" t="e">
        <f>VLOOKUP($A9,#REF!, 'Persistence Summary Tables'!P$1, FALSE)*O9</f>
        <v>#REF!</v>
      </c>
      <c r="Q9" s="101" t="e">
        <f>VLOOKUP($A9,#REF!, 'Persistence Summary Tables'!Q$1, FALSE)*P9</f>
        <v>#REF!</v>
      </c>
      <c r="R9" s="101" t="e">
        <f>VLOOKUP($A9,#REF!, 'Persistence Summary Tables'!R$1, FALSE)*Q9</f>
        <v>#REF!</v>
      </c>
      <c r="S9" s="101" t="e">
        <f>VLOOKUP($A9,#REF!, 'Persistence Summary Tables'!S$1, FALSE)*R9</f>
        <v>#REF!</v>
      </c>
      <c r="U9" s="48"/>
      <c r="V9" s="48"/>
      <c r="W9" s="48"/>
      <c r="X9" s="48"/>
      <c r="Y9" s="48"/>
      <c r="Z9" s="48"/>
      <c r="AA9" s="48"/>
      <c r="AB9" s="48"/>
      <c r="AC9" s="48"/>
      <c r="AD9" s="51"/>
    </row>
    <row r="10" spans="1:31" s="41" customFormat="1" x14ac:dyDescent="0.2">
      <c r="A10" s="52" t="s">
        <v>74</v>
      </c>
      <c r="B10" s="45" t="e">
        <f>SUMIFS(#REF!,#REF!,$A10,#REF!,"Y")</f>
        <v>#REF!</v>
      </c>
      <c r="C10" s="45" t="e">
        <f>SUMIFS(#REF!,#REF!,$A10,#REF!,"Y")</f>
        <v>#REF!</v>
      </c>
      <c r="D10" s="45" t="e">
        <f>SUMIFS(#REF!,#REF!,$A10,#REF!,"Y")</f>
        <v>#REF!</v>
      </c>
      <c r="E10" s="45" t="e">
        <f>SUMIFS(#REF!,#REF!,$A10,#REF!,"Y")</f>
        <v>#REF!</v>
      </c>
      <c r="F10" s="17"/>
      <c r="G10" s="102">
        <v>19504.999999999996</v>
      </c>
      <c r="H10" s="44">
        <v>19504.999999999996</v>
      </c>
      <c r="J10" s="49"/>
      <c r="K10" s="49"/>
      <c r="L10" s="49"/>
      <c r="M10" s="103" t="e">
        <f>SUMIFS(#REF!,#REF!, 'Persistence Summary Tables'!$A10,#REF!, "Y")</f>
        <v>#REF!</v>
      </c>
      <c r="N10" s="103" t="e">
        <f>SUMIFS(#REF!,#REF!, 'Persistence Summary Tables'!$A10,#REF!, "Y")</f>
        <v>#REF!</v>
      </c>
      <c r="O10" s="103" t="e">
        <f>SUMIFS(#REF!,#REF!, 'Persistence Summary Tables'!$A10,#REF!, "Y")</f>
        <v>#REF!</v>
      </c>
      <c r="P10" s="103" t="e">
        <f>SUMIFS(#REF!,#REF!, 'Persistence Summary Tables'!$A10,#REF!, "Y")</f>
        <v>#REF!</v>
      </c>
      <c r="Q10" s="103" t="e">
        <f>SUMIFS(#REF!,#REF!, 'Persistence Summary Tables'!$A10,#REF!, "Y")</f>
        <v>#REF!</v>
      </c>
      <c r="R10" s="103" t="e">
        <f>SUMIFS(#REF!,#REF!, 'Persistence Summary Tables'!$A10,#REF!, "Y")</f>
        <v>#REF!</v>
      </c>
      <c r="S10" s="103" t="e">
        <f>SUMIFS(#REF!,#REF!, 'Persistence Summary Tables'!$A10,#REF!, "Y")</f>
        <v>#REF!</v>
      </c>
      <c r="U10" s="48">
        <f>G10</f>
        <v>19504.999999999996</v>
      </c>
      <c r="V10" s="101">
        <f>U10</f>
        <v>19504.999999999996</v>
      </c>
      <c r="W10" s="101">
        <f t="shared" ref="W10:AD10" si="2">V10</f>
        <v>19504.999999999996</v>
      </c>
      <c r="X10" s="101">
        <f t="shared" si="2"/>
        <v>19504.999999999996</v>
      </c>
      <c r="Y10" s="101">
        <f t="shared" si="2"/>
        <v>19504.999999999996</v>
      </c>
      <c r="Z10" s="101">
        <f t="shared" si="2"/>
        <v>19504.999999999996</v>
      </c>
      <c r="AA10" s="101">
        <f t="shared" si="2"/>
        <v>19504.999999999996</v>
      </c>
      <c r="AB10" s="101">
        <f t="shared" si="2"/>
        <v>19504.999999999996</v>
      </c>
      <c r="AC10" s="101">
        <f t="shared" si="2"/>
        <v>19504.999999999996</v>
      </c>
      <c r="AD10" s="101">
        <f t="shared" si="2"/>
        <v>19504.999999999996</v>
      </c>
      <c r="AE10" s="41" t="s">
        <v>120</v>
      </c>
    </row>
    <row r="11" spans="1:31" s="41" customFormat="1" hidden="1" x14ac:dyDescent="0.2">
      <c r="A11" s="52" t="s">
        <v>75</v>
      </c>
      <c r="B11" s="45"/>
      <c r="C11" s="45"/>
      <c r="D11" s="45"/>
      <c r="E11" s="45"/>
      <c r="F11" s="17"/>
      <c r="G11" s="44">
        <v>0</v>
      </c>
      <c r="H11" s="44">
        <v>0</v>
      </c>
      <c r="J11" s="49"/>
      <c r="K11" s="49"/>
      <c r="L11" s="49"/>
      <c r="M11" s="49"/>
      <c r="N11" s="49"/>
      <c r="O11" s="49"/>
      <c r="P11" s="49"/>
      <c r="Q11" s="49"/>
      <c r="R11" s="49"/>
      <c r="S11" s="49"/>
      <c r="U11" s="52"/>
      <c r="V11" s="52"/>
      <c r="W11" s="52"/>
      <c r="X11" s="52"/>
      <c r="Y11" s="52"/>
      <c r="Z11" s="52"/>
      <c r="AA11" s="52"/>
      <c r="AB11" s="52"/>
      <c r="AC11" s="52"/>
      <c r="AD11" s="52"/>
    </row>
    <row r="12" spans="1:31" s="41" customFormat="1" x14ac:dyDescent="0.2">
      <c r="A12" s="58" t="s">
        <v>82</v>
      </c>
      <c r="B12" s="53"/>
      <c r="C12" s="53"/>
      <c r="D12" s="53"/>
      <c r="E12" s="53"/>
      <c r="F12" s="17"/>
      <c r="G12" s="53"/>
      <c r="H12" s="53"/>
      <c r="J12" s="54"/>
      <c r="K12" s="54"/>
      <c r="L12" s="54"/>
      <c r="M12" s="54"/>
      <c r="N12" s="54"/>
      <c r="O12" s="54"/>
      <c r="P12" s="54"/>
      <c r="Q12" s="54"/>
      <c r="R12" s="54"/>
      <c r="S12" s="54"/>
      <c r="U12" s="55"/>
      <c r="V12" s="55"/>
      <c r="W12" s="55"/>
      <c r="X12" s="55"/>
      <c r="Y12" s="55"/>
      <c r="Z12" s="55"/>
      <c r="AA12" s="55"/>
      <c r="AB12" s="55"/>
      <c r="AC12" s="55"/>
      <c r="AD12" s="55"/>
    </row>
    <row r="13" spans="1:31" s="41" customFormat="1" x14ac:dyDescent="0.2">
      <c r="A13" s="51" t="s">
        <v>64</v>
      </c>
      <c r="B13" s="45"/>
      <c r="C13" s="45"/>
      <c r="D13" s="45"/>
      <c r="E13" s="45"/>
      <c r="F13" s="17"/>
      <c r="G13" s="45">
        <v>0</v>
      </c>
      <c r="H13" s="45">
        <v>0</v>
      </c>
      <c r="J13" s="49"/>
      <c r="K13" s="49"/>
      <c r="L13" s="49"/>
      <c r="M13" s="49"/>
      <c r="N13" s="49"/>
      <c r="O13" s="49"/>
      <c r="P13" s="49"/>
      <c r="Q13" s="49"/>
      <c r="R13" s="49"/>
      <c r="S13" s="49"/>
      <c r="U13" s="52"/>
      <c r="V13" s="52"/>
      <c r="W13" s="52"/>
      <c r="X13" s="52"/>
      <c r="Y13" s="52"/>
      <c r="Z13" s="52"/>
      <c r="AA13" s="52"/>
      <c r="AB13" s="52"/>
      <c r="AC13" s="52"/>
      <c r="AD13" s="52"/>
    </row>
    <row r="14" spans="1:31" x14ac:dyDescent="0.2">
      <c r="A14" s="51" t="s">
        <v>38</v>
      </c>
      <c r="B14" s="45" t="e">
        <f>SUMIFS(#REF!,#REF!,$A14,#REF!,"Y")</f>
        <v>#REF!</v>
      </c>
      <c r="C14" s="59" t="e">
        <f>SUMIFS(#REF!,#REF!,$A14,#REF!,"Y")</f>
        <v>#REF!</v>
      </c>
      <c r="D14" s="59" t="e">
        <f>SUMIFS(#REF!,#REF!,$A14,#REF!,"Y")</f>
        <v>#REF!</v>
      </c>
      <c r="E14" s="59" t="e">
        <f>SUMIFS(#REF!,#REF!,$A14,#REF!,"Y")</f>
        <v>#REF!</v>
      </c>
      <c r="F14" s="17"/>
      <c r="G14" s="45">
        <v>1017840.0968858434</v>
      </c>
      <c r="H14" s="45">
        <v>1012806.7716107661</v>
      </c>
      <c r="J14" s="48"/>
      <c r="K14" s="48"/>
      <c r="L14" s="48" t="e">
        <f>E14</f>
        <v>#REF!</v>
      </c>
      <c r="M14" s="101" t="e">
        <f>VLOOKUP($A14,#REF!, 'Persistence Summary Tables'!M$1, FALSE)*L14</f>
        <v>#REF!</v>
      </c>
      <c r="N14" s="101" t="e">
        <f>VLOOKUP($A14,#REF!, 'Persistence Summary Tables'!N$1, FALSE)*M14</f>
        <v>#REF!</v>
      </c>
      <c r="O14" s="101" t="e">
        <f>VLOOKUP($A14,#REF!, 'Persistence Summary Tables'!O$1, FALSE)*N14</f>
        <v>#REF!</v>
      </c>
      <c r="P14" s="101" t="e">
        <f>VLOOKUP($A14,#REF!, 'Persistence Summary Tables'!P$1, FALSE)*O14</f>
        <v>#REF!</v>
      </c>
      <c r="Q14" s="101" t="e">
        <f>VLOOKUP($A14,#REF!, 'Persistence Summary Tables'!Q$1, FALSE)*P14</f>
        <v>#REF!</v>
      </c>
      <c r="R14" s="101" t="e">
        <f>VLOOKUP($A14,#REF!, 'Persistence Summary Tables'!R$1, FALSE)*Q14</f>
        <v>#REF!</v>
      </c>
      <c r="S14" s="101" t="e">
        <f>VLOOKUP($A14,#REF!, 'Persistence Summary Tables'!S$1, FALSE)*R14</f>
        <v>#REF!</v>
      </c>
      <c r="U14" s="48"/>
      <c r="V14" s="48"/>
      <c r="W14" s="48"/>
      <c r="X14" s="48"/>
      <c r="Y14" s="48"/>
      <c r="Z14" s="48"/>
      <c r="AA14" s="48"/>
      <c r="AB14" s="51"/>
      <c r="AC14" s="51"/>
      <c r="AD14" s="51"/>
    </row>
    <row r="15" spans="1:31" s="41" customFormat="1" hidden="1" x14ac:dyDescent="0.2">
      <c r="A15" s="52" t="s">
        <v>68</v>
      </c>
      <c r="B15" s="45"/>
      <c r="C15" s="59"/>
      <c r="D15" s="59"/>
      <c r="E15" s="59"/>
      <c r="F15" s="17"/>
      <c r="G15" s="45">
        <v>0</v>
      </c>
      <c r="H15" s="45">
        <v>0</v>
      </c>
      <c r="J15" s="49"/>
      <c r="K15" s="49"/>
      <c r="L15" s="48">
        <f t="shared" ref="L15:L23" si="3">E15</f>
        <v>0</v>
      </c>
      <c r="M15" s="101" t="e">
        <f>VLOOKUP($A15,#REF!, 'Persistence Summary Tables'!M$1, FALSE)*L15</f>
        <v>#REF!</v>
      </c>
      <c r="N15" s="101" t="e">
        <f>VLOOKUP($A15,#REF!, 'Persistence Summary Tables'!N$1, FALSE)*M15</f>
        <v>#REF!</v>
      </c>
      <c r="O15" s="101" t="e">
        <f>VLOOKUP($A15,#REF!, 'Persistence Summary Tables'!O$1, FALSE)*N15</f>
        <v>#REF!</v>
      </c>
      <c r="P15" s="101" t="e">
        <f>VLOOKUP($A15,#REF!, 'Persistence Summary Tables'!P$1, FALSE)*O15</f>
        <v>#REF!</v>
      </c>
      <c r="Q15" s="101" t="e">
        <f>VLOOKUP($A15,#REF!, 'Persistence Summary Tables'!Q$1, FALSE)*P15</f>
        <v>#REF!</v>
      </c>
      <c r="R15" s="101" t="e">
        <f>VLOOKUP($A15,#REF!, 'Persistence Summary Tables'!R$1, FALSE)*Q15</f>
        <v>#REF!</v>
      </c>
      <c r="S15" s="101" t="e">
        <f>VLOOKUP($A15,#REF!, 'Persistence Summary Tables'!S$1, FALSE)*R15</f>
        <v>#REF!</v>
      </c>
      <c r="U15" s="48"/>
      <c r="V15" s="48"/>
      <c r="W15" s="48"/>
      <c r="X15" s="48"/>
      <c r="Y15" s="48"/>
      <c r="Z15" s="48"/>
      <c r="AA15" s="48"/>
      <c r="AB15" s="52"/>
      <c r="AC15" s="52"/>
      <c r="AD15" s="52"/>
    </row>
    <row r="16" spans="1:31" s="41" customFormat="1" hidden="1" x14ac:dyDescent="0.2">
      <c r="A16" s="52" t="s">
        <v>76</v>
      </c>
      <c r="B16" s="45"/>
      <c r="C16" s="59"/>
      <c r="D16" s="59"/>
      <c r="E16" s="59"/>
      <c r="F16" s="17"/>
      <c r="G16" s="45">
        <v>0</v>
      </c>
      <c r="H16" s="45">
        <v>0</v>
      </c>
      <c r="J16" s="49"/>
      <c r="K16" s="49"/>
      <c r="L16" s="48">
        <f t="shared" si="3"/>
        <v>0</v>
      </c>
      <c r="M16" s="101" t="e">
        <f>VLOOKUP($A16,#REF!, 'Persistence Summary Tables'!M$1, FALSE)*L16</f>
        <v>#REF!</v>
      </c>
      <c r="N16" s="101" t="e">
        <f>VLOOKUP($A16,#REF!, 'Persistence Summary Tables'!N$1, FALSE)*M16</f>
        <v>#REF!</v>
      </c>
      <c r="O16" s="101" t="e">
        <f>VLOOKUP($A16,#REF!, 'Persistence Summary Tables'!O$1, FALSE)*N16</f>
        <v>#REF!</v>
      </c>
      <c r="P16" s="101" t="e">
        <f>VLOOKUP($A16,#REF!, 'Persistence Summary Tables'!P$1, FALSE)*O16</f>
        <v>#REF!</v>
      </c>
      <c r="Q16" s="101" t="e">
        <f>VLOOKUP($A16,#REF!, 'Persistence Summary Tables'!Q$1, FALSE)*P16</f>
        <v>#REF!</v>
      </c>
      <c r="R16" s="101" t="e">
        <f>VLOOKUP($A16,#REF!, 'Persistence Summary Tables'!R$1, FALSE)*Q16</f>
        <v>#REF!</v>
      </c>
      <c r="S16" s="101" t="e">
        <f>VLOOKUP($A16,#REF!, 'Persistence Summary Tables'!S$1, FALSE)*R16</f>
        <v>#REF!</v>
      </c>
      <c r="U16" s="48"/>
      <c r="V16" s="48"/>
      <c r="W16" s="48"/>
      <c r="X16" s="48"/>
      <c r="Y16" s="48"/>
      <c r="Z16" s="48"/>
      <c r="AA16" s="48"/>
      <c r="AB16" s="52"/>
      <c r="AC16" s="52"/>
      <c r="AD16" s="52"/>
    </row>
    <row r="17" spans="1:31" x14ac:dyDescent="0.2">
      <c r="A17" s="51" t="s">
        <v>42</v>
      </c>
      <c r="B17" s="45" t="e">
        <f>SUMIFS(#REF!,#REF!,$A17,#REF!,"Y")</f>
        <v>#REF!</v>
      </c>
      <c r="C17" s="59" t="e">
        <f>SUMIFS(#REF!,#REF!,$A17,#REF!,"Y")</f>
        <v>#REF!</v>
      </c>
      <c r="D17" s="59" t="e">
        <f>SUMIFS(#REF!,#REF!,$A17,#REF!,"Y")</f>
        <v>#REF!</v>
      </c>
      <c r="E17" s="59" t="e">
        <f>SUMIFS(#REF!,#REF!,$A17,#REF!,"Y")</f>
        <v>#REF!</v>
      </c>
      <c r="F17" s="17"/>
      <c r="G17" s="45">
        <v>90070.989867644428</v>
      </c>
      <c r="H17" s="45">
        <v>57914.604256920895</v>
      </c>
      <c r="J17" s="48"/>
      <c r="K17" s="48"/>
      <c r="L17" s="48" t="e">
        <f t="shared" si="3"/>
        <v>#REF!</v>
      </c>
      <c r="M17" s="101" t="e">
        <f>VLOOKUP($A17,#REF!, 'Persistence Summary Tables'!M$1, FALSE)*L17</f>
        <v>#REF!</v>
      </c>
      <c r="N17" s="101" t="e">
        <f>VLOOKUP($A17,#REF!, 'Persistence Summary Tables'!N$1, FALSE)*M17</f>
        <v>#REF!</v>
      </c>
      <c r="O17" s="101" t="e">
        <f>VLOOKUP($A17,#REF!, 'Persistence Summary Tables'!O$1, FALSE)*N17</f>
        <v>#REF!</v>
      </c>
      <c r="P17" s="101" t="e">
        <f>VLOOKUP($A17,#REF!, 'Persistence Summary Tables'!P$1, FALSE)*O17</f>
        <v>#REF!</v>
      </c>
      <c r="Q17" s="101" t="e">
        <f>VLOOKUP($A17,#REF!, 'Persistence Summary Tables'!Q$1, FALSE)*P17</f>
        <v>#REF!</v>
      </c>
      <c r="R17" s="101" t="e">
        <f>VLOOKUP($A17,#REF!, 'Persistence Summary Tables'!R$1, FALSE)*Q17</f>
        <v>#REF!</v>
      </c>
      <c r="S17" s="101" t="e">
        <f>VLOOKUP($A17,#REF!, 'Persistence Summary Tables'!S$1, FALSE)*R17</f>
        <v>#REF!</v>
      </c>
      <c r="U17" s="48"/>
      <c r="V17" s="48"/>
      <c r="W17" s="48"/>
      <c r="X17" s="48"/>
      <c r="Y17" s="48"/>
      <c r="Z17" s="48"/>
      <c r="AA17" s="48"/>
      <c r="AB17" s="51"/>
      <c r="AC17" s="51"/>
      <c r="AD17" s="51"/>
    </row>
    <row r="18" spans="1:31" x14ac:dyDescent="0.2">
      <c r="A18" s="51" t="s">
        <v>45</v>
      </c>
      <c r="B18" s="45" t="e">
        <f>SUMIFS(#REF!,#REF!,$A18,#REF!,"Y")</f>
        <v>#REF!</v>
      </c>
      <c r="C18" s="59" t="e">
        <f>SUMIFS(#REF!,#REF!,$A18,#REF!,"Y")</f>
        <v>#REF!</v>
      </c>
      <c r="D18" s="59" t="e">
        <f>SUMIFS(#REF!,#REF!,$A18,#REF!,"Y")</f>
        <v>#REF!</v>
      </c>
      <c r="E18" s="59" t="e">
        <f>SUMIFS(#REF!,#REF!,$A18,#REF!,"Y")</f>
        <v>#REF!</v>
      </c>
      <c r="F18" s="17"/>
      <c r="G18" s="45">
        <v>143163.5324999998</v>
      </c>
      <c r="H18" s="45">
        <v>143163.5324999998</v>
      </c>
      <c r="J18" s="48"/>
      <c r="K18" s="48"/>
      <c r="L18" s="48" t="e">
        <f t="shared" si="3"/>
        <v>#REF!</v>
      </c>
      <c r="M18" s="103" t="e">
        <f>INDEX(#REF!, MATCH('Persistence Summary Tables'!$A18,#REF!, 0), MATCH('Persistence Summary Tables'!M$3,#REF!, 0))*L18</f>
        <v>#REF!</v>
      </c>
      <c r="N18" s="103" t="e">
        <f>INDEX(#REF!, MATCH('Persistence Summary Tables'!$A18,#REF!, 0), MATCH('Persistence Summary Tables'!N$3,#REF!, 0))*M18</f>
        <v>#REF!</v>
      </c>
      <c r="O18" s="103" t="e">
        <f>INDEX(#REF!, MATCH('Persistence Summary Tables'!$A18,#REF!, 0), MATCH('Persistence Summary Tables'!O$3,#REF!, 0))*N18</f>
        <v>#REF!</v>
      </c>
      <c r="P18" s="103" t="e">
        <f>INDEX(#REF!, MATCH('Persistence Summary Tables'!$A18,#REF!, 0), MATCH('Persistence Summary Tables'!P$3,#REF!, 0))*O18</f>
        <v>#REF!</v>
      </c>
      <c r="Q18" s="103" t="e">
        <f>INDEX(#REF!, MATCH('Persistence Summary Tables'!$A18,#REF!, 0), MATCH('Persistence Summary Tables'!Q$3,#REF!, 0))*P18</f>
        <v>#REF!</v>
      </c>
      <c r="R18" s="103" t="e">
        <f>INDEX(#REF!, MATCH('Persistence Summary Tables'!$A18,#REF!, 0), MATCH('Persistence Summary Tables'!R$3,#REF!, 0))*Q18</f>
        <v>#REF!</v>
      </c>
      <c r="S18" s="103" t="e">
        <f>INDEX(#REF!, MATCH('Persistence Summary Tables'!$A18,#REF!, 0), MATCH('Persistence Summary Tables'!S$3,#REF!, 0))*R18</f>
        <v>#REF!</v>
      </c>
      <c r="U18" s="48"/>
      <c r="V18" s="49"/>
      <c r="W18" s="49"/>
      <c r="X18" s="101" t="e">
        <f>SUMIFS(#REF!,#REF!, 'Persistence Summary Tables'!$A18,#REF!, CONCATENATE( "&gt;=", 'Persistence Summary Tables'!X$1))</f>
        <v>#REF!</v>
      </c>
      <c r="Y18" s="101" t="e">
        <f>SUMIFS(#REF!,#REF!, 'Persistence Summary Tables'!$A18,#REF!, CONCATENATE( "&gt;=", 'Persistence Summary Tables'!Y$1))</f>
        <v>#REF!</v>
      </c>
      <c r="Z18" s="101" t="e">
        <f>SUMIFS(#REF!,#REF!, 'Persistence Summary Tables'!$A18,#REF!, CONCATENATE( "&gt;=", 'Persistence Summary Tables'!Z$1))</f>
        <v>#REF!</v>
      </c>
      <c r="AA18" s="101" t="e">
        <f>SUMIFS(#REF!,#REF!, 'Persistence Summary Tables'!$A18,#REF!, CONCATENATE( "&gt;=", 'Persistence Summary Tables'!AA$1))</f>
        <v>#REF!</v>
      </c>
      <c r="AB18" s="101" t="e">
        <f>SUMIFS(#REF!,#REF!, 'Persistence Summary Tables'!$A18,#REF!, CONCATENATE( "&gt;=", 'Persistence Summary Tables'!AB$1))</f>
        <v>#REF!</v>
      </c>
      <c r="AC18" s="101" t="e">
        <f>SUMIFS(#REF!,#REF!, 'Persistence Summary Tables'!$A18,#REF!, CONCATENATE( "&gt;=", 'Persistence Summary Tables'!AC$1))</f>
        <v>#REF!</v>
      </c>
      <c r="AD18" s="101" t="e">
        <f>SUMIFS(#REF!,#REF!, 'Persistence Summary Tables'!$A18,#REF!, CONCATENATE( "&gt;=", 'Persistence Summary Tables'!AD$1))</f>
        <v>#REF!</v>
      </c>
    </row>
    <row r="19" spans="1:31" s="41" customFormat="1" hidden="1" x14ac:dyDescent="0.2">
      <c r="A19" s="52" t="s">
        <v>77</v>
      </c>
      <c r="B19" s="45"/>
      <c r="C19" s="59"/>
      <c r="D19" s="59"/>
      <c r="E19" s="59"/>
      <c r="F19" s="17"/>
      <c r="G19" s="45">
        <v>0</v>
      </c>
      <c r="H19" s="45">
        <v>0</v>
      </c>
      <c r="J19" s="49"/>
      <c r="K19" s="49"/>
      <c r="L19" s="48">
        <f t="shared" si="3"/>
        <v>0</v>
      </c>
      <c r="M19" s="49"/>
      <c r="N19" s="49"/>
      <c r="O19" s="49"/>
      <c r="P19" s="49"/>
      <c r="Q19" s="49"/>
      <c r="R19" s="49"/>
      <c r="S19" s="49"/>
      <c r="U19" s="48"/>
      <c r="V19" s="48"/>
      <c r="W19" s="48"/>
      <c r="X19" s="48"/>
      <c r="Y19" s="48"/>
      <c r="Z19" s="48"/>
      <c r="AA19" s="48"/>
      <c r="AB19" s="52"/>
      <c r="AC19" s="52"/>
      <c r="AD19" s="52"/>
    </row>
    <row r="20" spans="1:31" s="41" customFormat="1" hidden="1" x14ac:dyDescent="0.2">
      <c r="A20" s="52" t="s">
        <v>65</v>
      </c>
      <c r="B20" s="45"/>
      <c r="C20" s="59"/>
      <c r="D20" s="59"/>
      <c r="E20" s="59"/>
      <c r="F20" s="17"/>
      <c r="G20" s="45">
        <v>0</v>
      </c>
      <c r="H20" s="45">
        <v>0</v>
      </c>
      <c r="J20" s="49"/>
      <c r="K20" s="49"/>
      <c r="L20" s="48">
        <f t="shared" si="3"/>
        <v>0</v>
      </c>
      <c r="M20" s="49"/>
      <c r="N20" s="49"/>
      <c r="O20" s="49"/>
      <c r="P20" s="49"/>
      <c r="Q20" s="49"/>
      <c r="R20" s="49"/>
      <c r="S20" s="49"/>
      <c r="U20" s="48"/>
      <c r="V20" s="48"/>
      <c r="W20" s="48"/>
      <c r="X20" s="48"/>
      <c r="Y20" s="48"/>
      <c r="Z20" s="48"/>
      <c r="AA20" s="48"/>
      <c r="AB20" s="52"/>
      <c r="AC20" s="52"/>
      <c r="AD20" s="52"/>
    </row>
    <row r="21" spans="1:31" x14ac:dyDescent="0.2">
      <c r="A21" s="51" t="s">
        <v>49</v>
      </c>
      <c r="B21" s="45" t="e">
        <f>SUMIFS(#REF!,#REF!,$A21,#REF!,"Y")</f>
        <v>#REF!</v>
      </c>
      <c r="C21" s="59" t="e">
        <f>SUMIFS(#REF!,#REF!,$A21,#REF!,"Y")</f>
        <v>#REF!</v>
      </c>
      <c r="D21" s="59" t="e">
        <f>SUMIFS(#REF!,#REF!,$A21,#REF!,"Y")</f>
        <v>#REF!</v>
      </c>
      <c r="E21" s="59" t="e">
        <f>SUMIFS(#REF!,#REF!,$A21,#REF!,"Y")</f>
        <v>#REF!</v>
      </c>
      <c r="F21" s="17"/>
      <c r="G21" s="45">
        <v>41274.936634492005</v>
      </c>
      <c r="H21" s="45">
        <v>40865.33516726199</v>
      </c>
      <c r="J21" s="48"/>
      <c r="K21" s="48"/>
      <c r="L21" s="48" t="e">
        <f t="shared" si="3"/>
        <v>#REF!</v>
      </c>
      <c r="M21" s="101" t="e">
        <f>VLOOKUP($A21,#REF!, 'Persistence Summary Tables'!M$1, FALSE)*L21</f>
        <v>#REF!</v>
      </c>
      <c r="N21" s="101" t="e">
        <f>VLOOKUP($A21,#REF!, 'Persistence Summary Tables'!N$1, FALSE)*M21</f>
        <v>#REF!</v>
      </c>
      <c r="O21" s="101" t="e">
        <f>VLOOKUP($A21,#REF!, 'Persistence Summary Tables'!O$1, FALSE)*N21</f>
        <v>#REF!</v>
      </c>
      <c r="P21" s="101" t="e">
        <f>VLOOKUP($A21,#REF!, 'Persistence Summary Tables'!P$1, FALSE)*O21</f>
        <v>#REF!</v>
      </c>
      <c r="Q21" s="101" t="e">
        <f>VLOOKUP($A21,#REF!, 'Persistence Summary Tables'!Q$1, FALSE)*P21</f>
        <v>#REF!</v>
      </c>
      <c r="R21" s="101" t="e">
        <f>VLOOKUP($A21,#REF!, 'Persistence Summary Tables'!R$1, FALSE)*Q21</f>
        <v>#REF!</v>
      </c>
      <c r="S21" s="101" t="e">
        <f>VLOOKUP($A21,#REF!, 'Persistence Summary Tables'!S$1, FALSE)*R21</f>
        <v>#REF!</v>
      </c>
      <c r="U21" s="48"/>
      <c r="V21" s="48"/>
      <c r="W21" s="48"/>
      <c r="X21" s="48"/>
      <c r="Y21" s="48"/>
      <c r="Z21" s="48"/>
      <c r="AA21" s="48"/>
      <c r="AB21" s="51"/>
      <c r="AC21" s="51"/>
      <c r="AD21" s="51"/>
    </row>
    <row r="22" spans="1:31" s="41" customFormat="1" hidden="1" x14ac:dyDescent="0.2">
      <c r="A22" s="52" t="s">
        <v>70</v>
      </c>
      <c r="B22" s="45"/>
      <c r="C22" s="59"/>
      <c r="D22" s="59"/>
      <c r="E22" s="59"/>
      <c r="F22" s="17"/>
      <c r="G22" s="45">
        <v>0</v>
      </c>
      <c r="H22" s="45">
        <v>0</v>
      </c>
      <c r="J22" s="49"/>
      <c r="K22" s="49"/>
      <c r="L22" s="48">
        <f t="shared" si="3"/>
        <v>0</v>
      </c>
      <c r="M22" s="49"/>
      <c r="N22" s="49"/>
      <c r="O22" s="49"/>
      <c r="P22" s="49"/>
      <c r="Q22" s="49"/>
      <c r="R22" s="49"/>
      <c r="S22" s="49"/>
      <c r="U22" s="48"/>
      <c r="V22" s="48"/>
      <c r="W22" s="48"/>
      <c r="X22" s="48"/>
      <c r="Y22" s="48"/>
      <c r="Z22" s="48"/>
      <c r="AA22" s="48"/>
      <c r="AB22" s="52"/>
      <c r="AC22" s="52"/>
      <c r="AD22" s="52"/>
    </row>
    <row r="23" spans="1:31" x14ac:dyDescent="0.2">
      <c r="A23" s="51" t="s">
        <v>50</v>
      </c>
      <c r="B23" s="45" t="e">
        <f>SUMIFS(#REF!,#REF!,$A23,#REF!,"")</f>
        <v>#REF!</v>
      </c>
      <c r="C23" s="59" t="e">
        <f>SUMIFS(#REF!,#REF!,$A23,#REF!,"")</f>
        <v>#REF!</v>
      </c>
      <c r="D23" s="59" t="e">
        <f>SUMIFS(#REF!,#REF!,$A23,#REF!,"")</f>
        <v>#REF!</v>
      </c>
      <c r="E23" s="59" t="e">
        <f>SUMIFS(#REF!,#REF!,$A23,#REF!,"")</f>
        <v>#REF!</v>
      </c>
      <c r="F23" s="17"/>
      <c r="G23" s="45">
        <v>6939624.9029925037</v>
      </c>
      <c r="H23" s="45">
        <v>6939624.9029925037</v>
      </c>
      <c r="J23" s="48"/>
      <c r="K23" s="48"/>
      <c r="L23" s="48" t="e">
        <f t="shared" si="3"/>
        <v>#REF!</v>
      </c>
      <c r="M23" s="103" t="e">
        <f>INDEX(#REF!, MATCH('Persistence Summary Tables'!$A23,#REF!, 0), MATCH('Persistence Summary Tables'!M$3,#REF!, 0))*L23</f>
        <v>#REF!</v>
      </c>
      <c r="N23" s="103" t="e">
        <f>INDEX(#REF!, MATCH('Persistence Summary Tables'!$A23,#REF!, 0), MATCH('Persistence Summary Tables'!N$3,#REF!, 0))*M23</f>
        <v>#REF!</v>
      </c>
      <c r="O23" s="103" t="e">
        <f>INDEX(#REF!, MATCH('Persistence Summary Tables'!$A23,#REF!, 0), MATCH('Persistence Summary Tables'!O$3,#REF!, 0))*N23</f>
        <v>#REF!</v>
      </c>
      <c r="P23" s="103" t="e">
        <f>INDEX(#REF!, MATCH('Persistence Summary Tables'!$A23,#REF!, 0), MATCH('Persistence Summary Tables'!P$3,#REF!, 0))*O23</f>
        <v>#REF!</v>
      </c>
      <c r="Q23" s="103" t="e">
        <f>INDEX(#REF!, MATCH('Persistence Summary Tables'!$A23,#REF!, 0), MATCH('Persistence Summary Tables'!Q$3,#REF!, 0))*P23</f>
        <v>#REF!</v>
      </c>
      <c r="R23" s="103" t="e">
        <f>INDEX(#REF!, MATCH('Persistence Summary Tables'!$A23,#REF!, 0), MATCH('Persistence Summary Tables'!R$3,#REF!, 0))*Q23</f>
        <v>#REF!</v>
      </c>
      <c r="S23" s="103" t="e">
        <f>INDEX(#REF!, MATCH('Persistence Summary Tables'!$A23,#REF!, 0), MATCH('Persistence Summary Tables'!S$3,#REF!, 0))*R23</f>
        <v>#REF!</v>
      </c>
      <c r="U23" s="48"/>
      <c r="V23" s="48"/>
      <c r="W23" s="48" t="e">
        <f>L23</f>
        <v>#REF!</v>
      </c>
      <c r="X23" s="101" t="e">
        <f>W23</f>
        <v>#REF!</v>
      </c>
      <c r="Y23" s="101" t="e">
        <f t="shared" ref="Y23:AD23" si="4">X23</f>
        <v>#REF!</v>
      </c>
      <c r="Z23" s="101" t="e">
        <f t="shared" si="4"/>
        <v>#REF!</v>
      </c>
      <c r="AA23" s="101" t="e">
        <f t="shared" si="4"/>
        <v>#REF!</v>
      </c>
      <c r="AB23" s="101" t="e">
        <f t="shared" si="4"/>
        <v>#REF!</v>
      </c>
      <c r="AC23" s="101" t="e">
        <f t="shared" si="4"/>
        <v>#REF!</v>
      </c>
      <c r="AD23" s="101" t="e">
        <f t="shared" si="4"/>
        <v>#REF!</v>
      </c>
      <c r="AE23" s="41" t="s">
        <v>121</v>
      </c>
    </row>
    <row r="24" spans="1:31" s="41" customFormat="1" hidden="1" x14ac:dyDescent="0.2">
      <c r="A24" s="51" t="s">
        <v>69</v>
      </c>
      <c r="B24" s="45"/>
      <c r="C24" s="45"/>
      <c r="D24" s="45"/>
      <c r="E24" s="45"/>
      <c r="F24" s="17"/>
      <c r="G24" s="45">
        <v>0</v>
      </c>
      <c r="H24" s="45">
        <v>0</v>
      </c>
      <c r="J24" s="49"/>
      <c r="K24" s="49"/>
      <c r="L24" s="49"/>
      <c r="M24" s="49"/>
      <c r="N24" s="49"/>
      <c r="O24" s="49"/>
      <c r="P24" s="49"/>
      <c r="Q24" s="49"/>
      <c r="R24" s="49"/>
      <c r="S24" s="49"/>
      <c r="U24" s="52"/>
      <c r="V24" s="52"/>
      <c r="W24" s="52"/>
      <c r="X24" s="52"/>
      <c r="Y24" s="52"/>
      <c r="Z24" s="52"/>
      <c r="AA24" s="52"/>
      <c r="AB24" s="52"/>
      <c r="AC24" s="52"/>
      <c r="AD24" s="52"/>
    </row>
    <row r="25" spans="1:31" s="41" customFormat="1" hidden="1" x14ac:dyDescent="0.2">
      <c r="A25" s="51" t="s">
        <v>71</v>
      </c>
      <c r="B25" s="45"/>
      <c r="C25" s="45"/>
      <c r="D25" s="45"/>
      <c r="E25" s="45"/>
      <c r="F25" s="17"/>
      <c r="G25" s="45">
        <v>0</v>
      </c>
      <c r="H25" s="45">
        <v>0</v>
      </c>
      <c r="J25" s="49"/>
      <c r="K25" s="49"/>
      <c r="L25" s="49"/>
      <c r="M25" s="49"/>
      <c r="N25" s="49"/>
      <c r="O25" s="49"/>
      <c r="P25" s="49"/>
      <c r="Q25" s="49"/>
      <c r="R25" s="49"/>
      <c r="S25" s="49"/>
      <c r="U25" s="52"/>
      <c r="V25" s="52"/>
      <c r="W25" s="52"/>
      <c r="X25" s="52"/>
      <c r="Y25" s="52"/>
      <c r="Z25" s="52"/>
      <c r="AA25" s="52"/>
      <c r="AB25" s="52"/>
      <c r="AC25" s="52"/>
      <c r="AD25" s="52"/>
    </row>
    <row r="26" spans="1:31" s="41" customFormat="1" hidden="1" x14ac:dyDescent="0.2">
      <c r="A26" s="52" t="s">
        <v>66</v>
      </c>
      <c r="B26" s="45"/>
      <c r="C26" s="45"/>
      <c r="D26" s="45"/>
      <c r="E26" s="45"/>
      <c r="F26" s="17"/>
      <c r="G26" s="45">
        <v>0</v>
      </c>
      <c r="H26" s="45">
        <v>0</v>
      </c>
      <c r="J26" s="49"/>
      <c r="K26" s="49"/>
      <c r="L26" s="49"/>
      <c r="M26" s="49"/>
      <c r="N26" s="49"/>
      <c r="O26" s="49"/>
      <c r="P26" s="49"/>
      <c r="Q26" s="49"/>
      <c r="R26" s="49"/>
      <c r="S26" s="49"/>
      <c r="U26" s="52"/>
      <c r="V26" s="52"/>
      <c r="W26" s="52"/>
      <c r="X26" s="52"/>
      <c r="Y26" s="52"/>
      <c r="Z26" s="52"/>
      <c r="AA26" s="52"/>
      <c r="AB26" s="52"/>
      <c r="AC26" s="52"/>
      <c r="AD26" s="52"/>
    </row>
    <row r="27" spans="1:31" s="41" customFormat="1" hidden="1" x14ac:dyDescent="0.2">
      <c r="A27" s="52" t="s">
        <v>67</v>
      </c>
      <c r="B27" s="45"/>
      <c r="C27" s="45"/>
      <c r="D27" s="45"/>
      <c r="E27" s="45"/>
      <c r="F27" s="17"/>
      <c r="G27" s="45">
        <v>0</v>
      </c>
      <c r="H27" s="45">
        <v>0</v>
      </c>
      <c r="J27" s="49"/>
      <c r="K27" s="49"/>
      <c r="L27" s="49"/>
      <c r="M27" s="49"/>
      <c r="N27" s="49"/>
      <c r="O27" s="49"/>
      <c r="P27" s="49"/>
      <c r="Q27" s="49"/>
      <c r="R27" s="49"/>
      <c r="S27" s="49"/>
      <c r="U27" s="52"/>
      <c r="V27" s="52"/>
      <c r="W27" s="52"/>
      <c r="X27" s="52"/>
      <c r="Y27" s="52"/>
      <c r="Z27" s="52"/>
      <c r="AA27" s="52"/>
      <c r="AB27" s="52"/>
      <c r="AC27" s="52"/>
      <c r="AD27" s="52"/>
    </row>
    <row r="28" spans="1:31" s="41" customFormat="1" x14ac:dyDescent="0.2">
      <c r="A28" s="58" t="s">
        <v>83</v>
      </c>
      <c r="B28" s="53"/>
      <c r="C28" s="53"/>
      <c r="D28" s="53"/>
      <c r="E28" s="53"/>
      <c r="F28" s="17"/>
      <c r="G28" s="53"/>
      <c r="H28" s="53"/>
      <c r="J28" s="54"/>
      <c r="K28" s="54"/>
      <c r="L28" s="54"/>
      <c r="M28" s="54"/>
      <c r="N28" s="54"/>
      <c r="O28" s="54"/>
      <c r="P28" s="54"/>
      <c r="Q28" s="54"/>
      <c r="R28" s="54"/>
      <c r="S28" s="54"/>
      <c r="U28" s="55"/>
      <c r="V28" s="55"/>
      <c r="W28" s="55"/>
      <c r="X28" s="55"/>
      <c r="Y28" s="55"/>
      <c r="Z28" s="55"/>
      <c r="AA28" s="55"/>
      <c r="AB28" s="55"/>
      <c r="AC28" s="55"/>
      <c r="AD28" s="55"/>
    </row>
    <row r="29" spans="1:31" x14ac:dyDescent="0.2">
      <c r="A29" s="51" t="s">
        <v>43</v>
      </c>
      <c r="B29" s="45" t="e">
        <f>SUMIFS(#REF!,#REF!,$A29,#REF!,"Y")</f>
        <v>#REF!</v>
      </c>
      <c r="C29" s="45" t="e">
        <f>SUMIFS(#REF!,#REF!,$A29,#REF!,"Y")</f>
        <v>#REF!</v>
      </c>
      <c r="D29" s="45" t="e">
        <f>SUMIFS(#REF!,#REF!,$A29,#REF!,"Y")</f>
        <v>#REF!</v>
      </c>
      <c r="E29" s="45" t="e">
        <f>SUMIFS(#REF!,#REF!,$A29,#REF!,"Y")</f>
        <v>#REF!</v>
      </c>
      <c r="F29" s="17"/>
      <c r="G29" s="45">
        <v>190079.7768000018</v>
      </c>
      <c r="H29" s="45">
        <v>190079.7768000018</v>
      </c>
      <c r="J29" s="48"/>
      <c r="K29" s="48"/>
      <c r="L29" s="48">
        <f>H29</f>
        <v>190079.7768000018</v>
      </c>
      <c r="M29" s="103" t="e">
        <f>INDEX(#REF!, MATCH('Persistence Summary Tables'!$A29,#REF!, 0), MATCH('Persistence Summary Tables'!M$3,#REF!, 0))*L29</f>
        <v>#REF!</v>
      </c>
      <c r="N29" s="103" t="e">
        <f>INDEX(#REF!, MATCH('Persistence Summary Tables'!$A29,#REF!, 0), MATCH('Persistence Summary Tables'!N$3,#REF!, 0))*M29</f>
        <v>#REF!</v>
      </c>
      <c r="O29" s="103" t="e">
        <f>INDEX(#REF!, MATCH('Persistence Summary Tables'!$A29,#REF!, 0), MATCH('Persistence Summary Tables'!O$3,#REF!, 0))*N29</f>
        <v>#REF!</v>
      </c>
      <c r="P29" s="103" t="e">
        <f>INDEX(#REF!, MATCH('Persistence Summary Tables'!$A29,#REF!, 0), MATCH('Persistence Summary Tables'!P$3,#REF!, 0))*O29</f>
        <v>#REF!</v>
      </c>
      <c r="Q29" s="103" t="e">
        <f>INDEX(#REF!, MATCH('Persistence Summary Tables'!$A29,#REF!, 0), MATCH('Persistence Summary Tables'!Q$3,#REF!, 0))*P29</f>
        <v>#REF!</v>
      </c>
      <c r="R29" s="103" t="e">
        <f>INDEX(#REF!, MATCH('Persistence Summary Tables'!$A29,#REF!, 0), MATCH('Persistence Summary Tables'!R$3,#REF!, 0))*Q29</f>
        <v>#REF!</v>
      </c>
      <c r="S29" s="103" t="e">
        <f>INDEX(#REF!, MATCH('Persistence Summary Tables'!$A29,#REF!, 0), MATCH('Persistence Summary Tables'!S$3,#REF!, 0))*R29</f>
        <v>#REF!</v>
      </c>
      <c r="U29" s="51"/>
      <c r="V29" s="49"/>
      <c r="W29" s="49"/>
      <c r="X29" s="101" t="e">
        <f>SUMIFS(#REF!,#REF!, 'Persistence Summary Tables'!$A29,#REF!, CONCATENATE( "&gt;=", 'Persistence Summary Tables'!X$1))</f>
        <v>#REF!</v>
      </c>
      <c r="Y29" s="101" t="e">
        <f>SUMIFS(#REF!,#REF!, 'Persistence Summary Tables'!$A29,#REF!, CONCATENATE( "&gt;=", 'Persistence Summary Tables'!Y$1))</f>
        <v>#REF!</v>
      </c>
      <c r="Z29" s="101" t="e">
        <f>SUMIFS(#REF!,#REF!, 'Persistence Summary Tables'!$A29,#REF!, CONCATENATE( "&gt;=", 'Persistence Summary Tables'!Z$1))</f>
        <v>#REF!</v>
      </c>
      <c r="AA29" s="101" t="e">
        <f>SUMIFS(#REF!,#REF!, 'Persistence Summary Tables'!$A29,#REF!, CONCATENATE( "&gt;=", 'Persistence Summary Tables'!AA$1))</f>
        <v>#REF!</v>
      </c>
      <c r="AB29" s="101" t="e">
        <f>SUMIFS(#REF!,#REF!, 'Persistence Summary Tables'!$A29,#REF!, CONCATENATE( "&gt;=", 'Persistence Summary Tables'!AB$1))</f>
        <v>#REF!</v>
      </c>
      <c r="AC29" s="101" t="e">
        <f>SUMIFS(#REF!,#REF!, 'Persistence Summary Tables'!$A29,#REF!, CONCATENATE( "&gt;=", 'Persistence Summary Tables'!AC$1))</f>
        <v>#REF!</v>
      </c>
      <c r="AD29" s="101" t="e">
        <f>SUMIFS(#REF!,#REF!, 'Persistence Summary Tables'!$A29,#REF!, CONCATENATE( "&gt;=", 'Persistence Summary Tables'!AD$1))</f>
        <v>#REF!</v>
      </c>
    </row>
    <row r="32" spans="1:31" x14ac:dyDescent="0.2">
      <c r="B32" s="108"/>
      <c r="C32" t="s">
        <v>119</v>
      </c>
    </row>
    <row r="33" spans="1:30" x14ac:dyDescent="0.2">
      <c r="J33">
        <v>10</v>
      </c>
      <c r="K33">
        <f>J33+1</f>
        <v>11</v>
      </c>
      <c r="L33">
        <f t="shared" ref="L33:S33" si="5">K33+1</f>
        <v>12</v>
      </c>
      <c r="M33">
        <f t="shared" si="5"/>
        <v>13</v>
      </c>
      <c r="N33">
        <f t="shared" si="5"/>
        <v>14</v>
      </c>
      <c r="O33">
        <f t="shared" si="5"/>
        <v>15</v>
      </c>
      <c r="P33">
        <f t="shared" si="5"/>
        <v>16</v>
      </c>
      <c r="Q33">
        <f t="shared" si="5"/>
        <v>17</v>
      </c>
      <c r="R33">
        <f t="shared" si="5"/>
        <v>18</v>
      </c>
      <c r="S33">
        <f t="shared" si="5"/>
        <v>19</v>
      </c>
      <c r="U33">
        <v>1</v>
      </c>
      <c r="V33">
        <f>U33+1</f>
        <v>2</v>
      </c>
      <c r="W33">
        <f t="shared" ref="W33:AD33" si="6">V33+1</f>
        <v>3</v>
      </c>
      <c r="X33">
        <f t="shared" si="6"/>
        <v>4</v>
      </c>
      <c r="Y33">
        <f t="shared" si="6"/>
        <v>5</v>
      </c>
      <c r="Z33">
        <f t="shared" si="6"/>
        <v>6</v>
      </c>
      <c r="AA33">
        <f t="shared" si="6"/>
        <v>7</v>
      </c>
      <c r="AB33">
        <f t="shared" si="6"/>
        <v>8</v>
      </c>
      <c r="AC33">
        <f t="shared" si="6"/>
        <v>9</v>
      </c>
      <c r="AD33">
        <f t="shared" si="6"/>
        <v>10</v>
      </c>
    </row>
    <row r="34" spans="1:30" x14ac:dyDescent="0.2">
      <c r="B34" s="126" t="s">
        <v>73</v>
      </c>
      <c r="C34" s="126"/>
      <c r="D34" s="126"/>
      <c r="E34" s="126"/>
      <c r="F34" s="57"/>
      <c r="G34" s="126" t="s">
        <v>78</v>
      </c>
      <c r="H34" s="126"/>
      <c r="J34" s="125" t="s">
        <v>80</v>
      </c>
      <c r="K34" s="125"/>
      <c r="L34" s="125"/>
      <c r="M34" s="125"/>
      <c r="N34" s="125"/>
      <c r="O34" s="125"/>
      <c r="P34" s="125"/>
      <c r="Q34" s="125"/>
      <c r="R34" s="125"/>
      <c r="S34" s="125"/>
      <c r="U34" s="125" t="s">
        <v>118</v>
      </c>
      <c r="V34" s="125"/>
      <c r="W34" s="125"/>
      <c r="X34" s="125"/>
      <c r="Y34" s="125"/>
      <c r="Z34" s="125"/>
      <c r="AA34" s="125"/>
      <c r="AB34" s="125"/>
      <c r="AC34" s="125"/>
      <c r="AD34" s="125"/>
    </row>
    <row r="35" spans="1:30" ht="48" x14ac:dyDescent="0.2">
      <c r="A35" s="50" t="s">
        <v>114</v>
      </c>
      <c r="B35" s="46" t="s">
        <v>23</v>
      </c>
      <c r="C35" s="42">
        <v>2018</v>
      </c>
      <c r="D35" s="42">
        <v>2019</v>
      </c>
      <c r="E35" s="42">
        <v>2020</v>
      </c>
      <c r="F35" s="40"/>
      <c r="G35" s="42">
        <v>2018</v>
      </c>
      <c r="H35" s="42" t="s">
        <v>79</v>
      </c>
      <c r="J35" s="47">
        <v>2018</v>
      </c>
      <c r="K35" s="47">
        <v>2019</v>
      </c>
      <c r="L35" s="47">
        <v>2020</v>
      </c>
      <c r="M35" s="47">
        <v>2021</v>
      </c>
      <c r="N35" s="47">
        <v>2022</v>
      </c>
      <c r="O35" s="47">
        <v>2023</v>
      </c>
      <c r="P35" s="47">
        <v>2024</v>
      </c>
      <c r="Q35" s="47">
        <v>2025</v>
      </c>
      <c r="R35" s="47">
        <v>2026</v>
      </c>
      <c r="S35" s="47">
        <v>2027</v>
      </c>
      <c r="U35" s="47">
        <v>2018</v>
      </c>
      <c r="V35" s="47">
        <v>2019</v>
      </c>
      <c r="W35" s="47">
        <v>2020</v>
      </c>
      <c r="X35" s="47">
        <v>2021</v>
      </c>
      <c r="Y35" s="47">
        <v>2022</v>
      </c>
      <c r="Z35" s="47">
        <v>2023</v>
      </c>
      <c r="AA35" s="47">
        <v>2024</v>
      </c>
      <c r="AB35" s="47">
        <v>2025</v>
      </c>
      <c r="AC35" s="47">
        <v>2026</v>
      </c>
      <c r="AD35" s="47">
        <v>2027</v>
      </c>
    </row>
    <row r="36" spans="1:30" x14ac:dyDescent="0.2">
      <c r="A36" s="58" t="s">
        <v>81</v>
      </c>
      <c r="B36" s="55"/>
      <c r="C36" s="56"/>
      <c r="D36" s="56"/>
      <c r="E36" s="56"/>
      <c r="F36" s="40"/>
      <c r="G36" s="56"/>
      <c r="H36" s="56"/>
      <c r="J36" s="55"/>
      <c r="K36" s="55"/>
      <c r="L36" s="55"/>
      <c r="M36" s="55"/>
      <c r="N36" s="55"/>
      <c r="O36" s="55"/>
      <c r="P36" s="55"/>
      <c r="Q36" s="55"/>
      <c r="R36" s="55"/>
      <c r="S36" s="55"/>
      <c r="U36" s="55"/>
      <c r="V36" s="55"/>
      <c r="W36" s="55"/>
      <c r="X36" s="55"/>
      <c r="Y36" s="55"/>
      <c r="Z36" s="55"/>
      <c r="AA36" s="55"/>
      <c r="AB36" s="55"/>
      <c r="AC36" s="55"/>
      <c r="AD36" s="55"/>
    </row>
    <row r="37" spans="1:30" x14ac:dyDescent="0.2">
      <c r="A37" s="51" t="s">
        <v>60</v>
      </c>
      <c r="B37" s="46"/>
      <c r="C37" s="42"/>
      <c r="D37" s="42"/>
      <c r="E37" s="42"/>
      <c r="F37" s="40"/>
      <c r="G37" s="43"/>
      <c r="H37" s="43"/>
      <c r="J37" s="47"/>
      <c r="K37" s="47"/>
      <c r="L37" s="47"/>
      <c r="M37" s="47"/>
      <c r="N37" s="47"/>
      <c r="O37" s="47"/>
      <c r="P37" s="47"/>
      <c r="Q37" s="47"/>
      <c r="R37" s="47"/>
      <c r="S37" s="47"/>
      <c r="U37" s="51"/>
      <c r="V37" s="51"/>
      <c r="W37" s="51"/>
      <c r="X37" s="51"/>
      <c r="Y37" s="51"/>
      <c r="Z37" s="51"/>
      <c r="AA37" s="51"/>
      <c r="AB37" s="51"/>
      <c r="AC37" s="51"/>
      <c r="AD37" s="51"/>
    </row>
    <row r="38" spans="1:30" x14ac:dyDescent="0.2">
      <c r="A38" s="51" t="s">
        <v>63</v>
      </c>
      <c r="B38" s="109">
        <f>0.00027114092226648*G6</f>
        <v>48.741112067355921</v>
      </c>
      <c r="C38" s="42"/>
      <c r="D38" s="42"/>
      <c r="E38" s="42"/>
      <c r="F38" s="40"/>
      <c r="G38" s="43"/>
      <c r="H38" s="43"/>
      <c r="J38" s="105">
        <f>B38</f>
        <v>48.741112067355921</v>
      </c>
      <c r="K38" s="101" t="e">
        <f>VLOOKUP($A38,#REF!, 'Persistence Summary Tables'!K$1, FALSE)*J38</f>
        <v>#REF!</v>
      </c>
      <c r="L38" s="101" t="e">
        <f>VLOOKUP($A38,#REF!, 'Persistence Summary Tables'!L$1, FALSE)*K38</f>
        <v>#REF!</v>
      </c>
      <c r="M38" s="101" t="e">
        <f>VLOOKUP($A38,#REF!, 'Persistence Summary Tables'!M$1, FALSE)*L38</f>
        <v>#REF!</v>
      </c>
      <c r="N38" s="101" t="e">
        <f>VLOOKUP($A38,#REF!, 'Persistence Summary Tables'!N$1, FALSE)*M38</f>
        <v>#REF!</v>
      </c>
      <c r="O38" s="101" t="e">
        <f>VLOOKUP($A38,#REF!, 'Persistence Summary Tables'!O$1, FALSE)*N38</f>
        <v>#REF!</v>
      </c>
      <c r="P38" s="101" t="e">
        <f>VLOOKUP($A38,#REF!, 'Persistence Summary Tables'!P$1, FALSE)*O38</f>
        <v>#REF!</v>
      </c>
      <c r="Q38" s="101" t="e">
        <f>VLOOKUP($A38,#REF!, 'Persistence Summary Tables'!Q$1, FALSE)*P38</f>
        <v>#REF!</v>
      </c>
      <c r="R38" s="101" t="e">
        <f>VLOOKUP($A38,#REF!, 'Persistence Summary Tables'!R$1, FALSE)*Q38</f>
        <v>#REF!</v>
      </c>
      <c r="S38" s="101" t="e">
        <f>VLOOKUP($A38,#REF!, 'Persistence Summary Tables'!S$1, FALSE)*R38</f>
        <v>#REF!</v>
      </c>
      <c r="U38" s="49"/>
      <c r="V38" s="51"/>
      <c r="W38" s="51"/>
      <c r="X38" s="51"/>
      <c r="Y38" s="51"/>
      <c r="Z38" s="51"/>
      <c r="AA38" s="51"/>
      <c r="AB38" s="51"/>
      <c r="AC38" s="51"/>
      <c r="AD38" s="51"/>
    </row>
    <row r="39" spans="1:30" x14ac:dyDescent="0.2">
      <c r="A39" s="51" t="s">
        <v>32</v>
      </c>
      <c r="B39" s="59" t="e">
        <f>SUMIFS(#REF!,#REF!,$A39,#REF!,"Y")</f>
        <v>#REF!</v>
      </c>
      <c r="C39" s="45"/>
      <c r="D39" s="45"/>
      <c r="E39" s="45"/>
      <c r="F39" s="17"/>
      <c r="G39" s="44"/>
      <c r="H39" s="44"/>
      <c r="J39" s="49" t="e">
        <f>B39</f>
        <v>#REF!</v>
      </c>
      <c r="K39" s="101" t="e">
        <f>VLOOKUP($A39,#REF!, 'Persistence Summary Tables'!K$1, FALSE)*J39</f>
        <v>#REF!</v>
      </c>
      <c r="L39" s="101" t="e">
        <f>VLOOKUP($A39,#REF!, 'Persistence Summary Tables'!L$1, FALSE)*K39</f>
        <v>#REF!</v>
      </c>
      <c r="M39" s="101" t="e">
        <f>VLOOKUP($A39,#REF!, 'Persistence Summary Tables'!M$1, FALSE)*L39</f>
        <v>#REF!</v>
      </c>
      <c r="N39" s="101" t="e">
        <f>VLOOKUP($A39,#REF!, 'Persistence Summary Tables'!N$1, FALSE)*M39</f>
        <v>#REF!</v>
      </c>
      <c r="O39" s="101" t="e">
        <f>VLOOKUP($A39,#REF!, 'Persistence Summary Tables'!O$1, FALSE)*N39</f>
        <v>#REF!</v>
      </c>
      <c r="P39" s="101" t="e">
        <f>VLOOKUP($A39,#REF!, 'Persistence Summary Tables'!P$1, FALSE)*O39</f>
        <v>#REF!</v>
      </c>
      <c r="Q39" s="101" t="e">
        <f>VLOOKUP($A39,#REF!, 'Persistence Summary Tables'!Q$1, FALSE)*P39</f>
        <v>#REF!</v>
      </c>
      <c r="R39" s="101" t="e">
        <f>VLOOKUP($A39,#REF!, 'Persistence Summary Tables'!R$1, FALSE)*Q39</f>
        <v>#REF!</v>
      </c>
      <c r="S39" s="101" t="e">
        <f>VLOOKUP($A39,#REF!, 'Persistence Summary Tables'!S$1, FALSE)*R39</f>
        <v>#REF!</v>
      </c>
      <c r="U39" s="48"/>
      <c r="V39" s="48"/>
      <c r="W39" s="48"/>
      <c r="X39" s="48"/>
      <c r="Y39" s="48"/>
      <c r="Z39" s="48"/>
      <c r="AA39" s="48"/>
      <c r="AB39" s="48"/>
      <c r="AC39" s="51"/>
      <c r="AD39" s="51"/>
    </row>
    <row r="40" spans="1:30" x14ac:dyDescent="0.2">
      <c r="A40" s="52" t="s">
        <v>62</v>
      </c>
      <c r="B40" s="107">
        <f>0.0000683419731086992*G8</f>
        <v>42.128138218553218</v>
      </c>
      <c r="C40" s="45"/>
      <c r="D40" s="45"/>
      <c r="E40" s="45"/>
      <c r="F40" s="17"/>
      <c r="G40" s="44"/>
      <c r="H40" s="44"/>
      <c r="J40" s="49">
        <f>B40</f>
        <v>42.128138218553218</v>
      </c>
      <c r="K40" s="101" t="e">
        <f>VLOOKUP($A40,#REF!, 'Persistence Summary Tables'!K$1, FALSE)*J40</f>
        <v>#REF!</v>
      </c>
      <c r="L40" s="101" t="e">
        <f>VLOOKUP($A40,#REF!, 'Persistence Summary Tables'!L$1, FALSE)*K40</f>
        <v>#REF!</v>
      </c>
      <c r="M40" s="101" t="e">
        <f>VLOOKUP($A40,#REF!, 'Persistence Summary Tables'!M$1, FALSE)*L40</f>
        <v>#REF!</v>
      </c>
      <c r="N40" s="101" t="e">
        <f>VLOOKUP($A40,#REF!, 'Persistence Summary Tables'!N$1, FALSE)*M40</f>
        <v>#REF!</v>
      </c>
      <c r="O40" s="101" t="e">
        <f>VLOOKUP($A40,#REF!, 'Persistence Summary Tables'!O$1, FALSE)*N40</f>
        <v>#REF!</v>
      </c>
      <c r="P40" s="101" t="e">
        <f>VLOOKUP($A40,#REF!, 'Persistence Summary Tables'!P$1, FALSE)*O40</f>
        <v>#REF!</v>
      </c>
      <c r="Q40" s="101" t="e">
        <f>VLOOKUP($A40,#REF!, 'Persistence Summary Tables'!Q$1, FALSE)*P40</f>
        <v>#REF!</v>
      </c>
      <c r="R40" s="101" t="e">
        <f>VLOOKUP($A40,#REF!, 'Persistence Summary Tables'!R$1, FALSE)*Q40</f>
        <v>#REF!</v>
      </c>
      <c r="S40" s="101" t="e">
        <f>VLOOKUP($A40,#REF!, 'Persistence Summary Tables'!S$1, FALSE)*R40</f>
        <v>#REF!</v>
      </c>
      <c r="U40" s="48"/>
      <c r="V40" s="48"/>
      <c r="W40" s="48"/>
      <c r="X40" s="48"/>
      <c r="Y40" s="48"/>
      <c r="Z40" s="48"/>
      <c r="AA40" s="48"/>
      <c r="AB40" s="48"/>
      <c r="AC40" s="48"/>
      <c r="AD40" s="52"/>
    </row>
    <row r="41" spans="1:30" x14ac:dyDescent="0.2">
      <c r="A41" s="51" t="s">
        <v>46</v>
      </c>
      <c r="B41" s="59" t="e">
        <f>SUMIFS(#REF!,#REF!,$A41,#REF!,"Y")</f>
        <v>#REF!</v>
      </c>
      <c r="C41" s="45"/>
      <c r="D41" s="45"/>
      <c r="E41" s="45"/>
      <c r="F41" s="17"/>
      <c r="G41" s="44"/>
      <c r="H41" s="44"/>
      <c r="J41" s="49" t="e">
        <f>B41</f>
        <v>#REF!</v>
      </c>
      <c r="K41" s="101" t="e">
        <f>VLOOKUP($A41,#REF!, 'Persistence Summary Tables'!K$1, FALSE)*J41</f>
        <v>#REF!</v>
      </c>
      <c r="L41" s="101" t="e">
        <f>VLOOKUP($A41,#REF!, 'Persistence Summary Tables'!L$1, FALSE)*K41</f>
        <v>#REF!</v>
      </c>
      <c r="M41" s="101" t="e">
        <f>VLOOKUP($A41,#REF!, 'Persistence Summary Tables'!M$1, FALSE)*L41</f>
        <v>#REF!</v>
      </c>
      <c r="N41" s="101" t="e">
        <f>VLOOKUP($A41,#REF!, 'Persistence Summary Tables'!N$1, FALSE)*M41</f>
        <v>#REF!</v>
      </c>
      <c r="O41" s="101" t="e">
        <f>VLOOKUP($A41,#REF!, 'Persistence Summary Tables'!O$1, FALSE)*N41</f>
        <v>#REF!</v>
      </c>
      <c r="P41" s="101" t="e">
        <f>VLOOKUP($A41,#REF!, 'Persistence Summary Tables'!P$1, FALSE)*O41</f>
        <v>#REF!</v>
      </c>
      <c r="Q41" s="101" t="e">
        <f>VLOOKUP($A41,#REF!, 'Persistence Summary Tables'!Q$1, FALSE)*P41</f>
        <v>#REF!</v>
      </c>
      <c r="R41" s="101" t="e">
        <f>VLOOKUP($A41,#REF!, 'Persistence Summary Tables'!R$1, FALSE)*Q41</f>
        <v>#REF!</v>
      </c>
      <c r="S41" s="101" t="e">
        <f>VLOOKUP($A41,#REF!, 'Persistence Summary Tables'!S$1, FALSE)*R41</f>
        <v>#REF!</v>
      </c>
      <c r="U41" s="48"/>
      <c r="V41" s="48"/>
      <c r="W41" s="48"/>
      <c r="X41" s="48"/>
      <c r="Y41" s="48"/>
      <c r="Z41" s="48"/>
      <c r="AA41" s="48"/>
      <c r="AB41" s="48"/>
      <c r="AC41" s="48"/>
      <c r="AD41" s="51"/>
    </row>
    <row r="42" spans="1:30" x14ac:dyDescent="0.2">
      <c r="A42" s="52" t="s">
        <v>74</v>
      </c>
      <c r="B42" s="59" t="e">
        <f>SUMIFS(#REF!,#REF!,$A42,#REF!,"Y")</f>
        <v>#REF!</v>
      </c>
      <c r="C42" s="45"/>
      <c r="D42" s="45"/>
      <c r="E42" s="45"/>
      <c r="F42" s="17"/>
      <c r="G42" s="44"/>
      <c r="H42" s="44"/>
      <c r="J42" s="49" t="e">
        <f>B42</f>
        <v>#REF!</v>
      </c>
      <c r="K42" s="101" t="e">
        <f>VLOOKUP($A42,#REF!, 'Persistence Summary Tables'!K$1, FALSE)*J42</f>
        <v>#REF!</v>
      </c>
      <c r="L42" s="101" t="e">
        <f>VLOOKUP($A42,#REF!, 'Persistence Summary Tables'!L$1, FALSE)*K42</f>
        <v>#REF!</v>
      </c>
      <c r="M42" s="101" t="e">
        <f>VLOOKUP($A42,#REF!, 'Persistence Summary Tables'!M$1, FALSE)*L42</f>
        <v>#REF!</v>
      </c>
      <c r="N42" s="101" t="e">
        <f>VLOOKUP($A42,#REF!, 'Persistence Summary Tables'!N$1, FALSE)*M42</f>
        <v>#REF!</v>
      </c>
      <c r="O42" s="101" t="e">
        <f>VLOOKUP($A42,#REF!, 'Persistence Summary Tables'!O$1, FALSE)*N42</f>
        <v>#REF!</v>
      </c>
      <c r="P42" s="101" t="e">
        <f>VLOOKUP($A42,#REF!, 'Persistence Summary Tables'!P$1, FALSE)*O42</f>
        <v>#REF!</v>
      </c>
      <c r="Q42" s="101" t="e">
        <f>VLOOKUP($A42,#REF!, 'Persistence Summary Tables'!Q$1, FALSE)*P42</f>
        <v>#REF!</v>
      </c>
      <c r="R42" s="101" t="e">
        <f>VLOOKUP($A42,#REF!, 'Persistence Summary Tables'!R$1, FALSE)*Q42</f>
        <v>#REF!</v>
      </c>
      <c r="S42" s="101" t="e">
        <f>VLOOKUP($A42,#REF!, 'Persistence Summary Tables'!S$1, FALSE)*R42</f>
        <v>#REF!</v>
      </c>
      <c r="U42" s="48"/>
      <c r="V42" s="48"/>
      <c r="W42" s="48"/>
      <c r="X42" s="48"/>
      <c r="Y42" s="48"/>
      <c r="Z42" s="48"/>
      <c r="AA42" s="48"/>
      <c r="AB42" s="52"/>
      <c r="AC42" s="52"/>
      <c r="AD42" s="52"/>
    </row>
    <row r="43" spans="1:30" hidden="1" x14ac:dyDescent="0.2">
      <c r="A43" s="52" t="s">
        <v>75</v>
      </c>
      <c r="B43" s="45"/>
      <c r="C43" s="45"/>
      <c r="D43" s="45"/>
      <c r="E43" s="45"/>
      <c r="F43" s="17"/>
      <c r="G43" s="44"/>
      <c r="H43" s="44"/>
      <c r="J43" s="49"/>
      <c r="K43" s="49"/>
      <c r="L43" s="49"/>
      <c r="M43" s="49"/>
      <c r="N43" s="49"/>
      <c r="O43" s="49"/>
      <c r="P43" s="49"/>
      <c r="Q43" s="49"/>
      <c r="R43" s="49"/>
      <c r="S43" s="49"/>
      <c r="U43" s="52"/>
      <c r="V43" s="52"/>
      <c r="W43" s="52"/>
      <c r="X43" s="52"/>
      <c r="Y43" s="52"/>
      <c r="Z43" s="52"/>
      <c r="AA43" s="52"/>
      <c r="AB43" s="52"/>
      <c r="AC43" s="52"/>
      <c r="AD43" s="52"/>
    </row>
    <row r="44" spans="1:30" x14ac:dyDescent="0.2">
      <c r="A44" s="58" t="s">
        <v>82</v>
      </c>
      <c r="B44" s="53"/>
      <c r="C44" s="53"/>
      <c r="D44" s="53"/>
      <c r="E44" s="53"/>
      <c r="F44" s="17"/>
      <c r="G44" s="53"/>
      <c r="H44" s="53"/>
      <c r="J44" s="54"/>
      <c r="K44" s="54"/>
      <c r="L44" s="54"/>
      <c r="M44" s="54"/>
      <c r="N44" s="54"/>
      <c r="O44" s="54"/>
      <c r="P44" s="54"/>
      <c r="Q44" s="54"/>
      <c r="R44" s="54"/>
      <c r="S44" s="54"/>
      <c r="U44" s="55"/>
      <c r="V44" s="55"/>
      <c r="W44" s="55"/>
      <c r="X44" s="55"/>
      <c r="Y44" s="55"/>
      <c r="Z44" s="55"/>
      <c r="AA44" s="55"/>
      <c r="AB44" s="55"/>
      <c r="AC44" s="55"/>
      <c r="AD44" s="55"/>
    </row>
    <row r="45" spans="1:30" x14ac:dyDescent="0.2">
      <c r="A45" s="51" t="s">
        <v>64</v>
      </c>
      <c r="B45" s="45"/>
      <c r="C45" s="45"/>
      <c r="D45" s="45"/>
      <c r="E45" s="45"/>
      <c r="F45" s="17"/>
      <c r="G45" s="45"/>
      <c r="H45" s="45"/>
      <c r="J45" s="49"/>
      <c r="K45" s="49"/>
      <c r="L45" s="49"/>
      <c r="M45" s="49"/>
      <c r="N45" s="49"/>
      <c r="O45" s="49"/>
      <c r="P45" s="49"/>
      <c r="Q45" s="49"/>
      <c r="R45" s="49"/>
      <c r="S45" s="49"/>
      <c r="U45" s="52"/>
      <c r="V45" s="52"/>
      <c r="W45" s="52"/>
      <c r="X45" s="52"/>
      <c r="Y45" s="52"/>
      <c r="Z45" s="52"/>
      <c r="AA45" s="52"/>
      <c r="AB45" s="52"/>
      <c r="AC45" s="52"/>
      <c r="AD45" s="52"/>
    </row>
    <row r="46" spans="1:30" x14ac:dyDescent="0.2">
      <c r="A46" s="51" t="s">
        <v>38</v>
      </c>
      <c r="B46" s="59" t="e">
        <f>SUMIFS(#REF!,#REF!,$A46,#REF!,"Y")</f>
        <v>#REF!</v>
      </c>
      <c r="C46" s="45"/>
      <c r="D46" s="45"/>
      <c r="E46" s="45"/>
      <c r="F46" s="17"/>
      <c r="G46" s="45"/>
      <c r="H46" s="45"/>
      <c r="J46" s="49" t="e">
        <f>B46</f>
        <v>#REF!</v>
      </c>
      <c r="K46" s="101" t="e">
        <f>VLOOKUP($A46,#REF!, 'Persistence Summary Tables'!K$1, FALSE)*J46</f>
        <v>#REF!</v>
      </c>
      <c r="L46" s="101" t="e">
        <f>VLOOKUP($A46,#REF!, 'Persistence Summary Tables'!L$1, FALSE)*K46</f>
        <v>#REF!</v>
      </c>
      <c r="M46" s="101" t="e">
        <f>VLOOKUP($A46,#REF!, 'Persistence Summary Tables'!M$1, FALSE)*L46</f>
        <v>#REF!</v>
      </c>
      <c r="N46" s="101" t="e">
        <f>VLOOKUP($A46,#REF!, 'Persistence Summary Tables'!N$1, FALSE)*M46</f>
        <v>#REF!</v>
      </c>
      <c r="O46" s="101" t="e">
        <f>VLOOKUP($A46,#REF!, 'Persistence Summary Tables'!O$1, FALSE)*N46</f>
        <v>#REF!</v>
      </c>
      <c r="P46" s="101" t="e">
        <f>VLOOKUP($A46,#REF!, 'Persistence Summary Tables'!P$1, FALSE)*O46</f>
        <v>#REF!</v>
      </c>
      <c r="Q46" s="101" t="e">
        <f>VLOOKUP($A46,#REF!, 'Persistence Summary Tables'!Q$1, FALSE)*P46</f>
        <v>#REF!</v>
      </c>
      <c r="R46" s="101" t="e">
        <f>VLOOKUP($A46,#REF!, 'Persistence Summary Tables'!R$1, FALSE)*Q46</f>
        <v>#REF!</v>
      </c>
      <c r="S46" s="101" t="e">
        <f>VLOOKUP($A46,#REF!, 'Persistence Summary Tables'!S$1, FALSE)*R46</f>
        <v>#REF!</v>
      </c>
      <c r="U46" s="48"/>
      <c r="V46" s="48"/>
      <c r="W46" s="48"/>
      <c r="X46" s="48"/>
      <c r="Y46" s="48"/>
      <c r="Z46" s="48"/>
      <c r="AA46" s="48"/>
      <c r="AB46" s="51"/>
      <c r="AC46" s="51"/>
      <c r="AD46" s="51"/>
    </row>
    <row r="47" spans="1:30" ht="15" hidden="1" customHeight="1" x14ac:dyDescent="0.2">
      <c r="A47" s="52" t="s">
        <v>68</v>
      </c>
      <c r="B47" s="45"/>
      <c r="C47" s="45"/>
      <c r="D47" s="45"/>
      <c r="E47" s="45"/>
      <c r="F47" s="17"/>
      <c r="G47" s="45"/>
      <c r="H47" s="45"/>
      <c r="J47" s="49"/>
      <c r="K47" s="49"/>
      <c r="L47" s="49"/>
      <c r="M47" s="49"/>
      <c r="N47" s="49"/>
      <c r="O47" s="49"/>
      <c r="P47" s="49"/>
      <c r="Q47" s="49"/>
      <c r="R47" s="49"/>
      <c r="S47" s="49"/>
      <c r="U47" s="48"/>
      <c r="V47" s="48"/>
      <c r="W47" s="48"/>
      <c r="X47" s="48"/>
      <c r="Y47" s="48"/>
      <c r="Z47" s="48"/>
      <c r="AA47" s="48"/>
      <c r="AB47" s="52"/>
      <c r="AC47" s="52"/>
      <c r="AD47" s="52"/>
    </row>
    <row r="48" spans="1:30" ht="15" hidden="1" customHeight="1" x14ac:dyDescent="0.2">
      <c r="A48" s="52" t="s">
        <v>76</v>
      </c>
      <c r="B48" s="45"/>
      <c r="C48" s="45"/>
      <c r="D48" s="45"/>
      <c r="E48" s="45"/>
      <c r="F48" s="17"/>
      <c r="G48" s="45"/>
      <c r="H48" s="45"/>
      <c r="J48" s="49"/>
      <c r="K48" s="49"/>
      <c r="L48" s="49"/>
      <c r="M48" s="49"/>
      <c r="N48" s="49"/>
      <c r="O48" s="49"/>
      <c r="P48" s="49"/>
      <c r="Q48" s="49"/>
      <c r="R48" s="49"/>
      <c r="S48" s="49"/>
      <c r="U48" s="48"/>
      <c r="V48" s="48"/>
      <c r="W48" s="48"/>
      <c r="X48" s="48"/>
      <c r="Y48" s="48"/>
      <c r="Z48" s="48"/>
      <c r="AA48" s="48"/>
      <c r="AB48" s="52"/>
      <c r="AC48" s="52"/>
      <c r="AD48" s="52"/>
    </row>
    <row r="49" spans="1:30" x14ac:dyDescent="0.2">
      <c r="A49" s="51" t="s">
        <v>42</v>
      </c>
      <c r="B49" s="59" t="e">
        <f>SUMIFS(#REF!,#REF!,$A49,#REF!,"Y")</f>
        <v>#REF!</v>
      </c>
      <c r="C49" s="45"/>
      <c r="D49" s="45"/>
      <c r="E49" s="45"/>
      <c r="F49" s="17"/>
      <c r="G49" s="45"/>
      <c r="H49" s="45"/>
      <c r="J49" s="49" t="e">
        <f t="shared" ref="J49:J50" si="7">B49</f>
        <v>#REF!</v>
      </c>
      <c r="K49" s="101" t="e">
        <f>VLOOKUP($A49,#REF!, 'Persistence Summary Tables'!K$1, FALSE)*J49</f>
        <v>#REF!</v>
      </c>
      <c r="L49" s="101" t="e">
        <f>VLOOKUP($A49,#REF!, 'Persistence Summary Tables'!L$1, FALSE)*K49</f>
        <v>#REF!</v>
      </c>
      <c r="M49" s="101" t="e">
        <f>VLOOKUP($A49,#REF!, 'Persistence Summary Tables'!M$1, FALSE)*L49</f>
        <v>#REF!</v>
      </c>
      <c r="N49" s="101" t="e">
        <f>VLOOKUP($A49,#REF!, 'Persistence Summary Tables'!N$1, FALSE)*M49</f>
        <v>#REF!</v>
      </c>
      <c r="O49" s="101" t="e">
        <f>VLOOKUP($A49,#REF!, 'Persistence Summary Tables'!O$1, FALSE)*N49</f>
        <v>#REF!</v>
      </c>
      <c r="P49" s="101" t="e">
        <f>VLOOKUP($A49,#REF!, 'Persistence Summary Tables'!P$1, FALSE)*O49</f>
        <v>#REF!</v>
      </c>
      <c r="Q49" s="101" t="e">
        <f>VLOOKUP($A49,#REF!, 'Persistence Summary Tables'!Q$1, FALSE)*P49</f>
        <v>#REF!</v>
      </c>
      <c r="R49" s="101" t="e">
        <f>VLOOKUP($A49,#REF!, 'Persistence Summary Tables'!R$1, FALSE)*Q49</f>
        <v>#REF!</v>
      </c>
      <c r="S49" s="101" t="e">
        <f>VLOOKUP($A49,#REF!, 'Persistence Summary Tables'!S$1, FALSE)*R49</f>
        <v>#REF!</v>
      </c>
      <c r="U49" s="48"/>
      <c r="V49" s="48"/>
      <c r="W49" s="48"/>
      <c r="X49" s="48"/>
      <c r="Y49" s="48"/>
      <c r="Z49" s="48"/>
      <c r="AA49" s="48"/>
      <c r="AB49" s="51"/>
      <c r="AC49" s="51"/>
      <c r="AD49" s="51"/>
    </row>
    <row r="50" spans="1:30" x14ac:dyDescent="0.2">
      <c r="A50" s="51" t="s">
        <v>45</v>
      </c>
      <c r="B50" s="59" t="e">
        <f>SUMIFS(#REF!,#REF!,$A50,#REF!,"Y")</f>
        <v>#REF!</v>
      </c>
      <c r="C50" s="45"/>
      <c r="D50" s="45"/>
      <c r="E50" s="45"/>
      <c r="F50" s="17"/>
      <c r="G50" s="45"/>
      <c r="H50" s="45"/>
      <c r="J50" s="49" t="e">
        <f t="shared" si="7"/>
        <v>#REF!</v>
      </c>
      <c r="K50" s="103" t="e">
        <f>VLOOKUP($A50,#REF!, 'Persistence Summary Tables'!K$1, FALSE)*J50</f>
        <v>#REF!</v>
      </c>
      <c r="L50" s="103" t="e">
        <f>VLOOKUP($A50,#REF!, 'Persistence Summary Tables'!L$1, FALSE)*K50</f>
        <v>#REF!</v>
      </c>
      <c r="M50" s="103" t="e">
        <f>VLOOKUP($A50,#REF!, 'Persistence Summary Tables'!M$1, FALSE)*L50</f>
        <v>#REF!</v>
      </c>
      <c r="N50" s="103" t="e">
        <f>VLOOKUP($A50,#REF!, 'Persistence Summary Tables'!N$1, FALSE)*M50</f>
        <v>#REF!</v>
      </c>
      <c r="O50" s="103" t="e">
        <f>VLOOKUP($A50,#REF!, 'Persistence Summary Tables'!O$1, FALSE)*N50</f>
        <v>#REF!</v>
      </c>
      <c r="P50" s="103" t="e">
        <f>VLOOKUP($A50,#REF!, 'Persistence Summary Tables'!P$1, FALSE)*O50</f>
        <v>#REF!</v>
      </c>
      <c r="Q50" s="103" t="e">
        <f>VLOOKUP($A50,#REF!, 'Persistence Summary Tables'!Q$1, FALSE)*P50</f>
        <v>#REF!</v>
      </c>
      <c r="R50" s="103" t="e">
        <f>VLOOKUP($A50,#REF!, 'Persistence Summary Tables'!R$1, FALSE)*Q50</f>
        <v>#REF!</v>
      </c>
      <c r="S50" s="103" t="e">
        <f>VLOOKUP($A50,#REF!, 'Persistence Summary Tables'!S$1, FALSE)*R50</f>
        <v>#REF!</v>
      </c>
      <c r="U50" s="48" t="e">
        <f>B50</f>
        <v>#REF!</v>
      </c>
      <c r="V50" s="101" t="e">
        <f>SUMIFS(#REF!,#REF!, 'Persistence Summary Tables'!$A50,#REF!, CONCATENATE( "&gt;=", 'Persistence Summary Tables'!V$33))</f>
        <v>#REF!</v>
      </c>
      <c r="W50" s="101" t="e">
        <f>SUMIFS(#REF!,#REF!, 'Persistence Summary Tables'!$A50,#REF!, CONCATENATE( "&gt;=", 'Persistence Summary Tables'!W$33))</f>
        <v>#REF!</v>
      </c>
      <c r="X50" s="101" t="e">
        <f>SUMIFS(#REF!,#REF!, 'Persistence Summary Tables'!$A50,#REF!, CONCATENATE( "&gt;=", 'Persistence Summary Tables'!X$33))</f>
        <v>#REF!</v>
      </c>
      <c r="Y50" s="101" t="e">
        <f>SUMIFS(#REF!,#REF!, 'Persistence Summary Tables'!$A50,#REF!, CONCATENATE( "&gt;=", 'Persistence Summary Tables'!Y$33))</f>
        <v>#REF!</v>
      </c>
      <c r="Z50" s="101" t="e">
        <f>SUMIFS(#REF!,#REF!, 'Persistence Summary Tables'!$A50,#REF!, CONCATENATE( "&gt;=", 'Persistence Summary Tables'!Z$33))</f>
        <v>#REF!</v>
      </c>
      <c r="AA50" s="101" t="e">
        <f>SUMIFS(#REF!,#REF!, 'Persistence Summary Tables'!$A50,#REF!, CONCATENATE( "&gt;=", 'Persistence Summary Tables'!AA$33))</f>
        <v>#REF!</v>
      </c>
      <c r="AB50" s="101" t="e">
        <f>SUMIFS(#REF!,#REF!, 'Persistence Summary Tables'!$A50,#REF!, CONCATENATE( "&gt;=", 'Persistence Summary Tables'!AB$33))</f>
        <v>#REF!</v>
      </c>
      <c r="AC50" s="101" t="e">
        <f>SUMIFS(#REF!,#REF!, 'Persistence Summary Tables'!$A50,#REF!, CONCATENATE( "&gt;=", 'Persistence Summary Tables'!AC$33))</f>
        <v>#REF!</v>
      </c>
      <c r="AD50" s="101" t="e">
        <f>SUMIFS(#REF!,#REF!, 'Persistence Summary Tables'!$A50,#REF!, CONCATENATE( "&gt;=", 'Persistence Summary Tables'!AD$33))</f>
        <v>#REF!</v>
      </c>
    </row>
    <row r="51" spans="1:30" ht="15" hidden="1" customHeight="1" x14ac:dyDescent="0.2">
      <c r="A51" s="52" t="s">
        <v>77</v>
      </c>
      <c r="B51" s="45"/>
      <c r="C51" s="45"/>
      <c r="D51" s="45"/>
      <c r="E51" s="45"/>
      <c r="F51" s="17"/>
      <c r="G51" s="45"/>
      <c r="H51" s="45"/>
      <c r="J51" s="49"/>
      <c r="K51" s="49"/>
      <c r="L51" s="49"/>
      <c r="M51" s="49"/>
      <c r="N51" s="49"/>
      <c r="O51" s="49"/>
      <c r="P51" s="49"/>
      <c r="Q51" s="49"/>
      <c r="R51" s="49"/>
      <c r="S51" s="49"/>
      <c r="U51" s="48"/>
      <c r="V51" s="48"/>
      <c r="W51" s="48"/>
      <c r="X51" s="48"/>
      <c r="Y51" s="48"/>
      <c r="Z51" s="48"/>
      <c r="AA51" s="48"/>
      <c r="AB51" s="52"/>
      <c r="AC51" s="52"/>
      <c r="AD51" s="52"/>
    </row>
    <row r="52" spans="1:30" ht="15" hidden="1" customHeight="1" x14ac:dyDescent="0.2">
      <c r="A52" s="52" t="s">
        <v>65</v>
      </c>
      <c r="B52" s="45"/>
      <c r="C52" s="45"/>
      <c r="D52" s="45"/>
      <c r="E52" s="45"/>
      <c r="F52" s="17"/>
      <c r="G52" s="45"/>
      <c r="H52" s="45"/>
      <c r="J52" s="49"/>
      <c r="K52" s="49"/>
      <c r="L52" s="49"/>
      <c r="M52" s="49"/>
      <c r="N52" s="49"/>
      <c r="O52" s="49"/>
      <c r="P52" s="49"/>
      <c r="Q52" s="49"/>
      <c r="R52" s="49"/>
      <c r="S52" s="49"/>
      <c r="U52" s="48"/>
      <c r="V52" s="48"/>
      <c r="W52" s="48"/>
      <c r="X52" s="48"/>
      <c r="Y52" s="48"/>
      <c r="Z52" s="48"/>
      <c r="AA52" s="48"/>
      <c r="AB52" s="52"/>
      <c r="AC52" s="52"/>
      <c r="AD52" s="52"/>
    </row>
    <row r="53" spans="1:30" x14ac:dyDescent="0.2">
      <c r="A53" s="51" t="s">
        <v>49</v>
      </c>
      <c r="B53" s="59" t="e">
        <f>SUMIFS(#REF!,#REF!,$A53,#REF!,"Y")</f>
        <v>#REF!</v>
      </c>
      <c r="C53" s="45"/>
      <c r="D53" s="45"/>
      <c r="E53" s="45"/>
      <c r="F53" s="17"/>
      <c r="G53" s="45"/>
      <c r="H53" s="45"/>
      <c r="J53" s="49" t="e">
        <f>B53</f>
        <v>#REF!</v>
      </c>
      <c r="K53" s="101" t="e">
        <f>VLOOKUP($A53,#REF!, 'Persistence Summary Tables'!K$1, FALSE)*J53</f>
        <v>#REF!</v>
      </c>
      <c r="L53" s="101" t="e">
        <f>VLOOKUP($A53,#REF!, 'Persistence Summary Tables'!L$1, FALSE)*K53</f>
        <v>#REF!</v>
      </c>
      <c r="M53" s="101" t="e">
        <f>VLOOKUP($A53,#REF!, 'Persistence Summary Tables'!M$1, FALSE)*L53</f>
        <v>#REF!</v>
      </c>
      <c r="N53" s="101" t="e">
        <f>VLOOKUP($A53,#REF!, 'Persistence Summary Tables'!N$1, FALSE)*M53</f>
        <v>#REF!</v>
      </c>
      <c r="O53" s="101" t="e">
        <f>VLOOKUP($A53,#REF!, 'Persistence Summary Tables'!O$1, FALSE)*N53</f>
        <v>#REF!</v>
      </c>
      <c r="P53" s="101" t="e">
        <f>VLOOKUP($A53,#REF!, 'Persistence Summary Tables'!P$1, FALSE)*O53</f>
        <v>#REF!</v>
      </c>
      <c r="Q53" s="101" t="e">
        <f>VLOOKUP($A53,#REF!, 'Persistence Summary Tables'!Q$1, FALSE)*P53</f>
        <v>#REF!</v>
      </c>
      <c r="R53" s="101" t="e">
        <f>VLOOKUP($A53,#REF!, 'Persistence Summary Tables'!R$1, FALSE)*Q53</f>
        <v>#REF!</v>
      </c>
      <c r="S53" s="101" t="e">
        <f>VLOOKUP($A53,#REF!, 'Persistence Summary Tables'!S$1, FALSE)*R53</f>
        <v>#REF!</v>
      </c>
      <c r="U53" s="48"/>
      <c r="V53" s="48"/>
      <c r="W53" s="48"/>
      <c r="X53" s="48"/>
      <c r="Y53" s="48"/>
      <c r="Z53" s="48"/>
      <c r="AA53" s="48"/>
      <c r="AB53" s="51"/>
      <c r="AC53" s="51"/>
      <c r="AD53" s="51"/>
    </row>
    <row r="54" spans="1:30" ht="15" hidden="1" customHeight="1" x14ac:dyDescent="0.2">
      <c r="A54" s="52" t="s">
        <v>70</v>
      </c>
      <c r="B54" s="45"/>
      <c r="C54" s="45"/>
      <c r="D54" s="45"/>
      <c r="E54" s="45"/>
      <c r="F54" s="17"/>
      <c r="G54" s="45"/>
      <c r="H54" s="45"/>
      <c r="J54" s="49"/>
      <c r="K54" s="49"/>
      <c r="L54" s="49"/>
      <c r="M54" s="49"/>
      <c r="N54" s="49"/>
      <c r="O54" s="49"/>
      <c r="P54" s="49"/>
      <c r="Q54" s="49"/>
      <c r="R54" s="49"/>
      <c r="S54" s="49"/>
      <c r="U54" s="48"/>
      <c r="V54" s="48"/>
      <c r="W54" s="48"/>
      <c r="X54" s="48"/>
      <c r="Y54" s="48"/>
      <c r="Z54" s="48"/>
      <c r="AA54" s="48"/>
      <c r="AB54" s="52"/>
      <c r="AC54" s="52"/>
      <c r="AD54" s="52"/>
    </row>
    <row r="55" spans="1:30" x14ac:dyDescent="0.2">
      <c r="A55" s="51" t="s">
        <v>50</v>
      </c>
      <c r="B55" s="59" t="e">
        <f>SUMIFS(#REF!,#REF!,$A55,#REF!,"Y")</f>
        <v>#REF!</v>
      </c>
      <c r="C55" s="45"/>
      <c r="D55" s="45"/>
      <c r="E55" s="45"/>
      <c r="F55" s="17"/>
      <c r="G55" s="45"/>
      <c r="H55" s="45"/>
      <c r="J55" s="49" t="e">
        <f>B55</f>
        <v>#REF!</v>
      </c>
      <c r="K55" s="48"/>
      <c r="L55" s="48"/>
      <c r="M55" s="48"/>
      <c r="N55" s="48"/>
      <c r="O55" s="48"/>
      <c r="P55" s="48"/>
      <c r="Q55" s="48"/>
      <c r="R55" s="48"/>
      <c r="S55" s="48"/>
      <c r="U55" s="48">
        <v>954.57523017337985</v>
      </c>
      <c r="V55" s="101">
        <f>U55</f>
        <v>954.57523017337985</v>
      </c>
      <c r="W55" s="101">
        <f t="shared" ref="W55:AD55" si="8">V55</f>
        <v>954.57523017337985</v>
      </c>
      <c r="X55" s="101">
        <f t="shared" si="8"/>
        <v>954.57523017337985</v>
      </c>
      <c r="Y55" s="101">
        <f t="shared" si="8"/>
        <v>954.57523017337985</v>
      </c>
      <c r="Z55" s="101">
        <f t="shared" si="8"/>
        <v>954.57523017337985</v>
      </c>
      <c r="AA55" s="101">
        <f t="shared" si="8"/>
        <v>954.57523017337985</v>
      </c>
      <c r="AB55" s="101">
        <f t="shared" si="8"/>
        <v>954.57523017337985</v>
      </c>
      <c r="AC55" s="101">
        <f t="shared" si="8"/>
        <v>954.57523017337985</v>
      </c>
      <c r="AD55" s="101">
        <f t="shared" si="8"/>
        <v>954.57523017337985</v>
      </c>
    </row>
    <row r="56" spans="1:30" ht="15" hidden="1" customHeight="1" x14ac:dyDescent="0.2">
      <c r="A56" s="51" t="s">
        <v>69</v>
      </c>
      <c r="B56" s="45"/>
      <c r="C56" s="45"/>
      <c r="D56" s="45"/>
      <c r="E56" s="45"/>
      <c r="F56" s="17"/>
      <c r="G56" s="45"/>
      <c r="H56" s="45"/>
      <c r="J56" s="49"/>
      <c r="K56" s="49"/>
      <c r="L56" s="49"/>
      <c r="M56" s="49"/>
      <c r="N56" s="49"/>
      <c r="O56" s="49"/>
      <c r="P56" s="49"/>
      <c r="Q56" s="49"/>
      <c r="R56" s="49"/>
      <c r="S56" s="49"/>
      <c r="U56" s="52"/>
      <c r="V56" s="52"/>
      <c r="W56" s="52"/>
      <c r="X56" s="52"/>
      <c r="Y56" s="52"/>
      <c r="Z56" s="52"/>
      <c r="AA56" s="52"/>
      <c r="AB56" s="52"/>
      <c r="AC56" s="52"/>
      <c r="AD56" s="52"/>
    </row>
    <row r="57" spans="1:30" ht="15" hidden="1" customHeight="1" x14ac:dyDescent="0.2">
      <c r="A57" s="51" t="s">
        <v>71</v>
      </c>
      <c r="B57" s="45"/>
      <c r="C57" s="45"/>
      <c r="D57" s="45"/>
      <c r="E57" s="45"/>
      <c r="F57" s="17"/>
      <c r="G57" s="45"/>
      <c r="H57" s="45"/>
      <c r="J57" s="49"/>
      <c r="K57" s="49"/>
      <c r="L57" s="49"/>
      <c r="M57" s="49"/>
      <c r="N57" s="49"/>
      <c r="O57" s="49"/>
      <c r="P57" s="49"/>
      <c r="Q57" s="49"/>
      <c r="R57" s="49"/>
      <c r="S57" s="49"/>
      <c r="U57" s="52"/>
      <c r="V57" s="52"/>
      <c r="W57" s="52"/>
      <c r="X57" s="52"/>
      <c r="Y57" s="52"/>
      <c r="Z57" s="52"/>
      <c r="AA57" s="52"/>
      <c r="AB57" s="52"/>
      <c r="AC57" s="52"/>
      <c r="AD57" s="52"/>
    </row>
    <row r="58" spans="1:30" ht="15" hidden="1" customHeight="1" x14ac:dyDescent="0.2">
      <c r="A58" s="52" t="s">
        <v>66</v>
      </c>
      <c r="B58" s="45"/>
      <c r="C58" s="45"/>
      <c r="D58" s="45"/>
      <c r="E58" s="45"/>
      <c r="F58" s="17"/>
      <c r="G58" s="45"/>
      <c r="H58" s="45"/>
      <c r="J58" s="49"/>
      <c r="K58" s="49"/>
      <c r="L58" s="49"/>
      <c r="M58" s="49"/>
      <c r="N58" s="49"/>
      <c r="O58" s="49"/>
      <c r="P58" s="49"/>
      <c r="Q58" s="49"/>
      <c r="R58" s="49"/>
      <c r="S58" s="49"/>
      <c r="U58" s="52"/>
      <c r="V58" s="52"/>
      <c r="W58" s="52"/>
      <c r="X58" s="52"/>
      <c r="Y58" s="52"/>
      <c r="Z58" s="52"/>
      <c r="AA58" s="52"/>
      <c r="AB58" s="52"/>
      <c r="AC58" s="52"/>
      <c r="AD58" s="52"/>
    </row>
    <row r="59" spans="1:30" ht="15" hidden="1" customHeight="1" x14ac:dyDescent="0.2">
      <c r="A59" s="52" t="s">
        <v>67</v>
      </c>
      <c r="B59" s="45"/>
      <c r="C59" s="45"/>
      <c r="D59" s="45"/>
      <c r="E59" s="45"/>
      <c r="F59" s="17"/>
      <c r="G59" s="45"/>
      <c r="H59" s="45"/>
      <c r="J59" s="49"/>
      <c r="K59" s="49"/>
      <c r="L59" s="49"/>
      <c r="M59" s="49"/>
      <c r="N59" s="49"/>
      <c r="O59" s="49"/>
      <c r="P59" s="49"/>
      <c r="Q59" s="49"/>
      <c r="R59" s="49"/>
      <c r="S59" s="49"/>
      <c r="U59" s="52"/>
      <c r="V59" s="52"/>
      <c r="W59" s="52"/>
      <c r="X59" s="52"/>
      <c r="Y59" s="52"/>
      <c r="Z59" s="52"/>
      <c r="AA59" s="52"/>
      <c r="AB59" s="52"/>
      <c r="AC59" s="52"/>
      <c r="AD59" s="52"/>
    </row>
    <row r="60" spans="1:30" x14ac:dyDescent="0.2">
      <c r="A60" s="58" t="s">
        <v>83</v>
      </c>
      <c r="B60" s="53"/>
      <c r="C60" s="53"/>
      <c r="D60" s="53"/>
      <c r="E60" s="53"/>
      <c r="F60" s="17"/>
      <c r="G60" s="53"/>
      <c r="H60" s="53"/>
      <c r="J60" s="54"/>
      <c r="K60" s="54"/>
      <c r="L60" s="54"/>
      <c r="M60" s="54"/>
      <c r="N60" s="54"/>
      <c r="O60" s="54"/>
      <c r="P60" s="54"/>
      <c r="Q60" s="54"/>
      <c r="R60" s="54"/>
      <c r="S60" s="54"/>
      <c r="U60" s="55"/>
      <c r="V60" s="55"/>
      <c r="W60" s="55"/>
      <c r="X60" s="55"/>
      <c r="Y60" s="55"/>
      <c r="Z60" s="55"/>
      <c r="AA60" s="55"/>
      <c r="AB60" s="55"/>
      <c r="AC60" s="55"/>
      <c r="AD60" s="55"/>
    </row>
    <row r="61" spans="1:30" x14ac:dyDescent="0.2">
      <c r="A61" s="51" t="s">
        <v>43</v>
      </c>
      <c r="B61" s="59" t="e">
        <f>SUMIFS(#REF!,#REF!,$A61,#REF!,"Y")</f>
        <v>#REF!</v>
      </c>
      <c r="C61" s="45"/>
      <c r="D61" s="45"/>
      <c r="E61" s="45"/>
      <c r="F61" s="17"/>
      <c r="G61" s="45"/>
      <c r="H61" s="45"/>
      <c r="J61" s="49" t="e">
        <f>B61</f>
        <v>#REF!</v>
      </c>
      <c r="K61" s="48"/>
      <c r="L61" s="48"/>
      <c r="M61" s="48"/>
      <c r="N61" s="48"/>
      <c r="O61" s="48"/>
      <c r="P61" s="48"/>
      <c r="Q61" s="48"/>
      <c r="R61" s="48"/>
      <c r="S61" s="48"/>
      <c r="U61" s="48" t="e">
        <f>B61</f>
        <v>#REF!</v>
      </c>
      <c r="V61" s="101" t="e">
        <f>SUMIFS(#REF!,#REF!, 'Persistence Summary Tables'!$A61,#REF!, CONCATENATE( "&gt;=", 'Persistence Summary Tables'!V$33))</f>
        <v>#REF!</v>
      </c>
      <c r="W61" s="101" t="e">
        <f>SUMIFS(#REF!,#REF!, 'Persistence Summary Tables'!$A61,#REF!, CONCATENATE( "&gt;=", 'Persistence Summary Tables'!W$33))</f>
        <v>#REF!</v>
      </c>
      <c r="X61" s="101" t="e">
        <f>SUMIFS(#REF!,#REF!, 'Persistence Summary Tables'!$A61,#REF!, CONCATENATE( "&gt;=", 'Persistence Summary Tables'!X$33))</f>
        <v>#REF!</v>
      </c>
      <c r="Y61" s="101" t="e">
        <f>SUMIFS(#REF!,#REF!, 'Persistence Summary Tables'!$A61,#REF!, CONCATENATE( "&gt;=", 'Persistence Summary Tables'!Y$33))</f>
        <v>#REF!</v>
      </c>
      <c r="Z61" s="101" t="e">
        <f>SUMIFS(#REF!,#REF!, 'Persistence Summary Tables'!$A61,#REF!, CONCATENATE( "&gt;=", 'Persistence Summary Tables'!Z$33))</f>
        <v>#REF!</v>
      </c>
      <c r="AA61" s="101" t="e">
        <f>SUMIFS(#REF!,#REF!, 'Persistence Summary Tables'!$A61,#REF!, CONCATENATE( "&gt;=", 'Persistence Summary Tables'!AA$33))</f>
        <v>#REF!</v>
      </c>
      <c r="AB61" s="101" t="e">
        <f>SUMIFS(#REF!,#REF!, 'Persistence Summary Tables'!$A61,#REF!, CONCATENATE( "&gt;=", 'Persistence Summary Tables'!AB$33))</f>
        <v>#REF!</v>
      </c>
      <c r="AC61" s="101" t="e">
        <f>SUMIFS(#REF!,#REF!, 'Persistence Summary Tables'!$A61,#REF!, CONCATENATE( "&gt;=", 'Persistence Summary Tables'!AC$33))</f>
        <v>#REF!</v>
      </c>
      <c r="AD61" s="101" t="e">
        <f>SUMIFS(#REF!,#REF!, 'Persistence Summary Tables'!$A61,#REF!, CONCATENATE( "&gt;=", 'Persistence Summary Tables'!AD$33))</f>
        <v>#REF!</v>
      </c>
    </row>
  </sheetData>
  <mergeCells count="8">
    <mergeCell ref="U2:AD2"/>
    <mergeCell ref="U34:AD34"/>
    <mergeCell ref="B2:E2"/>
    <mergeCell ref="G2:H2"/>
    <mergeCell ref="J2:S2"/>
    <mergeCell ref="B34:E34"/>
    <mergeCell ref="G34:H34"/>
    <mergeCell ref="J34:S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D2C2-235E-445A-92E5-604C0B6F5436}">
  <dimension ref="A1:AC14"/>
  <sheetViews>
    <sheetView tabSelected="1" zoomScale="85" zoomScaleNormal="85" workbookViewId="0">
      <selection activeCell="Z3" sqref="Z3"/>
    </sheetView>
  </sheetViews>
  <sheetFormatPr baseColWidth="10" defaultColWidth="8.83203125" defaultRowHeight="15" x14ac:dyDescent="0.2"/>
  <cols>
    <col min="1" max="1" width="71.5" bestFit="1" customWidth="1"/>
    <col min="2" max="2" width="11.6640625" bestFit="1" customWidth="1"/>
    <col min="3" max="3" width="11.6640625" customWidth="1"/>
    <col min="4" max="6" width="11.6640625" bestFit="1" customWidth="1"/>
    <col min="7" max="8" width="2.6640625" customWidth="1"/>
    <col min="9" max="18" width="11.6640625" bestFit="1" customWidth="1"/>
    <col min="19" max="19" width="2.6640625" customWidth="1"/>
    <col min="21" max="21" width="10.33203125" bestFit="1" customWidth="1"/>
    <col min="22" max="29" width="11.6640625" bestFit="1" customWidth="1"/>
  </cols>
  <sheetData>
    <row r="1" spans="1:29" ht="19" x14ac:dyDescent="0.25">
      <c r="A1" s="118"/>
      <c r="G1" s="41"/>
      <c r="H1" s="41"/>
      <c r="I1" s="152">
        <v>34</v>
      </c>
      <c r="J1" s="152">
        <v>35</v>
      </c>
      <c r="K1" s="152">
        <f>J1+1</f>
        <v>36</v>
      </c>
      <c r="L1" s="152">
        <f t="shared" ref="L1" si="0">K1+1</f>
        <v>37</v>
      </c>
      <c r="M1" s="152">
        <f t="shared" ref="M1" si="1">L1+1</f>
        <v>38</v>
      </c>
      <c r="N1" s="152">
        <f t="shared" ref="N1" si="2">M1+1</f>
        <v>39</v>
      </c>
      <c r="O1" s="152">
        <f t="shared" ref="O1" si="3">N1+1</f>
        <v>40</v>
      </c>
      <c r="P1" s="152">
        <f t="shared" ref="P1" si="4">O1+1</f>
        <v>41</v>
      </c>
      <c r="Q1" s="152">
        <f t="shared" ref="Q1" si="5">P1+1</f>
        <v>42</v>
      </c>
      <c r="R1" s="152">
        <f t="shared" ref="R1" si="6">Q1+1</f>
        <v>43</v>
      </c>
      <c r="S1" s="152"/>
      <c r="T1" s="152">
        <v>1</v>
      </c>
      <c r="U1" s="152">
        <f>T1+1</f>
        <v>2</v>
      </c>
      <c r="V1" s="152">
        <f t="shared" ref="V1:AC1" si="7">U1+1</f>
        <v>3</v>
      </c>
      <c r="W1" s="152">
        <f t="shared" si="7"/>
        <v>4</v>
      </c>
      <c r="X1" s="152">
        <f t="shared" si="7"/>
        <v>5</v>
      </c>
      <c r="Y1" s="152">
        <f t="shared" si="7"/>
        <v>6</v>
      </c>
      <c r="Z1" s="152">
        <f t="shared" si="7"/>
        <v>7</v>
      </c>
      <c r="AA1" s="152">
        <f t="shared" si="7"/>
        <v>8</v>
      </c>
      <c r="AB1" s="152">
        <f t="shared" si="7"/>
        <v>9</v>
      </c>
      <c r="AC1" s="152">
        <f t="shared" si="7"/>
        <v>10</v>
      </c>
    </row>
    <row r="2" spans="1:29" ht="19" x14ac:dyDescent="0.25">
      <c r="A2" s="118"/>
      <c r="G2" s="41"/>
      <c r="H2" s="41"/>
      <c r="I2" s="152">
        <v>9</v>
      </c>
      <c r="J2" s="152">
        <f>I2+1</f>
        <v>10</v>
      </c>
      <c r="K2" s="152">
        <f>J2+1</f>
        <v>11</v>
      </c>
      <c r="L2" s="152">
        <f t="shared" ref="L2" si="8">K2+1</f>
        <v>12</v>
      </c>
      <c r="M2" s="152">
        <f t="shared" ref="M2" si="9">L2+1</f>
        <v>13</v>
      </c>
      <c r="N2" s="152">
        <f t="shared" ref="N2" si="10">M2+1</f>
        <v>14</v>
      </c>
      <c r="O2" s="152">
        <f t="shared" ref="O2" si="11">N2+1</f>
        <v>15</v>
      </c>
      <c r="P2" s="152">
        <f t="shared" ref="P2" si="12">O2+1</f>
        <v>16</v>
      </c>
      <c r="Q2" s="152">
        <f t="shared" ref="Q2" si="13">P2+1</f>
        <v>17</v>
      </c>
      <c r="R2" s="152">
        <f t="shared" ref="R2" si="14">Q2+1</f>
        <v>18</v>
      </c>
      <c r="S2" s="152"/>
      <c r="T2" s="152">
        <v>1</v>
      </c>
      <c r="U2" s="152">
        <f>T2+1</f>
        <v>2</v>
      </c>
      <c r="V2" s="152">
        <f t="shared" ref="V2" si="15">U2+1</f>
        <v>3</v>
      </c>
      <c r="W2" s="152">
        <f t="shared" ref="W2" si="16">V2+1</f>
        <v>4</v>
      </c>
      <c r="X2" s="152">
        <f t="shared" ref="X2" si="17">W2+1</f>
        <v>5</v>
      </c>
      <c r="Y2" s="152">
        <f t="shared" ref="Y2" si="18">X2+1</f>
        <v>6</v>
      </c>
      <c r="Z2" s="152">
        <f t="shared" ref="Z2" si="19">Y2+1</f>
        <v>7</v>
      </c>
      <c r="AA2" s="152">
        <f t="shared" ref="AA2" si="20">Z2+1</f>
        <v>8</v>
      </c>
      <c r="AB2" s="152">
        <f t="shared" ref="AB2" si="21">AA2+1</f>
        <v>9</v>
      </c>
      <c r="AC2" s="152">
        <f t="shared" ref="AC2" si="22">AB2+1</f>
        <v>10</v>
      </c>
    </row>
    <row r="3" spans="1:29" ht="19" x14ac:dyDescent="0.25">
      <c r="A3" s="118" t="s">
        <v>134</v>
      </c>
      <c r="G3" s="41"/>
      <c r="H3" s="41"/>
      <c r="I3" s="152">
        <v>34</v>
      </c>
      <c r="J3" s="152">
        <v>35</v>
      </c>
      <c r="K3" s="152">
        <f>J3+1</f>
        <v>36</v>
      </c>
      <c r="L3" s="152">
        <f t="shared" ref="L3" si="23">K3+1</f>
        <v>37</v>
      </c>
      <c r="M3" s="152">
        <f t="shared" ref="M3" si="24">L3+1</f>
        <v>38</v>
      </c>
      <c r="N3" s="152">
        <f t="shared" ref="N3" si="25">M3+1</f>
        <v>39</v>
      </c>
      <c r="O3" s="152">
        <f t="shared" ref="O3" si="26">N3+1</f>
        <v>40</v>
      </c>
      <c r="P3" s="152">
        <f t="shared" ref="P3" si="27">O3+1</f>
        <v>41</v>
      </c>
      <c r="Q3" s="152">
        <f t="shared" ref="Q3" si="28">P3+1</f>
        <v>42</v>
      </c>
      <c r="R3" s="152">
        <f t="shared" ref="R3" si="29">Q3+1</f>
        <v>43</v>
      </c>
      <c r="S3" s="152"/>
      <c r="T3" s="152">
        <v>1</v>
      </c>
      <c r="U3" s="152">
        <f>T3+1</f>
        <v>2</v>
      </c>
      <c r="V3" s="152">
        <f t="shared" ref="V3" si="30">U3+1</f>
        <v>3</v>
      </c>
      <c r="W3" s="152">
        <f t="shared" ref="W3" si="31">V3+1</f>
        <v>4</v>
      </c>
      <c r="X3" s="152">
        <f t="shared" ref="X3" si="32">W3+1</f>
        <v>5</v>
      </c>
      <c r="Y3" s="152">
        <f t="shared" ref="Y3" si="33">X3+1</f>
        <v>6</v>
      </c>
      <c r="Z3" s="152">
        <f t="shared" ref="Z3" si="34">Y3+1</f>
        <v>7</v>
      </c>
      <c r="AA3" s="152">
        <f t="shared" ref="AA3" si="35">Z3+1</f>
        <v>8</v>
      </c>
      <c r="AB3" s="152">
        <f t="shared" ref="AB3" si="36">AA3+1</f>
        <v>9</v>
      </c>
      <c r="AC3" s="152">
        <f t="shared" ref="AC3" si="37">AB3+1</f>
        <v>10</v>
      </c>
    </row>
    <row r="4" spans="1:29" x14ac:dyDescent="0.2">
      <c r="B4" s="126" t="s">
        <v>73</v>
      </c>
      <c r="C4" s="126"/>
      <c r="D4" s="126"/>
      <c r="E4" s="126"/>
      <c r="F4" s="126"/>
      <c r="G4" s="57"/>
      <c r="H4" s="41"/>
      <c r="I4" s="127" t="s">
        <v>116</v>
      </c>
      <c r="J4" s="128"/>
      <c r="K4" s="128"/>
      <c r="L4" s="128"/>
      <c r="M4" s="128"/>
      <c r="N4" s="128"/>
      <c r="O4" s="128"/>
      <c r="P4" s="128"/>
      <c r="Q4" s="128"/>
      <c r="R4" s="129"/>
      <c r="T4" s="125" t="s">
        <v>118</v>
      </c>
      <c r="U4" s="125"/>
      <c r="V4" s="125"/>
      <c r="W4" s="125"/>
      <c r="X4" s="125"/>
      <c r="Y4" s="125"/>
      <c r="Z4" s="125"/>
      <c r="AA4" s="125"/>
      <c r="AB4" s="125"/>
      <c r="AC4" s="125"/>
    </row>
    <row r="5" spans="1:29" ht="16" x14ac:dyDescent="0.2">
      <c r="A5" s="50" t="s">
        <v>113</v>
      </c>
      <c r="B5" s="46" t="s">
        <v>23</v>
      </c>
      <c r="C5" s="42">
        <v>2016</v>
      </c>
      <c r="D5" s="42">
        <v>2017</v>
      </c>
      <c r="E5" s="42">
        <v>2018</v>
      </c>
      <c r="F5" s="42">
        <v>2019</v>
      </c>
      <c r="G5" s="40"/>
      <c r="H5" s="41"/>
      <c r="I5" s="47">
        <v>2016</v>
      </c>
      <c r="J5" s="47">
        <v>2017</v>
      </c>
      <c r="K5" s="47">
        <v>2018</v>
      </c>
      <c r="L5" s="47">
        <v>2019</v>
      </c>
      <c r="M5" s="47">
        <v>2020</v>
      </c>
      <c r="N5" s="47">
        <v>2021</v>
      </c>
      <c r="O5" s="47">
        <v>2022</v>
      </c>
      <c r="P5" s="47">
        <v>2023</v>
      </c>
      <c r="Q5" s="47">
        <v>2024</v>
      </c>
      <c r="R5" s="47">
        <v>2025</v>
      </c>
      <c r="T5" s="47">
        <v>2016</v>
      </c>
      <c r="U5" s="47">
        <v>2017</v>
      </c>
      <c r="V5" s="47">
        <v>2018</v>
      </c>
      <c r="W5" s="47">
        <v>2019</v>
      </c>
      <c r="X5" s="47">
        <v>2020</v>
      </c>
      <c r="Y5" s="47">
        <v>2021</v>
      </c>
      <c r="Z5" s="47">
        <v>2022</v>
      </c>
      <c r="AA5" s="47">
        <v>2023</v>
      </c>
      <c r="AB5" s="47">
        <v>2024</v>
      </c>
      <c r="AC5" s="47">
        <v>2025</v>
      </c>
    </row>
    <row r="6" spans="1:29" x14ac:dyDescent="0.2">
      <c r="A6" s="58" t="s">
        <v>82</v>
      </c>
      <c r="B6" s="53"/>
      <c r="C6" s="53"/>
      <c r="D6" s="53"/>
      <c r="E6" s="53"/>
      <c r="F6" s="53"/>
      <c r="G6" s="17"/>
      <c r="H6" s="41"/>
      <c r="I6" s="54"/>
      <c r="J6" s="54"/>
      <c r="K6" s="54"/>
      <c r="L6" s="54"/>
      <c r="M6" s="54"/>
      <c r="N6" s="54"/>
      <c r="O6" s="54"/>
      <c r="P6" s="54"/>
      <c r="Q6" s="54"/>
      <c r="R6" s="54"/>
      <c r="S6" s="41"/>
      <c r="T6" s="55"/>
      <c r="U6" s="55"/>
      <c r="V6" s="55"/>
      <c r="W6" s="55"/>
      <c r="X6" s="55"/>
      <c r="Y6" s="55"/>
      <c r="Z6" s="55"/>
      <c r="AA6" s="55"/>
      <c r="AB6" s="55"/>
      <c r="AC6" s="55"/>
    </row>
    <row r="7" spans="1:29" x14ac:dyDescent="0.2">
      <c r="A7" s="51" t="s">
        <v>38</v>
      </c>
      <c r="B7" s="45">
        <f>SUMIFS('2016 True-up List'!Y$3:Y$1371,'2016 True-up List'!$V$3:$V$1371,$A7,'2016 True-up List'!$AO$3:$AO$1371,"Y")</f>
        <v>1204721.1665537709</v>
      </c>
      <c r="C7" s="59">
        <f>SUMIFS('2016 True-up List'!AB$3:AB$1371,'2016 True-up List'!$V$3:$V$1371,$A7,'2016 True-up List'!$AO$3:$AO$1371,"Y")</f>
        <v>1204721.1665537709</v>
      </c>
      <c r="D7" s="59">
        <f>SUMIFS('2016 True-up List'!AC$3:AC$1371,'2016 True-up List'!$V$3:$V$1371,$A7,'2016 True-up List'!$AO$3:$AO$1371,"Y")</f>
        <v>1198763.6949277383</v>
      </c>
      <c r="E7" s="59">
        <f>SUMIFS('2016 True-up List'!AD$3:AD$1371,'2016 True-up List'!$V$3:$V$1371,$A7,'2016 True-up List'!$AO$3:$AO$1371,"Y")</f>
        <v>1198763.6949277383</v>
      </c>
      <c r="F7" s="59">
        <f>SUMIFS('2016 True-up List'!AE$3:AE$1371,'2016 True-up List'!$V$3:$V$1371,$A7,'2016 True-up List'!$AO$3:$AO$1371,"Y")</f>
        <v>1198763.6949277383</v>
      </c>
      <c r="G7" s="17"/>
      <c r="H7" s="41"/>
      <c r="I7" s="49"/>
      <c r="J7" s="48"/>
      <c r="K7" s="48"/>
      <c r="L7" s="48">
        <f>F7</f>
        <v>1198763.6949277383</v>
      </c>
      <c r="M7" s="101">
        <f>VLOOKUP($A7, '2016 Historical Persistence'!$A$10:$BE$11, '2016 True-Up Persistence Tables'!M$1, FALSE)*L7</f>
        <v>1198763.6949277383</v>
      </c>
      <c r="N7" s="101">
        <f>VLOOKUP($A7, '2016 Historical Persistence'!$A$10:$BE$11, '2016 True-Up Persistence Tables'!N$1, FALSE)*M7</f>
        <v>1185295.0994664144</v>
      </c>
      <c r="O7" s="101">
        <f>VLOOKUP($A7, '2016 Historical Persistence'!$A$10:$BE$11, '2016 True-Up Persistence Tables'!O$1, FALSE)*N7</f>
        <v>1185295.0994664144</v>
      </c>
      <c r="P7" s="101">
        <f>VLOOKUP($A7, '2016 Historical Persistence'!$A$10:$BE$11, '2016 True-Up Persistence Tables'!P$1, FALSE)*O7</f>
        <v>1185295.0994664144</v>
      </c>
      <c r="Q7" s="101">
        <f>VLOOKUP($A7, '2016 Historical Persistence'!$A$10:$BE$11, '2016 True-Up Persistence Tables'!Q$1, FALSE)*P7</f>
        <v>1184454.4477936961</v>
      </c>
      <c r="R7" s="101">
        <f>VLOOKUP($A7, '2016 Historical Persistence'!$A$10:$BE$11, '2016 True-Up Persistence Tables'!R$1, FALSE)*Q7</f>
        <v>1184454.4477936961</v>
      </c>
      <c r="T7" s="48"/>
      <c r="U7" s="48"/>
      <c r="V7" s="48"/>
      <c r="W7" s="48"/>
      <c r="X7" s="48"/>
      <c r="Y7" s="48"/>
      <c r="Z7" s="48"/>
      <c r="AA7" s="51"/>
      <c r="AB7" s="51"/>
      <c r="AC7" s="51"/>
    </row>
    <row r="8" spans="1:29" x14ac:dyDescent="0.2">
      <c r="M8" s="116"/>
      <c r="N8" s="116"/>
      <c r="O8" s="116"/>
      <c r="P8" s="116"/>
      <c r="Q8" s="116"/>
      <c r="R8" s="116"/>
    </row>
    <row r="9" spans="1:29" ht="19" x14ac:dyDescent="0.25">
      <c r="A9" s="118" t="s">
        <v>134</v>
      </c>
      <c r="G9" s="41"/>
      <c r="H9" s="41"/>
      <c r="I9">
        <v>9</v>
      </c>
      <c r="J9">
        <f>I9+1</f>
        <v>10</v>
      </c>
      <c r="K9">
        <f>J9+1</f>
        <v>11</v>
      </c>
      <c r="L9">
        <f t="shared" ref="L9" si="38">K9+1</f>
        <v>12</v>
      </c>
      <c r="M9">
        <f t="shared" ref="M9" si="39">L9+1</f>
        <v>13</v>
      </c>
      <c r="N9">
        <f t="shared" ref="N9" si="40">M9+1</f>
        <v>14</v>
      </c>
      <c r="O9">
        <f t="shared" ref="O9" si="41">N9+1</f>
        <v>15</v>
      </c>
      <c r="P9">
        <f t="shared" ref="P9" si="42">O9+1</f>
        <v>16</v>
      </c>
      <c r="Q9">
        <f t="shared" ref="Q9" si="43">P9+1</f>
        <v>17</v>
      </c>
      <c r="R9">
        <f t="shared" ref="R9" si="44">Q9+1</f>
        <v>18</v>
      </c>
      <c r="T9">
        <v>1</v>
      </c>
      <c r="U9">
        <f>T9+1</f>
        <v>2</v>
      </c>
      <c r="V9">
        <f t="shared" ref="V9" si="45">U9+1</f>
        <v>3</v>
      </c>
      <c r="W9">
        <f t="shared" ref="W9" si="46">V9+1</f>
        <v>4</v>
      </c>
      <c r="X9">
        <f t="shared" ref="X9" si="47">W9+1</f>
        <v>5</v>
      </c>
      <c r="Y9">
        <f t="shared" ref="Y9" si="48">X9+1</f>
        <v>6</v>
      </c>
      <c r="Z9">
        <f t="shared" ref="Z9" si="49">Y9+1</f>
        <v>7</v>
      </c>
      <c r="AA9">
        <f t="shared" ref="AA9" si="50">Z9+1</f>
        <v>8</v>
      </c>
      <c r="AB9">
        <f t="shared" ref="AB9" si="51">AA9+1</f>
        <v>9</v>
      </c>
      <c r="AC9">
        <f t="shared" ref="AC9" si="52">AB9+1</f>
        <v>10</v>
      </c>
    </row>
    <row r="10" spans="1:29" x14ac:dyDescent="0.2">
      <c r="B10" s="126" t="s">
        <v>73</v>
      </c>
      <c r="C10" s="126"/>
      <c r="D10" s="126"/>
      <c r="E10" s="126"/>
      <c r="F10" s="126"/>
      <c r="G10" s="57"/>
      <c r="H10" s="41"/>
      <c r="I10" s="127" t="s">
        <v>116</v>
      </c>
      <c r="J10" s="128"/>
      <c r="K10" s="128"/>
      <c r="L10" s="128"/>
      <c r="M10" s="128"/>
      <c r="N10" s="128"/>
      <c r="O10" s="128"/>
      <c r="P10" s="128"/>
      <c r="Q10" s="128"/>
      <c r="R10" s="129"/>
      <c r="T10" s="125" t="s">
        <v>118</v>
      </c>
      <c r="U10" s="125"/>
      <c r="V10" s="125"/>
      <c r="W10" s="125"/>
      <c r="X10" s="125"/>
      <c r="Y10" s="125"/>
      <c r="Z10" s="125"/>
      <c r="AA10" s="125"/>
      <c r="AB10" s="125"/>
      <c r="AC10" s="125"/>
    </row>
    <row r="11" spans="1:29" ht="16" x14ac:dyDescent="0.2">
      <c r="A11" s="50" t="s">
        <v>114</v>
      </c>
      <c r="B11" s="46" t="s">
        <v>23</v>
      </c>
      <c r="C11" s="42">
        <v>2016</v>
      </c>
      <c r="D11" s="42">
        <v>2017</v>
      </c>
      <c r="E11" s="42">
        <v>2018</v>
      </c>
      <c r="F11" s="42">
        <v>2019</v>
      </c>
      <c r="G11" s="40"/>
      <c r="H11" s="41"/>
      <c r="I11" s="47">
        <v>2016</v>
      </c>
      <c r="J11" s="47">
        <v>2017</v>
      </c>
      <c r="K11" s="47">
        <v>2018</v>
      </c>
      <c r="L11" s="47">
        <v>2019</v>
      </c>
      <c r="M11" s="47">
        <v>2020</v>
      </c>
      <c r="N11" s="47">
        <v>2021</v>
      </c>
      <c r="O11" s="47">
        <v>2022</v>
      </c>
      <c r="P11" s="47">
        <v>2023</v>
      </c>
      <c r="Q11" s="47">
        <v>2024</v>
      </c>
      <c r="R11" s="47">
        <v>2025</v>
      </c>
      <c r="T11" s="47">
        <v>2016</v>
      </c>
      <c r="U11" s="47">
        <v>2017</v>
      </c>
      <c r="V11" s="47">
        <v>2018</v>
      </c>
      <c r="W11" s="47">
        <v>2019</v>
      </c>
      <c r="X11" s="47">
        <v>2020</v>
      </c>
      <c r="Y11" s="47">
        <v>2021</v>
      </c>
      <c r="Z11" s="47">
        <v>2022</v>
      </c>
      <c r="AA11" s="47">
        <v>2023</v>
      </c>
      <c r="AB11" s="47">
        <v>2024</v>
      </c>
      <c r="AC11" s="47">
        <v>2025</v>
      </c>
    </row>
    <row r="12" spans="1:29" x14ac:dyDescent="0.2">
      <c r="A12" s="58" t="s">
        <v>82</v>
      </c>
      <c r="B12" s="53"/>
      <c r="C12" s="53"/>
      <c r="D12" s="53"/>
      <c r="E12" s="53"/>
      <c r="F12" s="53"/>
      <c r="G12" s="17"/>
      <c r="H12" s="41"/>
      <c r="I12" s="54"/>
      <c r="J12" s="54"/>
      <c r="K12" s="54"/>
      <c r="L12" s="54"/>
      <c r="M12" s="54"/>
      <c r="N12" s="54"/>
      <c r="O12" s="54"/>
      <c r="P12" s="54"/>
      <c r="Q12" s="54"/>
      <c r="R12" s="54"/>
      <c r="S12" s="41"/>
      <c r="T12" s="55"/>
      <c r="U12" s="55"/>
      <c r="V12" s="55"/>
      <c r="W12" s="55"/>
      <c r="X12" s="55"/>
      <c r="Y12" s="55"/>
      <c r="Z12" s="55"/>
      <c r="AA12" s="55"/>
      <c r="AB12" s="55"/>
      <c r="AC12" s="55"/>
    </row>
    <row r="13" spans="1:29" x14ac:dyDescent="0.2">
      <c r="A13" s="51" t="s">
        <v>38</v>
      </c>
      <c r="B13" s="59">
        <f>SUMIFS('2016 True-up List'!AN$3:AN$1371,'2016 True-up List'!$V$3:$V$1371,$A13,'2016 True-up List'!$AO$3:$AO$1371,"Y")</f>
        <v>50.607475999999998</v>
      </c>
      <c r="C13" s="45"/>
      <c r="D13" s="45"/>
      <c r="E13" s="45"/>
      <c r="F13" s="45"/>
      <c r="G13" s="17"/>
      <c r="H13" s="41"/>
      <c r="I13" s="49">
        <f>B13</f>
        <v>50.607475999999998</v>
      </c>
      <c r="J13" s="101">
        <f>VLOOKUP($A13, '2016 Historical Persistence'!$A$10:$BE$11, '2016 True-Up Persistence Tables'!J$2, FALSE)*I13</f>
        <v>49.744235471215347</v>
      </c>
      <c r="K13" s="101">
        <f>VLOOKUP($A13, '2016 Historical Persistence'!$A$10:$BE$11, '2016 True-Up Persistence Tables'!K$2, FALSE)*J13</f>
        <v>49.744235471215347</v>
      </c>
      <c r="L13" s="101">
        <f>VLOOKUP($A13, '2016 Historical Persistence'!$A$10:$BE$11, '2016 True-Up Persistence Tables'!L$2, FALSE)*K13</f>
        <v>49.744235471215347</v>
      </c>
      <c r="M13" s="101">
        <f>VLOOKUP($A13, '2016 Historical Persistence'!$A$10:$BE$11, '2016 True-Up Persistence Tables'!M$2, FALSE)*L13</f>
        <v>49.744235471215347</v>
      </c>
      <c r="N13" s="101">
        <f>VLOOKUP($A13, '2016 Historical Persistence'!$A$10:$BE$11, '2016 True-Up Persistence Tables'!N$2, FALSE)*M13</f>
        <v>49.096805074626864</v>
      </c>
      <c r="O13" s="101">
        <f>VLOOKUP($A13, '2016 Historical Persistence'!$A$10:$BE$11, '2016 True-Up Persistence Tables'!O$2, FALSE)*N13</f>
        <v>49.096805074626864</v>
      </c>
      <c r="P13" s="101">
        <f>VLOOKUP($A13, '2016 Historical Persistence'!$A$10:$BE$11, '2016 True-Up Persistence Tables'!P$2, FALSE)*O13</f>
        <v>49.096805074626864</v>
      </c>
      <c r="Q13" s="101">
        <f>VLOOKUP($A13, '2016 Historical Persistence'!$A$10:$BE$11, '2016 True-Up Persistence Tables'!Q$2, FALSE)*P13</f>
        <v>49.096805074626864</v>
      </c>
      <c r="R13" s="101">
        <f>VLOOKUP($A13, '2016 Historical Persistence'!$A$10:$BE$11, '2016 True-Up Persistence Tables'!R$2, FALSE)*Q13</f>
        <v>49.096805074626864</v>
      </c>
      <c r="T13" s="48"/>
      <c r="U13" s="48"/>
      <c r="V13" s="48"/>
      <c r="W13" s="48"/>
      <c r="X13" s="48"/>
      <c r="Y13" s="48"/>
      <c r="Z13" s="48"/>
      <c r="AA13" s="51"/>
      <c r="AB13" s="51"/>
      <c r="AC13" s="51"/>
    </row>
    <row r="14" spans="1:29" x14ac:dyDescent="0.2">
      <c r="J14" s="116"/>
      <c r="K14" s="116"/>
      <c r="L14" s="116"/>
      <c r="M14" s="116"/>
      <c r="N14" s="116"/>
      <c r="O14" s="116"/>
      <c r="P14" s="116"/>
      <c r="Q14" s="116"/>
      <c r="R14" s="116"/>
    </row>
  </sheetData>
  <mergeCells count="6">
    <mergeCell ref="B4:F4"/>
    <mergeCell ref="I4:R4"/>
    <mergeCell ref="T4:AC4"/>
    <mergeCell ref="B10:F10"/>
    <mergeCell ref="I10:R10"/>
    <mergeCell ref="T10:A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DCD4-D8F6-4B06-A50C-D363252E5E01}">
  <dimension ref="A2:AP8"/>
  <sheetViews>
    <sheetView topLeftCell="R1" zoomScale="85" zoomScaleNormal="85" workbookViewId="0">
      <selection activeCell="Y3" sqref="Y3:Y8"/>
    </sheetView>
  </sheetViews>
  <sheetFormatPr baseColWidth="10" defaultColWidth="8.83203125" defaultRowHeight="15" x14ac:dyDescent="0.2"/>
  <cols>
    <col min="1" max="1" width="39.6640625" bestFit="1" customWidth="1"/>
    <col min="2" max="2" width="22.33203125" customWidth="1"/>
    <col min="3" max="3" width="17.5" customWidth="1"/>
    <col min="4" max="4" width="11" customWidth="1"/>
    <col min="5" max="5" width="17.5" bestFit="1" customWidth="1"/>
    <col min="6" max="6" width="12" customWidth="1"/>
    <col min="7" max="7" width="47.6640625" customWidth="1"/>
    <col min="8" max="8" width="12.83203125" customWidth="1"/>
    <col min="9" max="9" width="8.6640625" customWidth="1"/>
    <col min="10" max="10" width="14" customWidth="1"/>
    <col min="11" max="11" width="14.1640625" customWidth="1"/>
    <col min="12" max="12" width="18.6640625" customWidth="1"/>
    <col min="13" max="13" width="8.5" customWidth="1"/>
    <col min="14" max="14" width="8.6640625" customWidth="1"/>
    <col min="15" max="15" width="32.5" customWidth="1"/>
    <col min="16" max="16" width="10.5" customWidth="1"/>
    <col min="17" max="17" width="12.6640625" customWidth="1"/>
    <col min="18" max="18" width="12.5" customWidth="1"/>
    <col min="19" max="19" width="12.33203125" customWidth="1"/>
    <col min="20" max="20" width="13.5" customWidth="1"/>
    <col min="21" max="21" width="3.1640625" customWidth="1"/>
    <col min="22" max="22" width="29.1640625" customWidth="1"/>
    <col min="23" max="23" width="18" customWidth="1"/>
    <col min="24" max="24" width="11.5" customWidth="1"/>
    <col min="25" max="25" width="10.5" customWidth="1"/>
    <col min="26" max="28" width="10.1640625" customWidth="1"/>
    <col min="29" max="31" width="10.5" customWidth="1"/>
    <col min="32" max="32" width="17.6640625" customWidth="1"/>
    <col min="33" max="33" width="17.33203125" customWidth="1"/>
    <col min="34" max="34" width="32.5" customWidth="1"/>
    <col min="35" max="35" width="17.5" customWidth="1"/>
    <col min="36" max="36" width="40.83203125" customWidth="1"/>
    <col min="37" max="37" width="9.1640625" customWidth="1"/>
  </cols>
  <sheetData>
    <row r="2" spans="1:42" ht="64"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0" t="s">
        <v>85</v>
      </c>
      <c r="AM2" s="100" t="s">
        <v>86</v>
      </c>
      <c r="AN2" s="1" t="s">
        <v>84</v>
      </c>
      <c r="AO2" s="10" t="s">
        <v>130</v>
      </c>
      <c r="AP2" s="10" t="s">
        <v>115</v>
      </c>
    </row>
    <row r="3" spans="1:42" x14ac:dyDescent="0.2">
      <c r="A3" t="s">
        <v>34</v>
      </c>
      <c r="B3" t="s">
        <v>35</v>
      </c>
      <c r="C3" t="s">
        <v>30</v>
      </c>
      <c r="D3">
        <v>169230</v>
      </c>
      <c r="E3" t="s">
        <v>29</v>
      </c>
      <c r="G3" t="s">
        <v>122</v>
      </c>
      <c r="H3" t="s">
        <v>31</v>
      </c>
      <c r="I3" t="s">
        <v>39</v>
      </c>
      <c r="M3" s="11">
        <v>13.083007376942414</v>
      </c>
      <c r="N3">
        <v>24</v>
      </c>
      <c r="P3" s="12">
        <v>42734</v>
      </c>
      <c r="Q3" s="13">
        <v>950</v>
      </c>
      <c r="R3" s="13"/>
      <c r="S3" s="14">
        <v>1102.56</v>
      </c>
      <c r="T3" s="14">
        <v>0.24</v>
      </c>
      <c r="V3" t="s">
        <v>38</v>
      </c>
      <c r="W3" t="s">
        <v>29</v>
      </c>
      <c r="X3" s="12">
        <v>42734</v>
      </c>
      <c r="Y3" s="15">
        <v>1143.430220608861</v>
      </c>
      <c r="Z3" s="16">
        <v>0</v>
      </c>
      <c r="AA3" s="16">
        <v>1143.430220608861</v>
      </c>
      <c r="AB3" s="16">
        <v>1143.430220608861</v>
      </c>
      <c r="AC3" s="16">
        <v>1137.7758390932513</v>
      </c>
      <c r="AD3" s="16">
        <v>1137.7758390932513</v>
      </c>
      <c r="AE3" s="16">
        <v>1137.7758390932513</v>
      </c>
      <c r="AF3" s="12">
        <v>43281</v>
      </c>
      <c r="AG3" s="15" t="s">
        <v>33</v>
      </c>
      <c r="AH3" s="15" t="s">
        <v>29</v>
      </c>
      <c r="AI3" s="15" t="s">
        <v>33</v>
      </c>
      <c r="AM3">
        <v>0.82599999999999996</v>
      </c>
      <c r="AN3" s="117">
        <f>AM3*T3</f>
        <v>0.19823999999999997</v>
      </c>
      <c r="AO3" s="18" t="s">
        <v>44</v>
      </c>
    </row>
    <row r="4" spans="1:42" x14ac:dyDescent="0.2">
      <c r="A4" t="s">
        <v>34</v>
      </c>
      <c r="B4" t="s">
        <v>35</v>
      </c>
      <c r="C4" t="s">
        <v>30</v>
      </c>
      <c r="D4">
        <v>169230</v>
      </c>
      <c r="E4" t="s">
        <v>29</v>
      </c>
      <c r="G4" t="s">
        <v>123</v>
      </c>
      <c r="H4" t="s">
        <v>36</v>
      </c>
      <c r="I4" t="s">
        <v>37</v>
      </c>
      <c r="M4" s="11">
        <v>13.05797247010084</v>
      </c>
      <c r="N4">
        <v>1</v>
      </c>
      <c r="P4" s="12">
        <v>42734</v>
      </c>
      <c r="Q4" s="13">
        <v>73424.89</v>
      </c>
      <c r="R4" s="13"/>
      <c r="S4" s="14">
        <v>411168.3</v>
      </c>
      <c r="T4" s="14">
        <v>56</v>
      </c>
      <c r="V4" t="s">
        <v>38</v>
      </c>
      <c r="W4" t="s">
        <v>29</v>
      </c>
      <c r="X4" s="12">
        <v>42734</v>
      </c>
      <c r="Y4" s="15">
        <v>320378.6331649216</v>
      </c>
      <c r="Z4" s="16">
        <v>0</v>
      </c>
      <c r="AA4" s="16">
        <v>320378.6331649216</v>
      </c>
      <c r="AB4" s="16">
        <v>320378.6331649216</v>
      </c>
      <c r="AC4" s="16">
        <v>318794.32746028539</v>
      </c>
      <c r="AD4" s="16">
        <v>318794.32746028539</v>
      </c>
      <c r="AE4" s="16">
        <v>318794.32746028539</v>
      </c>
      <c r="AF4" s="12">
        <v>43281</v>
      </c>
      <c r="AG4" s="15" t="s">
        <v>33</v>
      </c>
      <c r="AH4" s="15" t="s">
        <v>29</v>
      </c>
      <c r="AI4" s="15" t="s">
        <v>33</v>
      </c>
      <c r="AM4">
        <v>0.83</v>
      </c>
      <c r="AN4" s="117">
        <f t="shared" ref="AN4:AN8" si="0">AM4*T4</f>
        <v>46.48</v>
      </c>
      <c r="AO4" s="18" t="s">
        <v>44</v>
      </c>
    </row>
    <row r="5" spans="1:42" x14ac:dyDescent="0.2">
      <c r="A5" t="s">
        <v>34</v>
      </c>
      <c r="B5" t="s">
        <v>35</v>
      </c>
      <c r="C5" t="s">
        <v>30</v>
      </c>
      <c r="D5">
        <v>169727</v>
      </c>
      <c r="E5" t="s">
        <v>29</v>
      </c>
      <c r="G5" t="s">
        <v>40</v>
      </c>
      <c r="H5" t="s">
        <v>31</v>
      </c>
      <c r="I5" t="s">
        <v>39</v>
      </c>
      <c r="M5" s="11">
        <v>13.083007376942414</v>
      </c>
      <c r="N5">
        <v>30</v>
      </c>
      <c r="P5" s="12">
        <v>42734</v>
      </c>
      <c r="Q5" s="13">
        <v>9150</v>
      </c>
      <c r="R5" s="13"/>
      <c r="S5" s="14">
        <v>4299.9840000000004</v>
      </c>
      <c r="T5" s="14">
        <v>0.93600000000000005</v>
      </c>
      <c r="V5" t="s">
        <v>38</v>
      </c>
      <c r="W5" t="s">
        <v>29</v>
      </c>
      <c r="X5" s="12">
        <v>42734</v>
      </c>
      <c r="Y5" s="15">
        <v>4459.3778603745586</v>
      </c>
      <c r="Z5" s="16">
        <v>0</v>
      </c>
      <c r="AA5" s="16">
        <v>4459.3778603745586</v>
      </c>
      <c r="AB5" s="16">
        <v>4459.3778603745586</v>
      </c>
      <c r="AC5" s="16">
        <v>4437.3257724636806</v>
      </c>
      <c r="AD5" s="16">
        <v>4437.3257724636806</v>
      </c>
      <c r="AE5" s="16">
        <v>4437.3257724636806</v>
      </c>
      <c r="AF5" s="12">
        <v>43281</v>
      </c>
      <c r="AG5" s="15" t="s">
        <v>33</v>
      </c>
      <c r="AH5" s="15" t="s">
        <v>29</v>
      </c>
      <c r="AI5" s="15" t="s">
        <v>33</v>
      </c>
      <c r="AM5">
        <v>0.82599999999999996</v>
      </c>
      <c r="AN5" s="117">
        <f t="shared" si="0"/>
        <v>0.77313600000000005</v>
      </c>
      <c r="AO5" s="18" t="s">
        <v>44</v>
      </c>
    </row>
    <row r="6" spans="1:42" x14ac:dyDescent="0.2">
      <c r="A6" t="s">
        <v>34</v>
      </c>
      <c r="B6" t="s">
        <v>35</v>
      </c>
      <c r="C6" t="s">
        <v>30</v>
      </c>
      <c r="D6">
        <v>169289</v>
      </c>
      <c r="E6" t="s">
        <v>29</v>
      </c>
      <c r="G6" t="s">
        <v>124</v>
      </c>
      <c r="H6" t="s">
        <v>36</v>
      </c>
      <c r="I6" t="s">
        <v>37</v>
      </c>
      <c r="M6" s="11">
        <v>13.05797247010084</v>
      </c>
      <c r="N6">
        <v>1</v>
      </c>
      <c r="P6" s="12">
        <v>42734</v>
      </c>
      <c r="Q6" s="13">
        <v>282382.33</v>
      </c>
      <c r="R6" s="13"/>
      <c r="S6" s="14">
        <v>58336.1</v>
      </c>
      <c r="T6" s="14">
        <v>0</v>
      </c>
      <c r="V6" t="s">
        <v>38</v>
      </c>
      <c r="W6" t="s">
        <v>29</v>
      </c>
      <c r="X6" s="12">
        <v>42734</v>
      </c>
      <c r="Y6" s="15">
        <v>45454.963289174251</v>
      </c>
      <c r="Z6" s="16">
        <v>0</v>
      </c>
      <c r="AA6" s="16">
        <v>45454.963289174251</v>
      </c>
      <c r="AB6" s="16">
        <v>45454.963289174251</v>
      </c>
      <c r="AC6" s="16">
        <v>45230.183762113855</v>
      </c>
      <c r="AD6" s="16">
        <v>45230.183762113855</v>
      </c>
      <c r="AE6" s="16">
        <v>45230.183762113855</v>
      </c>
      <c r="AF6" s="12">
        <v>43373</v>
      </c>
      <c r="AG6" s="15" t="s">
        <v>33</v>
      </c>
      <c r="AH6" s="15" t="s">
        <v>29</v>
      </c>
      <c r="AI6" s="15" t="s">
        <v>33</v>
      </c>
      <c r="AM6">
        <v>0.85299999999999998</v>
      </c>
      <c r="AN6" s="117">
        <f t="shared" si="0"/>
        <v>0</v>
      </c>
      <c r="AO6" s="18" t="s">
        <v>44</v>
      </c>
    </row>
    <row r="7" spans="1:42" x14ac:dyDescent="0.2">
      <c r="A7" t="s">
        <v>34</v>
      </c>
      <c r="B7" t="s">
        <v>35</v>
      </c>
      <c r="C7" t="s">
        <v>30</v>
      </c>
      <c r="D7">
        <v>159341</v>
      </c>
      <c r="E7" t="s">
        <v>29</v>
      </c>
      <c r="G7" t="s">
        <v>125</v>
      </c>
      <c r="H7" t="s">
        <v>36</v>
      </c>
      <c r="I7" t="s">
        <v>37</v>
      </c>
      <c r="M7" s="11">
        <v>13.05797247010084</v>
      </c>
      <c r="N7">
        <v>1</v>
      </c>
      <c r="P7" s="12">
        <v>42580</v>
      </c>
      <c r="Q7" s="13">
        <v>235254</v>
      </c>
      <c r="R7" s="13"/>
      <c r="S7" s="14">
        <v>976243</v>
      </c>
      <c r="T7" s="14">
        <v>0</v>
      </c>
      <c r="V7" t="s">
        <v>38</v>
      </c>
      <c r="W7" t="s">
        <v>29</v>
      </c>
      <c r="X7" s="12">
        <v>42580</v>
      </c>
      <c r="Y7" s="15">
        <v>760679.74592599331</v>
      </c>
      <c r="Z7" s="16">
        <v>0</v>
      </c>
      <c r="AA7" s="16">
        <v>760679.74592599331</v>
      </c>
      <c r="AB7" s="16">
        <v>760679.74592599331</v>
      </c>
      <c r="AC7" s="16">
        <v>756918.10536661372</v>
      </c>
      <c r="AD7" s="16">
        <v>756918.10536661372</v>
      </c>
      <c r="AE7" s="16">
        <v>756918.10536661372</v>
      </c>
      <c r="AF7" s="12">
        <v>43465</v>
      </c>
      <c r="AG7" s="15" t="s">
        <v>33</v>
      </c>
      <c r="AH7" s="15" t="s">
        <v>29</v>
      </c>
      <c r="AI7" s="15" t="s">
        <v>33</v>
      </c>
      <c r="AM7">
        <v>0.85299999999999998</v>
      </c>
      <c r="AN7" s="117">
        <f t="shared" si="0"/>
        <v>0</v>
      </c>
      <c r="AO7" s="18" t="s">
        <v>44</v>
      </c>
    </row>
    <row r="8" spans="1:42" x14ac:dyDescent="0.2">
      <c r="A8" t="s">
        <v>34</v>
      </c>
      <c r="B8" t="s">
        <v>35</v>
      </c>
      <c r="C8" t="s">
        <v>30</v>
      </c>
      <c r="D8">
        <v>202061</v>
      </c>
      <c r="E8" t="s">
        <v>29</v>
      </c>
      <c r="G8" t="s">
        <v>126</v>
      </c>
      <c r="H8" t="s">
        <v>36</v>
      </c>
      <c r="I8" t="s">
        <v>37</v>
      </c>
      <c r="M8" s="11">
        <v>13.05797247010084</v>
      </c>
      <c r="N8">
        <v>1</v>
      </c>
      <c r="P8" s="12">
        <v>42612</v>
      </c>
      <c r="Q8" s="13">
        <v>25000</v>
      </c>
      <c r="R8" s="13"/>
      <c r="S8" s="14">
        <v>93180</v>
      </c>
      <c r="T8" s="14">
        <v>3.7</v>
      </c>
      <c r="V8" t="s">
        <v>38</v>
      </c>
      <c r="W8" t="s">
        <v>29</v>
      </c>
      <c r="X8" s="12">
        <v>42612</v>
      </c>
      <c r="Y8" s="15">
        <v>72605.016092698294</v>
      </c>
      <c r="Z8" s="16">
        <v>0</v>
      </c>
      <c r="AA8" s="16">
        <v>72605.016092698294</v>
      </c>
      <c r="AB8" s="16">
        <v>72605.016092698294</v>
      </c>
      <c r="AC8" s="16">
        <v>72245.97672716841</v>
      </c>
      <c r="AD8" s="16">
        <v>72245.97672716841</v>
      </c>
      <c r="AE8" s="16">
        <v>72245.97672716841</v>
      </c>
      <c r="AF8" s="12">
        <v>43465</v>
      </c>
      <c r="AG8" s="15" t="s">
        <v>33</v>
      </c>
      <c r="AH8" s="15" t="s">
        <v>29</v>
      </c>
      <c r="AI8" s="15" t="s">
        <v>33</v>
      </c>
      <c r="AM8">
        <v>0.85299999999999998</v>
      </c>
      <c r="AN8" s="117">
        <f t="shared" si="0"/>
        <v>3.1560999999999999</v>
      </c>
      <c r="AO8" s="18"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D934-4E14-4DB9-8F95-C335364540C6}">
  <dimension ref="A1:G55"/>
  <sheetViews>
    <sheetView topLeftCell="A27" zoomScale="85" zoomScaleNormal="85" workbookViewId="0">
      <selection activeCell="N33" sqref="N33"/>
    </sheetView>
  </sheetViews>
  <sheetFormatPr baseColWidth="10" defaultColWidth="8.83203125" defaultRowHeight="15" x14ac:dyDescent="0.2"/>
  <cols>
    <col min="1" max="1" width="10.6640625" customWidth="1"/>
    <col min="2" max="2" width="38.5" bestFit="1" customWidth="1"/>
    <col min="3" max="3" width="12.5" bestFit="1" customWidth="1"/>
    <col min="4" max="4" width="13.33203125" bestFit="1" customWidth="1"/>
    <col min="5" max="6" width="17.6640625" style="60" bestFit="1" customWidth="1"/>
  </cols>
  <sheetData>
    <row r="1" spans="1:7" x14ac:dyDescent="0.2">
      <c r="A1" s="19" t="s">
        <v>110</v>
      </c>
    </row>
    <row r="2" spans="1:7" x14ac:dyDescent="0.2">
      <c r="A2" s="130" t="s">
        <v>129</v>
      </c>
      <c r="B2" s="130"/>
      <c r="C2" s="130"/>
      <c r="D2" s="130"/>
      <c r="E2" s="130"/>
      <c r="F2" s="130"/>
    </row>
    <row r="3" spans="1:7" x14ac:dyDescent="0.2">
      <c r="A3" s="130"/>
      <c r="B3" s="130"/>
      <c r="C3" s="130"/>
      <c r="D3" s="130"/>
      <c r="E3" s="130"/>
      <c r="F3" s="130"/>
    </row>
    <row r="4" spans="1:7" s="82" customFormat="1" ht="16" thickBot="1" x14ac:dyDescent="0.25">
      <c r="E4" s="94"/>
      <c r="F4" s="94"/>
    </row>
    <row r="5" spans="1:7" ht="16" thickBot="1" x14ac:dyDescent="0.25">
      <c r="A5" s="79"/>
      <c r="B5" s="90" t="s">
        <v>102</v>
      </c>
      <c r="C5" s="91" t="s">
        <v>107</v>
      </c>
      <c r="D5" s="91" t="s">
        <v>108</v>
      </c>
      <c r="E5" s="92" t="s">
        <v>85</v>
      </c>
      <c r="F5" s="93" t="s">
        <v>103</v>
      </c>
    </row>
    <row r="6" spans="1:7" x14ac:dyDescent="0.2">
      <c r="A6" s="131" t="s">
        <v>104</v>
      </c>
      <c r="B6" s="80" t="s">
        <v>93</v>
      </c>
      <c r="C6" s="89"/>
      <c r="D6" s="89"/>
      <c r="E6" s="69">
        <v>1.29</v>
      </c>
      <c r="F6" s="70">
        <v>1.29</v>
      </c>
    </row>
    <row r="7" spans="1:7" x14ac:dyDescent="0.2">
      <c r="A7" s="132"/>
      <c r="B7" s="142" t="s">
        <v>94</v>
      </c>
      <c r="C7" s="51"/>
      <c r="D7" s="51" t="s">
        <v>95</v>
      </c>
      <c r="E7" s="61">
        <v>1.29</v>
      </c>
      <c r="F7" s="75">
        <v>1.29</v>
      </c>
    </row>
    <row r="8" spans="1:7" x14ac:dyDescent="0.2">
      <c r="A8" s="132"/>
      <c r="B8" s="144"/>
      <c r="C8" s="51"/>
      <c r="D8" s="51" t="s">
        <v>96</v>
      </c>
      <c r="E8" s="61" t="s">
        <v>97</v>
      </c>
      <c r="F8" s="75" t="s">
        <v>97</v>
      </c>
      <c r="G8" t="s">
        <v>98</v>
      </c>
    </row>
    <row r="9" spans="1:7" x14ac:dyDescent="0.2">
      <c r="A9" s="132"/>
      <c r="B9" s="81" t="s">
        <v>99</v>
      </c>
      <c r="C9" s="84"/>
      <c r="D9" s="84"/>
      <c r="E9" s="62">
        <v>7.7999999999999996E-3</v>
      </c>
      <c r="F9" s="76">
        <v>8.0999999999999996E-3</v>
      </c>
    </row>
    <row r="10" spans="1:7" x14ac:dyDescent="0.2">
      <c r="A10" s="132"/>
      <c r="B10" s="142" t="s">
        <v>100</v>
      </c>
      <c r="C10" s="52" t="s">
        <v>31</v>
      </c>
      <c r="D10" s="52"/>
      <c r="E10" s="61">
        <v>0.83</v>
      </c>
      <c r="F10" s="75">
        <v>0.83</v>
      </c>
    </row>
    <row r="11" spans="1:7" x14ac:dyDescent="0.2">
      <c r="A11" s="147"/>
      <c r="B11" s="143"/>
      <c r="C11" s="83" t="s">
        <v>47</v>
      </c>
      <c r="D11" s="83" t="s">
        <v>111</v>
      </c>
      <c r="E11" s="68">
        <v>0.83</v>
      </c>
      <c r="F11" s="95">
        <v>0.83</v>
      </c>
    </row>
    <row r="12" spans="1:7" x14ac:dyDescent="0.2">
      <c r="A12" s="147"/>
      <c r="B12" s="144"/>
      <c r="C12" s="83" t="s">
        <v>47</v>
      </c>
      <c r="D12" s="83" t="s">
        <v>112</v>
      </c>
      <c r="E12" s="68">
        <v>0.71</v>
      </c>
      <c r="F12" s="95">
        <v>0.71</v>
      </c>
    </row>
    <row r="13" spans="1:7" ht="16" thickBot="1" x14ac:dyDescent="0.25">
      <c r="A13" s="133"/>
      <c r="B13" s="96" t="s">
        <v>101</v>
      </c>
      <c r="C13" s="85"/>
      <c r="D13" s="85"/>
      <c r="E13" s="77">
        <v>1</v>
      </c>
      <c r="F13" s="78">
        <v>1</v>
      </c>
    </row>
    <row r="14" spans="1:7" x14ac:dyDescent="0.2">
      <c r="A14" s="148" t="s">
        <v>105</v>
      </c>
      <c r="B14" s="134" t="s">
        <v>35</v>
      </c>
      <c r="C14" s="137" t="s">
        <v>31</v>
      </c>
      <c r="D14" s="86" t="s">
        <v>87</v>
      </c>
      <c r="E14" s="87">
        <v>0.88400000000000001</v>
      </c>
      <c r="F14" s="88">
        <v>0.96499999999999997</v>
      </c>
    </row>
    <row r="15" spans="1:7" x14ac:dyDescent="0.2">
      <c r="A15" s="132"/>
      <c r="B15" s="135"/>
      <c r="C15" s="138"/>
      <c r="D15" s="81" t="s">
        <v>88</v>
      </c>
      <c r="E15" s="63">
        <v>0.88300000000000001</v>
      </c>
      <c r="F15" s="71">
        <v>0.96799999999999997</v>
      </c>
    </row>
    <row r="16" spans="1:7" x14ac:dyDescent="0.2">
      <c r="A16" s="132"/>
      <c r="B16" s="135"/>
      <c r="C16" s="139" t="s">
        <v>48</v>
      </c>
      <c r="D16" s="51" t="s">
        <v>87</v>
      </c>
      <c r="E16" s="63">
        <v>0.88600000000000001</v>
      </c>
      <c r="F16" s="71">
        <v>0.94099999999999995</v>
      </c>
    </row>
    <row r="17" spans="1:6" x14ac:dyDescent="0.2">
      <c r="A17" s="132"/>
      <c r="B17" s="135"/>
      <c r="C17" s="138"/>
      <c r="D17" s="51" t="s">
        <v>88</v>
      </c>
      <c r="E17" s="63">
        <v>0.89900000000000002</v>
      </c>
      <c r="F17" s="71">
        <v>1.101</v>
      </c>
    </row>
    <row r="18" spans="1:6" x14ac:dyDescent="0.2">
      <c r="A18" s="132"/>
      <c r="B18" s="135"/>
      <c r="C18" s="139" t="s">
        <v>36</v>
      </c>
      <c r="D18" s="51" t="s">
        <v>87</v>
      </c>
      <c r="E18" s="63">
        <v>0.88100000000000001</v>
      </c>
      <c r="F18" s="71">
        <v>0.94</v>
      </c>
    </row>
    <row r="19" spans="1:6" x14ac:dyDescent="0.2">
      <c r="A19" s="132"/>
      <c r="B19" s="135"/>
      <c r="C19" s="138"/>
      <c r="D19" s="51" t="s">
        <v>88</v>
      </c>
      <c r="E19" s="63">
        <v>0.88400000000000001</v>
      </c>
      <c r="F19" s="71">
        <v>0.95299999999999996</v>
      </c>
    </row>
    <row r="20" spans="1:6" x14ac:dyDescent="0.2">
      <c r="A20" s="132"/>
      <c r="B20" s="149"/>
      <c r="C20" s="145" t="s">
        <v>109</v>
      </c>
      <c r="D20" s="146"/>
      <c r="E20" s="64">
        <v>0.88300000000000001</v>
      </c>
      <c r="F20" s="72">
        <v>0.94799999999999995</v>
      </c>
    </row>
    <row r="21" spans="1:6" x14ac:dyDescent="0.2">
      <c r="A21" s="132"/>
      <c r="B21" s="86" t="s">
        <v>41</v>
      </c>
      <c r="C21" s="84"/>
      <c r="D21" s="84"/>
      <c r="E21" s="63">
        <v>0.94</v>
      </c>
      <c r="F21" s="71">
        <v>0.94</v>
      </c>
    </row>
    <row r="22" spans="1:6" x14ac:dyDescent="0.2">
      <c r="A22" s="132"/>
      <c r="B22" s="81" t="s">
        <v>89</v>
      </c>
      <c r="C22" s="84"/>
      <c r="D22" s="84"/>
      <c r="E22" s="63">
        <v>1.01</v>
      </c>
      <c r="F22" s="71">
        <v>1.19</v>
      </c>
    </row>
    <row r="23" spans="1:6" x14ac:dyDescent="0.2">
      <c r="A23" s="132"/>
      <c r="B23" s="81" t="s">
        <v>90</v>
      </c>
      <c r="C23" s="84"/>
      <c r="D23" s="84"/>
      <c r="E23" s="63">
        <v>0.94099999999999995</v>
      </c>
      <c r="F23" s="71">
        <v>0.94099999999999995</v>
      </c>
    </row>
    <row r="24" spans="1:6" x14ac:dyDescent="0.2">
      <c r="A24" s="132"/>
      <c r="B24" s="150" t="s">
        <v>91</v>
      </c>
      <c r="C24" s="51" t="s">
        <v>31</v>
      </c>
      <c r="D24" s="51"/>
      <c r="E24" s="63">
        <v>0.56999999999999995</v>
      </c>
      <c r="F24" s="71">
        <v>0.56999999999999995</v>
      </c>
    </row>
    <row r="25" spans="1:6" x14ac:dyDescent="0.2">
      <c r="A25" s="132"/>
      <c r="B25" s="150"/>
      <c r="C25" s="51" t="s">
        <v>48</v>
      </c>
      <c r="D25" s="51"/>
      <c r="E25" s="63">
        <v>0.56999999999999995</v>
      </c>
      <c r="F25" s="71">
        <v>0.46</v>
      </c>
    </row>
    <row r="26" spans="1:6" x14ac:dyDescent="0.2">
      <c r="A26" s="132"/>
      <c r="B26" s="151"/>
      <c r="C26" s="51" t="s">
        <v>36</v>
      </c>
      <c r="D26" s="51"/>
      <c r="E26" s="63">
        <v>0.56999999999999995</v>
      </c>
      <c r="F26" s="71">
        <v>0.56999999999999995</v>
      </c>
    </row>
    <row r="27" spans="1:6" ht="16" thickBot="1" x14ac:dyDescent="0.25">
      <c r="A27" s="133"/>
      <c r="B27" s="97" t="s">
        <v>92</v>
      </c>
      <c r="C27" s="85"/>
      <c r="D27" s="85"/>
      <c r="E27" s="73">
        <v>0.55000000000000004</v>
      </c>
      <c r="F27" s="74">
        <v>0.55000000000000004</v>
      </c>
    </row>
    <row r="28" spans="1:6" ht="33" thickBot="1" x14ac:dyDescent="0.25">
      <c r="A28" s="99" t="s">
        <v>106</v>
      </c>
      <c r="B28" s="98" t="s">
        <v>43</v>
      </c>
      <c r="C28" s="65"/>
      <c r="D28" s="65"/>
      <c r="E28" s="66">
        <v>1.71</v>
      </c>
      <c r="F28" s="67">
        <v>1.71</v>
      </c>
    </row>
    <row r="30" spans="1:6" x14ac:dyDescent="0.2">
      <c r="A30" s="19" t="s">
        <v>127</v>
      </c>
    </row>
    <row r="31" spans="1:6" x14ac:dyDescent="0.2">
      <c r="A31" s="130" t="s">
        <v>128</v>
      </c>
      <c r="B31" s="130"/>
      <c r="C31" s="130"/>
      <c r="D31" s="130"/>
      <c r="E31" s="130"/>
      <c r="F31" s="130"/>
    </row>
    <row r="32" spans="1:6" x14ac:dyDescent="0.2">
      <c r="A32" s="130"/>
      <c r="B32" s="130"/>
      <c r="C32" s="130"/>
      <c r="D32" s="130"/>
      <c r="E32" s="130"/>
      <c r="F32" s="130"/>
    </row>
    <row r="33" spans="1:6" ht="16" thickBot="1" x14ac:dyDescent="0.25">
      <c r="A33" s="82"/>
      <c r="B33" s="82"/>
      <c r="C33" s="82"/>
      <c r="D33" s="82"/>
      <c r="E33" s="94"/>
      <c r="F33" s="94"/>
    </row>
    <row r="34" spans="1:6" ht="16" thickBot="1" x14ac:dyDescent="0.25">
      <c r="A34" s="79"/>
      <c r="B34" s="110" t="s">
        <v>102</v>
      </c>
      <c r="C34" s="111" t="s">
        <v>107</v>
      </c>
      <c r="D34" s="111" t="s">
        <v>108</v>
      </c>
      <c r="E34" s="112" t="s">
        <v>85</v>
      </c>
      <c r="F34" s="113" t="s">
        <v>103</v>
      </c>
    </row>
    <row r="35" spans="1:6" x14ac:dyDescent="0.2">
      <c r="A35" s="131" t="s">
        <v>105</v>
      </c>
      <c r="B35" s="134" t="s">
        <v>35</v>
      </c>
      <c r="C35" s="137" t="s">
        <v>31</v>
      </c>
      <c r="D35" s="80" t="s">
        <v>87</v>
      </c>
      <c r="E35" s="69"/>
      <c r="F35" s="70">
        <v>0.82599999999999996</v>
      </c>
    </row>
    <row r="36" spans="1:6" x14ac:dyDescent="0.2">
      <c r="A36" s="132"/>
      <c r="B36" s="135"/>
      <c r="C36" s="138"/>
      <c r="D36" s="81" t="s">
        <v>88</v>
      </c>
      <c r="E36" s="63"/>
      <c r="F36" s="71">
        <v>0.82799999999999996</v>
      </c>
    </row>
    <row r="37" spans="1:6" x14ac:dyDescent="0.2">
      <c r="A37" s="132"/>
      <c r="B37" s="135"/>
      <c r="C37" s="139" t="s">
        <v>48</v>
      </c>
      <c r="D37" s="51" t="s">
        <v>87</v>
      </c>
      <c r="E37" s="63"/>
      <c r="F37" s="71">
        <v>0.84499999999999997</v>
      </c>
    </row>
    <row r="38" spans="1:6" x14ac:dyDescent="0.2">
      <c r="A38" s="132"/>
      <c r="B38" s="135"/>
      <c r="C38" s="138"/>
      <c r="D38" s="51" t="s">
        <v>88</v>
      </c>
      <c r="E38" s="63"/>
      <c r="F38" s="71">
        <v>0.84299999999999997</v>
      </c>
    </row>
    <row r="39" spans="1:6" x14ac:dyDescent="0.2">
      <c r="A39" s="132"/>
      <c r="B39" s="135"/>
      <c r="C39" s="139" t="s">
        <v>36</v>
      </c>
      <c r="D39" s="51" t="s">
        <v>87</v>
      </c>
      <c r="E39" s="63"/>
      <c r="F39" s="71">
        <v>0.83</v>
      </c>
    </row>
    <row r="40" spans="1:6" x14ac:dyDescent="0.2">
      <c r="A40" s="132"/>
      <c r="B40" s="135"/>
      <c r="C40" s="138"/>
      <c r="D40" s="51" t="s">
        <v>88</v>
      </c>
      <c r="E40" s="63"/>
      <c r="F40" s="71">
        <v>0.85299999999999998</v>
      </c>
    </row>
    <row r="41" spans="1:6" ht="16" thickBot="1" x14ac:dyDescent="0.25">
      <c r="A41" s="133"/>
      <c r="B41" s="136"/>
      <c r="C41" s="140" t="s">
        <v>109</v>
      </c>
      <c r="D41" s="141"/>
      <c r="E41" s="114"/>
      <c r="F41" s="115">
        <v>0.84299999999999997</v>
      </c>
    </row>
    <row r="44" spans="1:6" x14ac:dyDescent="0.2">
      <c r="A44" s="19" t="s">
        <v>136</v>
      </c>
    </row>
    <row r="45" spans="1:6" x14ac:dyDescent="0.2">
      <c r="A45" s="130" t="s">
        <v>135</v>
      </c>
      <c r="B45" s="130"/>
      <c r="C45" s="130"/>
      <c r="D45" s="130"/>
      <c r="E45" s="130"/>
      <c r="F45" s="130"/>
    </row>
    <row r="46" spans="1:6" x14ac:dyDescent="0.2">
      <c r="A46" s="130"/>
      <c r="B46" s="130"/>
      <c r="C46" s="130"/>
      <c r="D46" s="130"/>
      <c r="E46" s="130"/>
      <c r="F46" s="130"/>
    </row>
    <row r="47" spans="1:6" ht="16" thickBot="1" x14ac:dyDescent="0.25"/>
    <row r="48" spans="1:6" ht="16" thickBot="1" x14ac:dyDescent="0.25">
      <c r="A48" s="79"/>
      <c r="B48" s="110" t="s">
        <v>102</v>
      </c>
      <c r="C48" s="111" t="s">
        <v>107</v>
      </c>
      <c r="D48" s="111" t="s">
        <v>108</v>
      </c>
      <c r="E48" s="112" t="s">
        <v>85</v>
      </c>
      <c r="F48" s="113" t="s">
        <v>103</v>
      </c>
    </row>
    <row r="49" spans="1:6" x14ac:dyDescent="0.2">
      <c r="A49" s="131" t="s">
        <v>105</v>
      </c>
      <c r="B49" s="134" t="s">
        <v>35</v>
      </c>
      <c r="C49" s="137" t="s">
        <v>31</v>
      </c>
      <c r="D49" s="80" t="s">
        <v>87</v>
      </c>
      <c r="E49" s="69"/>
      <c r="F49" s="70">
        <v>0.81</v>
      </c>
    </row>
    <row r="50" spans="1:6" x14ac:dyDescent="0.2">
      <c r="A50" s="132"/>
      <c r="B50" s="135"/>
      <c r="C50" s="138"/>
      <c r="D50" s="81" t="s">
        <v>88</v>
      </c>
      <c r="E50" s="63"/>
      <c r="F50" s="71">
        <v>0.81599999999999995</v>
      </c>
    </row>
    <row r="51" spans="1:6" x14ac:dyDescent="0.2">
      <c r="A51" s="132"/>
      <c r="B51" s="135"/>
      <c r="C51" s="139" t="s">
        <v>48</v>
      </c>
      <c r="D51" s="51" t="s">
        <v>87</v>
      </c>
      <c r="E51" s="63"/>
      <c r="F51" s="71">
        <v>0.755</v>
      </c>
    </row>
    <row r="52" spans="1:6" x14ac:dyDescent="0.2">
      <c r="A52" s="132"/>
      <c r="B52" s="135"/>
      <c r="C52" s="138"/>
      <c r="D52" s="51" t="s">
        <v>88</v>
      </c>
      <c r="E52" s="63"/>
      <c r="F52" s="71">
        <v>0.75700000000000001</v>
      </c>
    </row>
    <row r="53" spans="1:6" x14ac:dyDescent="0.2">
      <c r="A53" s="132"/>
      <c r="B53" s="135"/>
      <c r="C53" s="139" t="s">
        <v>36</v>
      </c>
      <c r="D53" s="51" t="s">
        <v>87</v>
      </c>
      <c r="E53" s="63"/>
      <c r="F53" s="71">
        <v>0.83</v>
      </c>
    </row>
    <row r="54" spans="1:6" x14ac:dyDescent="0.2">
      <c r="A54" s="132"/>
      <c r="B54" s="135"/>
      <c r="C54" s="138"/>
      <c r="D54" s="51" t="s">
        <v>88</v>
      </c>
      <c r="E54" s="63"/>
      <c r="F54" s="71">
        <v>0.72699999999999998</v>
      </c>
    </row>
    <row r="55" spans="1:6" ht="16" thickBot="1" x14ac:dyDescent="0.25">
      <c r="A55" s="133"/>
      <c r="B55" s="136"/>
      <c r="C55" s="140" t="s">
        <v>109</v>
      </c>
      <c r="D55" s="141"/>
      <c r="E55" s="114"/>
      <c r="F55" s="115">
        <v>0.76400000000000001</v>
      </c>
    </row>
  </sheetData>
  <mergeCells count="25">
    <mergeCell ref="C20:D20"/>
    <mergeCell ref="A6:A13"/>
    <mergeCell ref="A14:A27"/>
    <mergeCell ref="B14:B20"/>
    <mergeCell ref="B24:B26"/>
    <mergeCell ref="B7:B8"/>
    <mergeCell ref="A2:F3"/>
    <mergeCell ref="C14:C15"/>
    <mergeCell ref="C16:C17"/>
    <mergeCell ref="C18:C19"/>
    <mergeCell ref="B10:B12"/>
    <mergeCell ref="A31:F32"/>
    <mergeCell ref="A35:A41"/>
    <mergeCell ref="B35:B41"/>
    <mergeCell ref="C35:C36"/>
    <mergeCell ref="C37:C38"/>
    <mergeCell ref="C39:C40"/>
    <mergeCell ref="C41:D41"/>
    <mergeCell ref="A45:F46"/>
    <mergeCell ref="A49:A55"/>
    <mergeCell ref="B49:B55"/>
    <mergeCell ref="C49:C50"/>
    <mergeCell ref="C51:C52"/>
    <mergeCell ref="C53:C54"/>
    <mergeCell ref="C55:D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3F1F-3CE4-464B-A4BC-13585112A117}">
  <dimension ref="A3:BF11"/>
  <sheetViews>
    <sheetView topLeftCell="D4" zoomScale="85" zoomScaleNormal="85" workbookViewId="0">
      <selection activeCell="O11" sqref="O11"/>
    </sheetView>
  </sheetViews>
  <sheetFormatPr baseColWidth="10" defaultColWidth="8.83203125" defaultRowHeight="15" x14ac:dyDescent="0.2"/>
  <cols>
    <col min="1" max="1" width="37.5" customWidth="1"/>
    <col min="2" max="2" width="35.1640625" bestFit="1" customWidth="1"/>
    <col min="3" max="3" width="26.5" customWidth="1"/>
    <col min="4" max="4" width="17" customWidth="1"/>
    <col min="5" max="5" width="19.5" customWidth="1"/>
    <col min="6" max="7" width="23" customWidth="1"/>
    <col min="8" max="8" width="2" customWidth="1"/>
    <col min="10" max="19" width="11.6640625" bestFit="1" customWidth="1"/>
    <col min="33" max="33" width="2.1640625" customWidth="1"/>
    <col min="34" max="35" width="12" bestFit="1" customWidth="1"/>
    <col min="36" max="42" width="11.6640625" bestFit="1" customWidth="1"/>
    <col min="43" max="53" width="10.33203125" bestFit="1" customWidth="1"/>
    <col min="54" max="57" width="8.5" bestFit="1" customWidth="1"/>
  </cols>
  <sheetData>
    <row r="3" spans="1:58" ht="16" x14ac:dyDescent="0.2">
      <c r="A3" s="106" t="s">
        <v>117</v>
      </c>
    </row>
    <row r="4" spans="1:58" s="122" customFormat="1" ht="49.5" customHeight="1" x14ac:dyDescent="0.2">
      <c r="A4" s="20" t="s">
        <v>51</v>
      </c>
      <c r="B4" s="20" t="s">
        <v>52</v>
      </c>
      <c r="C4" s="20" t="s">
        <v>53</v>
      </c>
      <c r="D4" s="20" t="s">
        <v>54</v>
      </c>
      <c r="E4" s="20" t="s">
        <v>55</v>
      </c>
      <c r="F4" s="21" t="s">
        <v>56</v>
      </c>
      <c r="G4" s="22" t="s">
        <v>57</v>
      </c>
      <c r="H4" s="23"/>
      <c r="I4" s="24" t="s">
        <v>58</v>
      </c>
      <c r="J4" s="25"/>
      <c r="K4" s="25"/>
      <c r="L4" s="25"/>
      <c r="M4" s="25"/>
      <c r="N4" s="25"/>
      <c r="O4" s="25"/>
      <c r="P4" s="25"/>
      <c r="Q4" s="25"/>
      <c r="R4" s="25"/>
      <c r="S4" s="25"/>
      <c r="T4" s="25"/>
      <c r="U4" s="25"/>
      <c r="V4" s="25"/>
      <c r="W4" s="25"/>
      <c r="X4" s="25"/>
      <c r="Y4" s="25"/>
      <c r="Z4" s="25"/>
      <c r="AA4" s="25"/>
      <c r="AB4" s="25"/>
      <c r="AC4" s="25"/>
      <c r="AD4" s="25"/>
      <c r="AE4" s="25"/>
      <c r="AF4" s="26"/>
      <c r="AG4" s="27"/>
      <c r="AH4" s="24" t="s">
        <v>59</v>
      </c>
      <c r="AI4" s="25"/>
      <c r="AJ4" s="25"/>
      <c r="AK4" s="25"/>
      <c r="AL4" s="25"/>
      <c r="AM4" s="25"/>
      <c r="AN4" s="25"/>
      <c r="AO4" s="25"/>
      <c r="AP4" s="25"/>
      <c r="AQ4" s="25"/>
      <c r="AR4" s="25"/>
      <c r="AS4" s="25"/>
      <c r="AT4" s="25"/>
      <c r="AU4" s="25"/>
      <c r="AV4" s="25"/>
      <c r="AW4" s="25"/>
      <c r="AX4" s="25"/>
      <c r="AY4" s="25"/>
      <c r="AZ4" s="25"/>
      <c r="BA4" s="25"/>
      <c r="BB4" s="25"/>
      <c r="BC4" s="25"/>
      <c r="BD4" s="25"/>
      <c r="BE4" s="25"/>
      <c r="BF4" s="121"/>
    </row>
    <row r="5" spans="1:58" s="122" customFormat="1" ht="30" customHeight="1" x14ac:dyDescent="0.2">
      <c r="A5" s="28"/>
      <c r="B5" s="28"/>
      <c r="C5" s="28"/>
      <c r="D5" s="28"/>
      <c r="E5" s="29"/>
      <c r="F5" s="30"/>
      <c r="G5" s="30"/>
      <c r="H5" s="31"/>
      <c r="I5" s="32">
        <v>2016</v>
      </c>
      <c r="J5" s="32">
        <v>2017</v>
      </c>
      <c r="K5" s="32">
        <v>2018</v>
      </c>
      <c r="L5" s="32">
        <v>2019</v>
      </c>
      <c r="M5" s="32">
        <v>2020</v>
      </c>
      <c r="N5" s="32">
        <v>2021</v>
      </c>
      <c r="O5" s="32">
        <v>2022</v>
      </c>
      <c r="P5" s="32">
        <v>2023</v>
      </c>
      <c r="Q5" s="32">
        <v>2024</v>
      </c>
      <c r="R5" s="32">
        <v>2025</v>
      </c>
      <c r="S5" s="32">
        <v>2026</v>
      </c>
      <c r="T5" s="32">
        <v>2027</v>
      </c>
      <c r="U5" s="32">
        <v>2028</v>
      </c>
      <c r="V5" s="32">
        <v>2029</v>
      </c>
      <c r="W5" s="32">
        <v>2030</v>
      </c>
      <c r="X5" s="32">
        <v>2031</v>
      </c>
      <c r="Y5" s="32">
        <v>2032</v>
      </c>
      <c r="Z5" s="32">
        <v>2033</v>
      </c>
      <c r="AA5" s="32">
        <v>2034</v>
      </c>
      <c r="AB5" s="32">
        <v>2035</v>
      </c>
      <c r="AC5" s="32">
        <v>2036</v>
      </c>
      <c r="AD5" s="32">
        <v>2037</v>
      </c>
      <c r="AE5" s="32">
        <v>2038</v>
      </c>
      <c r="AF5" s="32">
        <v>2039</v>
      </c>
      <c r="AG5" s="27"/>
      <c r="AH5" s="32">
        <v>2016</v>
      </c>
      <c r="AI5" s="32">
        <v>2017</v>
      </c>
      <c r="AJ5" s="32">
        <v>2018</v>
      </c>
      <c r="AK5" s="32">
        <v>2019</v>
      </c>
      <c r="AL5" s="32">
        <v>2020</v>
      </c>
      <c r="AM5" s="32">
        <v>2021</v>
      </c>
      <c r="AN5" s="32">
        <v>2022</v>
      </c>
      <c r="AO5" s="32">
        <v>2023</v>
      </c>
      <c r="AP5" s="32">
        <v>2024</v>
      </c>
      <c r="AQ5" s="32">
        <v>2025</v>
      </c>
      <c r="AR5" s="32">
        <v>2026</v>
      </c>
      <c r="AS5" s="32">
        <v>2027</v>
      </c>
      <c r="AT5" s="32">
        <v>2028</v>
      </c>
      <c r="AU5" s="32">
        <v>2029</v>
      </c>
      <c r="AV5" s="32">
        <v>2030</v>
      </c>
      <c r="AW5" s="32">
        <v>2031</v>
      </c>
      <c r="AX5" s="32">
        <v>2032</v>
      </c>
      <c r="AY5" s="32">
        <v>2033</v>
      </c>
      <c r="AZ5" s="32">
        <v>2034</v>
      </c>
      <c r="BA5" s="32">
        <v>2035</v>
      </c>
      <c r="BB5" s="32">
        <v>2036</v>
      </c>
      <c r="BC5" s="32">
        <v>2037</v>
      </c>
      <c r="BD5" s="32">
        <v>2038</v>
      </c>
      <c r="BE5" s="119">
        <v>2039</v>
      </c>
      <c r="BF5" s="121"/>
    </row>
    <row r="6" spans="1:58" s="41" customFormat="1" x14ac:dyDescent="0.2">
      <c r="A6" s="33" t="s">
        <v>38</v>
      </c>
      <c r="B6" s="33" t="s">
        <v>29</v>
      </c>
      <c r="C6" s="33"/>
      <c r="D6" s="33" t="s">
        <v>61</v>
      </c>
      <c r="E6" s="33">
        <v>2016</v>
      </c>
      <c r="F6" s="34" t="s">
        <v>132</v>
      </c>
      <c r="G6" s="34" t="s">
        <v>131</v>
      </c>
      <c r="H6" s="35"/>
      <c r="I6" s="36">
        <v>938</v>
      </c>
      <c r="J6" s="37">
        <v>922</v>
      </c>
      <c r="K6" s="37">
        <v>922</v>
      </c>
      <c r="L6" s="37">
        <v>922</v>
      </c>
      <c r="M6" s="37">
        <v>922</v>
      </c>
      <c r="N6" s="37">
        <v>910</v>
      </c>
      <c r="O6" s="37">
        <v>910</v>
      </c>
      <c r="P6" s="37">
        <v>910</v>
      </c>
      <c r="Q6" s="37">
        <v>910</v>
      </c>
      <c r="R6" s="37">
        <v>910</v>
      </c>
      <c r="S6" s="37">
        <v>908</v>
      </c>
      <c r="T6" s="37">
        <v>769</v>
      </c>
      <c r="U6" s="37">
        <v>541</v>
      </c>
      <c r="V6" s="37">
        <v>541</v>
      </c>
      <c r="W6" s="37">
        <v>188</v>
      </c>
      <c r="X6" s="37" t="s">
        <v>133</v>
      </c>
      <c r="Y6" s="37" t="s">
        <v>133</v>
      </c>
      <c r="Z6" s="37" t="s">
        <v>133</v>
      </c>
      <c r="AA6" s="37" t="s">
        <v>133</v>
      </c>
      <c r="AB6" s="37" t="s">
        <v>133</v>
      </c>
      <c r="AC6" s="37">
        <v>0</v>
      </c>
      <c r="AD6" s="37">
        <v>0</v>
      </c>
      <c r="AE6" s="37">
        <v>0</v>
      </c>
      <c r="AF6" s="38">
        <v>0</v>
      </c>
      <c r="AG6" s="35"/>
      <c r="AH6" s="37">
        <v>6976976</v>
      </c>
      <c r="AI6" s="37">
        <v>6861880</v>
      </c>
      <c r="AJ6" s="37">
        <v>6861880</v>
      </c>
      <c r="AK6" s="37">
        <v>6861880</v>
      </c>
      <c r="AL6" s="37">
        <v>6861880</v>
      </c>
      <c r="AM6" s="37">
        <v>6784784</v>
      </c>
      <c r="AN6" s="37">
        <v>6784784</v>
      </c>
      <c r="AO6" s="37">
        <v>6784784</v>
      </c>
      <c r="AP6" s="37">
        <v>6779972</v>
      </c>
      <c r="AQ6" s="37">
        <v>6779972</v>
      </c>
      <c r="AR6" s="37">
        <v>6769746</v>
      </c>
      <c r="AS6" s="37">
        <v>5764006</v>
      </c>
      <c r="AT6" s="37">
        <v>3070532</v>
      </c>
      <c r="AU6" s="37">
        <v>3070532</v>
      </c>
      <c r="AV6" s="37">
        <v>736534</v>
      </c>
      <c r="AW6" s="37">
        <v>0</v>
      </c>
      <c r="AX6" s="37">
        <v>0</v>
      </c>
      <c r="AY6" s="37">
        <v>0</v>
      </c>
      <c r="AZ6" s="37">
        <v>0</v>
      </c>
      <c r="BA6" s="37">
        <v>0</v>
      </c>
      <c r="BB6" s="37">
        <v>0</v>
      </c>
      <c r="BC6" s="37">
        <v>0</v>
      </c>
      <c r="BD6" s="37">
        <v>0</v>
      </c>
      <c r="BE6" s="120">
        <v>0</v>
      </c>
      <c r="BF6" s="123"/>
    </row>
    <row r="8" spans="1:58" ht="17" x14ac:dyDescent="0.2">
      <c r="A8" s="20" t="s">
        <v>72</v>
      </c>
    </row>
    <row r="9" spans="1:58" ht="34" x14ac:dyDescent="0.2">
      <c r="A9" s="20" t="s">
        <v>51</v>
      </c>
      <c r="B9" s="20" t="s">
        <v>52</v>
      </c>
      <c r="C9" s="20" t="s">
        <v>53</v>
      </c>
      <c r="D9" s="20" t="s">
        <v>54</v>
      </c>
      <c r="E9" s="20" t="s">
        <v>55</v>
      </c>
      <c r="F9" s="21" t="s">
        <v>56</v>
      </c>
      <c r="G9" s="22" t="s">
        <v>57</v>
      </c>
      <c r="H9" s="23"/>
      <c r="I9" s="24" t="s">
        <v>58</v>
      </c>
      <c r="J9" s="25"/>
      <c r="K9" s="25"/>
      <c r="L9" s="25"/>
      <c r="M9" s="25"/>
      <c r="N9" s="25"/>
      <c r="O9" s="25"/>
      <c r="P9" s="25"/>
      <c r="Q9" s="25"/>
      <c r="R9" s="25"/>
      <c r="S9" s="25"/>
      <c r="T9" s="25"/>
      <c r="U9" s="25"/>
      <c r="V9" s="25"/>
      <c r="W9" s="25"/>
      <c r="X9" s="25"/>
      <c r="Y9" s="25"/>
      <c r="Z9" s="25"/>
      <c r="AA9" s="25"/>
      <c r="AB9" s="25"/>
      <c r="AC9" s="25"/>
      <c r="AD9" s="25"/>
      <c r="AE9" s="25"/>
      <c r="AF9" s="26"/>
      <c r="AG9" s="27"/>
      <c r="AH9" s="24" t="s">
        <v>59</v>
      </c>
      <c r="AI9" s="25"/>
      <c r="AJ9" s="25"/>
      <c r="AK9" s="25"/>
      <c r="AL9" s="25"/>
      <c r="AM9" s="25"/>
      <c r="AN9" s="25"/>
      <c r="AO9" s="25"/>
      <c r="AP9" s="25"/>
      <c r="AQ9" s="25"/>
      <c r="AR9" s="25"/>
      <c r="AS9" s="25"/>
      <c r="AT9" s="25"/>
      <c r="AU9" s="25"/>
      <c r="AV9" s="25"/>
      <c r="AW9" s="25"/>
      <c r="AX9" s="25"/>
      <c r="AY9" s="25"/>
      <c r="AZ9" s="25"/>
      <c r="BA9" s="25"/>
      <c r="BB9" s="25"/>
      <c r="BC9" s="25"/>
      <c r="BD9" s="25"/>
      <c r="BE9" s="26"/>
    </row>
    <row r="10" spans="1:58" ht="31" x14ac:dyDescent="0.2">
      <c r="A10" s="28"/>
      <c r="B10" s="28"/>
      <c r="C10" s="28"/>
      <c r="D10" s="28"/>
      <c r="E10" s="29"/>
      <c r="F10" s="30"/>
      <c r="G10" s="30"/>
      <c r="H10" s="31"/>
      <c r="I10" s="32">
        <v>2016</v>
      </c>
      <c r="J10" s="32">
        <v>2017</v>
      </c>
      <c r="K10" s="32">
        <v>2018</v>
      </c>
      <c r="L10" s="32">
        <v>2019</v>
      </c>
      <c r="M10" s="32">
        <v>2020</v>
      </c>
      <c r="N10" s="32">
        <v>2021</v>
      </c>
      <c r="O10" s="32">
        <v>2022</v>
      </c>
      <c r="P10" s="32">
        <v>2023</v>
      </c>
      <c r="Q10" s="32">
        <v>2024</v>
      </c>
      <c r="R10" s="32">
        <v>2025</v>
      </c>
      <c r="S10" s="32">
        <v>2026</v>
      </c>
      <c r="T10" s="32">
        <v>2027</v>
      </c>
      <c r="U10" s="32">
        <v>2028</v>
      </c>
      <c r="V10" s="32">
        <v>2029</v>
      </c>
      <c r="W10" s="32">
        <v>2030</v>
      </c>
      <c r="X10" s="32">
        <v>2031</v>
      </c>
      <c r="Y10" s="32">
        <v>2032</v>
      </c>
      <c r="Z10" s="32">
        <v>2033</v>
      </c>
      <c r="AA10" s="32">
        <v>2034</v>
      </c>
      <c r="AB10" s="32">
        <v>2035</v>
      </c>
      <c r="AC10" s="32">
        <v>2036</v>
      </c>
      <c r="AD10" s="32">
        <v>2037</v>
      </c>
      <c r="AE10" s="32">
        <v>2038</v>
      </c>
      <c r="AF10" s="32">
        <v>2039</v>
      </c>
      <c r="AG10" s="27"/>
      <c r="AH10" s="32">
        <v>2016</v>
      </c>
      <c r="AI10" s="32">
        <v>2017</v>
      </c>
      <c r="AJ10" s="32">
        <v>2018</v>
      </c>
      <c r="AK10" s="32">
        <v>2019</v>
      </c>
      <c r="AL10" s="32">
        <v>2020</v>
      </c>
      <c r="AM10" s="32">
        <v>2021</v>
      </c>
      <c r="AN10" s="32">
        <v>2022</v>
      </c>
      <c r="AO10" s="32">
        <v>2023</v>
      </c>
      <c r="AP10" s="32">
        <v>2024</v>
      </c>
      <c r="AQ10" s="32">
        <v>2025</v>
      </c>
      <c r="AR10" s="32">
        <v>2026</v>
      </c>
      <c r="AS10" s="32">
        <v>2027</v>
      </c>
      <c r="AT10" s="32">
        <v>2028</v>
      </c>
      <c r="AU10" s="32">
        <v>2029</v>
      </c>
      <c r="AV10" s="32">
        <v>2030</v>
      </c>
      <c r="AW10" s="32">
        <v>2031</v>
      </c>
      <c r="AX10" s="32">
        <v>2032</v>
      </c>
      <c r="AY10" s="32">
        <v>2033</v>
      </c>
      <c r="AZ10" s="32">
        <v>2034</v>
      </c>
      <c r="BA10" s="32">
        <v>2035</v>
      </c>
      <c r="BB10" s="32">
        <v>2036</v>
      </c>
      <c r="BC10" s="32">
        <v>2037</v>
      </c>
      <c r="BD10" s="32">
        <v>2038</v>
      </c>
      <c r="BE10" s="119">
        <v>2039</v>
      </c>
    </row>
    <row r="11" spans="1:58" x14ac:dyDescent="0.2">
      <c r="A11" s="33" t="s">
        <v>38</v>
      </c>
      <c r="B11" s="33" t="s">
        <v>29</v>
      </c>
      <c r="C11" s="33"/>
      <c r="D11" s="33" t="s">
        <v>61</v>
      </c>
      <c r="E11" s="33">
        <v>2016</v>
      </c>
      <c r="F11" s="34" t="s">
        <v>132</v>
      </c>
      <c r="G11" s="34" t="s">
        <v>131</v>
      </c>
      <c r="H11" s="35"/>
      <c r="I11" s="39">
        <f>IFERROR(I6/I6, "n/a")</f>
        <v>1</v>
      </c>
      <c r="J11" s="39">
        <f t="shared" ref="J11:AF11" si="0">IFERROR(J6/I6, "n/a")</f>
        <v>0.98294243070362475</v>
      </c>
      <c r="K11" s="39">
        <f t="shared" si="0"/>
        <v>1</v>
      </c>
      <c r="L11" s="39">
        <f t="shared" si="0"/>
        <v>1</v>
      </c>
      <c r="M11" s="39">
        <f t="shared" si="0"/>
        <v>1</v>
      </c>
      <c r="N11" s="39">
        <f t="shared" si="0"/>
        <v>0.98698481561822127</v>
      </c>
      <c r="O11" s="39">
        <f t="shared" si="0"/>
        <v>1</v>
      </c>
      <c r="P11" s="39">
        <f t="shared" si="0"/>
        <v>1</v>
      </c>
      <c r="Q11" s="39">
        <f t="shared" si="0"/>
        <v>1</v>
      </c>
      <c r="R11" s="39">
        <f t="shared" si="0"/>
        <v>1</v>
      </c>
      <c r="S11" s="39">
        <f t="shared" si="0"/>
        <v>0.99780219780219781</v>
      </c>
      <c r="T11" s="39">
        <f t="shared" si="0"/>
        <v>0.84691629955947134</v>
      </c>
      <c r="U11" s="39">
        <f t="shared" si="0"/>
        <v>0.70351105331599484</v>
      </c>
      <c r="V11" s="39">
        <f t="shared" si="0"/>
        <v>1</v>
      </c>
      <c r="W11" s="39">
        <f t="shared" si="0"/>
        <v>0.34750462107208874</v>
      </c>
      <c r="X11" s="124" t="str">
        <f t="shared" si="0"/>
        <v>n/a</v>
      </c>
      <c r="Y11" s="124" t="str">
        <f t="shared" si="0"/>
        <v>n/a</v>
      </c>
      <c r="Z11" s="124" t="str">
        <f t="shared" si="0"/>
        <v>n/a</v>
      </c>
      <c r="AA11" s="124" t="str">
        <f t="shared" si="0"/>
        <v>n/a</v>
      </c>
      <c r="AB11" s="124" t="str">
        <f t="shared" si="0"/>
        <v>n/a</v>
      </c>
      <c r="AC11" s="124" t="str">
        <f t="shared" si="0"/>
        <v>n/a</v>
      </c>
      <c r="AD11" s="124" t="str">
        <f t="shared" si="0"/>
        <v>n/a</v>
      </c>
      <c r="AE11" s="124" t="str">
        <f t="shared" si="0"/>
        <v>n/a</v>
      </c>
      <c r="AF11" s="124" t="str">
        <f t="shared" si="0"/>
        <v>n/a</v>
      </c>
      <c r="AG11" s="35"/>
      <c r="AH11" s="39">
        <f>IFERROR(AH6/AH6, "n/a")</f>
        <v>1</v>
      </c>
      <c r="AI11" s="39">
        <f>IFERROR(AI6/AH6, "n/a")</f>
        <v>0.9835034547918754</v>
      </c>
      <c r="AJ11" s="39">
        <f t="shared" ref="AJ11:BE11" si="1">IFERROR(AJ6/AI6, "n/a")</f>
        <v>1</v>
      </c>
      <c r="AK11" s="39">
        <f t="shared" si="1"/>
        <v>1</v>
      </c>
      <c r="AL11" s="39">
        <f t="shared" si="1"/>
        <v>1</v>
      </c>
      <c r="AM11" s="39">
        <f t="shared" si="1"/>
        <v>0.98876459512553416</v>
      </c>
      <c r="AN11" s="39">
        <f t="shared" si="1"/>
        <v>1</v>
      </c>
      <c r="AO11" s="39">
        <f t="shared" si="1"/>
        <v>1</v>
      </c>
      <c r="AP11" s="39">
        <f t="shared" si="1"/>
        <v>0.99929076592563593</v>
      </c>
      <c r="AQ11" s="39">
        <f t="shared" si="1"/>
        <v>1</v>
      </c>
      <c r="AR11" s="39">
        <f t="shared" si="1"/>
        <v>0.99849173418415293</v>
      </c>
      <c r="AS11" s="39">
        <f t="shared" si="1"/>
        <v>0.85143608046742081</v>
      </c>
      <c r="AT11" s="39">
        <f t="shared" si="1"/>
        <v>0.53270798122000562</v>
      </c>
      <c r="AU11" s="39">
        <f t="shared" si="1"/>
        <v>1</v>
      </c>
      <c r="AV11" s="39">
        <f t="shared" si="1"/>
        <v>0.23987178769021134</v>
      </c>
      <c r="AW11" s="39">
        <f t="shared" si="1"/>
        <v>0</v>
      </c>
      <c r="AX11" s="39" t="str">
        <f t="shared" si="1"/>
        <v>n/a</v>
      </c>
      <c r="AY11" s="39" t="str">
        <f t="shared" si="1"/>
        <v>n/a</v>
      </c>
      <c r="AZ11" s="39" t="str">
        <f t="shared" si="1"/>
        <v>n/a</v>
      </c>
      <c r="BA11" s="39" t="str">
        <f t="shared" si="1"/>
        <v>n/a</v>
      </c>
      <c r="BB11" s="39" t="str">
        <f t="shared" si="1"/>
        <v>n/a</v>
      </c>
      <c r="BC11" s="39" t="str">
        <f t="shared" si="1"/>
        <v>n/a</v>
      </c>
      <c r="BD11" s="39" t="str">
        <f t="shared" si="1"/>
        <v>n/a</v>
      </c>
      <c r="BE11" s="39" t="str">
        <f t="shared" si="1"/>
        <v>n/a</v>
      </c>
    </row>
  </sheetData>
  <conditionalFormatting sqref="I6:AF6 AH6:BE6 I11:AF11 AH11:BE11">
    <cfRule type="cellIs" dxfId="0" priority="13"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D5F45B-BAE7-41EE-996F-06EA1D7686AF}">
          <x14:formula1>
            <xm:f>'/Users/grushby/Dropbox (Rushby Energy)/RESI/Projects/RESI 014 FHI/FHI LRAM/2021/Deliverable 1/C:\Users\Adam Umanski\Dropbox\FHI LRAM\3 - 2018 Submission\[Festival_LRAMVA Workform_REVISED FOR IR_20181213.xlsx]DropDownList'!#REF!</xm:f>
          </x14:formula1>
          <xm:sqref>F6:G6 F11:G11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Persistence Summary Tables</vt:lpstr>
      <vt:lpstr>2016 True-Up Persistence Tables</vt:lpstr>
      <vt:lpstr>2016 True-up List</vt:lpstr>
      <vt:lpstr>Historical NTG</vt:lpstr>
      <vt:lpstr>2016 Historical Persistence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Umanski</dc:creator>
  <cp:lastModifiedBy>grushby@rushbyenergy.com</cp:lastModifiedBy>
  <dcterms:created xsi:type="dcterms:W3CDTF">2019-07-24T18:10:26Z</dcterms:created>
  <dcterms:modified xsi:type="dcterms:W3CDTF">2021-10-26T23:29:48Z</dcterms:modified>
</cp:coreProperties>
</file>