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ites.enbridge.com/sites/DSM2022/Interrogatory Respones/"/>
    </mc:Choice>
  </mc:AlternateContent>
  <xr:revisionPtr revIDLastSave="0" documentId="13_ncr:1_{FDE1EED8-C532-402B-A1E2-203F43EDF002}" xr6:coauthVersionLast="46" xr6:coauthVersionMax="46" xr10:uidLastSave="{00000000-0000-0000-0000-000000000000}"/>
  <bookViews>
    <workbookView xWindow="28680" yWindow="3285" windowWidth="29040" windowHeight="15840" xr2:uid="{00000000-000D-0000-FFFF-FFFF00000000}"/>
  </bookViews>
  <sheets>
    <sheet name="2023" sheetId="4" r:id="rId1"/>
  </sheets>
  <definedNames>
    <definedName name="_xlnm.Print_Area" localSheetId="0">'2023'!$A$1:$AC$66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8" i="4" l="1"/>
  <c r="S27" i="4"/>
  <c r="S23" i="4"/>
  <c r="O21" i="4"/>
  <c r="S21" i="4" s="1"/>
  <c r="AA21" i="4" s="1"/>
  <c r="O17" i="4" l="1"/>
  <c r="S17" i="4" s="1"/>
  <c r="AA17" i="4" s="1"/>
  <c r="O33" i="4" l="1"/>
  <c r="S10" i="4" l="1"/>
  <c r="AA10" i="4"/>
  <c r="M10" i="4" l="1"/>
  <c r="O50" i="4"/>
  <c r="O42" i="4"/>
  <c r="O38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30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4" i="4" s="1"/>
  <c r="A47" i="4" s="1"/>
  <c r="M50" i="4"/>
  <c r="M38" i="4"/>
  <c r="M39" i="4"/>
  <c r="M42" i="4"/>
  <c r="M28" i="4"/>
  <c r="I17" i="4"/>
  <c r="W23" i="4" l="1"/>
  <c r="M23" i="4"/>
  <c r="W50" i="4"/>
  <c r="AC50" i="4" s="1"/>
  <c r="U23" i="4"/>
  <c r="W27" i="4"/>
  <c r="U27" i="4" s="1"/>
  <c r="W28" i="4"/>
  <c r="U28" i="4" s="1"/>
  <c r="I23" i="4"/>
  <c r="I27" i="4"/>
  <c r="I35" i="4"/>
  <c r="I24" i="4"/>
  <c r="I28" i="4"/>
  <c r="I36" i="4"/>
  <c r="I40" i="4"/>
  <c r="I21" i="4"/>
  <c r="I25" i="4"/>
  <c r="I33" i="4"/>
  <c r="I37" i="4"/>
  <c r="I41" i="4"/>
  <c r="I18" i="4"/>
  <c r="I22" i="4"/>
  <c r="I26" i="4"/>
  <c r="I34" i="4"/>
  <c r="S50" i="4"/>
  <c r="W42" i="4"/>
  <c r="AC42" i="4" s="1"/>
  <c r="S42" i="4"/>
  <c r="W38" i="4"/>
  <c r="AC38" i="4" s="1"/>
  <c r="S38" i="4"/>
  <c r="M27" i="4"/>
  <c r="E53" i="4"/>
  <c r="E44" i="4"/>
  <c r="G30" i="4"/>
  <c r="G44" i="4"/>
  <c r="E30" i="4"/>
  <c r="O27" i="4"/>
  <c r="O39" i="4"/>
  <c r="M17" i="4"/>
  <c r="W17" i="4" s="1"/>
  <c r="AC17" i="4" s="1"/>
  <c r="M22" i="4"/>
  <c r="M26" i="4"/>
  <c r="G53" i="4"/>
  <c r="M18" i="4"/>
  <c r="O23" i="4"/>
  <c r="O20" i="4"/>
  <c r="S20" i="4" s="1"/>
  <c r="O24" i="4"/>
  <c r="S24" i="4" s="1"/>
  <c r="O28" i="4"/>
  <c r="O25" i="4"/>
  <c r="S25" i="4" s="1"/>
  <c r="O26" i="4"/>
  <c r="S26" i="4" s="1"/>
  <c r="M25" i="4"/>
  <c r="M24" i="4"/>
  <c r="O22" i="4"/>
  <c r="M21" i="4"/>
  <c r="M20" i="4"/>
  <c r="O18" i="4"/>
  <c r="W20" i="4" l="1"/>
  <c r="AC20" i="4" s="1"/>
  <c r="S22" i="4"/>
  <c r="AA22" i="4" s="1"/>
  <c r="W22" i="4"/>
  <c r="AC22" i="4" s="1"/>
  <c r="W24" i="4"/>
  <c r="AC24" i="4" s="1"/>
  <c r="U50" i="4"/>
  <c r="AA50" i="4"/>
  <c r="W39" i="4"/>
  <c r="AC39" i="4" s="1"/>
  <c r="S39" i="4"/>
  <c r="U42" i="4"/>
  <c r="AA42" i="4"/>
  <c r="AA38" i="4"/>
  <c r="U38" i="4"/>
  <c r="G56" i="4"/>
  <c r="W21" i="4"/>
  <c r="AC21" i="4" s="1"/>
  <c r="S18" i="4"/>
  <c r="W25" i="4"/>
  <c r="AC25" i="4" s="1"/>
  <c r="U20" i="4"/>
  <c r="AA20" i="4"/>
  <c r="U25" i="4"/>
  <c r="AA25" i="4"/>
  <c r="W18" i="4"/>
  <c r="AC18" i="4" s="1"/>
  <c r="U26" i="4"/>
  <c r="AA26" i="4"/>
  <c r="AA24" i="4"/>
  <c r="U24" i="4"/>
  <c r="W26" i="4"/>
  <c r="AC26" i="4" s="1"/>
  <c r="O37" i="4"/>
  <c r="O36" i="4"/>
  <c r="O34" i="4"/>
  <c r="O51" i="4"/>
  <c r="O49" i="4"/>
  <c r="O48" i="4"/>
  <c r="A48" i="4"/>
  <c r="O47" i="4"/>
  <c r="O10" i="4"/>
  <c r="C62" i="4" l="1"/>
  <c r="W10" i="4"/>
  <c r="AA39" i="4"/>
  <c r="U39" i="4"/>
  <c r="U22" i="4"/>
  <c r="U18" i="4"/>
  <c r="AA18" i="4"/>
  <c r="O40" i="4"/>
  <c r="M40" i="4"/>
  <c r="U17" i="4"/>
  <c r="M41" i="4"/>
  <c r="O41" i="4"/>
  <c r="U21" i="4"/>
  <c r="A49" i="4"/>
  <c r="A50" i="4" s="1"/>
  <c r="A51" i="4" s="1"/>
  <c r="A53" i="4" s="1"/>
  <c r="A56" i="4" s="1"/>
  <c r="M49" i="4"/>
  <c r="W49" i="4" s="1"/>
  <c r="AC49" i="4" s="1"/>
  <c r="M48" i="4"/>
  <c r="M36" i="4"/>
  <c r="M47" i="4"/>
  <c r="W47" i="4" s="1"/>
  <c r="AC47" i="4" s="1"/>
  <c r="M33" i="4"/>
  <c r="W33" i="4" s="1"/>
  <c r="AC33" i="4" s="1"/>
  <c r="M34" i="4"/>
  <c r="W34" i="4" s="1"/>
  <c r="AC34" i="4" s="1"/>
  <c r="S34" i="4"/>
  <c r="M35" i="4"/>
  <c r="S49" i="4"/>
  <c r="M51" i="4"/>
  <c r="S47" i="4"/>
  <c r="AA47" i="4" s="1"/>
  <c r="S36" i="4"/>
  <c r="M37" i="4"/>
  <c r="S33" i="4"/>
  <c r="O35" i="4"/>
  <c r="S41" i="4" l="1"/>
  <c r="AA41" i="4" s="1"/>
  <c r="E56" i="4"/>
  <c r="I49" i="4"/>
  <c r="W36" i="4"/>
  <c r="AC36" i="4" s="1"/>
  <c r="I47" i="4"/>
  <c r="W41" i="4"/>
  <c r="AC41" i="4" s="1"/>
  <c r="I48" i="4"/>
  <c r="S48" i="4"/>
  <c r="W48" i="4"/>
  <c r="AC48" i="4" s="1"/>
  <c r="AA33" i="4"/>
  <c r="U33" i="4"/>
  <c r="AA49" i="4"/>
  <c r="U49" i="4"/>
  <c r="W40" i="4"/>
  <c r="AC40" i="4" s="1"/>
  <c r="S40" i="4"/>
  <c r="U47" i="4"/>
  <c r="S37" i="4"/>
  <c r="W37" i="4"/>
  <c r="AC37" i="4" s="1"/>
  <c r="AA36" i="4"/>
  <c r="U36" i="4"/>
  <c r="AA34" i="4"/>
  <c r="U34" i="4"/>
  <c r="S35" i="4"/>
  <c r="W35" i="4"/>
  <c r="AC35" i="4" s="1"/>
  <c r="U41" i="4"/>
  <c r="I51" i="4"/>
  <c r="S51" i="4"/>
  <c r="W51" i="4"/>
  <c r="AC51" i="4" s="1"/>
  <c r="U51" i="4" l="1"/>
  <c r="AA51" i="4"/>
  <c r="U37" i="4"/>
  <c r="AA37" i="4"/>
  <c r="U48" i="4"/>
  <c r="AA48" i="4"/>
  <c r="AA40" i="4"/>
  <c r="U40" i="4"/>
  <c r="U35" i="4"/>
  <c r="AA35" i="4"/>
</calcChain>
</file>

<file path=xl/sharedStrings.xml><?xml version="1.0" encoding="utf-8"?>
<sst xmlns="http://schemas.openxmlformats.org/spreadsheetml/2006/main" count="105" uniqueCount="95">
  <si>
    <t>Line</t>
  </si>
  <si>
    <t>No.</t>
  </si>
  <si>
    <t>DSM Budget</t>
  </si>
  <si>
    <t>Rate 01</t>
  </si>
  <si>
    <t>Rate 10</t>
  </si>
  <si>
    <t>Rate 20</t>
  </si>
  <si>
    <t>Rate 100</t>
  </si>
  <si>
    <t>Total Union North</t>
  </si>
  <si>
    <t>Rate M1</t>
  </si>
  <si>
    <t>Rate M2</t>
  </si>
  <si>
    <t>Rate M7</t>
  </si>
  <si>
    <t>Rate T1</t>
  </si>
  <si>
    <t>Rate T2</t>
  </si>
  <si>
    <t>Total Union South</t>
  </si>
  <si>
    <t>Notes:</t>
  </si>
  <si>
    <t>(1)</t>
  </si>
  <si>
    <t>(2)</t>
  </si>
  <si>
    <t>Proposed</t>
  </si>
  <si>
    <t>Unit Rate</t>
  </si>
  <si>
    <t>(a)</t>
  </si>
  <si>
    <t>(b)</t>
  </si>
  <si>
    <t>(d)</t>
  </si>
  <si>
    <t>($000s)</t>
  </si>
  <si>
    <t>(10³m³)</t>
  </si>
  <si>
    <t>Billing Units</t>
  </si>
  <si>
    <t>(cents/m³)</t>
  </si>
  <si>
    <t>Bill</t>
  </si>
  <si>
    <t>(%)</t>
  </si>
  <si>
    <t>Representative</t>
  </si>
  <si>
    <t>Annual</t>
  </si>
  <si>
    <t>Monthly</t>
  </si>
  <si>
    <t>QRAM</t>
  </si>
  <si>
    <t>in Rates (1)</t>
  </si>
  <si>
    <t>Rate Class</t>
  </si>
  <si>
    <t>($)</t>
  </si>
  <si>
    <t>(m³)</t>
  </si>
  <si>
    <t>(3)</t>
  </si>
  <si>
    <t>ENBRIDGE GAS INC.</t>
  </si>
  <si>
    <t>EGD Rate Zone</t>
  </si>
  <si>
    <t>Rate 1</t>
  </si>
  <si>
    <t>Rate 6</t>
  </si>
  <si>
    <t>Rate 9</t>
  </si>
  <si>
    <t>Rate 110</t>
  </si>
  <si>
    <t>Rate 115</t>
  </si>
  <si>
    <t>Rate 135</t>
  </si>
  <si>
    <t>Rate 145</t>
  </si>
  <si>
    <t>Rate 170</t>
  </si>
  <si>
    <t>Rate M9</t>
  </si>
  <si>
    <t>Rate M10</t>
  </si>
  <si>
    <t>Rate T3</t>
  </si>
  <si>
    <t>Rate 25</t>
  </si>
  <si>
    <t>Union South Rate Zone</t>
  </si>
  <si>
    <t>Union North Rate Zone</t>
  </si>
  <si>
    <t>April 2021</t>
  </si>
  <si>
    <t>Change</t>
  </si>
  <si>
    <t>Billing</t>
  </si>
  <si>
    <t>Total EGD</t>
  </si>
  <si>
    <t xml:space="preserve">Total </t>
  </si>
  <si>
    <t>Impact</t>
  </si>
  <si>
    <t>Budget Change</t>
  </si>
  <si>
    <t xml:space="preserve">DSM </t>
  </si>
  <si>
    <t>Proposed DSM</t>
  </si>
  <si>
    <t>in Total Bill</t>
  </si>
  <si>
    <t xml:space="preserve"> Unit Rate (3)</t>
  </si>
  <si>
    <t>(4)</t>
  </si>
  <si>
    <t>Total Bill (4)</t>
  </si>
  <si>
    <t>Total sales service bill based on EB-2021-0070 (April 2021 QRAM) excluding cost/price adjustments. Total bill for Rate M9, Rate M10 and Rate T3 excludes the federal carbon charge.</t>
  </si>
  <si>
    <t>(5)</t>
  </si>
  <si>
    <t>(6)</t>
  </si>
  <si>
    <t>Rate M4 (6)</t>
  </si>
  <si>
    <t>Rate M5 (6)</t>
  </si>
  <si>
    <t>Rate 300 (5)</t>
  </si>
  <si>
    <t>Rate 200 (5)</t>
  </si>
  <si>
    <t>Rate 125 (5)</t>
  </si>
  <si>
    <t>($ / customer)</t>
  </si>
  <si>
    <t>(g)</t>
  </si>
  <si>
    <t>(k)</t>
  </si>
  <si>
    <t>DSM Budget (2)</t>
  </si>
  <si>
    <t>(c)=(b-a)/(a)</t>
  </si>
  <si>
    <t>(e)=(a/d)*100</t>
  </si>
  <si>
    <t>(f)=(b/d)*100</t>
  </si>
  <si>
    <t>(h)=(f*g)/100</t>
  </si>
  <si>
    <t>(i)=(h/12)</t>
  </si>
  <si>
    <t>(j)=(f-e)*(g)/100</t>
  </si>
  <si>
    <t>(l)=(h/k)</t>
  </si>
  <si>
    <t>Exhibit F, Tab 1, Schedule 2.</t>
  </si>
  <si>
    <t>Annual bill impact amounts for EGD Rate 125, Rate 200, and Rate 300 are for average customers in each rate class.</t>
  </si>
  <si>
    <t>2023 DSM Budget Bill Impacts</t>
  </si>
  <si>
    <t>2023 - 2027 DSM Plan</t>
  </si>
  <si>
    <t>Total EGI</t>
  </si>
  <si>
    <t>Updated to equal 2021 Board-approved DSM budget, consistent with what was included in the 2022 Rates application (EB-2021-0147, Exhibit D, Tab 2, Rate Order, Working Papers, Schedule 10, p. 1).</t>
  </si>
  <si>
    <t>(m)=(j/k)</t>
  </si>
  <si>
    <t>Units</t>
  </si>
  <si>
    <t>Rate M4 and Rate M5 DSM costs are pooled and reallocated in proportion to forecast volumes. Forecast volumes are updated through the annual rate setting proceedings.</t>
  </si>
  <si>
    <t xml:space="preserve">Filed:  2021-11-15
EB-2021-0002
Exhibit I.5.EGI.GEC.10
Attachment 1
Page 1 of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</si>
</sst>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;\(#,##0\);_(* &quot;-&quot;_)"/>
    <numFmt numFmtId="165" formatCode="#,##0.0000;\(#,##0.0000\);_(* &quot;-&quot;_)"/>
    <numFmt numFmtId="166" formatCode="0.0%"/>
    <numFmt numFmtId="167" formatCode="#,##0.0000_);\(#,##0.0000\)"/>
    <numFmt numFmtId="168" formatCode="_(* #,##0.00000000_);_(* \(#,##0.00000000\);_(* &quot;-&quot;??_);_(@_)"/>
    <numFmt numFmtId="169" formatCode="#,##0.00;\(#,##0.00\);_(* &quot;-&quot;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u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164" fontId="5" fillId="0" borderId="0" xfId="0" applyNumberFormat="1" applyFont="1" applyBorder="1"/>
    <xf numFmtId="0" fontId="6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0" xfId="1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167" fontId="2" fillId="0" borderId="0" xfId="0" applyNumberFormat="1" applyFont="1"/>
    <xf numFmtId="43" fontId="2" fillId="0" borderId="0" xfId="2" applyFont="1"/>
    <xf numFmtId="168" fontId="2" fillId="0" borderId="0" xfId="2" applyNumberFormat="1" applyFont="1"/>
    <xf numFmtId="169" fontId="5" fillId="0" borderId="0" xfId="0" applyNumberFormat="1" applyFont="1"/>
    <xf numFmtId="4" fontId="5" fillId="0" borderId="0" xfId="0" applyNumberFormat="1" applyFont="1"/>
    <xf numFmtId="0" fontId="8" fillId="0" borderId="0" xfId="0" applyFont="1" applyFill="1"/>
    <xf numFmtId="166" fontId="2" fillId="0" borderId="0" xfId="1" applyNumberFormat="1" applyFont="1" applyFill="1" applyAlignment="1">
      <alignment horizontal="right"/>
    </xf>
    <xf numFmtId="0" fontId="5" fillId="0" borderId="0" xfId="0" applyFont="1"/>
    <xf numFmtId="0" fontId="5" fillId="0" borderId="0" xfId="0" applyFont="1" applyFill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7" fontId="5" fillId="0" borderId="0" xfId="0" quotePrefix="1" applyNumberFormat="1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indent="1"/>
    </xf>
    <xf numFmtId="9" fontId="5" fillId="0" borderId="0" xfId="1" applyNumberFormat="1" applyFont="1"/>
    <xf numFmtId="166" fontId="5" fillId="0" borderId="0" xfId="1" applyNumberFormat="1" applyFont="1"/>
    <xf numFmtId="9" fontId="5" fillId="0" borderId="0" xfId="1" applyFont="1"/>
    <xf numFmtId="3" fontId="5" fillId="0" borderId="0" xfId="0" applyNumberFormat="1" applyFont="1"/>
    <xf numFmtId="164" fontId="5" fillId="0" borderId="0" xfId="0" applyNumberFormat="1" applyFont="1" applyFill="1" applyAlignment="1">
      <alignment horizontal="right"/>
    </xf>
    <xf numFmtId="9" fontId="5" fillId="0" borderId="0" xfId="1" applyNumberFormat="1" applyFont="1" applyFill="1"/>
    <xf numFmtId="166" fontId="5" fillId="0" borderId="0" xfId="1" applyNumberFormat="1" applyFont="1" applyFill="1"/>
    <xf numFmtId="10" fontId="5" fillId="0" borderId="0" xfId="1" applyNumberFormat="1" applyFont="1"/>
    <xf numFmtId="167" fontId="5" fillId="0" borderId="0" xfId="0" applyNumberFormat="1" applyFont="1"/>
    <xf numFmtId="0" fontId="5" fillId="0" borderId="0" xfId="0" quotePrefix="1" applyFont="1" applyAlignment="1">
      <alignment horizontal="right"/>
    </xf>
    <xf numFmtId="0" fontId="3" fillId="0" borderId="0" xfId="0" applyFont="1" applyFill="1"/>
    <xf numFmtId="3" fontId="2" fillId="0" borderId="0" xfId="0" applyNumberFormat="1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76"/>
  <sheetViews>
    <sheetView tabSelected="1" zoomScaleNormal="100" workbookViewId="0">
      <pane xSplit="4" ySplit="15" topLeftCell="E16" activePane="bottomRight" state="frozen"/>
      <selection pane="topRight" activeCell="E1" sqref="E1"/>
      <selection pane="bottomLeft" activeCell="A14" sqref="A14"/>
      <selection pane="bottomRight" activeCell="B2" sqref="B2"/>
    </sheetView>
  </sheetViews>
  <sheetFormatPr defaultColWidth="9.1796875" defaultRowHeight="11.5" x14ac:dyDescent="0.25"/>
  <cols>
    <col min="1" max="1" width="4.54296875" style="2" customWidth="1"/>
    <col min="2" max="2" width="1.7265625" style="1" customWidth="1"/>
    <col min="3" max="3" width="16.81640625" style="1" customWidth="1"/>
    <col min="4" max="4" width="1.453125" style="1" customWidth="1"/>
    <col min="5" max="5" width="13.54296875" style="1" customWidth="1"/>
    <col min="6" max="6" width="1.453125" style="1" customWidth="1"/>
    <col min="7" max="7" width="12.1796875" style="1" customWidth="1"/>
    <col min="8" max="8" width="1.453125" style="1" customWidth="1"/>
    <col min="9" max="9" width="9.7265625" style="1" customWidth="1"/>
    <col min="10" max="10" width="1.7265625" style="1" customWidth="1"/>
    <col min="11" max="11" width="12.1796875" style="1" customWidth="1"/>
    <col min="12" max="12" width="1.453125" style="1" customWidth="1"/>
    <col min="13" max="13" width="12.1796875" style="1" customWidth="1"/>
    <col min="14" max="14" width="1.453125" style="1" customWidth="1"/>
    <col min="15" max="15" width="12.1796875" style="1" customWidth="1"/>
    <col min="16" max="16" width="1.453125" style="1" customWidth="1"/>
    <col min="17" max="17" width="12.1796875" style="1" customWidth="1"/>
    <col min="18" max="18" width="1.453125" style="1" customWidth="1"/>
    <col min="19" max="19" width="12.1796875" style="1" customWidth="1"/>
    <col min="20" max="20" width="1.453125" style="1" customWidth="1"/>
    <col min="21" max="21" width="12.1796875" style="1" customWidth="1"/>
    <col min="22" max="22" width="1.453125" style="1" customWidth="1"/>
    <col min="23" max="23" width="12.1796875" style="1" customWidth="1"/>
    <col min="24" max="24" width="1.54296875" style="1" customWidth="1"/>
    <col min="25" max="25" width="12.1796875" style="1" customWidth="1"/>
    <col min="26" max="26" width="1.453125" style="1" customWidth="1"/>
    <col min="27" max="27" width="9.7265625" style="1" customWidth="1"/>
    <col min="28" max="28" width="1.453125" style="1" customWidth="1"/>
    <col min="29" max="29" width="9.7265625" style="1" customWidth="1"/>
    <col min="30" max="30" width="16.54296875" style="1" bestFit="1" customWidth="1"/>
    <col min="31" max="31" width="12.81640625" style="1" customWidth="1"/>
    <col min="32" max="32" width="9.1796875" style="1"/>
    <col min="33" max="33" width="12.1796875" style="1" bestFit="1" customWidth="1"/>
    <col min="34" max="16384" width="9.1796875" style="1"/>
  </cols>
  <sheetData>
    <row r="1" spans="1:32" ht="12.5" x14ac:dyDescent="0.25">
      <c r="A1" s="8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2"/>
      <c r="AC1" s="33"/>
    </row>
    <row r="2" spans="1:32" ht="59.5" customHeight="1" x14ac:dyDescent="0.25">
      <c r="A2" s="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63" t="s">
        <v>94</v>
      </c>
      <c r="AB2" s="63"/>
      <c r="AC2" s="63"/>
    </row>
    <row r="3" spans="1:32" ht="12.5" x14ac:dyDescent="0.25">
      <c r="A3" s="8"/>
      <c r="B3" s="30"/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3"/>
    </row>
    <row r="4" spans="1:32" ht="12.5" x14ac:dyDescent="0.25">
      <c r="A4" s="8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0"/>
      <c r="AB4" s="31"/>
      <c r="AC4" s="33"/>
    </row>
    <row r="5" spans="1:32" ht="12.5" x14ac:dyDescent="0.25">
      <c r="A5" s="8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0"/>
      <c r="AB5" s="31"/>
      <c r="AC5" s="34"/>
    </row>
    <row r="6" spans="1:32" x14ac:dyDescent="0.25">
      <c r="A6" s="35" t="s">
        <v>37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5"/>
      <c r="Y6" s="35"/>
      <c r="Z6" s="35"/>
      <c r="AA6" s="35"/>
      <c r="AB6" s="35"/>
      <c r="AC6" s="37"/>
      <c r="AF6" s="11"/>
    </row>
    <row r="7" spans="1:32" x14ac:dyDescent="0.25">
      <c r="A7" s="37" t="s">
        <v>88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7"/>
      <c r="Y7" s="37"/>
      <c r="Z7" s="37"/>
      <c r="AA7" s="37"/>
      <c r="AB7" s="37"/>
      <c r="AC7" s="37"/>
    </row>
    <row r="8" spans="1:32" x14ac:dyDescent="0.25">
      <c r="A8" s="35" t="s">
        <v>87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5"/>
      <c r="Y8" s="35"/>
      <c r="Z8" s="35"/>
      <c r="AA8" s="35"/>
      <c r="AB8" s="35"/>
      <c r="AC8" s="37"/>
    </row>
    <row r="9" spans="1:32" x14ac:dyDescent="0.25">
      <c r="A9" s="3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30"/>
      <c r="Z9" s="30"/>
      <c r="AA9" s="30"/>
      <c r="AB9" s="30"/>
      <c r="AC9" s="30"/>
    </row>
    <row r="10" spans="1:32" x14ac:dyDescent="0.25">
      <c r="A10" s="8"/>
      <c r="B10" s="30"/>
      <c r="C10" s="31"/>
      <c r="D10" s="31"/>
      <c r="E10" s="21">
        <v>2022</v>
      </c>
      <c r="F10" s="21"/>
      <c r="G10" s="21">
        <v>2023</v>
      </c>
      <c r="H10" s="21"/>
      <c r="I10" s="21"/>
      <c r="J10" s="21"/>
      <c r="K10" s="21">
        <v>2021</v>
      </c>
      <c r="L10" s="21"/>
      <c r="M10" s="21">
        <f>+E10</f>
        <v>2022</v>
      </c>
      <c r="N10" s="21"/>
      <c r="O10" s="21">
        <f>G10</f>
        <v>2023</v>
      </c>
      <c r="P10" s="21"/>
      <c r="Q10" s="21" t="s">
        <v>28</v>
      </c>
      <c r="R10" s="21"/>
      <c r="S10" s="40" t="str">
        <f>$G$10&amp;" DSM Amounts"</f>
        <v>2023 DSM Amounts</v>
      </c>
      <c r="T10" s="40"/>
      <c r="U10" s="40"/>
      <c r="V10" s="21"/>
      <c r="W10" s="21">
        <f>O10</f>
        <v>2023</v>
      </c>
      <c r="X10" s="30"/>
      <c r="Y10" s="41" t="s">
        <v>53</v>
      </c>
      <c r="Z10" s="30"/>
      <c r="AA10" s="61" t="str">
        <f>G10&amp;" DSM Budget"</f>
        <v>2023 DSM Budget</v>
      </c>
      <c r="AB10" s="61"/>
      <c r="AC10" s="61"/>
      <c r="AE10" s="28"/>
    </row>
    <row r="11" spans="1:32" x14ac:dyDescent="0.25">
      <c r="A11" s="8"/>
      <c r="B11" s="30"/>
      <c r="C11" s="31"/>
      <c r="D11" s="31"/>
      <c r="E11" s="21" t="s">
        <v>2</v>
      </c>
      <c r="F11" s="21"/>
      <c r="G11" s="21" t="s">
        <v>17</v>
      </c>
      <c r="H11" s="21"/>
      <c r="I11" s="38"/>
      <c r="J11" s="21"/>
      <c r="K11" s="21" t="s">
        <v>55</v>
      </c>
      <c r="L11" s="21"/>
      <c r="M11" s="21" t="s">
        <v>60</v>
      </c>
      <c r="N11" s="21"/>
      <c r="O11" s="21" t="s">
        <v>61</v>
      </c>
      <c r="P11" s="38"/>
      <c r="Q11" s="21" t="s">
        <v>29</v>
      </c>
      <c r="R11" s="42"/>
      <c r="S11" s="62" t="s">
        <v>62</v>
      </c>
      <c r="T11" s="62"/>
      <c r="U11" s="62"/>
      <c r="V11" s="21"/>
      <c r="W11" s="21" t="s">
        <v>59</v>
      </c>
      <c r="X11" s="30"/>
      <c r="Y11" s="41" t="s">
        <v>31</v>
      </c>
      <c r="Z11" s="8"/>
      <c r="AA11" s="8" t="s">
        <v>57</v>
      </c>
      <c r="AB11" s="8"/>
      <c r="AC11" s="8" t="s">
        <v>54</v>
      </c>
      <c r="AE11" s="12"/>
      <c r="AF11" s="11"/>
    </row>
    <row r="12" spans="1:32" x14ac:dyDescent="0.25">
      <c r="A12" s="8" t="s">
        <v>0</v>
      </c>
      <c r="B12" s="30"/>
      <c r="C12" s="31"/>
      <c r="D12" s="31"/>
      <c r="E12" s="21" t="s">
        <v>32</v>
      </c>
      <c r="F12" s="21"/>
      <c r="G12" s="21" t="s">
        <v>77</v>
      </c>
      <c r="H12" s="21"/>
      <c r="I12" s="21" t="s">
        <v>54</v>
      </c>
      <c r="J12" s="21"/>
      <c r="K12" s="43" t="s">
        <v>92</v>
      </c>
      <c r="L12" s="43"/>
      <c r="M12" s="21" t="s">
        <v>18</v>
      </c>
      <c r="N12" s="21"/>
      <c r="O12" s="21" t="s">
        <v>63</v>
      </c>
      <c r="P12" s="38"/>
      <c r="Q12" s="21" t="s">
        <v>24</v>
      </c>
      <c r="R12" s="21"/>
      <c r="S12" s="21" t="s">
        <v>29</v>
      </c>
      <c r="T12" s="21"/>
      <c r="U12" s="21" t="s">
        <v>30</v>
      </c>
      <c r="V12" s="21"/>
      <c r="W12" s="38" t="s">
        <v>58</v>
      </c>
      <c r="X12" s="30"/>
      <c r="Y12" s="8" t="s">
        <v>65</v>
      </c>
      <c r="Z12" s="8"/>
      <c r="AA12" s="8" t="s">
        <v>26</v>
      </c>
      <c r="AB12" s="8"/>
      <c r="AC12" s="21" t="s">
        <v>58</v>
      </c>
      <c r="AE12" s="12"/>
      <c r="AF12" s="11"/>
    </row>
    <row r="13" spans="1:32" x14ac:dyDescent="0.25">
      <c r="A13" s="44" t="s">
        <v>1</v>
      </c>
      <c r="B13" s="30"/>
      <c r="C13" s="45" t="s">
        <v>33</v>
      </c>
      <c r="D13" s="31"/>
      <c r="E13" s="46" t="s">
        <v>22</v>
      </c>
      <c r="F13" s="31"/>
      <c r="G13" s="46" t="s">
        <v>22</v>
      </c>
      <c r="H13" s="46"/>
      <c r="I13" s="46" t="s">
        <v>27</v>
      </c>
      <c r="J13" s="31"/>
      <c r="K13" s="46" t="s">
        <v>23</v>
      </c>
      <c r="L13" s="46"/>
      <c r="M13" s="46" t="s">
        <v>25</v>
      </c>
      <c r="N13" s="46"/>
      <c r="O13" s="46" t="s">
        <v>25</v>
      </c>
      <c r="P13" s="46"/>
      <c r="Q13" s="46" t="s">
        <v>35</v>
      </c>
      <c r="R13" s="31"/>
      <c r="S13" s="46" t="s">
        <v>34</v>
      </c>
      <c r="T13" s="21"/>
      <c r="U13" s="46" t="s">
        <v>34</v>
      </c>
      <c r="V13" s="46"/>
      <c r="W13" s="46" t="s">
        <v>74</v>
      </c>
      <c r="X13" s="30"/>
      <c r="Y13" s="44" t="s">
        <v>34</v>
      </c>
      <c r="Z13" s="30"/>
      <c r="AA13" s="44" t="s">
        <v>27</v>
      </c>
      <c r="AB13" s="44"/>
      <c r="AC13" s="44" t="s">
        <v>27</v>
      </c>
      <c r="AE13" s="13"/>
    </row>
    <row r="14" spans="1:32" x14ac:dyDescent="0.25">
      <c r="A14" s="8"/>
      <c r="B14" s="30"/>
      <c r="C14" s="30"/>
      <c r="D14" s="30"/>
      <c r="E14" s="8" t="s">
        <v>19</v>
      </c>
      <c r="F14" s="8"/>
      <c r="G14" s="8" t="s">
        <v>20</v>
      </c>
      <c r="H14" s="8"/>
      <c r="I14" s="9" t="s">
        <v>78</v>
      </c>
      <c r="J14" s="8"/>
      <c r="K14" s="8" t="s">
        <v>21</v>
      </c>
      <c r="L14" s="8"/>
      <c r="M14" s="8" t="s">
        <v>79</v>
      </c>
      <c r="N14" s="8"/>
      <c r="O14" s="8" t="s">
        <v>80</v>
      </c>
      <c r="P14" s="8"/>
      <c r="Q14" s="9" t="s">
        <v>75</v>
      </c>
      <c r="R14" s="8"/>
      <c r="S14" s="8" t="s">
        <v>81</v>
      </c>
      <c r="T14" s="8"/>
      <c r="U14" s="8" t="s">
        <v>82</v>
      </c>
      <c r="V14" s="9"/>
      <c r="W14" s="8" t="s">
        <v>83</v>
      </c>
      <c r="X14" s="8"/>
      <c r="Y14" s="8" t="s">
        <v>76</v>
      </c>
      <c r="Z14" s="8"/>
      <c r="AA14" s="8" t="s">
        <v>84</v>
      </c>
      <c r="AB14" s="8"/>
      <c r="AC14" s="8" t="s">
        <v>91</v>
      </c>
      <c r="AE14" s="12"/>
      <c r="AF14" s="11"/>
    </row>
    <row r="15" spans="1:32" x14ac:dyDescent="0.25">
      <c r="A15" s="8"/>
      <c r="B15" s="30"/>
      <c r="C15" s="30"/>
      <c r="D15" s="3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8"/>
      <c r="S15" s="8"/>
      <c r="T15" s="8"/>
      <c r="U15" s="8"/>
      <c r="V15" s="9"/>
      <c r="W15" s="8"/>
      <c r="X15" s="8"/>
      <c r="Y15" s="8"/>
      <c r="Z15" s="8"/>
      <c r="AA15" s="8"/>
      <c r="AB15" s="8"/>
      <c r="AC15" s="8"/>
      <c r="AE15" s="12"/>
    </row>
    <row r="16" spans="1:32" x14ac:dyDescent="0.25">
      <c r="A16" s="8"/>
      <c r="B16" s="30"/>
      <c r="C16" s="47" t="s">
        <v>38</v>
      </c>
      <c r="D16" s="30"/>
      <c r="E16" s="8"/>
      <c r="F16" s="8"/>
      <c r="G16" s="21"/>
      <c r="H16" s="21"/>
      <c r="I16" s="8"/>
      <c r="J16" s="8"/>
      <c r="K16" s="8"/>
      <c r="L16" s="8"/>
      <c r="M16" s="8"/>
      <c r="N16" s="8"/>
      <c r="O16" s="8"/>
      <c r="P16" s="8"/>
      <c r="Q16" s="9"/>
      <c r="R16" s="8"/>
      <c r="S16" s="8"/>
      <c r="T16" s="8"/>
      <c r="U16" s="8"/>
      <c r="V16" s="9"/>
      <c r="W16" s="8"/>
      <c r="X16" s="8"/>
      <c r="Y16" s="8"/>
      <c r="Z16" s="8"/>
      <c r="AA16" s="8"/>
      <c r="AB16" s="8"/>
      <c r="AC16" s="8"/>
      <c r="AE16" s="12"/>
    </row>
    <row r="17" spans="1:33" x14ac:dyDescent="0.25">
      <c r="A17" s="8">
        <v>1</v>
      </c>
      <c r="B17" s="30"/>
      <c r="C17" s="48" t="s">
        <v>39</v>
      </c>
      <c r="D17" s="30"/>
      <c r="E17" s="18">
        <v>39405.864114277894</v>
      </c>
      <c r="F17" s="8"/>
      <c r="G17" s="18">
        <v>45111.512193767907</v>
      </c>
      <c r="H17" s="18"/>
      <c r="I17" s="49">
        <f>(G17-E17)/E17</f>
        <v>0.14479185288117283</v>
      </c>
      <c r="J17" s="8"/>
      <c r="K17" s="6">
        <v>5118240.325049459</v>
      </c>
      <c r="L17" s="6"/>
      <c r="M17" s="7">
        <f>E17/$K17*100</f>
        <v>0.76991039130029726</v>
      </c>
      <c r="N17" s="7"/>
      <c r="O17" s="7">
        <f>G17/$K17*100</f>
        <v>0.88138714340913604</v>
      </c>
      <c r="P17" s="50"/>
      <c r="Q17" s="6">
        <v>2400</v>
      </c>
      <c r="R17" s="8"/>
      <c r="S17" s="26">
        <f>O17*Q17/100</f>
        <v>21.153291441819263</v>
      </c>
      <c r="T17" s="26"/>
      <c r="U17" s="26">
        <f t="shared" ref="U17" si="0">S17/12</f>
        <v>1.7627742868182719</v>
      </c>
      <c r="V17" s="26"/>
      <c r="W17" s="26">
        <f>(O17-M17)*Q17/100</f>
        <v>2.6754420506121308</v>
      </c>
      <c r="X17" s="8"/>
      <c r="Y17" s="6">
        <v>1069.2393160108688</v>
      </c>
      <c r="Z17" s="8"/>
      <c r="AA17" s="50">
        <f>S17/Y17</f>
        <v>1.978349572922386E-2</v>
      </c>
      <c r="AB17" s="50"/>
      <c r="AC17" s="50">
        <f>W17/Y17</f>
        <v>2.5021919887810548E-3</v>
      </c>
      <c r="AE17" s="17"/>
      <c r="AG17" s="24"/>
    </row>
    <row r="18" spans="1:33" x14ac:dyDescent="0.25">
      <c r="A18" s="8">
        <f>A17+1</f>
        <v>2</v>
      </c>
      <c r="B18" s="30"/>
      <c r="C18" s="48" t="s">
        <v>40</v>
      </c>
      <c r="D18" s="30"/>
      <c r="E18" s="18">
        <v>21074.059637931055</v>
      </c>
      <c r="F18" s="8"/>
      <c r="G18" s="18">
        <v>23822.648464856513</v>
      </c>
      <c r="H18" s="18"/>
      <c r="I18" s="49">
        <f>(G18-E18)/E18</f>
        <v>0.13042521821368919</v>
      </c>
      <c r="J18" s="8"/>
      <c r="K18" s="6">
        <v>4923000.7131814174</v>
      </c>
      <c r="L18" s="6"/>
      <c r="M18" s="7">
        <f>E18/$K18*100</f>
        <v>0.42807346303048271</v>
      </c>
      <c r="N18" s="7"/>
      <c r="O18" s="7">
        <f>G18/$K18*100</f>
        <v>0.48390503785772304</v>
      </c>
      <c r="P18" s="51"/>
      <c r="Q18" s="6">
        <v>22606</v>
      </c>
      <c r="R18" s="8"/>
      <c r="S18" s="52">
        <f>O18*Q18/100</f>
        <v>109.39157285811687</v>
      </c>
      <c r="T18" s="52"/>
      <c r="U18" s="52">
        <f t="shared" ref="U18:U28" si="1">S18/12</f>
        <v>9.1159644048430728</v>
      </c>
      <c r="V18" s="6"/>
      <c r="W18" s="18">
        <f>(O18-M18)*Q18/100</f>
        <v>12.621285805445948</v>
      </c>
      <c r="X18" s="8"/>
      <c r="Y18" s="6">
        <v>8087.8525420722945</v>
      </c>
      <c r="Z18" s="8"/>
      <c r="AA18" s="50">
        <f t="shared" ref="AA18:AA26" si="2">S18/Y18</f>
        <v>1.3525416331352676E-2</v>
      </c>
      <c r="AB18" s="50"/>
      <c r="AC18" s="50">
        <f>W18/Y18</f>
        <v>1.5605237286153691E-3</v>
      </c>
      <c r="AE18" s="17"/>
      <c r="AG18" s="24"/>
    </row>
    <row r="19" spans="1:33" x14ac:dyDescent="0.25">
      <c r="A19" s="8">
        <f t="shared" ref="A19:A28" si="3">A18+1</f>
        <v>3</v>
      </c>
      <c r="B19" s="30"/>
      <c r="C19" s="48" t="s">
        <v>41</v>
      </c>
      <c r="D19" s="30"/>
      <c r="E19" s="18">
        <v>2.9353676902457724</v>
      </c>
      <c r="F19" s="8"/>
      <c r="G19" s="18">
        <v>0</v>
      </c>
      <c r="H19" s="18"/>
      <c r="I19" s="7">
        <v>0</v>
      </c>
      <c r="J19" s="8"/>
      <c r="K19" s="6">
        <v>0</v>
      </c>
      <c r="L19" s="6"/>
      <c r="M19" s="7">
        <v>0</v>
      </c>
      <c r="N19" s="7"/>
      <c r="O19" s="7">
        <v>0</v>
      </c>
      <c r="P19" s="51"/>
      <c r="Q19" s="53">
        <v>0</v>
      </c>
      <c r="R19" s="8"/>
      <c r="S19" s="18">
        <v>0</v>
      </c>
      <c r="T19" s="18"/>
      <c r="U19" s="18">
        <v>0</v>
      </c>
      <c r="V19" s="53"/>
      <c r="W19" s="18">
        <v>0</v>
      </c>
      <c r="X19" s="8"/>
      <c r="Y19" s="6">
        <v>0</v>
      </c>
      <c r="Z19" s="8"/>
      <c r="AA19" s="19">
        <v>0</v>
      </c>
      <c r="AB19" s="19"/>
      <c r="AC19" s="19">
        <v>0</v>
      </c>
      <c r="AE19" s="17"/>
      <c r="AG19" s="24"/>
    </row>
    <row r="20" spans="1:33" x14ac:dyDescent="0.25">
      <c r="A20" s="8">
        <f t="shared" si="3"/>
        <v>4</v>
      </c>
      <c r="B20" s="30"/>
      <c r="C20" s="48" t="s">
        <v>6</v>
      </c>
      <c r="D20" s="30"/>
      <c r="E20" s="18">
        <v>0</v>
      </c>
      <c r="F20" s="8"/>
      <c r="G20" s="18">
        <v>0</v>
      </c>
      <c r="H20" s="18"/>
      <c r="I20" s="7">
        <v>0</v>
      </c>
      <c r="J20" s="8"/>
      <c r="K20" s="6">
        <v>34607.305999999997</v>
      </c>
      <c r="L20" s="6"/>
      <c r="M20" s="7">
        <f t="shared" ref="M20:M27" si="4">E20/$K20*100</f>
        <v>0</v>
      </c>
      <c r="N20" s="7"/>
      <c r="O20" s="7">
        <f t="shared" ref="O20:O28" si="5">G20/$K20*100</f>
        <v>0</v>
      </c>
      <c r="P20" s="51"/>
      <c r="Q20" s="6">
        <v>339188</v>
      </c>
      <c r="R20" s="8"/>
      <c r="S20" s="52">
        <f>O20*Q20/100</f>
        <v>0</v>
      </c>
      <c r="T20" s="52"/>
      <c r="U20" s="52">
        <f t="shared" si="1"/>
        <v>0</v>
      </c>
      <c r="V20" s="6"/>
      <c r="W20" s="18">
        <f>(O20-M20)*Q20/100</f>
        <v>0</v>
      </c>
      <c r="X20" s="8"/>
      <c r="Y20" s="6">
        <v>99893.126479266532</v>
      </c>
      <c r="Z20" s="8"/>
      <c r="AA20" s="50">
        <f t="shared" si="2"/>
        <v>0</v>
      </c>
      <c r="AB20" s="50"/>
      <c r="AC20" s="50">
        <f>W20/Y20</f>
        <v>0</v>
      </c>
      <c r="AE20" s="17"/>
      <c r="AG20" s="24"/>
    </row>
    <row r="21" spans="1:33" x14ac:dyDescent="0.25">
      <c r="A21" s="8">
        <f t="shared" si="3"/>
        <v>5</v>
      </c>
      <c r="B21" s="30"/>
      <c r="C21" s="48" t="s">
        <v>42</v>
      </c>
      <c r="D21" s="30"/>
      <c r="E21" s="18">
        <v>2207.5405233501465</v>
      </c>
      <c r="F21" s="8"/>
      <c r="G21" s="18">
        <v>2530.7072204570045</v>
      </c>
      <c r="H21" s="18"/>
      <c r="I21" s="49">
        <f t="shared" ref="I21:I28" si="6">(G21-E21)/E21</f>
        <v>0.14639219243704876</v>
      </c>
      <c r="J21" s="8"/>
      <c r="K21" s="6">
        <v>990702.80599999987</v>
      </c>
      <c r="L21" s="6"/>
      <c r="M21" s="7">
        <f t="shared" si="4"/>
        <v>0.22282570615330899</v>
      </c>
      <c r="N21" s="7"/>
      <c r="O21" s="7">
        <f>G21/$K21*100</f>
        <v>0.25544564980842549</v>
      </c>
      <c r="P21" s="51"/>
      <c r="Q21" s="6">
        <v>598568</v>
      </c>
      <c r="R21" s="8"/>
      <c r="S21" s="52">
        <f>O21*Q21/100</f>
        <v>1529.0159171452965</v>
      </c>
      <c r="T21" s="52"/>
      <c r="U21" s="52">
        <f t="shared" si="1"/>
        <v>127.41799309544137</v>
      </c>
      <c r="V21" s="6"/>
      <c r="W21" s="18">
        <f>(O21-M21)*Q21/100</f>
        <v>195.25254433755774</v>
      </c>
      <c r="X21" s="8"/>
      <c r="Y21" s="6">
        <v>165622.16524064451</v>
      </c>
      <c r="Z21" s="8"/>
      <c r="AA21" s="50">
        <f>S21/Y21</f>
        <v>9.231952226464845E-3</v>
      </c>
      <c r="AB21" s="50"/>
      <c r="AC21" s="50">
        <f>W21/Y21</f>
        <v>1.178903464121853E-3</v>
      </c>
      <c r="AE21" s="17"/>
      <c r="AG21" s="24"/>
    </row>
    <row r="22" spans="1:33" x14ac:dyDescent="0.25">
      <c r="A22" s="8">
        <f t="shared" si="3"/>
        <v>6</v>
      </c>
      <c r="B22" s="30"/>
      <c r="C22" s="48" t="s">
        <v>43</v>
      </c>
      <c r="D22" s="30"/>
      <c r="E22" s="18">
        <v>1319.0246294162266</v>
      </c>
      <c r="F22" s="8"/>
      <c r="G22" s="18">
        <v>1450.4079929714394</v>
      </c>
      <c r="H22" s="18"/>
      <c r="I22" s="49">
        <f t="shared" si="6"/>
        <v>9.9606452089799402E-2</v>
      </c>
      <c r="J22" s="8"/>
      <c r="K22" s="6">
        <v>486458.81699999992</v>
      </c>
      <c r="L22" s="6"/>
      <c r="M22" s="7">
        <f t="shared" si="4"/>
        <v>0.27114826236487494</v>
      </c>
      <c r="N22" s="7"/>
      <c r="O22" s="7">
        <f t="shared" si="5"/>
        <v>0.29815637876935419</v>
      </c>
      <c r="P22" s="51"/>
      <c r="Q22" s="18">
        <v>4471608.9999999991</v>
      </c>
      <c r="R22" s="8"/>
      <c r="S22" s="52">
        <f>O22*Q22/100</f>
        <v>13332.387467124527</v>
      </c>
      <c r="T22" s="52"/>
      <c r="U22" s="52">
        <f t="shared" si="1"/>
        <v>1111.032288927044</v>
      </c>
      <c r="V22" s="18"/>
      <c r="W22" s="18">
        <f>(O22-M22)*Q22/100</f>
        <v>1207.6973638731706</v>
      </c>
      <c r="X22" s="8"/>
      <c r="Y22" s="6">
        <v>1145755.1679292361</v>
      </c>
      <c r="Z22" s="8"/>
      <c r="AA22" s="50">
        <f>S22/Y22</f>
        <v>1.1636331949713676E-2</v>
      </c>
      <c r="AB22" s="50"/>
      <c r="AC22" s="50">
        <f>W22/Y22</f>
        <v>1.0540623317072922E-3</v>
      </c>
      <c r="AE22" s="17"/>
      <c r="AF22" s="11"/>
      <c r="AG22" s="25"/>
    </row>
    <row r="23" spans="1:33" x14ac:dyDescent="0.25">
      <c r="A23" s="8">
        <f t="shared" si="3"/>
        <v>7</v>
      </c>
      <c r="B23" s="30"/>
      <c r="C23" s="48" t="s">
        <v>73</v>
      </c>
      <c r="D23" s="30"/>
      <c r="E23" s="18">
        <v>110.07628838421644</v>
      </c>
      <c r="F23" s="8"/>
      <c r="G23" s="18">
        <v>166.42587763804721</v>
      </c>
      <c r="H23" s="18"/>
      <c r="I23" s="54">
        <f t="shared" si="6"/>
        <v>0.51191396513248166</v>
      </c>
      <c r="J23" s="8"/>
      <c r="K23" s="18">
        <v>111124.284</v>
      </c>
      <c r="L23" s="18"/>
      <c r="M23" s="7">
        <f t="shared" si="4"/>
        <v>9.9056915754090646E-2</v>
      </c>
      <c r="N23" s="7"/>
      <c r="O23" s="7">
        <f t="shared" si="5"/>
        <v>0.14976553427156139</v>
      </c>
      <c r="P23" s="51"/>
      <c r="Q23" s="18">
        <v>0</v>
      </c>
      <c r="R23" s="21"/>
      <c r="S23" s="22">
        <f>G23/4*1000</f>
        <v>41606.469409511803</v>
      </c>
      <c r="T23" s="22"/>
      <c r="U23" s="22">
        <f t="shared" si="1"/>
        <v>3467.2057841259834</v>
      </c>
      <c r="V23" s="18"/>
      <c r="W23" s="18">
        <f>((G23-E23) / 4) * 1000</f>
        <v>14087.397313457694</v>
      </c>
      <c r="X23" s="21"/>
      <c r="Y23" s="18"/>
      <c r="Z23" s="21"/>
      <c r="AA23" s="19"/>
      <c r="AB23" s="19"/>
      <c r="AC23" s="19"/>
      <c r="AE23" s="29"/>
      <c r="AG23" s="24"/>
    </row>
    <row r="24" spans="1:33" x14ac:dyDescent="0.25">
      <c r="A24" s="8">
        <f t="shared" si="3"/>
        <v>8</v>
      </c>
      <c r="B24" s="30"/>
      <c r="C24" s="48" t="s">
        <v>44</v>
      </c>
      <c r="D24" s="30"/>
      <c r="E24" s="18">
        <v>255.24588993768489</v>
      </c>
      <c r="F24" s="8"/>
      <c r="G24" s="18">
        <v>286.778450102173</v>
      </c>
      <c r="H24" s="18"/>
      <c r="I24" s="49">
        <f t="shared" si="6"/>
        <v>0.12353797419494741</v>
      </c>
      <c r="J24" s="8"/>
      <c r="K24" s="6">
        <v>63812.323999999993</v>
      </c>
      <c r="L24" s="6"/>
      <c r="M24" s="7">
        <f t="shared" si="4"/>
        <v>0.39999466237538212</v>
      </c>
      <c r="N24" s="7"/>
      <c r="O24" s="7">
        <f t="shared" si="5"/>
        <v>0.44940919265402879</v>
      </c>
      <c r="P24" s="51"/>
      <c r="Q24" s="18">
        <v>598567</v>
      </c>
      <c r="R24" s="21"/>
      <c r="S24" s="22">
        <f>O24*Q24/100</f>
        <v>2690.0151221934402</v>
      </c>
      <c r="T24" s="22"/>
      <c r="U24" s="22">
        <f t="shared" si="1"/>
        <v>224.16792684945335</v>
      </c>
      <c r="V24" s="18"/>
      <c r="W24" s="18">
        <f>(O24-M24)*Q24/100</f>
        <v>295.77907145298707</v>
      </c>
      <c r="X24" s="8"/>
      <c r="Y24" s="6">
        <v>150202.58748582174</v>
      </c>
      <c r="Z24" s="8"/>
      <c r="AA24" s="50">
        <f t="shared" si="2"/>
        <v>1.7909246220191528E-2</v>
      </c>
      <c r="AB24" s="50"/>
      <c r="AC24" s="50">
        <f>W24/Y24</f>
        <v>1.9692009066149202E-3</v>
      </c>
      <c r="AE24" s="17"/>
      <c r="AF24" s="11"/>
      <c r="AG24" s="24"/>
    </row>
    <row r="25" spans="1:33" x14ac:dyDescent="0.25">
      <c r="A25" s="8">
        <f t="shared" si="3"/>
        <v>9</v>
      </c>
      <c r="B25" s="30"/>
      <c r="C25" s="48" t="s">
        <v>45</v>
      </c>
      <c r="D25" s="30"/>
      <c r="E25" s="18">
        <v>1147.384067756909</v>
      </c>
      <c r="F25" s="8"/>
      <c r="G25" s="18">
        <v>1177.730019985225</v>
      </c>
      <c r="H25" s="18"/>
      <c r="I25" s="49">
        <f t="shared" si="6"/>
        <v>2.6447946316390105E-2</v>
      </c>
      <c r="J25" s="8"/>
      <c r="K25" s="6">
        <v>28112.731</v>
      </c>
      <c r="L25" s="6"/>
      <c r="M25" s="7">
        <f t="shared" si="4"/>
        <v>4.0813682162608433</v>
      </c>
      <c r="N25" s="7"/>
      <c r="O25" s="7">
        <f t="shared" si="5"/>
        <v>4.1893120237419303</v>
      </c>
      <c r="P25" s="51"/>
      <c r="Q25" s="18">
        <v>598568</v>
      </c>
      <c r="R25" s="21"/>
      <c r="S25" s="22">
        <f>O25*Q25/100</f>
        <v>25075.881194271598</v>
      </c>
      <c r="T25" s="22"/>
      <c r="U25" s="22">
        <f t="shared" si="1"/>
        <v>2089.6567661893</v>
      </c>
      <c r="V25" s="18"/>
      <c r="W25" s="18">
        <f>(O25-M25)*Q25/100</f>
        <v>646.11708956339282</v>
      </c>
      <c r="X25" s="8"/>
      <c r="Y25" s="6">
        <v>173251.07616670776</v>
      </c>
      <c r="Z25" s="8"/>
      <c r="AA25" s="55">
        <f t="shared" si="2"/>
        <v>0.1447372319358223</v>
      </c>
      <c r="AB25" s="55"/>
      <c r="AC25" s="55">
        <f>W25/Y25</f>
        <v>3.7293684048558414E-3</v>
      </c>
      <c r="AE25" s="17"/>
      <c r="AF25" s="11"/>
      <c r="AG25" s="24"/>
    </row>
    <row r="26" spans="1:33" x14ac:dyDescent="0.25">
      <c r="A26" s="8">
        <f t="shared" si="3"/>
        <v>10</v>
      </c>
      <c r="B26" s="30"/>
      <c r="C26" s="48" t="s">
        <v>46</v>
      </c>
      <c r="D26" s="30"/>
      <c r="E26" s="18">
        <v>2195.2510964760259</v>
      </c>
      <c r="F26" s="8"/>
      <c r="G26" s="18">
        <v>2361.8966861443309</v>
      </c>
      <c r="H26" s="18"/>
      <c r="I26" s="49">
        <f t="shared" si="6"/>
        <v>7.5911858072097771E-2</v>
      </c>
      <c r="J26" s="8"/>
      <c r="K26" s="6">
        <v>276738.46200000006</v>
      </c>
      <c r="L26" s="6"/>
      <c r="M26" s="7">
        <f t="shared" si="4"/>
        <v>0.79325840022773031</v>
      </c>
      <c r="N26" s="7"/>
      <c r="O26" s="7">
        <f t="shared" si="5"/>
        <v>0.85347611932031708</v>
      </c>
      <c r="P26" s="51"/>
      <c r="Q26" s="18">
        <v>9976120</v>
      </c>
      <c r="R26" s="21"/>
      <c r="S26" s="22">
        <f>O26*Q26/100</f>
        <v>85143.801834738013</v>
      </c>
      <c r="T26" s="22"/>
      <c r="U26" s="22">
        <f t="shared" si="1"/>
        <v>7095.3168195615008</v>
      </c>
      <c r="V26" s="18"/>
      <c r="W26" s="18">
        <f>(O26-M26)*Q26/100</f>
        <v>6007.3919179393679</v>
      </c>
      <c r="X26" s="8"/>
      <c r="Y26" s="6">
        <v>2352249.5174341863</v>
      </c>
      <c r="Z26" s="8"/>
      <c r="AA26" s="55">
        <f t="shared" si="2"/>
        <v>3.619675600044852E-2</v>
      </c>
      <c r="AB26" s="55"/>
      <c r="AC26" s="55">
        <f>W26/Y26</f>
        <v>2.5538922947647919E-3</v>
      </c>
      <c r="AE26" s="17"/>
      <c r="AG26" s="24"/>
    </row>
    <row r="27" spans="1:33" x14ac:dyDescent="0.25">
      <c r="A27" s="8">
        <f t="shared" si="3"/>
        <v>11</v>
      </c>
      <c r="B27" s="30"/>
      <c r="C27" s="48" t="s">
        <v>72</v>
      </c>
      <c r="D27" s="30"/>
      <c r="E27" s="18">
        <v>38.159779973195036</v>
      </c>
      <c r="F27" s="8"/>
      <c r="G27" s="18">
        <v>40.264841102989358</v>
      </c>
      <c r="H27" s="18"/>
      <c r="I27" s="49">
        <f t="shared" si="6"/>
        <v>5.5164393800829083E-2</v>
      </c>
      <c r="J27" s="8"/>
      <c r="K27" s="6">
        <v>181849.10000000003</v>
      </c>
      <c r="L27" s="6"/>
      <c r="M27" s="7">
        <f t="shared" si="4"/>
        <v>2.0984310603239187E-2</v>
      </c>
      <c r="N27" s="7"/>
      <c r="O27" s="7">
        <f t="shared" si="5"/>
        <v>2.2141897376995186E-2</v>
      </c>
      <c r="P27" s="51"/>
      <c r="Q27" s="18">
        <v>0</v>
      </c>
      <c r="R27" s="21"/>
      <c r="S27" s="18">
        <f>G27*1000</f>
        <v>40264.841102989361</v>
      </c>
      <c r="T27" s="22"/>
      <c r="U27" s="18">
        <f t="shared" si="1"/>
        <v>3355.4034252491133</v>
      </c>
      <c r="V27" s="18"/>
      <c r="W27" s="18">
        <f>(G27-E27)*1000</f>
        <v>2105.0611297943219</v>
      </c>
      <c r="X27" s="21"/>
      <c r="Y27" s="18"/>
      <c r="Z27" s="21"/>
      <c r="AA27" s="19"/>
      <c r="AB27" s="19"/>
      <c r="AC27" s="18"/>
      <c r="AD27" s="23"/>
      <c r="AE27" s="17"/>
      <c r="AG27" s="24"/>
    </row>
    <row r="28" spans="1:33" x14ac:dyDescent="0.25">
      <c r="A28" s="8">
        <f t="shared" si="3"/>
        <v>12</v>
      </c>
      <c r="B28" s="30"/>
      <c r="C28" s="48" t="s">
        <v>71</v>
      </c>
      <c r="D28" s="30"/>
      <c r="E28" s="18">
        <v>1.8346048064036069</v>
      </c>
      <c r="F28" s="8"/>
      <c r="G28" s="18">
        <v>0.75518109520159571</v>
      </c>
      <c r="H28" s="18"/>
      <c r="I28" s="49">
        <f t="shared" si="6"/>
        <v>-0.58836851807775203</v>
      </c>
      <c r="J28" s="8"/>
      <c r="K28" s="18">
        <v>187.2</v>
      </c>
      <c r="L28" s="18"/>
      <c r="M28" s="7">
        <f>E28/$K28*100</f>
        <v>0.98002393504466179</v>
      </c>
      <c r="N28" s="7"/>
      <c r="O28" s="7">
        <f t="shared" si="5"/>
        <v>0.40340870470170714</v>
      </c>
      <c r="P28" s="51"/>
      <c r="Q28" s="18">
        <v>0</v>
      </c>
      <c r="R28" s="21"/>
      <c r="S28" s="18">
        <f>G28*1000</f>
        <v>755.18109520159567</v>
      </c>
      <c r="T28" s="22"/>
      <c r="U28" s="18">
        <f t="shared" si="1"/>
        <v>62.931757933466308</v>
      </c>
      <c r="V28" s="18"/>
      <c r="W28" s="18">
        <f>(G28-E28)*1000</f>
        <v>-1079.4237112020114</v>
      </c>
      <c r="X28" s="21"/>
      <c r="Y28" s="18"/>
      <c r="Z28" s="21"/>
      <c r="AA28" s="18"/>
      <c r="AB28" s="18"/>
      <c r="AC28" s="18"/>
      <c r="AD28" s="23"/>
      <c r="AE28" s="17"/>
      <c r="AG28" s="24"/>
    </row>
    <row r="29" spans="1:33" x14ac:dyDescent="0.25">
      <c r="A29" s="8"/>
      <c r="B29" s="30"/>
      <c r="C29" s="48"/>
      <c r="D29" s="30"/>
      <c r="E29" s="6"/>
      <c r="F29" s="8"/>
      <c r="G29" s="6"/>
      <c r="H29" s="6"/>
      <c r="I29" s="8"/>
      <c r="J29" s="8"/>
      <c r="K29" s="8"/>
      <c r="L29" s="8"/>
      <c r="M29" s="8"/>
      <c r="N29" s="8"/>
      <c r="O29" s="8"/>
      <c r="P29" s="8"/>
      <c r="Q29" s="9"/>
      <c r="R29" s="21"/>
      <c r="S29" s="8"/>
      <c r="T29" s="8"/>
      <c r="U29" s="8"/>
      <c r="V29" s="9"/>
      <c r="W29" s="21"/>
      <c r="X29" s="8"/>
      <c r="Y29" s="8"/>
      <c r="Z29" s="8"/>
      <c r="AA29" s="8"/>
      <c r="AB29" s="8"/>
      <c r="AC29" s="8"/>
      <c r="AE29" s="12"/>
      <c r="AG29" s="24"/>
    </row>
    <row r="30" spans="1:33" x14ac:dyDescent="0.25">
      <c r="A30" s="8">
        <f>A28+1</f>
        <v>13</v>
      </c>
      <c r="B30" s="30"/>
      <c r="C30" s="30" t="s">
        <v>56</v>
      </c>
      <c r="D30" s="30"/>
      <c r="E30" s="4">
        <f>SUM(E17:E29)</f>
        <v>67757.376000000004</v>
      </c>
      <c r="F30" s="6"/>
      <c r="G30" s="4">
        <f>SUM(G17:G29)</f>
        <v>76949.126928120808</v>
      </c>
      <c r="H30" s="10"/>
      <c r="I30" s="56"/>
      <c r="J30" s="30"/>
      <c r="K30" s="6"/>
      <c r="L30" s="6"/>
      <c r="M30" s="7"/>
      <c r="N30" s="7"/>
      <c r="O30" s="57"/>
      <c r="P30" s="51"/>
      <c r="Q30" s="6"/>
      <c r="R30" s="30"/>
      <c r="S30" s="30"/>
      <c r="T30" s="30"/>
      <c r="U30" s="30"/>
      <c r="V30" s="6"/>
      <c r="W30" s="51"/>
      <c r="X30" s="30"/>
      <c r="Y30" s="30"/>
      <c r="Z30" s="30"/>
      <c r="AA30" s="30"/>
      <c r="AB30" s="30"/>
      <c r="AC30" s="30"/>
      <c r="AE30" s="12"/>
      <c r="AG30" s="24"/>
    </row>
    <row r="31" spans="1:33" x14ac:dyDescent="0.25">
      <c r="A31" s="8"/>
      <c r="B31" s="30"/>
      <c r="C31" s="30"/>
      <c r="D31" s="30"/>
      <c r="E31" s="8"/>
      <c r="F31" s="8"/>
      <c r="G31" s="8"/>
      <c r="H31" s="8"/>
      <c r="I31" s="8"/>
      <c r="J31" s="8"/>
      <c r="K31" s="8"/>
      <c r="L31" s="8"/>
      <c r="M31" s="8"/>
      <c r="N31" s="8"/>
      <c r="O31" s="7"/>
      <c r="P31" s="8"/>
      <c r="Q31" s="9"/>
      <c r="R31" s="8"/>
      <c r="S31" s="8"/>
      <c r="T31" s="8"/>
      <c r="U31" s="8"/>
      <c r="V31" s="9"/>
      <c r="W31" s="8"/>
      <c r="X31" s="8"/>
      <c r="Y31" s="8"/>
      <c r="Z31" s="8"/>
      <c r="AA31" s="8"/>
      <c r="AB31" s="8"/>
      <c r="AC31" s="8"/>
      <c r="AE31" s="12"/>
      <c r="AG31" s="24"/>
    </row>
    <row r="32" spans="1:33" x14ac:dyDescent="0.25">
      <c r="A32" s="8"/>
      <c r="B32" s="30"/>
      <c r="C32" s="47" t="s">
        <v>51</v>
      </c>
      <c r="D32" s="30"/>
      <c r="E32" s="6"/>
      <c r="F32" s="6"/>
      <c r="G32" s="6"/>
      <c r="H32" s="6"/>
      <c r="I32" s="30"/>
      <c r="J32" s="30"/>
      <c r="K32" s="6"/>
      <c r="L32" s="6"/>
      <c r="M32" s="30"/>
      <c r="N32" s="30"/>
      <c r="O32" s="30"/>
      <c r="P32" s="30"/>
      <c r="Q32" s="6"/>
      <c r="R32" s="30"/>
      <c r="S32" s="52"/>
      <c r="T32" s="27"/>
      <c r="U32" s="27"/>
      <c r="V32" s="6"/>
      <c r="W32" s="30"/>
      <c r="X32" s="30"/>
      <c r="Y32" s="6"/>
      <c r="Z32" s="30"/>
      <c r="AA32" s="30"/>
      <c r="AB32" s="30"/>
      <c r="AC32" s="30"/>
      <c r="AE32" s="12"/>
      <c r="AG32" s="24"/>
    </row>
    <row r="33" spans="1:33" x14ac:dyDescent="0.25">
      <c r="A33" s="8">
        <f>A30+1</f>
        <v>14</v>
      </c>
      <c r="B33" s="30"/>
      <c r="C33" s="48" t="s">
        <v>8</v>
      </c>
      <c r="D33" s="30"/>
      <c r="E33" s="6">
        <v>27446.431343384316</v>
      </c>
      <c r="F33" s="6"/>
      <c r="G33" s="6">
        <v>27345.592343456239</v>
      </c>
      <c r="H33" s="6"/>
      <c r="I33" s="49">
        <f>(G33-E33)/E33</f>
        <v>-3.6740295547524186E-3</v>
      </c>
      <c r="J33" s="30"/>
      <c r="K33" s="6">
        <v>3142868.4311519731</v>
      </c>
      <c r="L33" s="6"/>
      <c r="M33" s="7">
        <f t="shared" ref="M33:M42" si="7">E33/$K33*100</f>
        <v>0.87329240611336134</v>
      </c>
      <c r="N33" s="7"/>
      <c r="O33" s="7">
        <f>G33/$K33*100</f>
        <v>0.87008390400336</v>
      </c>
      <c r="P33" s="51"/>
      <c r="Q33" s="6">
        <v>2200</v>
      </c>
      <c r="R33" s="30"/>
      <c r="S33" s="27">
        <f t="shared" ref="S33:S42" si="8">O33*Q33/100</f>
        <v>19.14184588807392</v>
      </c>
      <c r="T33" s="27"/>
      <c r="U33" s="27">
        <f t="shared" ref="U33:U34" si="9">S33/12</f>
        <v>1.59515382400616</v>
      </c>
      <c r="V33" s="27"/>
      <c r="W33" s="27">
        <f t="shared" ref="W33:W42" si="10">(O33-M33)*Q33/100</f>
        <v>-7.0587046420029553E-2</v>
      </c>
      <c r="X33" s="30"/>
      <c r="Y33" s="18">
        <v>879.97</v>
      </c>
      <c r="Z33" s="30"/>
      <c r="AA33" s="50">
        <f t="shared" ref="AA33:AA42" si="11">S33/Y33</f>
        <v>2.1752839174146756E-2</v>
      </c>
      <c r="AB33" s="50"/>
      <c r="AC33" s="50">
        <f t="shared" ref="AC33:AC42" si="12">W33/Y33</f>
        <v>-8.0215287362102745E-5</v>
      </c>
      <c r="AE33" s="17"/>
      <c r="AG33" s="24"/>
    </row>
    <row r="34" spans="1:33" x14ac:dyDescent="0.25">
      <c r="A34" s="8">
        <f t="shared" ref="A34:A42" si="13">A33+1</f>
        <v>15</v>
      </c>
      <c r="B34" s="30"/>
      <c r="C34" s="48" t="s">
        <v>9</v>
      </c>
      <c r="D34" s="30"/>
      <c r="E34" s="6">
        <v>10658.119865798244</v>
      </c>
      <c r="F34" s="6"/>
      <c r="G34" s="6">
        <v>11256.648661169662</v>
      </c>
      <c r="H34" s="6"/>
      <c r="I34" s="49">
        <f>(G34-E34)/E34</f>
        <v>5.6157071125845399E-2</v>
      </c>
      <c r="J34" s="30"/>
      <c r="K34" s="6">
        <v>1340432.8064971673</v>
      </c>
      <c r="L34" s="6"/>
      <c r="M34" s="7">
        <f t="shared" si="7"/>
        <v>0.7951252620897985</v>
      </c>
      <c r="N34" s="7"/>
      <c r="O34" s="7">
        <f t="shared" ref="O34:O42" si="14">G34/$K34*100</f>
        <v>0.83977716798693192</v>
      </c>
      <c r="P34" s="51"/>
      <c r="Q34" s="6">
        <v>250000</v>
      </c>
      <c r="R34" s="30"/>
      <c r="S34" s="52">
        <f t="shared" si="8"/>
        <v>2099.4429199673295</v>
      </c>
      <c r="T34" s="27"/>
      <c r="U34" s="52">
        <f t="shared" si="9"/>
        <v>174.95357666394412</v>
      </c>
      <c r="V34" s="6"/>
      <c r="W34" s="6">
        <f t="shared" si="10"/>
        <v>111.62976474283354</v>
      </c>
      <c r="X34" s="30"/>
      <c r="Y34" s="18">
        <v>67744.441500000001</v>
      </c>
      <c r="Z34" s="30"/>
      <c r="AA34" s="50">
        <f t="shared" si="11"/>
        <v>3.0990629983529049E-2</v>
      </c>
      <c r="AB34" s="50"/>
      <c r="AC34" s="50">
        <f t="shared" si="12"/>
        <v>1.6478069974616818E-3</v>
      </c>
      <c r="AE34" s="17"/>
      <c r="AG34" s="24"/>
    </row>
    <row r="35" spans="1:33" x14ac:dyDescent="0.25">
      <c r="A35" s="8">
        <f t="shared" si="13"/>
        <v>16</v>
      </c>
      <c r="B35" s="30"/>
      <c r="C35" s="48" t="s">
        <v>69</v>
      </c>
      <c r="D35" s="30"/>
      <c r="E35" s="6">
        <v>4765.4529823438743</v>
      </c>
      <c r="F35" s="6"/>
      <c r="G35" s="6">
        <v>5144.7800081582591</v>
      </c>
      <c r="H35" s="18"/>
      <c r="I35" s="49">
        <f>(G35-E35)/E35</f>
        <v>7.9599363842178528E-2</v>
      </c>
      <c r="J35" s="30"/>
      <c r="K35" s="6">
        <v>707950.75447026815</v>
      </c>
      <c r="L35" s="6"/>
      <c r="M35" s="7">
        <f t="shared" si="7"/>
        <v>0.67313339978141218</v>
      </c>
      <c r="N35" s="7"/>
      <c r="O35" s="7">
        <f t="shared" si="14"/>
        <v>0.72671439018493544</v>
      </c>
      <c r="P35" s="51"/>
      <c r="Q35" s="6">
        <v>875000</v>
      </c>
      <c r="R35" s="30"/>
      <c r="S35" s="52">
        <f t="shared" si="8"/>
        <v>6358.7509141181854</v>
      </c>
      <c r="T35" s="27"/>
      <c r="U35" s="52">
        <f t="shared" ref="U35" si="15">S35/12</f>
        <v>529.89590950984882</v>
      </c>
      <c r="V35" s="6"/>
      <c r="W35" s="6">
        <f t="shared" si="10"/>
        <v>468.83366603082862</v>
      </c>
      <c r="X35" s="30"/>
      <c r="Y35" s="18">
        <v>238243.92499999999</v>
      </c>
      <c r="Z35" s="30"/>
      <c r="AA35" s="55">
        <f t="shared" si="11"/>
        <v>2.6690086280765336E-2</v>
      </c>
      <c r="AB35" s="55"/>
      <c r="AC35" s="55">
        <f t="shared" si="12"/>
        <v>1.9678724904772646E-3</v>
      </c>
      <c r="AE35" s="17"/>
      <c r="AF35" s="11"/>
      <c r="AG35" s="24"/>
    </row>
    <row r="36" spans="1:33" x14ac:dyDescent="0.25">
      <c r="A36" s="8">
        <f t="shared" si="13"/>
        <v>17</v>
      </c>
      <c r="B36" s="30"/>
      <c r="C36" s="48" t="s">
        <v>70</v>
      </c>
      <c r="D36" s="30"/>
      <c r="E36" s="6">
        <v>498.93686355917032</v>
      </c>
      <c r="F36" s="6"/>
      <c r="G36" s="6">
        <v>404.77667462613073</v>
      </c>
      <c r="H36" s="18"/>
      <c r="I36" s="49">
        <f>(G36-E36)/E36</f>
        <v>-0.18872165159604984</v>
      </c>
      <c r="J36" s="30"/>
      <c r="K36" s="6">
        <v>68930.427037351998</v>
      </c>
      <c r="L36" s="6"/>
      <c r="M36" s="20">
        <f t="shared" si="7"/>
        <v>0.72382674096710087</v>
      </c>
      <c r="N36" s="20"/>
      <c r="O36" s="7">
        <f t="shared" si="14"/>
        <v>0.58722496294240345</v>
      </c>
      <c r="P36" s="51"/>
      <c r="Q36" s="6">
        <v>6500000</v>
      </c>
      <c r="R36" s="30"/>
      <c r="S36" s="52">
        <f t="shared" si="8"/>
        <v>38169.622591256222</v>
      </c>
      <c r="T36" s="27"/>
      <c r="U36" s="52">
        <f t="shared" ref="U36" si="16">S36/12</f>
        <v>3180.801882604685</v>
      </c>
      <c r="V36" s="6"/>
      <c r="W36" s="6">
        <f t="shared" si="10"/>
        <v>-8879.1155716053327</v>
      </c>
      <c r="X36" s="30"/>
      <c r="Y36" s="18">
        <v>1585877.8</v>
      </c>
      <c r="Z36" s="30"/>
      <c r="AA36" s="55">
        <f t="shared" si="11"/>
        <v>2.4068451296345925E-2</v>
      </c>
      <c r="AB36" s="55"/>
      <c r="AC36" s="55">
        <f t="shared" si="12"/>
        <v>-5.5988649135547096E-3</v>
      </c>
      <c r="AE36" s="17"/>
      <c r="AG36" s="24"/>
    </row>
    <row r="37" spans="1:33" x14ac:dyDescent="0.25">
      <c r="A37" s="8">
        <f t="shared" si="13"/>
        <v>18</v>
      </c>
      <c r="B37" s="30"/>
      <c r="C37" s="48" t="s">
        <v>10</v>
      </c>
      <c r="D37" s="30"/>
      <c r="E37" s="6">
        <v>2034.3473836005462</v>
      </c>
      <c r="F37" s="6"/>
      <c r="G37" s="6">
        <v>2214.0227635852316</v>
      </c>
      <c r="H37" s="6"/>
      <c r="I37" s="49">
        <f>(G37-E37)/E37</f>
        <v>8.8320894176235482E-2</v>
      </c>
      <c r="J37" s="30"/>
      <c r="K37" s="6">
        <v>595232.03969440027</v>
      </c>
      <c r="L37" s="6"/>
      <c r="M37" s="7">
        <f t="shared" si="7"/>
        <v>0.34177383741725431</v>
      </c>
      <c r="N37" s="7"/>
      <c r="O37" s="7">
        <f t="shared" si="14"/>
        <v>0.37195960834398956</v>
      </c>
      <c r="P37" s="51"/>
      <c r="Q37" s="6">
        <v>36000000</v>
      </c>
      <c r="R37" s="30"/>
      <c r="S37" s="52">
        <f t="shared" si="8"/>
        <v>133905.45900383624</v>
      </c>
      <c r="T37" s="27"/>
      <c r="U37" s="52">
        <f t="shared" ref="U37" si="17">S37/12</f>
        <v>11158.788250319687</v>
      </c>
      <c r="V37" s="6"/>
      <c r="W37" s="6">
        <f t="shared" si="10"/>
        <v>10866.877533624689</v>
      </c>
      <c r="X37" s="30"/>
      <c r="Y37" s="18">
        <v>8445804.120000001</v>
      </c>
      <c r="Z37" s="30"/>
      <c r="AA37" s="50">
        <f t="shared" si="11"/>
        <v>1.585467258076028E-2</v>
      </c>
      <c r="AB37" s="50"/>
      <c r="AC37" s="50">
        <f t="shared" si="12"/>
        <v>1.2866599058213404E-3</v>
      </c>
      <c r="AE37" s="17"/>
      <c r="AF37" s="3"/>
      <c r="AG37" s="24"/>
    </row>
    <row r="38" spans="1:33" x14ac:dyDescent="0.25">
      <c r="A38" s="8">
        <f t="shared" si="13"/>
        <v>19</v>
      </c>
      <c r="B38" s="30"/>
      <c r="C38" s="48" t="s">
        <v>47</v>
      </c>
      <c r="D38" s="30"/>
      <c r="E38" s="6">
        <v>0</v>
      </c>
      <c r="F38" s="6"/>
      <c r="G38" s="6">
        <v>16.885138634511062</v>
      </c>
      <c r="H38" s="6"/>
      <c r="I38" s="7">
        <v>0</v>
      </c>
      <c r="J38" s="30"/>
      <c r="K38" s="6">
        <v>103989.60464000001</v>
      </c>
      <c r="L38" s="6"/>
      <c r="M38" s="7">
        <f t="shared" si="7"/>
        <v>0</v>
      </c>
      <c r="N38" s="7"/>
      <c r="O38" s="7">
        <f t="shared" si="14"/>
        <v>1.6237333234379973E-2</v>
      </c>
      <c r="P38" s="51"/>
      <c r="Q38" s="6">
        <v>6950000</v>
      </c>
      <c r="R38" s="30"/>
      <c r="S38" s="52">
        <f t="shared" si="8"/>
        <v>1128.4946597894082</v>
      </c>
      <c r="T38" s="27"/>
      <c r="U38" s="52">
        <f t="shared" ref="U38:U39" si="18">S38/12</f>
        <v>94.041221649117347</v>
      </c>
      <c r="V38" s="6"/>
      <c r="W38" s="6">
        <f t="shared" si="10"/>
        <v>1128.4946597894082</v>
      </c>
      <c r="X38" s="30"/>
      <c r="Y38" s="18">
        <v>1119963.253792</v>
      </c>
      <c r="Z38" s="30"/>
      <c r="AA38" s="50">
        <f t="shared" si="11"/>
        <v>1.0076175767093449E-3</v>
      </c>
      <c r="AB38" s="50"/>
      <c r="AC38" s="50">
        <f t="shared" si="12"/>
        <v>1.0076175767093449E-3</v>
      </c>
      <c r="AE38" s="17"/>
      <c r="AF38" s="3"/>
      <c r="AG38" s="24"/>
    </row>
    <row r="39" spans="1:33" x14ac:dyDescent="0.25">
      <c r="A39" s="8">
        <f t="shared" si="13"/>
        <v>20</v>
      </c>
      <c r="B39" s="30"/>
      <c r="C39" s="48" t="s">
        <v>48</v>
      </c>
      <c r="D39" s="30"/>
      <c r="E39" s="6">
        <v>0</v>
      </c>
      <c r="F39" s="6"/>
      <c r="G39" s="6">
        <v>0.16559434039524176</v>
      </c>
      <c r="H39" s="6"/>
      <c r="I39" s="7">
        <v>0</v>
      </c>
      <c r="J39" s="30"/>
      <c r="K39" s="6">
        <v>391.18479999299996</v>
      </c>
      <c r="L39" s="6"/>
      <c r="M39" s="7">
        <f t="shared" si="7"/>
        <v>0</v>
      </c>
      <c r="N39" s="7"/>
      <c r="O39" s="7">
        <f t="shared" si="14"/>
        <v>4.233148639676311E-2</v>
      </c>
      <c r="P39" s="51"/>
      <c r="Q39" s="6">
        <v>94500</v>
      </c>
      <c r="R39" s="30"/>
      <c r="S39" s="52">
        <f t="shared" si="8"/>
        <v>40.003254644941137</v>
      </c>
      <c r="T39" s="27"/>
      <c r="U39" s="52">
        <f t="shared" si="18"/>
        <v>3.3336045537450949</v>
      </c>
      <c r="V39" s="6"/>
      <c r="W39" s="6">
        <f t="shared" si="10"/>
        <v>40.003254644941137</v>
      </c>
      <c r="X39" s="30"/>
      <c r="Y39" s="18">
        <v>20104.591500000002</v>
      </c>
      <c r="Z39" s="30"/>
      <c r="AA39" s="50">
        <f t="shared" si="11"/>
        <v>1.9897571480097533E-3</v>
      </c>
      <c r="AB39" s="50"/>
      <c r="AC39" s="50">
        <f t="shared" si="12"/>
        <v>1.9897571480097533E-3</v>
      </c>
      <c r="AE39" s="17"/>
      <c r="AF39" s="3"/>
      <c r="AG39" s="24"/>
    </row>
    <row r="40" spans="1:33" x14ac:dyDescent="0.25">
      <c r="A40" s="8">
        <f t="shared" si="13"/>
        <v>21</v>
      </c>
      <c r="B40" s="30"/>
      <c r="C40" s="48" t="s">
        <v>11</v>
      </c>
      <c r="D40" s="30"/>
      <c r="E40" s="6">
        <v>1568.9508768033759</v>
      </c>
      <c r="F40" s="6"/>
      <c r="G40" s="6">
        <v>1633.7340896093751</v>
      </c>
      <c r="H40" s="6"/>
      <c r="I40" s="49">
        <f>(G40-E40)/E40</f>
        <v>4.129078466624167E-2</v>
      </c>
      <c r="J40" s="30"/>
      <c r="K40" s="6">
        <v>444973.78170079901</v>
      </c>
      <c r="L40" s="6"/>
      <c r="M40" s="7">
        <f t="shared" si="7"/>
        <v>0.35259400470887536</v>
      </c>
      <c r="N40" s="7"/>
      <c r="O40" s="7">
        <f t="shared" si="14"/>
        <v>0.3671528878319173</v>
      </c>
      <c r="P40" s="51"/>
      <c r="Q40" s="6">
        <v>11565938</v>
      </c>
      <c r="R40" s="30"/>
      <c r="S40" s="52">
        <f t="shared" si="8"/>
        <v>42464.675371849102</v>
      </c>
      <c r="T40" s="27"/>
      <c r="U40" s="52">
        <f t="shared" ref="U40" si="19">S40/12</f>
        <v>3538.722947654092</v>
      </c>
      <c r="V40" s="6"/>
      <c r="W40" s="6">
        <f t="shared" si="10"/>
        <v>1683.8713955034937</v>
      </c>
      <c r="X40" s="30"/>
      <c r="Y40" s="18">
        <v>2721662.0798840001</v>
      </c>
      <c r="Z40" s="30"/>
      <c r="AA40" s="50">
        <f t="shared" si="11"/>
        <v>1.5602478972576562E-2</v>
      </c>
      <c r="AB40" s="50"/>
      <c r="AC40" s="50">
        <f t="shared" si="12"/>
        <v>6.1869230862608108E-4</v>
      </c>
      <c r="AE40" s="17"/>
      <c r="AG40" s="24"/>
    </row>
    <row r="41" spans="1:33" x14ac:dyDescent="0.25">
      <c r="A41" s="8">
        <f t="shared" si="13"/>
        <v>22</v>
      </c>
      <c r="B41" s="30"/>
      <c r="C41" s="48" t="s">
        <v>12</v>
      </c>
      <c r="D41" s="30"/>
      <c r="E41" s="6">
        <v>4725.368984095222</v>
      </c>
      <c r="F41" s="6"/>
      <c r="G41" s="6">
        <v>4782.7061571557206</v>
      </c>
      <c r="H41" s="6"/>
      <c r="I41" s="49">
        <f>(G41-E41)/E41</f>
        <v>1.2133903882106481E-2</v>
      </c>
      <c r="J41" s="30"/>
      <c r="K41" s="6">
        <v>4571591.1780921463</v>
      </c>
      <c r="L41" s="6"/>
      <c r="M41" s="7">
        <f t="shared" si="7"/>
        <v>0.10336376985632498</v>
      </c>
      <c r="N41" s="7"/>
      <c r="O41" s="7">
        <f t="shared" si="14"/>
        <v>0.1046179759046538</v>
      </c>
      <c r="P41" s="51"/>
      <c r="Q41" s="6">
        <v>197789850</v>
      </c>
      <c r="R41" s="30"/>
      <c r="S41" s="52">
        <f t="shared" si="8"/>
        <v>206923.73761485089</v>
      </c>
      <c r="T41" s="27"/>
      <c r="U41" s="52">
        <f t="shared" ref="U41:U42" si="20">S41/12</f>
        <v>17243.644801237573</v>
      </c>
      <c r="V41" s="6"/>
      <c r="W41" s="6">
        <f t="shared" si="10"/>
        <v>2480.6922616805023</v>
      </c>
      <c r="X41" s="30"/>
      <c r="Y41" s="18">
        <v>43934364.035789996</v>
      </c>
      <c r="Z41" s="30"/>
      <c r="AA41" s="50">
        <f t="shared" si="11"/>
        <v>4.7098380084957146E-3</v>
      </c>
      <c r="AB41" s="50"/>
      <c r="AC41" s="50">
        <f t="shared" si="12"/>
        <v>5.6463597826513897E-5</v>
      </c>
      <c r="AE41" s="17"/>
      <c r="AG41" s="24"/>
    </row>
    <row r="42" spans="1:33" x14ac:dyDescent="0.25">
      <c r="A42" s="8">
        <f t="shared" si="13"/>
        <v>23</v>
      </c>
      <c r="B42" s="30"/>
      <c r="C42" s="48" t="s">
        <v>49</v>
      </c>
      <c r="D42" s="30"/>
      <c r="E42" s="6">
        <v>0</v>
      </c>
      <c r="F42" s="30"/>
      <c r="G42" s="6">
        <v>106.24677227519348</v>
      </c>
      <c r="H42" s="6"/>
      <c r="I42" s="7">
        <v>0</v>
      </c>
      <c r="J42" s="30"/>
      <c r="K42" s="18">
        <v>283373.80887999997</v>
      </c>
      <c r="L42" s="18"/>
      <c r="M42" s="7">
        <f t="shared" si="7"/>
        <v>0</v>
      </c>
      <c r="N42" s="7"/>
      <c r="O42" s="7">
        <f t="shared" si="14"/>
        <v>3.7493504673251465E-2</v>
      </c>
      <c r="P42" s="51"/>
      <c r="Q42" s="6">
        <v>272712000</v>
      </c>
      <c r="R42" s="30"/>
      <c r="S42" s="52">
        <f t="shared" si="8"/>
        <v>102249.28646451754</v>
      </c>
      <c r="T42" s="27"/>
      <c r="U42" s="52">
        <f t="shared" si="20"/>
        <v>8520.773872043128</v>
      </c>
      <c r="V42" s="6"/>
      <c r="W42" s="6">
        <f t="shared" si="10"/>
        <v>102249.28646451754</v>
      </c>
      <c r="X42" s="30"/>
      <c r="Y42" s="18">
        <v>42468987.384000003</v>
      </c>
      <c r="Z42" s="30"/>
      <c r="AA42" s="50">
        <f t="shared" si="11"/>
        <v>2.407622426689634E-3</v>
      </c>
      <c r="AB42" s="50"/>
      <c r="AC42" s="50">
        <f t="shared" si="12"/>
        <v>2.407622426689634E-3</v>
      </c>
      <c r="AE42" s="17"/>
      <c r="AF42" s="11"/>
      <c r="AG42" s="24"/>
    </row>
    <row r="43" spans="1:33" x14ac:dyDescent="0.25">
      <c r="A43" s="8"/>
      <c r="B43" s="30"/>
      <c r="C43" s="48"/>
      <c r="D43" s="30"/>
      <c r="E43" s="6"/>
      <c r="F43" s="30"/>
      <c r="G43" s="6"/>
      <c r="H43" s="6"/>
      <c r="I43" s="49"/>
      <c r="J43" s="30"/>
      <c r="K43" s="6"/>
      <c r="L43" s="6"/>
      <c r="M43" s="30"/>
      <c r="N43" s="30"/>
      <c r="O43" s="30"/>
      <c r="P43" s="30"/>
      <c r="Q43" s="6"/>
      <c r="R43" s="30"/>
      <c r="S43" s="30"/>
      <c r="T43" s="30"/>
      <c r="U43" s="52"/>
      <c r="V43" s="6"/>
      <c r="W43" s="30"/>
      <c r="X43" s="30"/>
      <c r="Y43" s="31"/>
      <c r="Z43" s="30"/>
      <c r="AA43" s="30"/>
      <c r="AB43" s="30"/>
      <c r="AC43" s="50"/>
      <c r="AE43" s="17"/>
      <c r="AG43" s="24"/>
    </row>
    <row r="44" spans="1:33" x14ac:dyDescent="0.25">
      <c r="A44" s="8">
        <f>A42+1</f>
        <v>24</v>
      </c>
      <c r="B44" s="30"/>
      <c r="C44" s="30" t="s">
        <v>13</v>
      </c>
      <c r="D44" s="30"/>
      <c r="E44" s="4">
        <f>SUM(E33:E43)</f>
        <v>51697.608299584739</v>
      </c>
      <c r="F44" s="6"/>
      <c r="G44" s="4">
        <f>SUM(G33:G43)</f>
        <v>52905.558203010718</v>
      </c>
      <c r="H44" s="10"/>
      <c r="I44" s="49"/>
      <c r="J44" s="30"/>
      <c r="K44" s="6"/>
      <c r="L44" s="6"/>
      <c r="M44" s="7"/>
      <c r="N44" s="7"/>
      <c r="O44" s="7"/>
      <c r="P44" s="51"/>
      <c r="Q44" s="6"/>
      <c r="R44" s="30"/>
      <c r="S44" s="30"/>
      <c r="T44" s="30"/>
      <c r="U44" s="52"/>
      <c r="V44" s="6"/>
      <c r="W44" s="51"/>
      <c r="X44" s="30"/>
      <c r="Y44" s="31"/>
      <c r="Z44" s="30"/>
      <c r="AA44" s="30"/>
      <c r="AB44" s="30"/>
      <c r="AC44" s="30"/>
      <c r="AE44" s="17"/>
      <c r="AG44" s="24"/>
    </row>
    <row r="45" spans="1:33" x14ac:dyDescent="0.25">
      <c r="A45" s="8"/>
      <c r="B45" s="30"/>
      <c r="C45" s="30"/>
      <c r="D45" s="30"/>
      <c r="E45" s="10"/>
      <c r="F45" s="6"/>
      <c r="G45" s="10"/>
      <c r="H45" s="10"/>
      <c r="I45" s="51"/>
      <c r="J45" s="30"/>
      <c r="K45" s="6"/>
      <c r="L45" s="6"/>
      <c r="M45" s="7"/>
      <c r="N45" s="7"/>
      <c r="O45" s="7"/>
      <c r="P45" s="51"/>
      <c r="Q45" s="6"/>
      <c r="R45" s="30"/>
      <c r="S45" s="30"/>
      <c r="T45" s="30"/>
      <c r="U45" s="52"/>
      <c r="V45" s="6"/>
      <c r="W45" s="51"/>
      <c r="X45" s="30"/>
      <c r="Y45" s="31"/>
      <c r="Z45" s="30"/>
      <c r="AA45" s="30"/>
      <c r="AB45" s="30"/>
      <c r="AC45" s="30"/>
      <c r="AE45" s="17"/>
      <c r="AG45" s="24"/>
    </row>
    <row r="46" spans="1:33" x14ac:dyDescent="0.25">
      <c r="A46" s="8"/>
      <c r="B46" s="30"/>
      <c r="C46" s="47" t="s">
        <v>52</v>
      </c>
      <c r="D46" s="30"/>
      <c r="E46" s="30"/>
      <c r="F46" s="30"/>
      <c r="G46" s="30"/>
      <c r="H46" s="30"/>
      <c r="I46" s="30"/>
      <c r="J46" s="30"/>
      <c r="K46" s="6"/>
      <c r="L46" s="6"/>
      <c r="M46" s="30"/>
      <c r="N46" s="30"/>
      <c r="O46" s="30"/>
      <c r="P46" s="30"/>
      <c r="Q46" s="30"/>
      <c r="R46" s="30"/>
      <c r="S46" s="30"/>
      <c r="T46" s="30"/>
      <c r="U46" s="52"/>
      <c r="V46" s="30"/>
      <c r="W46" s="30"/>
      <c r="X46" s="30"/>
      <c r="Y46" s="31"/>
      <c r="Z46" s="30"/>
      <c r="AA46" s="30"/>
      <c r="AB46" s="30"/>
      <c r="AC46" s="30"/>
      <c r="AE46" s="17"/>
      <c r="AG46" s="24"/>
    </row>
    <row r="47" spans="1:33" x14ac:dyDescent="0.25">
      <c r="A47" s="8">
        <f>A44+1</f>
        <v>25</v>
      </c>
      <c r="B47" s="30"/>
      <c r="C47" s="48" t="s">
        <v>3</v>
      </c>
      <c r="D47" s="30"/>
      <c r="E47" s="6">
        <v>6624.7240458765555</v>
      </c>
      <c r="F47" s="6"/>
      <c r="G47" s="6">
        <v>6030.0582991150241</v>
      </c>
      <c r="H47" s="6"/>
      <c r="I47" s="51">
        <f>(O47-M47)/M47</f>
        <v>-8.9764606441482153E-2</v>
      </c>
      <c r="J47" s="30"/>
      <c r="K47" s="6">
        <v>1023450.7398880444</v>
      </c>
      <c r="L47" s="6"/>
      <c r="M47" s="7">
        <f>E47/$K47*100</f>
        <v>0.64729290699435482</v>
      </c>
      <c r="N47" s="7"/>
      <c r="O47" s="7">
        <f>G47/$K47*100</f>
        <v>0.58918891394564366</v>
      </c>
      <c r="P47" s="51"/>
      <c r="Q47" s="6">
        <v>2200</v>
      </c>
      <c r="R47" s="30"/>
      <c r="S47" s="27">
        <f>O47*Q47/100</f>
        <v>12.962156106804162</v>
      </c>
      <c r="T47" s="27"/>
      <c r="U47" s="27">
        <f>S47/12</f>
        <v>1.0801796755670134</v>
      </c>
      <c r="V47" s="27"/>
      <c r="W47" s="27">
        <f>(O47-M47)*Q47/100</f>
        <v>-1.2782878470716457</v>
      </c>
      <c r="X47" s="30"/>
      <c r="Y47" s="18">
        <v>1139.7800000000002</v>
      </c>
      <c r="Z47" s="30"/>
      <c r="AA47" s="50">
        <f>S47/Y47</f>
        <v>1.1372507068736212E-2</v>
      </c>
      <c r="AB47" s="50"/>
      <c r="AC47" s="50">
        <f>W47/Y47</f>
        <v>-1.1215215629960566E-3</v>
      </c>
      <c r="AE47" s="17"/>
      <c r="AG47" s="24"/>
    </row>
    <row r="48" spans="1:33" x14ac:dyDescent="0.25">
      <c r="A48" s="8">
        <f>A47+1</f>
        <v>26</v>
      </c>
      <c r="B48" s="30"/>
      <c r="C48" s="48" t="s">
        <v>4</v>
      </c>
      <c r="D48" s="30"/>
      <c r="E48" s="6">
        <v>3126.7785666315062</v>
      </c>
      <c r="F48" s="6"/>
      <c r="G48" s="6">
        <v>3263.585202308966</v>
      </c>
      <c r="H48" s="6"/>
      <c r="I48" s="51">
        <f>(O48-M48)/M48</f>
        <v>4.3753221650371564E-2</v>
      </c>
      <c r="J48" s="30"/>
      <c r="K48" s="6">
        <v>359133.55004293134</v>
      </c>
      <c r="L48" s="6"/>
      <c r="M48" s="7">
        <f>E48/$K48*100</f>
        <v>0.87064507514202638</v>
      </c>
      <c r="N48" s="7"/>
      <c r="O48" s="7">
        <f>G48/$K48*100</f>
        <v>0.90873860209351986</v>
      </c>
      <c r="P48" s="51"/>
      <c r="Q48" s="6">
        <v>250000</v>
      </c>
      <c r="R48" s="30"/>
      <c r="S48" s="52">
        <f>O48*Q48/100</f>
        <v>2271.8465052337997</v>
      </c>
      <c r="T48" s="27"/>
      <c r="U48" s="52">
        <f>S48/12</f>
        <v>189.32054210281663</v>
      </c>
      <c r="V48" s="6"/>
      <c r="W48" s="6">
        <f>(O48-M48)*Q48/100</f>
        <v>95.233817378733704</v>
      </c>
      <c r="X48" s="30"/>
      <c r="Y48" s="18">
        <v>86149.720709549991</v>
      </c>
      <c r="Z48" s="30"/>
      <c r="AA48" s="50">
        <f>S48/Y48</f>
        <v>2.6370909696773488E-2</v>
      </c>
      <c r="AB48" s="50"/>
      <c r="AC48" s="50">
        <f>W48/Y48</f>
        <v>1.1054454569830857E-3</v>
      </c>
      <c r="AE48" s="17"/>
      <c r="AG48" s="24"/>
    </row>
    <row r="49" spans="1:33" x14ac:dyDescent="0.25">
      <c r="A49" s="8">
        <f t="shared" ref="A49:A51" si="21">A48+1</f>
        <v>27</v>
      </c>
      <c r="B49" s="30"/>
      <c r="C49" s="48" t="s">
        <v>5</v>
      </c>
      <c r="D49" s="30"/>
      <c r="E49" s="6">
        <v>1753.1400830005171</v>
      </c>
      <c r="F49" s="6"/>
      <c r="G49" s="6">
        <v>1852.0285070552868</v>
      </c>
      <c r="H49" s="6"/>
      <c r="I49" s="51">
        <f>(O49-M49)/M49</f>
        <v>5.6406458909730381E-2</v>
      </c>
      <c r="J49" s="30"/>
      <c r="K49" s="6">
        <v>686307.03286005137</v>
      </c>
      <c r="L49" s="6"/>
      <c r="M49" s="7">
        <f>E49/$K49*100</f>
        <v>0.25544544920290935</v>
      </c>
      <c r="N49" s="7"/>
      <c r="O49" s="7">
        <f>G49/$K49*100</f>
        <v>0.26985422243705087</v>
      </c>
      <c r="P49" s="51"/>
      <c r="Q49" s="6">
        <v>15000000</v>
      </c>
      <c r="R49" s="30"/>
      <c r="S49" s="52">
        <f>O49*Q49/100</f>
        <v>40478.133365557631</v>
      </c>
      <c r="T49" s="27"/>
      <c r="U49" s="52">
        <f t="shared" ref="U49" si="22">S49/12</f>
        <v>3373.1777804631361</v>
      </c>
      <c r="V49" s="6"/>
      <c r="W49" s="6">
        <f>(O49-M49)*Q49/100</f>
        <v>2161.3159851212286</v>
      </c>
      <c r="X49" s="30"/>
      <c r="Y49" s="18">
        <v>3837256.7280000001</v>
      </c>
      <c r="Z49" s="30"/>
      <c r="AA49" s="50">
        <f>S49/Y49</f>
        <v>1.0548716501086196E-2</v>
      </c>
      <c r="AB49" s="50"/>
      <c r="AC49" s="50">
        <f>W49/Y49</f>
        <v>5.6324508322582801E-4</v>
      </c>
      <c r="AE49" s="17"/>
      <c r="AG49" s="24"/>
    </row>
    <row r="50" spans="1:33" x14ac:dyDescent="0.25">
      <c r="A50" s="8">
        <f t="shared" si="21"/>
        <v>28</v>
      </c>
      <c r="B50" s="30"/>
      <c r="C50" s="48" t="s">
        <v>50</v>
      </c>
      <c r="D50" s="30"/>
      <c r="E50" s="6"/>
      <c r="F50" s="6"/>
      <c r="G50" s="6">
        <v>75.273002614271363</v>
      </c>
      <c r="H50" s="6"/>
      <c r="I50" s="7">
        <v>0</v>
      </c>
      <c r="J50" s="30"/>
      <c r="K50" s="18">
        <v>80722.530207002696</v>
      </c>
      <c r="L50" s="18"/>
      <c r="M50" s="7">
        <f>E50/$K50*100</f>
        <v>0</v>
      </c>
      <c r="N50" s="7"/>
      <c r="O50" s="7">
        <f>G50/$K50*100</f>
        <v>9.3249062462788634E-2</v>
      </c>
      <c r="P50" s="51"/>
      <c r="Q50" s="6">
        <v>2275000</v>
      </c>
      <c r="R50" s="30"/>
      <c r="S50" s="52">
        <f>O50*Q50/100</f>
        <v>2121.4161710284416</v>
      </c>
      <c r="T50" s="27"/>
      <c r="U50" s="52">
        <f t="shared" ref="U50" si="23">S50/12</f>
        <v>176.78468091903679</v>
      </c>
      <c r="V50" s="6"/>
      <c r="W50" s="6">
        <f>(O50-M50)*Q50/100</f>
        <v>2121.4161710284416</v>
      </c>
      <c r="X50" s="30"/>
      <c r="Y50" s="18">
        <v>579929.19500000007</v>
      </c>
      <c r="Z50" s="30"/>
      <c r="AA50" s="50">
        <f>S50/Y50</f>
        <v>3.6580606551950561E-3</v>
      </c>
      <c r="AB50" s="50"/>
      <c r="AC50" s="50">
        <f>W50/Y50</f>
        <v>3.6580606551950561E-3</v>
      </c>
      <c r="AE50" s="17"/>
      <c r="AG50" s="24"/>
    </row>
    <row r="51" spans="1:33" x14ac:dyDescent="0.25">
      <c r="A51" s="8">
        <f t="shared" si="21"/>
        <v>29</v>
      </c>
      <c r="B51" s="30"/>
      <c r="C51" s="48" t="s">
        <v>6</v>
      </c>
      <c r="D51" s="30"/>
      <c r="E51" s="6">
        <v>1147.2900049066718</v>
      </c>
      <c r="F51" s="6"/>
      <c r="G51" s="6">
        <v>1184.3698467577206</v>
      </c>
      <c r="H51" s="6"/>
      <c r="I51" s="51">
        <f>(O51-M51)/M51</f>
        <v>3.2319502211705403E-2</v>
      </c>
      <c r="J51" s="30"/>
      <c r="K51" s="6">
        <v>1089225.2253373773</v>
      </c>
      <c r="L51" s="6"/>
      <c r="M51" s="7">
        <f>E51/$K51*100</f>
        <v>0.1053308331664197</v>
      </c>
      <c r="N51" s="7"/>
      <c r="O51" s="7">
        <f>G51/$K51*100</f>
        <v>0.10873507326190257</v>
      </c>
      <c r="P51" s="51"/>
      <c r="Q51" s="6">
        <v>240000000</v>
      </c>
      <c r="R51" s="30"/>
      <c r="S51" s="52">
        <f>O51*Q51/100</f>
        <v>260964.17582856619</v>
      </c>
      <c r="T51" s="27"/>
      <c r="U51" s="52">
        <f t="shared" ref="U51" si="24">S51/12</f>
        <v>21747.014652380516</v>
      </c>
      <c r="V51" s="6"/>
      <c r="W51" s="6">
        <f>(O51-M51)*Q51/100</f>
        <v>8170.1762291588984</v>
      </c>
      <c r="X51" s="30"/>
      <c r="Y51" s="18">
        <v>65692840.215000004</v>
      </c>
      <c r="Z51" s="30"/>
      <c r="AA51" s="50">
        <f>S51/Y51</f>
        <v>3.9724903806028292E-3</v>
      </c>
      <c r="AB51" s="50"/>
      <c r="AC51" s="50">
        <f>W51/Y51</f>
        <v>1.2436935596663937E-4</v>
      </c>
      <c r="AE51" s="17"/>
      <c r="AG51" s="24"/>
    </row>
    <row r="52" spans="1:33" x14ac:dyDescent="0.25">
      <c r="A52" s="8"/>
      <c r="B52" s="30"/>
      <c r="C52" s="48"/>
      <c r="D52" s="30"/>
      <c r="E52" s="6"/>
      <c r="F52" s="6"/>
      <c r="G52" s="6"/>
      <c r="H52" s="6"/>
      <c r="I52" s="51"/>
      <c r="J52" s="30"/>
      <c r="K52" s="6"/>
      <c r="L52" s="6"/>
      <c r="M52" s="7"/>
      <c r="N52" s="7"/>
      <c r="O52" s="7"/>
      <c r="P52" s="51"/>
      <c r="Q52" s="6"/>
      <c r="R52" s="30"/>
      <c r="S52" s="52"/>
      <c r="T52" s="27"/>
      <c r="U52" s="27"/>
      <c r="V52" s="6"/>
      <c r="W52" s="6"/>
      <c r="X52" s="30"/>
      <c r="Y52" s="6"/>
      <c r="Z52" s="30"/>
      <c r="AA52" s="50"/>
      <c r="AB52" s="50"/>
      <c r="AC52" s="50"/>
      <c r="AE52" s="12"/>
    </row>
    <row r="53" spans="1:33" x14ac:dyDescent="0.25">
      <c r="A53" s="8">
        <f>A51+1</f>
        <v>30</v>
      </c>
      <c r="B53" s="30"/>
      <c r="C53" s="30" t="s">
        <v>7</v>
      </c>
      <c r="D53" s="30"/>
      <c r="E53" s="4">
        <f>SUM(E47:E52)</f>
        <v>12651.932700415251</v>
      </c>
      <c r="F53" s="30"/>
      <c r="G53" s="4">
        <f>SUM(G47:G52)</f>
        <v>12405.31485785127</v>
      </c>
      <c r="H53" s="10"/>
      <c r="I53" s="51"/>
      <c r="J53" s="30"/>
      <c r="K53" s="6"/>
      <c r="L53" s="6"/>
      <c r="M53" s="7"/>
      <c r="N53" s="7"/>
      <c r="O53" s="7"/>
      <c r="P53" s="51"/>
      <c r="Q53" s="6"/>
      <c r="R53" s="30"/>
      <c r="S53" s="52"/>
      <c r="T53" s="27"/>
      <c r="U53" s="27"/>
      <c r="V53" s="6"/>
      <c r="W53" s="51"/>
      <c r="X53" s="30"/>
      <c r="Y53" s="6"/>
      <c r="Z53" s="30"/>
      <c r="AA53" s="30"/>
      <c r="AB53" s="30"/>
      <c r="AC53" s="30"/>
    </row>
    <row r="54" spans="1:33" x14ac:dyDescent="0.25">
      <c r="A54" s="8"/>
      <c r="B54" s="30"/>
      <c r="C54" s="30"/>
      <c r="D54" s="30"/>
      <c r="E54" s="6"/>
      <c r="F54" s="6"/>
      <c r="G54" s="6"/>
      <c r="H54" s="6"/>
      <c r="I54" s="30"/>
      <c r="J54" s="30"/>
      <c r="K54" s="6"/>
      <c r="L54" s="6"/>
      <c r="M54" s="30"/>
      <c r="N54" s="30"/>
      <c r="O54" s="30"/>
      <c r="P54" s="30"/>
      <c r="Q54" s="6"/>
      <c r="R54" s="30"/>
      <c r="S54" s="52"/>
      <c r="T54" s="27"/>
      <c r="U54" s="27"/>
      <c r="V54" s="6"/>
      <c r="W54" s="30"/>
      <c r="X54" s="30"/>
      <c r="Y54" s="6"/>
      <c r="Z54" s="30"/>
      <c r="AA54" s="30"/>
      <c r="AB54" s="30"/>
      <c r="AC54" s="30"/>
    </row>
    <row r="55" spans="1:33" x14ac:dyDescent="0.25">
      <c r="A55" s="8"/>
      <c r="B55" s="30"/>
      <c r="C55" s="30"/>
      <c r="D55" s="30"/>
      <c r="E55" s="6"/>
      <c r="F55" s="6"/>
      <c r="G55" s="6"/>
      <c r="H55" s="6"/>
      <c r="I55" s="30"/>
      <c r="J55" s="30"/>
      <c r="K55" s="6"/>
      <c r="L55" s="6"/>
      <c r="M55" s="30"/>
      <c r="N55" s="30"/>
      <c r="O55" s="30"/>
      <c r="P55" s="30"/>
      <c r="Q55" s="6"/>
      <c r="R55" s="30"/>
      <c r="S55" s="30"/>
      <c r="T55" s="30"/>
      <c r="U55" s="30"/>
      <c r="V55" s="6"/>
      <c r="W55" s="30"/>
      <c r="X55" s="30"/>
      <c r="Y55" s="30"/>
      <c r="Z55" s="30"/>
      <c r="AA55" s="30"/>
      <c r="AB55" s="30"/>
      <c r="AC55" s="30"/>
    </row>
    <row r="56" spans="1:33" ht="12" thickBot="1" x14ac:dyDescent="0.3">
      <c r="A56" s="8">
        <f>A53+1</f>
        <v>31</v>
      </c>
      <c r="B56" s="30"/>
      <c r="C56" s="30" t="s">
        <v>89</v>
      </c>
      <c r="D56" s="30"/>
      <c r="E56" s="5">
        <f>+E30+E44+E53</f>
        <v>132106.91699999999</v>
      </c>
      <c r="F56" s="6"/>
      <c r="G56" s="5">
        <f>+G30+G44+G53</f>
        <v>142259.9999889828</v>
      </c>
      <c r="H56" s="10"/>
      <c r="I56" s="30"/>
      <c r="J56" s="30"/>
      <c r="K56" s="6"/>
      <c r="L56" s="6"/>
      <c r="M56" s="30"/>
      <c r="N56" s="30"/>
      <c r="O56" s="30"/>
      <c r="P56" s="30"/>
      <c r="Q56" s="6"/>
      <c r="R56" s="30"/>
      <c r="S56" s="30"/>
      <c r="T56" s="30"/>
      <c r="U56" s="30"/>
      <c r="V56" s="6"/>
      <c r="W56" s="30"/>
      <c r="X56" s="30"/>
      <c r="Y56" s="30"/>
      <c r="Z56" s="30"/>
      <c r="AA56" s="30"/>
      <c r="AB56" s="30"/>
      <c r="AC56" s="30"/>
    </row>
    <row r="57" spans="1:33" ht="12" thickTop="1" x14ac:dyDescent="0.25">
      <c r="A57" s="8"/>
      <c r="B57" s="30"/>
      <c r="C57" s="30"/>
      <c r="D57" s="30"/>
      <c r="E57" s="10"/>
      <c r="F57" s="6"/>
      <c r="G57" s="10"/>
      <c r="H57" s="10"/>
      <c r="I57" s="30"/>
      <c r="J57" s="30"/>
      <c r="K57" s="6"/>
      <c r="L57" s="6"/>
      <c r="M57" s="30"/>
      <c r="N57" s="30"/>
      <c r="O57" s="30"/>
      <c r="P57" s="30"/>
      <c r="Q57" s="6"/>
      <c r="R57" s="30"/>
      <c r="S57" s="30"/>
      <c r="T57" s="30"/>
      <c r="U57" s="30"/>
      <c r="V57" s="6"/>
      <c r="W57" s="30"/>
      <c r="X57" s="30"/>
      <c r="Y57" s="30"/>
      <c r="Z57" s="30"/>
      <c r="AA57" s="30"/>
      <c r="AB57" s="30"/>
      <c r="AC57" s="30"/>
    </row>
    <row r="58" spans="1:33" x14ac:dyDescent="0.25">
      <c r="A58" s="8"/>
      <c r="B58" s="30"/>
      <c r="C58" s="30"/>
      <c r="D58" s="30"/>
      <c r="E58" s="30"/>
      <c r="F58" s="30"/>
      <c r="G58" s="6"/>
      <c r="H58" s="6"/>
      <c r="I58" s="30"/>
      <c r="J58" s="30"/>
      <c r="K58" s="6"/>
      <c r="L58" s="6"/>
      <c r="M58" s="30"/>
      <c r="N58" s="30"/>
      <c r="O58" s="30"/>
      <c r="P58" s="30"/>
      <c r="Q58" s="6"/>
      <c r="R58" s="30"/>
      <c r="S58" s="30"/>
      <c r="T58" s="30"/>
      <c r="U58" s="30"/>
      <c r="V58" s="6"/>
      <c r="W58" s="30"/>
      <c r="X58" s="30"/>
      <c r="Y58" s="30"/>
      <c r="Z58" s="30"/>
      <c r="AA58" s="30"/>
      <c r="AB58" s="30"/>
      <c r="AC58" s="30"/>
    </row>
    <row r="59" spans="1:33" x14ac:dyDescent="0.25">
      <c r="A59" s="47" t="s">
        <v>14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33" x14ac:dyDescent="0.25">
      <c r="A60" s="58" t="s">
        <v>15</v>
      </c>
      <c r="B60" s="30"/>
      <c r="C60" s="31" t="s">
        <v>90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0"/>
      <c r="AA60" s="30"/>
      <c r="AB60" s="30"/>
      <c r="AC60" s="30"/>
    </row>
    <row r="61" spans="1:33" x14ac:dyDescent="0.25">
      <c r="A61" s="58" t="s">
        <v>16</v>
      </c>
      <c r="B61" s="30"/>
      <c r="C61" s="31" t="s">
        <v>85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spans="1:33" x14ac:dyDescent="0.25">
      <c r="A62" s="58" t="s">
        <v>36</v>
      </c>
      <c r="B62" s="30"/>
      <c r="C62" s="31" t="str">
        <f>O10&amp;" proposed DSM unit rates calculated based on 2021 billing units. At the time of filing the application, the available billing units to calculate DSM unit rates are for 2021."</f>
        <v>2023 proposed DSM unit rates calculated based on 2021 billing units. At the time of filing the application, the available billing units to calculate DSM unit rates are for 2021.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1:33" x14ac:dyDescent="0.25">
      <c r="A63" s="58" t="s">
        <v>64</v>
      </c>
      <c r="B63" s="30"/>
      <c r="C63" s="31" t="s">
        <v>66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1:33" x14ac:dyDescent="0.25">
      <c r="A64" s="58" t="s">
        <v>67</v>
      </c>
      <c r="B64" s="30"/>
      <c r="C64" s="31" t="s">
        <v>86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spans="1:29" x14ac:dyDescent="0.25">
      <c r="A65" s="58" t="s">
        <v>68</v>
      </c>
      <c r="B65" s="30"/>
      <c r="C65" s="30" t="s">
        <v>93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1:29" x14ac:dyDescent="0.25">
      <c r="A66" s="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x14ac:dyDescent="0.25">
      <c r="A67" s="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x14ac:dyDescent="0.25">
      <c r="G68" s="13"/>
      <c r="H68" s="13"/>
    </row>
    <row r="69" spans="1:29" x14ac:dyDescent="0.25">
      <c r="C69" s="12"/>
      <c r="D69" s="12"/>
      <c r="E69" s="12"/>
      <c r="F69" s="12"/>
      <c r="G69" s="14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x14ac:dyDescent="0.25">
      <c r="C70" s="12"/>
      <c r="D70" s="12"/>
      <c r="E70" s="12"/>
      <c r="F70" s="12"/>
      <c r="G70" s="15"/>
      <c r="H70" s="1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x14ac:dyDescent="0.25">
      <c r="C71" s="12"/>
      <c r="D71" s="12"/>
      <c r="E71" s="12"/>
      <c r="F71" s="12"/>
      <c r="G71" s="16"/>
      <c r="H71" s="1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x14ac:dyDescent="0.25">
      <c r="C72" s="12"/>
      <c r="D72" s="12"/>
      <c r="E72" s="12"/>
      <c r="F72" s="12"/>
      <c r="G72" s="13"/>
      <c r="H72" s="13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x14ac:dyDescent="0.25">
      <c r="C73" s="5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x14ac:dyDescent="0.25">
      <c r="C74" s="12"/>
      <c r="D74" s="12"/>
      <c r="E74" s="60"/>
      <c r="F74" s="12"/>
      <c r="G74" s="60"/>
      <c r="H74" s="60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x14ac:dyDescent="0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x14ac:dyDescent="0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</sheetData>
  <mergeCells count="3">
    <mergeCell ref="AA10:AC10"/>
    <mergeCell ref="S11:U11"/>
    <mergeCell ref="AA2:AC2"/>
  </mergeCells>
  <printOptions horizontalCentered="1"/>
  <pageMargins left="0.45866141700000002" right="0.45866141700000002" top="0.74803149606299202" bottom="0.74803149606299202" header="0.31496062992126" footer="0.31496062992126"/>
  <pageSetup scale="66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9A0A9601764418DD39BD00503977A" ma:contentTypeVersion="4" ma:contentTypeDescription="Create a new document." ma:contentTypeScope="" ma:versionID="732595fc633e277a68896441733a31ac">
  <xsd:schema xmlns:xsd="http://www.w3.org/2001/XMLSchema" xmlns:xs="http://www.w3.org/2001/XMLSchema" xmlns:p="http://schemas.microsoft.com/office/2006/metadata/properties" xmlns:ns2="d0560e37-be74-4cc2-84ee-c2ac80e1b3c5" targetNamespace="http://schemas.microsoft.com/office/2006/metadata/properties" ma:root="true" ma:fieldsID="562e00b2b20d83556f2b45df509428f7" ns2:_="">
    <xsd:import namespace="d0560e37-be74-4cc2-84ee-c2ac80e1b3c5"/>
    <xsd:element name="properties">
      <xsd:complexType>
        <xsd:sequence>
          <xsd:element name="documentManagement">
            <xsd:complexType>
              <xsd:all>
                <xsd:element ref="ns2:Attachment" minOccurs="0"/>
                <xsd:element ref="ns2:Intervenor" minOccurs="0"/>
                <xsd:element ref="ns2:Issue" minOccurs="0"/>
                <xsd:element ref="ns2: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60e37-be74-4cc2-84ee-c2ac80e1b3c5" elementFormDefault="qualified">
    <xsd:import namespace="http://schemas.microsoft.com/office/2006/documentManagement/types"/>
    <xsd:import namespace="http://schemas.microsoft.com/office/infopath/2007/PartnerControls"/>
    <xsd:element name="Attachment" ma:index="8" nillable="true" ma:displayName="Attachment" ma:internalName="Attachment">
      <xsd:simpleType>
        <xsd:restriction base="dms:Text">
          <xsd:maxLength value="255"/>
        </xsd:restriction>
      </xsd:simpleType>
    </xsd:element>
    <xsd:element name="Intervenor" ma:index="9" nillable="true" ma:displayName="Intervenor" ma:internalName="Intervenor">
      <xsd:simpleType>
        <xsd:restriction base="dms:Text">
          <xsd:maxLength value="255"/>
        </xsd:restriction>
      </xsd:simpleType>
    </xsd:element>
    <xsd:element name="Issue" ma:index="10" nillable="true" ma:displayName="Issue" ma:internalName="Issue">
      <xsd:simpleType>
        <xsd:restriction base="dms:Text">
          <xsd:maxLength value="255"/>
        </xsd:restriction>
      </xsd:simpleType>
    </xsd:element>
    <xsd:element name="FINAL" ma:index="11" nillable="true" ma:displayName="FINAL" ma:internalName="FINA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d0560e37-be74-4cc2-84ee-c2ac80e1b3c5">Attachment 1</Attachment>
    <Intervenor xmlns="d0560e37-be74-4cc2-84ee-c2ac80e1b3c5">GEC</Intervenor>
    <Issue xmlns="d0560e37-be74-4cc2-84ee-c2ac80e1b3c5">5</Issue>
    <FINAL xmlns="d0560e37-be74-4cc2-84ee-c2ac80e1b3c5">FINAL</FINA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1E847FE6-5C05-4A31-9FCC-C33A53EA627F}"/>
</file>

<file path=customXml/itemProps2.xml><?xml version="1.0" encoding="utf-8"?>
<ds:datastoreItem xmlns:ds="http://schemas.openxmlformats.org/officeDocument/2006/customXml" ds:itemID="{8DEBC630-F964-4847-9C2F-961B95FE8F4D}">
  <ds:schemaRefs>
    <ds:schemaRef ds:uri="http://schemas.microsoft.com/office/2006/metadata/properties"/>
    <ds:schemaRef ds:uri="http://purl.org/dc/terms/"/>
    <ds:schemaRef ds:uri="d0560e37-be74-4cc2-84ee-c2ac80e1b3c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49E6E3-6C67-47C1-9836-E8B77527D9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D6DCEB-301E-454D-BD19-5BC48109E98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A Spectra Energy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Straeche, Martin</dc:creator>
  <cp:lastModifiedBy>Bonnie Adams</cp:lastModifiedBy>
  <cp:lastPrinted>2021-09-21T20:13:47Z</cp:lastPrinted>
  <dcterms:created xsi:type="dcterms:W3CDTF">2015-03-12T17:50:07Z</dcterms:created>
  <dcterms:modified xsi:type="dcterms:W3CDTF">2021-10-28T18:55:13Z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0x0101009CC9A0A9601764418DD39BD00503977A</vt:lpwstr>
  </property>
</Properties>
</file>